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drawings/drawing177.xml" ContentType="application/vnd.openxmlformats-officedocument.drawing+xml"/>
  <Override PartName="/xl/drawings/drawing178.xml" ContentType="application/vnd.openxmlformats-officedocument.drawing+xml"/>
  <Override PartName="/xl/drawings/drawing179.xml" ContentType="application/vnd.openxmlformats-officedocument.drawing+xml"/>
  <Override PartName="/xl/drawings/drawing180.xml" ContentType="application/vnd.openxmlformats-officedocument.drawing+xml"/>
  <Override PartName="/xl/drawings/drawing181.xml" ContentType="application/vnd.openxmlformats-officedocument.drawing+xml"/>
  <Override PartName="/xl/drawings/drawing182.xml" ContentType="application/vnd.openxmlformats-officedocument.drawing+xml"/>
  <Override PartName="/xl/drawings/drawing183.xml" ContentType="application/vnd.openxmlformats-officedocument.drawing+xml"/>
  <Override PartName="/xl/drawings/drawing184.xml" ContentType="application/vnd.openxmlformats-officedocument.drawing+xml"/>
  <Override PartName="/xl/drawings/drawing185.xml" ContentType="application/vnd.openxmlformats-officedocument.drawing+xml"/>
  <Override PartName="/xl/drawings/drawing186.xml" ContentType="application/vnd.openxmlformats-officedocument.drawing+xml"/>
  <Override PartName="/xl/drawings/drawing187.xml" ContentType="application/vnd.openxmlformats-officedocument.drawing+xml"/>
  <Override PartName="/xl/drawings/drawing188.xml" ContentType="application/vnd.openxmlformats-officedocument.drawing+xml"/>
  <Override PartName="/xl/drawings/drawing189.xml" ContentType="application/vnd.openxmlformats-officedocument.drawing+xml"/>
  <Override PartName="/xl/drawings/drawing190.xml" ContentType="application/vnd.openxmlformats-officedocument.drawing+xml"/>
  <Override PartName="/xl/drawings/drawing191.xml" ContentType="application/vnd.openxmlformats-officedocument.drawing+xml"/>
  <Override PartName="/xl/drawings/drawing192.xml" ContentType="application/vnd.openxmlformats-officedocument.drawing+xml"/>
  <Override PartName="/xl/drawings/drawing193.xml" ContentType="application/vnd.openxmlformats-officedocument.drawing+xml"/>
  <Override PartName="/xl/drawings/drawing194.xml" ContentType="application/vnd.openxmlformats-officedocument.drawing+xml"/>
  <Override PartName="/xl/drawings/drawing195.xml" ContentType="application/vnd.openxmlformats-officedocument.drawing+xml"/>
  <Override PartName="/xl/drawings/drawing196.xml" ContentType="application/vnd.openxmlformats-officedocument.drawing+xml"/>
  <Override PartName="/xl/drawings/drawing197.xml" ContentType="application/vnd.openxmlformats-officedocument.drawing+xml"/>
  <Override PartName="/xl/drawings/drawing198.xml" ContentType="application/vnd.openxmlformats-officedocument.drawing+xml"/>
  <Override PartName="/xl/drawings/drawing199.xml" ContentType="application/vnd.openxmlformats-officedocument.drawing+xml"/>
  <Override PartName="/xl/drawings/drawing200.xml" ContentType="application/vnd.openxmlformats-officedocument.drawing+xml"/>
  <Override PartName="/xl/drawings/drawing201.xml" ContentType="application/vnd.openxmlformats-officedocument.drawing+xml"/>
  <Override PartName="/xl/drawings/drawing202.xml" ContentType="application/vnd.openxmlformats-officedocument.drawing+xml"/>
  <Override PartName="/xl/drawings/drawing203.xml" ContentType="application/vnd.openxmlformats-officedocument.drawing+xml"/>
  <Override PartName="/xl/drawings/drawing204.xml" ContentType="application/vnd.openxmlformats-officedocument.drawing+xml"/>
  <Override PartName="/xl/drawings/drawing205.xml" ContentType="application/vnd.openxmlformats-officedocument.drawing+xml"/>
  <Override PartName="/xl/drawings/drawing206.xml" ContentType="application/vnd.openxmlformats-officedocument.drawing+xml"/>
  <Override PartName="/xl/drawings/drawing207.xml" ContentType="application/vnd.openxmlformats-officedocument.drawing+xml"/>
  <Override PartName="/xl/drawings/drawing208.xml" ContentType="application/vnd.openxmlformats-officedocument.drawing+xml"/>
  <Override PartName="/xl/drawings/drawing209.xml" ContentType="application/vnd.openxmlformats-officedocument.drawing+xml"/>
  <Override PartName="/xl/drawings/drawing210.xml" ContentType="application/vnd.openxmlformats-officedocument.drawing+xml"/>
  <Override PartName="/xl/drawings/drawing211.xml" ContentType="application/vnd.openxmlformats-officedocument.drawing+xml"/>
  <Override PartName="/xl/drawings/drawing212.xml" ContentType="application/vnd.openxmlformats-officedocument.drawing+xml"/>
  <Override PartName="/xl/drawings/drawing213.xml" ContentType="application/vnd.openxmlformats-officedocument.drawing+xml"/>
  <Override PartName="/xl/drawings/drawing214.xml" ContentType="application/vnd.openxmlformats-officedocument.drawing+xml"/>
  <Override PartName="/xl/drawings/drawing215.xml" ContentType="application/vnd.openxmlformats-officedocument.drawing+xml"/>
  <Override PartName="/xl/drawings/drawing216.xml" ContentType="application/vnd.openxmlformats-officedocument.drawing+xml"/>
  <Override PartName="/xl/drawings/drawing217.xml" ContentType="application/vnd.openxmlformats-officedocument.drawing+xml"/>
  <Override PartName="/xl/drawings/drawing218.xml" ContentType="application/vnd.openxmlformats-officedocument.drawing+xml"/>
  <Override PartName="/xl/drawings/drawing219.xml" ContentType="application/vnd.openxmlformats-officedocument.drawing+xml"/>
  <Override PartName="/xl/drawings/drawing220.xml" ContentType="application/vnd.openxmlformats-officedocument.drawing+xml"/>
  <Override PartName="/xl/drawings/drawing221.xml" ContentType="application/vnd.openxmlformats-officedocument.drawing+xml"/>
  <Override PartName="/xl/drawings/drawing222.xml" ContentType="application/vnd.openxmlformats-officedocument.drawing+xml"/>
  <Override PartName="/xl/drawings/drawing223.xml" ContentType="application/vnd.openxmlformats-officedocument.drawing+xml"/>
  <Override PartName="/xl/drawings/drawing224.xml" ContentType="application/vnd.openxmlformats-officedocument.drawing+xml"/>
  <Override PartName="/xl/drawings/drawing225.xml" ContentType="application/vnd.openxmlformats-officedocument.drawing+xml"/>
  <Override PartName="/xl/drawings/drawing226.xml" ContentType="application/vnd.openxmlformats-officedocument.drawing+xml"/>
  <Override PartName="/xl/drawings/drawing227.xml" ContentType="application/vnd.openxmlformats-officedocument.drawing+xml"/>
  <Override PartName="/xl/drawings/drawing228.xml" ContentType="application/vnd.openxmlformats-officedocument.drawing+xml"/>
  <Override PartName="/xl/drawings/drawing229.xml" ContentType="application/vnd.openxmlformats-officedocument.drawing+xml"/>
  <Override PartName="/xl/drawings/drawing230.xml" ContentType="application/vnd.openxmlformats-officedocument.drawing+xml"/>
  <Override PartName="/xl/drawings/drawing231.xml" ContentType="application/vnd.openxmlformats-officedocument.drawing+xml"/>
  <Override PartName="/xl/drawings/drawing232.xml" ContentType="application/vnd.openxmlformats-officedocument.drawing+xml"/>
  <Override PartName="/xl/drawings/drawing233.xml" ContentType="application/vnd.openxmlformats-officedocument.drawing+xml"/>
  <Override PartName="/xl/drawings/drawing234.xml" ContentType="application/vnd.openxmlformats-officedocument.drawing+xml"/>
  <Override PartName="/xl/drawings/drawing235.xml" ContentType="application/vnd.openxmlformats-officedocument.drawing+xml"/>
  <Override PartName="/xl/drawings/drawing236.xml" ContentType="application/vnd.openxmlformats-officedocument.drawing+xml"/>
  <Override PartName="/xl/drawings/drawing237.xml" ContentType="application/vnd.openxmlformats-officedocument.drawing+xml"/>
  <Override PartName="/xl/drawings/drawing238.xml" ContentType="application/vnd.openxmlformats-officedocument.drawing+xml"/>
  <Override PartName="/xl/drawings/drawing239.xml" ContentType="application/vnd.openxmlformats-officedocument.drawing+xml"/>
  <Override PartName="/xl/drawings/drawing240.xml" ContentType="application/vnd.openxmlformats-officedocument.drawing+xml"/>
  <Override PartName="/xl/drawings/drawing241.xml" ContentType="application/vnd.openxmlformats-officedocument.drawing+xml"/>
  <Override PartName="/xl/drawings/drawing242.xml" ContentType="application/vnd.openxmlformats-officedocument.drawing+xml"/>
  <Override PartName="/xl/drawings/drawing243.xml" ContentType="application/vnd.openxmlformats-officedocument.drawing+xml"/>
  <Override PartName="/xl/drawings/drawing244.xml" ContentType="application/vnd.openxmlformats-officedocument.drawing+xml"/>
  <Override PartName="/xl/drawings/drawing245.xml" ContentType="application/vnd.openxmlformats-officedocument.drawing+xml"/>
  <Override PartName="/xl/drawings/drawing246.xml" ContentType="application/vnd.openxmlformats-officedocument.drawing+xml"/>
  <Override PartName="/xl/drawings/drawing247.xml" ContentType="application/vnd.openxmlformats-officedocument.drawing+xml"/>
  <Override PartName="/xl/drawings/drawing24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8c4c63607ef34cd/Documentos/ARCHIVOS/PROYECTO NUCLEO DE INGENIERIA APLICADA/COTIZACIONES/"/>
    </mc:Choice>
  </mc:AlternateContent>
  <xr:revisionPtr revIDLastSave="5230" documentId="13_ncr:1_{570C0824-885D-4951-AFBF-A68B0F3813A5}" xr6:coauthVersionLast="47" xr6:coauthVersionMax="47" xr10:uidLastSave="{53B77828-6F9D-4AF7-AE9E-A9F008E38827}"/>
  <bookViews>
    <workbookView xWindow="-108" yWindow="-108" windowWidth="23256" windowHeight="12456" firstSheet="51" activeTab="59" xr2:uid="{650DFFF8-E1C7-4993-B497-D56CA5A6D4CF}"/>
  </bookViews>
  <sheets>
    <sheet name="RENTA GENERADOR" sheetId="1" r:id="rId1"/>
    <sheet name="BERRYMEX EQUIP SME-FRANK MES AZ" sheetId="2" r:id="rId2"/>
    <sheet name="BERRYMEX MOTOR Y MANIOBRAS" sheetId="3" r:id="rId3"/>
    <sheet name="BERRYMEX BOMBA" sheetId="4" r:id="rId4"/>
    <sheet name="EQUIP TEPAMES SME-FRANK 16 lt" sheetId="7" r:id="rId5"/>
    <sheet name="EQUIP TEPAMES INOX" sheetId="8" r:id="rId6"/>
    <sheet name="RESUMEN EQUIPOS TEPAMES" sheetId="9" r:id="rId7"/>
    <sheet name="SUBESTA 150 KVA INJERTOS DE COL" sheetId="10" r:id="rId8"/>
    <sheet name="MANIOBRAS Y REP INDAMEX" sheetId="11" r:id="rId9"/>
    <sheet name="EQUIP NUEVO INDAMEX " sheetId="12" r:id="rId10"/>
    <sheet name="PIL 3 175 HP. 33 LT 320 SIN CAB" sheetId="13" r:id="rId11"/>
    <sheet name="SUBESTA 300 KVA PILITAS" sheetId="14" r:id="rId12"/>
    <sheet name="EQUIP. COAHUAYOTE FINAL" sheetId="15" r:id="rId13"/>
    <sheet name="INDAMEX MOTOBOMBA POZO 1" sheetId="16" r:id="rId14"/>
    <sheet name="INDAMEX PESCA POZO 1" sheetId="17" r:id="rId15"/>
    <sheet name="INDAMEX LIMPIEZA" sheetId="18" r:id="rId16"/>
    <sheet name="INDAMEX GEOFISICA" sheetId="19" r:id="rId17"/>
    <sheet name="INDAMEX POZO NUEVO" sheetId="20" r:id="rId18"/>
    <sheet name="MANIOBRAS EL GATO VERDUZCO" sheetId="22" r:id="rId19"/>
    <sheet name="REBOMBEO EL RODEO" sheetId="5" r:id="rId20"/>
    <sheet name="GEOFISICA COLIMA" sheetId="25" r:id="rId21"/>
    <sheet name="BERRYMEX REPARACION BOMBA" sheetId="26" r:id="rId22"/>
    <sheet name="REBOMBEO EL RODEO total" sheetId="27" r:id="rId23"/>
    <sheet name="REBOMBEO EL RODEO CON IVA" sheetId="29" r:id="rId24"/>
    <sheet name="REBOMBEO EL RODEO SIN IVA" sheetId="30" r:id="rId25"/>
    <sheet name="RESUMEN EQUIPOS DON ALEJO" sheetId="31" r:id="rId26"/>
    <sheet name="DON ALEJO MOTOR SME-FRANKLI" sheetId="32" r:id="rId27"/>
    <sheet name="ALFREDO ORTIZ LIMPIEZA POZO" sheetId="36" r:id="rId28"/>
    <sheet name="AFORO 3&quot; ALFREDO ORTIZ" sheetId="37" r:id="rId29"/>
    <sheet name="VIDEO ALFREDO ORTIZ" sheetId="38" r:id="rId30"/>
    <sheet name="EQUIP JALERILLAS SME-FRANKLIN" sheetId="39" r:id="rId31"/>
    <sheet name="EQUIP JALERILLAS ALTAMIRA" sheetId="40" r:id="rId32"/>
    <sheet name="RESUMEN EQUIPOS JALERILLAS" sheetId="41" r:id="rId33"/>
    <sheet name="DON ALEJO ALTAMIRA" sheetId="34" r:id="rId34"/>
    <sheet name="25 HP SALVA ORTIZ RT INOX" sheetId="44" r:id="rId35"/>
    <sheet name="MEDIDORES 4&quot; INDAMEX" sheetId="46" r:id="rId36"/>
    <sheet name="DON ALEJO MOTOR SME-ALTAMIRA FI" sheetId="42" r:id="rId37"/>
    <sheet name="DON ALEJO" sheetId="33" r:id="rId38"/>
    <sheet name="DON ALEJO V.F.D. 60 HP" sheetId="52" r:id="rId39"/>
    <sheet name="RENTA GENERADOR PELILLO 5 DIAS" sheetId="53" r:id="rId40"/>
    <sheet name="RENTA GENERADOR  FARIAS" sheetId="45" r:id="rId41"/>
    <sheet name="RENTA GENERADOR  FARIAS 2 dias" sheetId="49" r:id="rId42"/>
    <sheet name="EXTRAS INDAMEX" sheetId="47" r:id="rId43"/>
    <sheet name="BLUE ROCK 30 HP SME-FRANKLIN" sheetId="43" r:id="rId44"/>
    <sheet name="BLUE ROCK 30 HP ALTAMIRA" sheetId="48" r:id="rId45"/>
    <sheet name="PACO PILITAS 2 CUCHILLAS Y HIAB" sheetId="50" r:id="rId46"/>
    <sheet name="PACO MAGAÑA VFD E HIDRO" sheetId="51" r:id="rId47"/>
    <sheet name="CUSUR 5HP" sheetId="35" r:id="rId48"/>
    <sheet name="ALVAREZ POZO SAN JUAN ESPANATIC" sheetId="56" r:id="rId49"/>
    <sheet name="ING PAULINO COLIMA" sheetId="57" r:id="rId50"/>
    <sheet name="ING PAULINO COLIMA REVISION" sheetId="59" r:id="rId51"/>
    <sheet name="CHECK 4&quot; INDAMEX" sheetId="61" r:id="rId52"/>
    <sheet name="PACO PILITAS 2 SME-FRANK 200 " sheetId="23" r:id="rId53"/>
    <sheet name="REBOMBEO POZO A MEMBRANA 1" sheetId="24" r:id="rId54"/>
    <sheet name="NARANJITOS 40 HP." sheetId="60" r:id="rId55"/>
    <sheet name="MATTO NARANJITOS" sheetId="63" r:id="rId56"/>
    <sheet name="MATTO NARANJITOS BASICO" sheetId="64" r:id="rId57"/>
    <sheet name="VALVULAS CHECK 3&quot;" sheetId="65" r:id="rId58"/>
    <sheet name="AFORO 24 HORAS J.C. VALLE" sheetId="66" r:id="rId59"/>
    <sheet name="MANTTO TRANSFORMADOR" sheetId="67" r:id="rId60"/>
    <sheet name="BAJAR TUBERIA DE 6&quot;" sheetId="68" r:id="rId61"/>
    <sheet name="TRABAJOS AGUA ESCONDIDA VALLE" sheetId="69" r:id="rId62"/>
    <sheet name="AGUA ESCONDIDA VALLE" sheetId="70" r:id="rId63"/>
    <sheet name="AFOROS TECALITLAN AGRO VALENCIA" sheetId="71" r:id="rId64"/>
    <sheet name="VFD TECA" sheetId="72" r:id="rId65"/>
    <sheet name="MANIOBRA BOMBA" sheetId="73" r:id="rId66"/>
    <sheet name="MANIOBRA BOMBA LARA" sheetId="74" r:id="rId67"/>
    <sheet name="LIMPIEZA CUSUR" sheetId="28" r:id="rId68"/>
    <sheet name="LIMPIEZA CUSUR GAMA" sheetId="79" r:id="rId69"/>
    <sheet name="PRIZE DE MEXICO POZO ZAMORA" sheetId="80" r:id="rId70"/>
    <sheet name="EXPULSION Y ADM AIRE NARANJITOS" sheetId="81" r:id="rId71"/>
    <sheet name="CHECK AMAURY CASTILLO" sheetId="83" r:id="rId72"/>
    <sheet name="NARANJITOS EXP. Y REP BOM" sheetId="84" r:id="rId73"/>
    <sheet name="SAPAZA ATR " sheetId="85" r:id="rId74"/>
    <sheet name="RENTA GENERADOR PELILLO 8 DIAS" sheetId="86" r:id="rId75"/>
    <sheet name="AFORO 24 HORAS TECALITLAN" sheetId="87" r:id="rId76"/>
    <sheet name="VIDEOS POZOS TECALITLAN" sheetId="88" r:id="rId77"/>
    <sheet name="PILITAS 2 TERMICO Y CABLEADO" sheetId="91" r:id="rId78"/>
    <sheet name="SAPAZA VIDEO LA AUTOPISTA" sheetId="92" r:id="rId79"/>
    <sheet name="OZBLU POZOS ABASOLO" sheetId="93" r:id="rId80"/>
    <sheet name="BERRY LAND POZO JOROBADO" sheetId="94" r:id="rId81"/>
    <sheet name="BERRYLAND ALTAMIRA" sheetId="95" r:id="rId82"/>
    <sheet name="BERRYLAND SME-FRANKLIN" sheetId="96" r:id="rId83"/>
    <sheet name="MANTTO CUSUR POZO 2" sheetId="97" r:id="rId84"/>
    <sheet name="GAMA AEROPISTA" sheetId="98" r:id="rId85"/>
    <sheet name="DESINST EL AGUACATE TAMAZULA" sheetId="89" r:id="rId86"/>
    <sheet name="MANIOBRAS EL AGUACATE" sheetId="99" r:id="rId87"/>
    <sheet name="ARRANCADOR SAUL ARREDONDO" sheetId="100" r:id="rId88"/>
    <sheet name="RENTA GENERADOR PELILLO 10 DIAS" sheetId="101" r:id="rId89"/>
    <sheet name="MANIOBRAS EL AGUACAT AUTOPISTA" sheetId="103" r:id="rId90"/>
    <sheet name="TUBERIA 4&quot; LAGUNA" sheetId="108" r:id="rId91"/>
    <sheet name="HORTIFRUT SALVADOR-SAN JUAN ESP" sheetId="90" r:id="rId92"/>
    <sheet name="TUBERIA 4&quot; NUCLEO INGENIERIA" sheetId="109" r:id="rId93"/>
    <sheet name="MANIOBRAS WEST PAK COT" sheetId="110" r:id="rId94"/>
    <sheet name="MANIOBRAS WEST PAK DESC" sheetId="111" r:id="rId95"/>
    <sheet name="PERFORACION MANZANILLO" sheetId="114" r:id="rId96"/>
    <sheet name="HORTIFRUT CENTENARIO 150 HP" sheetId="104" r:id="rId97"/>
    <sheet name="HORTIFRUT CENT 150 HP FRAN-SME" sheetId="105" r:id="rId98"/>
    <sheet name="RESUMEN EQUIP HOR CENTENARIO" sheetId="107" r:id="rId99"/>
    <sheet name="VIESCA 100 HP. ALTAMIRA INOX" sheetId="115" r:id="rId100"/>
    <sheet name="VIESCA 100 HP. ALTAMIRA INOX 2" sheetId="117" r:id="rId101"/>
    <sheet name="VIESCA 75 HP. SME-FRANKL FUNDIC" sheetId="116" r:id="rId102"/>
    <sheet name="PACO PILITAS 2 SME-FRANK 200 hp" sheetId="77" r:id="rId103"/>
    <sheet name="REBOMBEO POZO A MEMBRANA 1 " sheetId="78" r:id="rId104"/>
    <sheet name="MOTOBOMBA 305 HP PILITAS" sheetId="75" r:id="rId105"/>
    <sheet name="MOTOBOMBA 257 HP PILITAS" sheetId="76" r:id="rId106"/>
    <sheet name="RENTA GENERADOR PACO MAGAÑA" sheetId="121" r:id="rId107"/>
    <sheet name="MANTENIMIENTOS EL SALVADOR" sheetId="112" r:id="rId108"/>
    <sheet name="MANTENIMIENTOS EL SALVADOR desc" sheetId="113" r:id="rId109"/>
    <sheet name="MTTO EL SALVA DESC FINAL" sheetId="125" r:id="rId110"/>
    <sheet name="MANIOBRAS PASO DEL AGUA" sheetId="122" r:id="rId111"/>
    <sheet name="AGUA ESCONDIDA JC VALLE" sheetId="123" r:id="rId112"/>
    <sheet name="PEDRO ARREDONDO POZO GRANDE" sheetId="126" r:id="rId113"/>
    <sheet name="AFORO Y VIDEO CAJITITLAN" sheetId="127" r:id="rId114"/>
    <sheet name="AFORO 24 HORAS TECA AGR VALEN P" sheetId="102" r:id="rId115"/>
    <sheet name="EXTRAS SAN JUAN ESPA HORT" sheetId="82" r:id="rId116"/>
    <sheet name="EXTRAS LLANO" sheetId="129" r:id="rId117"/>
    <sheet name="EXTRAS MEDIA TENSION COAHUAYOTE" sheetId="130" r:id="rId118"/>
    <sheet name="REP. EQUIP JULIOS ARECHIG FINAL" sheetId="131" r:id="rId119"/>
    <sheet name="MANIOBRA TUXPAN" sheetId="132" r:id="rId120"/>
    <sheet name="ALIMENTACION GENERADOR EL RODEO" sheetId="133" r:id="rId121"/>
    <sheet name="POZO CERCA LISA 80 MT. 6&quot;" sheetId="128" r:id="rId122"/>
    <sheet name="AFORO 24 HORAS PERTIMEX ATOYAC" sheetId="124" r:id="rId123"/>
    <sheet name="GRENAMEX POZO NUEVO" sheetId="136" r:id="rId124"/>
    <sheet name="EQIP 1000 VOLTS WEST PAK" sheetId="137" r:id="rId125"/>
    <sheet name="EQIP 1000 V WEST PAK SME 200 FR" sheetId="138" r:id="rId126"/>
    <sheet name="EQIP 1000 V WEST PAK SME 250 HP" sheetId="139" r:id="rId127"/>
    <sheet name="EQIP 1000 V WEST PAK SME 300 HP" sheetId="140" r:id="rId128"/>
    <sheet name="REPARACION VFD LLANO" sheetId="142" r:id="rId129"/>
    <sheet name="GRENAMEX 30 LT 150 MT." sheetId="146" r:id="rId130"/>
    <sheet name="GRENAMEX 300 KVA" sheetId="147" r:id="rId131"/>
    <sheet name="AGUA ESC JC VALLE MATTO PO Y BO" sheetId="143" r:id="rId132"/>
    <sheet name="AGUA ESC JC VALLE MATTO PO  F" sheetId="153" r:id="rId133"/>
    <sheet name="AGUA ESC JC VALLE MATTO NUEVO" sheetId="144" r:id="rId134"/>
    <sheet name="AGUA ESC JC VALLE MATTO BASICO" sheetId="145" r:id="rId135"/>
    <sheet name="AGUA ESC JC VALLE MATTO 100 HP" sheetId="154" r:id="rId136"/>
    <sheet name="AGUA ESC JC VALLE MATTO BAS FIN" sheetId="152" r:id="rId137"/>
    <sheet name="EQIP 1000 VOLTS WEST NU KSB" sheetId="155" r:id="rId138"/>
    <sheet name="MANIOBRA EL CAMPANARIO" sheetId="135" r:id="rId139"/>
    <sheet name="MANTTO Y EQUIP 150 HP." sheetId="148" r:id="rId140"/>
    <sheet name="DON MEMO POZO 1" sheetId="156" r:id="rId141"/>
    <sheet name="DON MEMO POZO 1 OPC 2" sheetId="157" r:id="rId142"/>
    <sheet name="DON MEMO POZO 1 OPC 3" sheetId="158" r:id="rId143"/>
    <sheet name="POZO CERCA 6&quot; TOT CABEZAL" sheetId="160" r:id="rId144"/>
    <sheet name="POZO CERCA LISA 80 MT. 6&quot; TOTAL" sheetId="134" r:id="rId145"/>
    <sheet name="POZO CERCA 6&quot; TOT CABEZAL IVA " sheetId="161" r:id="rId146"/>
    <sheet name="MOTORES AGUA ESCONDIDA" sheetId="162" r:id="rId147"/>
    <sheet name="AGUA ESC JC VALLE MATTO NUE (2)" sheetId="151" r:id="rId148"/>
    <sheet name="AGUA ESC JC VALLE 125 HP" sheetId="159" r:id="rId149"/>
    <sheet name="BASES PARA COTIZAR (2)" sheetId="164" r:id="rId150"/>
    <sheet name="AFORO 24 HORAS TAMAZULA KEBBANA" sheetId="165" r:id="rId151"/>
    <sheet name="AFORO 24 HORAS TAMAZULA KEB (2)" sheetId="167" r:id="rId152"/>
    <sheet name="REP BOMBA DE LOD GA SEPT  (2)" sheetId="169" r:id="rId153"/>
    <sheet name="EXTRAS Y AJUSTES GUAYABOS" sheetId="166" r:id="rId154"/>
    <sheet name="4 TUB EL CAMPA" sheetId="170" r:id="rId155"/>
    <sheet name="GRENAMEX UVIE" sheetId="171" r:id="rId156"/>
    <sheet name="MEDIDORES 6&quot; DON MEMO" sheetId="176" r:id="rId157"/>
    <sheet name="MATTO POZO 4" sheetId="178" r:id="rId158"/>
    <sheet name="REPARACION EDER PETACAL" sheetId="179" r:id="rId159"/>
    <sheet name="EL RINCON SME-FRANKLI  MTTO" sheetId="180" r:id="rId160"/>
    <sheet name="MANIOBRA EL RINCON" sheetId="181" r:id="rId161"/>
    <sheet name="AFORO 24 HORAS OJO DE AGUA" sheetId="182" r:id="rId162"/>
    <sheet name="AFORO 24 HORAS LOS MAZOS" sheetId="183" r:id="rId163"/>
    <sheet name="HORTIFRUT EL SAL POZO 4" sheetId="172" r:id="rId164"/>
    <sheet name="HORTIFRUT EL SAL POZO 4 BASE" sheetId="173" r:id="rId165"/>
    <sheet name="HORTIFRUT FLEX EL SALVADOR" sheetId="174" r:id="rId166"/>
    <sheet name="HORTIFRUT FLEX EL SALV 15 lt" sheetId="177" r:id="rId167"/>
    <sheet name="DIAGNOSTICO TUXPAN" sheetId="184" r:id="rId168"/>
    <sheet name="REBOMBEO POZO A MEMBRANA 1 SEPT" sheetId="185" r:id="rId169"/>
    <sheet name="REP. 40 HP EL SALV POZO 1" sheetId="186" r:id="rId170"/>
    <sheet name="MATTO POZO 4 COMPLETA" sheetId="187" r:id="rId171"/>
    <sheet name="REP. bomba 40 HP EL SALV POZO 2" sheetId="189" r:id="rId172"/>
    <sheet name="west pak 1000v KSB Sep 2025" sheetId="190" r:id="rId173"/>
    <sheet name="west pak 1000v SME Sep 2025" sheetId="191" r:id="rId174"/>
    <sheet name="west pak 25lt 1000v KSB Sep25" sheetId="192" r:id="rId175"/>
    <sheet name="INDAMEX CAMB EQUIPO OCT 2025" sheetId="193" r:id="rId176"/>
    <sheet name="INDAMEX CAMB EQUIPO OCT 202 (2)" sheetId="194" r:id="rId177"/>
    <sheet name="AFORO 24H VALENCIA APANGO" sheetId="195" r:id="rId178"/>
    <sheet name="RENTA GENER AGRO GONZALEZ" sheetId="196" r:id="rId179"/>
    <sheet name="TRABAJOS VERDUZCO" sheetId="197" r:id="rId180"/>
    <sheet name="DON MEMO INOX 150 HP" sheetId="198" r:id="rId181"/>
    <sheet name="DON MEMO EQUIPO 150 HP" sheetId="163" r:id="rId182"/>
    <sheet name="GRENAMEX 30 LT 150 MT. (2)" sheetId="199" r:id="rId183"/>
    <sheet name="GRENAMEX 300 KVA (2)" sheetId="200" r:id="rId184"/>
    <sheet name="MANIOBRA SAN JOSE LA FUENTE" sheetId="201" r:id="rId185"/>
    <sheet name="MANIOBRA SAN JOSE LA FUENTE fin" sheetId="202" r:id="rId186"/>
    <sheet name="ANUNCIO 1 MAYO" sheetId="203" r:id="rId187"/>
    <sheet name="INDAMEX CAMB EQUIPO OCT FINAL" sheetId="204" r:id="rId188"/>
    <sheet name="INDAMEX 40 HP STOCK" sheetId="206" r:id="rId189"/>
    <sheet name="INDAMEX 40 HP SOLO EQUIPO" sheetId="207" r:id="rId190"/>
    <sheet name="INDAMEX 40 HP. 1era fase" sheetId="205" r:id="rId191"/>
    <sheet name="INDAMEX 40 HP. 2da fase" sheetId="208" r:id="rId192"/>
    <sheet name="RENTA VFD 300 HP HORTIFRUT" sheetId="209" r:id="rId193"/>
    <sheet name="GRUPO ALTA POZO 4" sheetId="210" r:id="rId194"/>
    <sheet name="MANIOBRA GUAYABOS" sheetId="211" r:id="rId195"/>
    <sheet name="MANIOBRA GUAYABOS desc" sheetId="212" r:id="rId196"/>
    <sheet name="BASES PARA COTIZAR FINAL" sheetId="54" r:id="rId197"/>
    <sheet name="HORT COT EQUIPO NUCLEO" sheetId="62" r:id="rId198"/>
    <sheet name="HORTIFRUT FINAL SAN JUAN, LLANO" sheetId="55" r:id="rId199"/>
    <sheet name="BASES PARA COTIZAR" sheetId="21" r:id="rId200"/>
    <sheet name="INDAMEX PLANTA CREMA MEMBRANA" sheetId="213" r:id="rId201"/>
    <sheet name="IND PLANTA CREMA VIDEO" sheetId="214" r:id="rId202"/>
    <sheet name="IND PLANTA CREMA AFORO" sheetId="215" r:id="rId203"/>
    <sheet name="CABLE LOS MANGOS" sheetId="216" r:id="rId204"/>
    <sheet name="CABLE LOS MANGOS 000" sheetId="217" r:id="rId205"/>
    <sheet name="MANIOBRAS EL RINCON" sheetId="118" r:id="rId206"/>
    <sheet name="EL RINCON MOTOR SME-FRANKLI" sheetId="119" r:id="rId207"/>
    <sheet name="EL RINCON ALTAMIRA 125 HP" sheetId="120" r:id="rId208"/>
    <sheet name="MANTTO LOS MANGOS" sheetId="175" r:id="rId209"/>
    <sheet name="MANGOS MOTOR SME-ALT MTTO NORMA" sheetId="218" r:id="rId210"/>
    <sheet name="MANGOS MOTOR SME-ALT MTTO IVA" sheetId="219" r:id="rId211"/>
    <sheet name="SAN ANDRES 25 HP" sheetId="221" r:id="rId212"/>
    <sheet name="MANTTO LA CUESTA SAYULA" sheetId="222" r:id="rId213"/>
    <sheet name="AFORO 3&quot; PACO MAGAÑA" sheetId="223" r:id="rId214"/>
    <sheet name="BERRIMEX LOS MENDOZA" sheetId="224" r:id="rId215"/>
    <sheet name="MANTTO LA CUESTA SAYULA FINAL" sheetId="225" r:id="rId216"/>
    <sheet name="MOT,BOM,LOS MANGOS" sheetId="220" r:id="rId217"/>
    <sheet name="EQUIP APANGO " sheetId="226" r:id="rId218"/>
    <sheet name="MANIOBRAS TECA VALENCIA" sheetId="227" r:id="rId219"/>
    <sheet name="MANIOBRA FROSTLAND" sheetId="228" r:id="rId220"/>
    <sheet name="MANIOBRA FROSTLAND FINAL" sheetId="231" r:id="rId221"/>
    <sheet name="MEDIDORES DE FLUJO DE 8&quot;" sheetId="230" r:id="rId222"/>
    <sheet name="MANIOBRAS TECA VALENCIA DESC" sheetId="232" r:id="rId223"/>
    <sheet name="MANIOBRAS TECA VALENCIA FINAL" sheetId="234" r:id="rId224"/>
    <sheet name="SR. ALFONSO ALVAREZ ZAPOTILTIC" sheetId="235" r:id="rId225"/>
    <sheet name="SALDO LOS MANGOS" sheetId="236" r:id="rId226"/>
    <sheet name="CHECK Y TIERRAS FROSTLAND" sheetId="238" r:id="rId227"/>
    <sheet name="MOTORES Y CHECK 6 FROSTLAND 125" sheetId="229" r:id="rId228"/>
    <sheet name="FROSTLAND REP. BOMBA" sheetId="233" r:id="rId229"/>
    <sheet name="BAJAR 4 TRAMOS FROSTLAND" sheetId="239" r:id="rId230"/>
    <sheet name="FROSTLAND TOTAL" sheetId="240" r:id="rId231"/>
    <sheet name="WEST PAK REP. BOMBA" sheetId="241" r:id="rId232"/>
    <sheet name="AGRICOLA ATEMAJAC" sheetId="244" r:id="rId233"/>
    <sheet name="AGRICOLA ATEMAJAC LUBI" sheetId="245" r:id="rId234"/>
    <sheet name="RESUMEN EQUIPOS AGRI ATEMAJAC" sheetId="246" r:id="rId235"/>
    <sheet name="AGRICOLA ATEMAJAC MANG 5&quot;" sheetId="247" r:id="rId236"/>
    <sheet name="AGRICOLA ATEMAJAC MANG 4&quot;" sheetId="248" r:id="rId237"/>
    <sheet name="NARANJITOS REP. BOMBA40 HP" sheetId="249" r:id="rId238"/>
    <sheet name="WEST PAK MOTOR 100 HP" sheetId="250" r:id="rId239"/>
    <sheet name="MANIOBRAS LOS MAZOS" sheetId="251" r:id="rId240"/>
    <sheet name="MOTOR 50 HP BOM NVA STX" sheetId="242" r:id="rId241"/>
    <sheet name="CHECK, CAB Y EMP. NARANJITOS" sheetId="243" r:id="rId242"/>
    <sheet name="NARANJITOS TOTAL" sheetId="252" r:id="rId243"/>
    <sheet name="HORTIFRUT EL SALVADOR POZO 2" sheetId="188" r:id="rId244"/>
    <sheet name="AGRICOLA ATEMAJAC MANTENIMIENTO" sheetId="253" r:id="rId245"/>
    <sheet name="REP MOTOR NARANJITOS 40 HP." sheetId="254" r:id="rId246"/>
    <sheet name="REPARACION DE VARIADOR" sheetId="255" r:id="rId247"/>
    <sheet name="opciones de bombas (3)" sheetId="256" r:id="rId248"/>
    <sheet name="EXTRAS ATEMAJAC MANG 5&quot;" sheetId="257" r:id="rId249"/>
    <sheet name="RENTA GENERADOR APANGO" sheetId="258" r:id="rId25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58" l="1"/>
  <c r="D19" i="258"/>
  <c r="D18" i="258"/>
  <c r="D17" i="258"/>
  <c r="D16" i="258"/>
  <c r="D15" i="258"/>
  <c r="D21" i="258" s="1"/>
  <c r="D51" i="257"/>
  <c r="D38" i="257"/>
  <c r="D29" i="257"/>
  <c r="D28" i="257"/>
  <c r="D36" i="257"/>
  <c r="D37" i="257"/>
  <c r="D22" i="258" l="1"/>
  <c r="D23" i="258" s="1"/>
  <c r="D47" i="257"/>
  <c r="D35" i="257"/>
  <c r="D34" i="257"/>
  <c r="C33" i="257"/>
  <c r="D33" i="257" s="1"/>
  <c r="D42" i="257" s="1"/>
  <c r="D44" i="257" s="1"/>
  <c r="C27" i="257"/>
  <c r="D27" i="257" s="1"/>
  <c r="D21" i="257"/>
  <c r="C20" i="257"/>
  <c r="D20" i="257" s="1"/>
  <c r="C19" i="257"/>
  <c r="D19" i="257" s="1"/>
  <c r="C18" i="257"/>
  <c r="D18" i="257" s="1"/>
  <c r="D17" i="257"/>
  <c r="C17" i="257"/>
  <c r="C16" i="257"/>
  <c r="D16" i="257" s="1"/>
  <c r="D23" i="257" l="1"/>
  <c r="D30" i="257"/>
  <c r="D31" i="257" s="1"/>
  <c r="D24" i="257"/>
  <c r="D25" i="257" s="1"/>
  <c r="C17" i="242" l="1"/>
  <c r="D31" i="225"/>
  <c r="D29" i="225"/>
  <c r="D20" i="256"/>
  <c r="D19" i="256"/>
  <c r="D18" i="256"/>
  <c r="D17" i="256"/>
  <c r="D22" i="256" s="1"/>
  <c r="C18" i="255"/>
  <c r="D18" i="255" s="1"/>
  <c r="C17" i="255"/>
  <c r="D17" i="255" s="1"/>
  <c r="D20" i="255" s="1"/>
  <c r="D21" i="255" l="1"/>
  <c r="D22" i="255" s="1"/>
  <c r="D27" i="254" l="1"/>
  <c r="C17" i="254"/>
  <c r="C18" i="254"/>
  <c r="D18" i="254" s="1"/>
  <c r="C25" i="254"/>
  <c r="D25" i="254" s="1"/>
  <c r="C24" i="254"/>
  <c r="D24" i="254" s="1"/>
  <c r="D17" i="254"/>
  <c r="D40" i="252"/>
  <c r="D19" i="254" l="1"/>
  <c r="D20" i="254" s="1"/>
  <c r="D21" i="254" s="1"/>
  <c r="D26" i="254"/>
  <c r="D28" i="254" l="1"/>
  <c r="C16" i="253" l="1"/>
  <c r="D16" i="253" s="1"/>
  <c r="D17" i="253" s="1"/>
  <c r="D18" i="253" s="1"/>
  <c r="D24" i="253"/>
  <c r="D23" i="253"/>
  <c r="D22" i="253"/>
  <c r="D21" i="253"/>
  <c r="D25" i="253" l="1"/>
  <c r="D19" i="253"/>
  <c r="D29" i="253" l="1"/>
  <c r="D32" i="252" l="1"/>
  <c r="D21" i="252"/>
  <c r="D19" i="252"/>
  <c r="D44" i="247"/>
  <c r="D41" i="247"/>
  <c r="D21" i="247"/>
  <c r="D34" i="247"/>
  <c r="D33" i="247"/>
  <c r="C27" i="247"/>
  <c r="D27" i="247" s="1"/>
  <c r="D28" i="247" s="1"/>
  <c r="D30" i="252"/>
  <c r="D29" i="252"/>
  <c r="D25" i="252"/>
  <c r="C18" i="252"/>
  <c r="D18" i="252" s="1"/>
  <c r="D28" i="252"/>
  <c r="D27" i="252"/>
  <c r="D26" i="252"/>
  <c r="D24" i="252"/>
  <c r="D23" i="252"/>
  <c r="D22" i="252"/>
  <c r="C17" i="252"/>
  <c r="D17" i="252" s="1"/>
  <c r="D20" i="252" s="1"/>
  <c r="D25" i="251"/>
  <c r="C18" i="251"/>
  <c r="C17" i="251"/>
  <c r="D17" i="251"/>
  <c r="C19" i="251"/>
  <c r="C16" i="251"/>
  <c r="D16" i="251" s="1"/>
  <c r="D22" i="251"/>
  <c r="D21" i="251"/>
  <c r="D20" i="251"/>
  <c r="D19" i="251"/>
  <c r="D18" i="251"/>
  <c r="C26" i="249"/>
  <c r="D26" i="249"/>
  <c r="C16" i="249"/>
  <c r="D16" i="249" s="1"/>
  <c r="C19" i="249"/>
  <c r="D19" i="249" s="1"/>
  <c r="C17" i="250"/>
  <c r="C19" i="250"/>
  <c r="D19" i="250"/>
  <c r="D17" i="250"/>
  <c r="D21" i="250"/>
  <c r="C29" i="246"/>
  <c r="C41" i="246"/>
  <c r="C40" i="246"/>
  <c r="C31" i="246"/>
  <c r="D31" i="246" s="1"/>
  <c r="C30" i="246"/>
  <c r="D30" i="246" s="1"/>
  <c r="C20" i="246"/>
  <c r="C22" i="246"/>
  <c r="C18" i="246"/>
  <c r="D18" i="246" s="1"/>
  <c r="C16" i="246"/>
  <c r="D16" i="246" s="1"/>
  <c r="C24" i="246"/>
  <c r="D24" i="246" s="1"/>
  <c r="C19" i="248"/>
  <c r="D19" i="248" s="1"/>
  <c r="C18" i="248"/>
  <c r="C17" i="248"/>
  <c r="C16" i="248"/>
  <c r="D22" i="248"/>
  <c r="C22" i="248"/>
  <c r="D20" i="248"/>
  <c r="C20" i="248"/>
  <c r="D18" i="248"/>
  <c r="D17" i="248"/>
  <c r="D16" i="248"/>
  <c r="C16" i="247"/>
  <c r="D16" i="247" s="1"/>
  <c r="C17" i="247"/>
  <c r="D17" i="247" s="1"/>
  <c r="C18" i="247"/>
  <c r="D18" i="247" s="1"/>
  <c r="C19" i="247"/>
  <c r="D19" i="247" s="1"/>
  <c r="C32" i="247"/>
  <c r="D32" i="247" s="1"/>
  <c r="D35" i="247" s="1"/>
  <c r="C20" i="247"/>
  <c r="D20" i="247" s="1"/>
  <c r="D29" i="247" l="1"/>
  <c r="D30" i="247" s="1"/>
  <c r="D36" i="252"/>
  <c r="D38" i="252" s="1"/>
  <c r="D24" i="251"/>
  <c r="D26" i="251" s="1"/>
  <c r="D28" i="249"/>
  <c r="D22" i="250"/>
  <c r="D23" i="250" s="1"/>
  <c r="D29" i="249"/>
  <c r="D30" i="249" s="1"/>
  <c r="D24" i="248"/>
  <c r="D25" i="248"/>
  <c r="D26" i="248" s="1"/>
  <c r="D23" i="247"/>
  <c r="D24" i="247" s="1"/>
  <c r="D25" i="247" l="1"/>
  <c r="D39" i="247" s="1"/>
  <c r="D40" i="246"/>
  <c r="D52" i="246"/>
  <c r="C51" i="246"/>
  <c r="D51" i="246" s="1"/>
  <c r="D50" i="246"/>
  <c r="D49" i="246"/>
  <c r="C47" i="246"/>
  <c r="D47" i="246" s="1"/>
  <c r="C46" i="246"/>
  <c r="D46" i="246" s="1"/>
  <c r="C45" i="246"/>
  <c r="D45" i="246" s="1"/>
  <c r="D41" i="246"/>
  <c r="D36" i="246"/>
  <c r="D35" i="246"/>
  <c r="D29" i="246"/>
  <c r="D22" i="246"/>
  <c r="D20" i="246"/>
  <c r="C18" i="245"/>
  <c r="D18" i="245" s="1"/>
  <c r="C16" i="245"/>
  <c r="D16" i="245" s="1"/>
  <c r="D23" i="245"/>
  <c r="D22" i="245"/>
  <c r="C21" i="245"/>
  <c r="D21" i="245" s="1"/>
  <c r="C24" i="244"/>
  <c r="D24" i="244" s="1"/>
  <c r="C18" i="244"/>
  <c r="D18" i="244" s="1"/>
  <c r="C16" i="244"/>
  <c r="D16" i="244" s="1"/>
  <c r="D26" i="244"/>
  <c r="D25" i="244"/>
  <c r="D23" i="243"/>
  <c r="D19" i="243"/>
  <c r="C17" i="243"/>
  <c r="C18" i="243"/>
  <c r="D18" i="243" s="1"/>
  <c r="D22" i="243"/>
  <c r="D25" i="243" s="1"/>
  <c r="D17" i="243"/>
  <c r="D23" i="242"/>
  <c r="D20" i="242"/>
  <c r="D25" i="242"/>
  <c r="D24" i="242"/>
  <c r="D22" i="242"/>
  <c r="D21" i="242"/>
  <c r="D17" i="242"/>
  <c r="D25" i="245" l="1"/>
  <c r="D26" i="245"/>
  <c r="D27" i="245" s="1"/>
  <c r="D28" i="244"/>
  <c r="D29" i="244" s="1"/>
  <c r="D30" i="244" s="1"/>
  <c r="D20" i="243"/>
  <c r="D21" i="243" s="1"/>
  <c r="D29" i="243" s="1"/>
  <c r="D27" i="242"/>
  <c r="D18" i="242"/>
  <c r="D19" i="242" s="1"/>
  <c r="D31" i="242" s="1"/>
  <c r="D28" i="241" l="1"/>
  <c r="C25" i="241"/>
  <c r="C18" i="241"/>
  <c r="D16" i="241"/>
  <c r="D18" i="241"/>
  <c r="D25" i="241"/>
  <c r="D26" i="241"/>
  <c r="D27" i="241"/>
  <c r="D29" i="241"/>
  <c r="D31" i="241"/>
  <c r="D32" i="241"/>
  <c r="D33" i="241"/>
  <c r="D51" i="240"/>
  <c r="D48" i="240"/>
  <c r="D41" i="240"/>
  <c r="D32" i="240"/>
  <c r="D33" i="240"/>
  <c r="D34" i="240"/>
  <c r="D35" i="240"/>
  <c r="D36" i="240"/>
  <c r="D37" i="240"/>
  <c r="C36" i="240"/>
  <c r="D38" i="240"/>
  <c r="C17" i="240"/>
  <c r="D17" i="240"/>
  <c r="D16" i="240"/>
  <c r="C20" i="240"/>
  <c r="D20" i="240"/>
  <c r="C21" i="240"/>
  <c r="D21" i="240"/>
  <c r="C22" i="240"/>
  <c r="D22" i="240"/>
  <c r="C23" i="240"/>
  <c r="D23" i="240"/>
  <c r="C24" i="240"/>
  <c r="D24" i="240"/>
  <c r="C25" i="240"/>
  <c r="D25" i="240"/>
  <c r="C26" i="240"/>
  <c r="D26" i="240"/>
  <c r="C27" i="240"/>
  <c r="D27" i="240"/>
  <c r="C28" i="240"/>
  <c r="D28" i="240"/>
  <c r="D29" i="240"/>
  <c r="D30" i="240"/>
  <c r="C31" i="240"/>
  <c r="D31" i="240"/>
  <c r="D39" i="240"/>
  <c r="D42" i="240"/>
  <c r="D43" i="240"/>
  <c r="C20" i="239"/>
  <c r="D20" i="239"/>
  <c r="D19" i="239"/>
  <c r="C16" i="239"/>
  <c r="C17" i="239"/>
  <c r="D18" i="239"/>
  <c r="D17" i="239"/>
  <c r="D16" i="239"/>
  <c r="D23" i="239"/>
  <c r="D24" i="239"/>
  <c r="D25" i="239"/>
  <c r="D17" i="238"/>
  <c r="C16" i="238"/>
  <c r="D16" i="238"/>
  <c r="D19" i="238"/>
  <c r="D20" i="238"/>
  <c r="D21" i="238"/>
  <c r="D26" i="235"/>
  <c r="D23" i="235"/>
  <c r="C22" i="235"/>
  <c r="D22" i="235"/>
  <c r="C16" i="236"/>
  <c r="D16" i="236"/>
  <c r="C17" i="236"/>
  <c r="D17" i="236"/>
  <c r="D21" i="236"/>
  <c r="D24" i="236"/>
  <c r="D26" i="236"/>
  <c r="D19" i="235"/>
  <c r="D18" i="235"/>
  <c r="D21" i="235"/>
  <c r="D20" i="235"/>
  <c r="D16" i="235"/>
  <c r="D16" i="234"/>
  <c r="D15" i="234"/>
  <c r="D18" i="234"/>
  <c r="D17" i="234"/>
  <c r="D34" i="233"/>
  <c r="D18" i="233"/>
  <c r="D33" i="233"/>
  <c r="D26" i="233"/>
  <c r="C26" i="233"/>
  <c r="D28" i="233"/>
  <c r="D29" i="233"/>
  <c r="D30" i="233"/>
  <c r="D31" i="233"/>
  <c r="D27" i="233"/>
  <c r="D21" i="233"/>
  <c r="C25" i="233"/>
  <c r="D25" i="233"/>
  <c r="C24" i="233"/>
  <c r="D24" i="233"/>
  <c r="C23" i="233"/>
  <c r="D23" i="233"/>
  <c r="C22" i="233"/>
  <c r="D22" i="233"/>
  <c r="C21" i="233"/>
  <c r="C20" i="233"/>
  <c r="D20" i="233"/>
  <c r="C19" i="233"/>
  <c r="D19" i="233"/>
  <c r="C18" i="233"/>
  <c r="C29" i="233"/>
  <c r="D16" i="233"/>
  <c r="D25" i="235"/>
  <c r="D19" i="234"/>
  <c r="D20" i="234"/>
  <c r="D35" i="233"/>
  <c r="D27" i="235"/>
  <c r="D37" i="232"/>
  <c r="D28" i="232"/>
  <c r="C27" i="232"/>
  <c r="D27" i="232"/>
  <c r="D26" i="232"/>
  <c r="C25" i="232"/>
  <c r="D25" i="232"/>
  <c r="D29" i="232"/>
  <c r="D18" i="232"/>
  <c r="C17" i="232"/>
  <c r="D17" i="232"/>
  <c r="D16" i="232"/>
  <c r="D15" i="232"/>
  <c r="D19" i="232"/>
  <c r="C21" i="230"/>
  <c r="C20" i="230"/>
  <c r="C19" i="230"/>
  <c r="C18" i="230"/>
  <c r="D18" i="230"/>
  <c r="D19" i="230"/>
  <c r="C35" i="230"/>
  <c r="D35" i="230"/>
  <c r="C34" i="230"/>
  <c r="D34" i="230"/>
  <c r="C33" i="230"/>
  <c r="D33" i="230"/>
  <c r="D21" i="231"/>
  <c r="D22" i="231"/>
  <c r="C20" i="231"/>
  <c r="D20" i="231"/>
  <c r="D19" i="231"/>
  <c r="D18" i="231"/>
  <c r="D16" i="231"/>
  <c r="C42" i="229"/>
  <c r="C41" i="229"/>
  <c r="C40" i="229"/>
  <c r="D40" i="229"/>
  <c r="C36" i="229"/>
  <c r="C35" i="229"/>
  <c r="D35" i="229"/>
  <c r="C40" i="230"/>
  <c r="D40" i="230"/>
  <c r="C39" i="230"/>
  <c r="D39" i="230"/>
  <c r="D38" i="230"/>
  <c r="D37" i="230"/>
  <c r="C29" i="230"/>
  <c r="D29" i="230"/>
  <c r="C28" i="230"/>
  <c r="D28" i="230"/>
  <c r="C27" i="230"/>
  <c r="D27" i="230"/>
  <c r="C26" i="230"/>
  <c r="D26" i="230"/>
  <c r="D21" i="230"/>
  <c r="D20" i="230"/>
  <c r="C26" i="229"/>
  <c r="D26" i="229"/>
  <c r="C28" i="229"/>
  <c r="D28" i="229"/>
  <c r="C22" i="229"/>
  <c r="D22" i="229"/>
  <c r="C20" i="229"/>
  <c r="D20" i="229"/>
  <c r="C24" i="229"/>
  <c r="D24" i="229"/>
  <c r="C18" i="229"/>
  <c r="D18" i="229"/>
  <c r="C16" i="229"/>
  <c r="D16" i="229"/>
  <c r="C46" i="229"/>
  <c r="D46" i="229"/>
  <c r="D45" i="229"/>
  <c r="D44" i="229"/>
  <c r="D42" i="229"/>
  <c r="D41" i="229"/>
  <c r="D36" i="229"/>
  <c r="C34" i="229"/>
  <c r="D34" i="229"/>
  <c r="C33" i="229"/>
  <c r="D33" i="229"/>
  <c r="D23" i="228"/>
  <c r="D19" i="228"/>
  <c r="D16" i="228"/>
  <c r="C21" i="228"/>
  <c r="D21" i="228"/>
  <c r="D20" i="228"/>
  <c r="D35" i="227"/>
  <c r="C25" i="227"/>
  <c r="D28" i="227"/>
  <c r="C27" i="227"/>
  <c r="D27" i="227"/>
  <c r="D26" i="227"/>
  <c r="D25" i="227"/>
  <c r="D18" i="227"/>
  <c r="C17" i="227"/>
  <c r="D17" i="227"/>
  <c r="D16" i="227"/>
  <c r="D15" i="227"/>
  <c r="D41" i="226"/>
  <c r="D40" i="226"/>
  <c r="D39" i="226"/>
  <c r="C39" i="226"/>
  <c r="C38" i="226"/>
  <c r="D38" i="226"/>
  <c r="C37" i="226"/>
  <c r="D37" i="226"/>
  <c r="D36" i="226"/>
  <c r="C36" i="226"/>
  <c r="C35" i="226"/>
  <c r="D35" i="226"/>
  <c r="C34" i="226"/>
  <c r="D34" i="226"/>
  <c r="D33" i="226"/>
  <c r="C32" i="226"/>
  <c r="D32" i="226"/>
  <c r="C31" i="226"/>
  <c r="D31" i="226"/>
  <c r="D30" i="226"/>
  <c r="D29" i="226"/>
  <c r="C29" i="226"/>
  <c r="C28" i="226"/>
  <c r="D28" i="226"/>
  <c r="D27" i="226"/>
  <c r="D26" i="226"/>
  <c r="D24" i="226"/>
  <c r="D22" i="226"/>
  <c r="D21" i="226"/>
  <c r="C20" i="226"/>
  <c r="D20" i="226"/>
  <c r="C19" i="226"/>
  <c r="D19" i="226"/>
  <c r="C18" i="226"/>
  <c r="D18" i="226"/>
  <c r="C17" i="226"/>
  <c r="D17" i="226"/>
  <c r="C15" i="226"/>
  <c r="D15" i="226"/>
  <c r="D20" i="232"/>
  <c r="D21" i="232"/>
  <c r="D30" i="232"/>
  <c r="D31" i="232"/>
  <c r="D24" i="231"/>
  <c r="D25" i="231"/>
  <c r="D26" i="231"/>
  <c r="D25" i="228"/>
  <c r="D26" i="228"/>
  <c r="D27" i="228"/>
  <c r="D29" i="227"/>
  <c r="D30" i="227"/>
  <c r="D31" i="227"/>
  <c r="D19" i="227"/>
  <c r="D20" i="227"/>
  <c r="D21" i="227"/>
  <c r="D43" i="226"/>
  <c r="D35" i="232"/>
  <c r="D44" i="226"/>
  <c r="D45" i="226"/>
  <c r="D17" i="225"/>
  <c r="D28" i="225"/>
  <c r="D27" i="225"/>
  <c r="D26" i="225"/>
  <c r="D25" i="225"/>
  <c r="C24" i="225"/>
  <c r="D24" i="225" s="1"/>
  <c r="C23" i="225"/>
  <c r="D23" i="225"/>
  <c r="D23" i="224"/>
  <c r="C18" i="224"/>
  <c r="D18" i="224"/>
  <c r="C17" i="224"/>
  <c r="D17" i="224"/>
  <c r="D16" i="224"/>
  <c r="D19" i="224"/>
  <c r="D21" i="224"/>
  <c r="D20" i="224"/>
  <c r="D16" i="223"/>
  <c r="D18" i="223"/>
  <c r="D19" i="225"/>
  <c r="D20" i="225" s="1"/>
  <c r="D24" i="224"/>
  <c r="D25" i="224"/>
  <c r="D19" i="223"/>
  <c r="D20" i="223"/>
  <c r="D19" i="222"/>
  <c r="D20" i="222"/>
  <c r="D21" i="222"/>
  <c r="D22" i="222"/>
  <c r="C18" i="222"/>
  <c r="D18" i="222"/>
  <c r="C17" i="222"/>
  <c r="D17" i="222"/>
  <c r="D24" i="222"/>
  <c r="D25" i="222"/>
  <c r="D26" i="222"/>
  <c r="D24" i="221"/>
  <c r="D23" i="221"/>
  <c r="D22" i="221"/>
  <c r="D21" i="221"/>
  <c r="D20" i="221"/>
  <c r="D19" i="221"/>
  <c r="C18" i="221"/>
  <c r="D18" i="221"/>
  <c r="C17" i="221"/>
  <c r="D17" i="221"/>
  <c r="C16" i="221"/>
  <c r="D16" i="221"/>
  <c r="D26" i="221"/>
  <c r="D27" i="221"/>
  <c r="D28" i="221"/>
  <c r="D29" i="220"/>
  <c r="D26" i="220"/>
  <c r="D25" i="220"/>
  <c r="D24" i="220"/>
  <c r="D27" i="220"/>
  <c r="D19" i="220"/>
  <c r="C18" i="220"/>
  <c r="D18" i="220"/>
  <c r="C17" i="220"/>
  <c r="D17" i="220"/>
  <c r="C16" i="220"/>
  <c r="D16" i="220"/>
  <c r="C18" i="219"/>
  <c r="D18" i="219"/>
  <c r="D20" i="220"/>
  <c r="D21" i="220"/>
  <c r="D22" i="220"/>
  <c r="D29" i="219"/>
  <c r="D32" i="219"/>
  <c r="D31" i="219"/>
  <c r="D30" i="219"/>
  <c r="D24" i="219"/>
  <c r="D23" i="219"/>
  <c r="C22" i="219"/>
  <c r="D22" i="219"/>
  <c r="D21" i="219"/>
  <c r="C20" i="219"/>
  <c r="D20" i="219"/>
  <c r="C19" i="219"/>
  <c r="D19" i="219"/>
  <c r="C17" i="219"/>
  <c r="D17" i="219"/>
  <c r="C16" i="219"/>
  <c r="D16" i="219"/>
  <c r="D25" i="219"/>
  <c r="C17" i="218"/>
  <c r="D17" i="218"/>
  <c r="D21" i="218"/>
  <c r="C20" i="218"/>
  <c r="D20" i="218"/>
  <c r="C19" i="218"/>
  <c r="D19" i="218"/>
  <c r="D18" i="218"/>
  <c r="D27" i="218"/>
  <c r="D26" i="218"/>
  <c r="D25" i="218"/>
  <c r="D24" i="218"/>
  <c r="D23" i="218"/>
  <c r="C22" i="218"/>
  <c r="D22" i="218"/>
  <c r="C16" i="218"/>
  <c r="D16" i="218"/>
  <c r="D22" i="119"/>
  <c r="D33" i="219"/>
  <c r="D35" i="219"/>
  <c r="D29" i="218"/>
  <c r="D30" i="218"/>
  <c r="D31" i="218"/>
  <c r="C15" i="217"/>
  <c r="D15" i="217"/>
  <c r="D16" i="217"/>
  <c r="D17" i="217"/>
  <c r="D18" i="217"/>
  <c r="C15" i="216"/>
  <c r="D15" i="216"/>
  <c r="D16" i="216"/>
  <c r="D17" i="216"/>
  <c r="C16" i="214"/>
  <c r="D16" i="214"/>
  <c r="D16" i="215"/>
  <c r="D18" i="215"/>
  <c r="C17" i="213"/>
  <c r="D17" i="213"/>
  <c r="C16" i="213"/>
  <c r="D16" i="213"/>
  <c r="C17" i="212"/>
  <c r="D17" i="212"/>
  <c r="C18" i="212"/>
  <c r="D18" i="212"/>
  <c r="C15" i="212"/>
  <c r="D15" i="212"/>
  <c r="D16" i="212"/>
  <c r="C15" i="211"/>
  <c r="D15" i="211"/>
  <c r="C18" i="211"/>
  <c r="D18" i="211"/>
  <c r="D17" i="211"/>
  <c r="D16" i="211"/>
  <c r="D18" i="216"/>
  <c r="D19" i="215"/>
  <c r="D20" i="215"/>
  <c r="D18" i="214"/>
  <c r="D19" i="214"/>
  <c r="D20" i="214"/>
  <c r="D19" i="213"/>
  <c r="D20" i="212"/>
  <c r="D20" i="211"/>
  <c r="D20" i="213"/>
  <c r="D21" i="213"/>
  <c r="D21" i="212"/>
  <c r="D22" i="212"/>
  <c r="D21" i="211"/>
  <c r="D22" i="211"/>
  <c r="C17" i="202"/>
  <c r="D17" i="202"/>
  <c r="D17" i="210"/>
  <c r="D16" i="210"/>
  <c r="D18" i="210"/>
  <c r="C15" i="210"/>
  <c r="D15" i="210"/>
  <c r="D20" i="210"/>
  <c r="D21" i="210"/>
  <c r="D22" i="210"/>
  <c r="D16" i="209"/>
  <c r="D18" i="209"/>
  <c r="D13" i="209"/>
  <c r="D15" i="209"/>
  <c r="C21" i="208"/>
  <c r="D21" i="208"/>
  <c r="C20" i="208"/>
  <c r="D20" i="208"/>
  <c r="C19" i="208"/>
  <c r="D19" i="208"/>
  <c r="C18" i="208"/>
  <c r="D18" i="208"/>
  <c r="C17" i="208"/>
  <c r="D17" i="208"/>
  <c r="D16" i="208"/>
  <c r="C17" i="207"/>
  <c r="D17" i="207"/>
  <c r="C16" i="207"/>
  <c r="D16" i="207"/>
  <c r="C20" i="206"/>
  <c r="D20" i="206"/>
  <c r="D19" i="206"/>
  <c r="C18" i="206"/>
  <c r="D18" i="206"/>
  <c r="C17" i="206"/>
  <c r="D17" i="206"/>
  <c r="C16" i="206"/>
  <c r="D16" i="206"/>
  <c r="C17" i="205"/>
  <c r="D17" i="205"/>
  <c r="C16" i="205"/>
  <c r="D16" i="205"/>
  <c r="D19" i="205"/>
  <c r="C18" i="205"/>
  <c r="D18" i="205"/>
  <c r="C18" i="204"/>
  <c r="D18" i="204"/>
  <c r="C16" i="204"/>
  <c r="D16" i="204"/>
  <c r="C14" i="204"/>
  <c r="D14" i="204"/>
  <c r="C12" i="204"/>
  <c r="D12" i="204"/>
  <c r="C15" i="203"/>
  <c r="D15" i="203"/>
  <c r="D16" i="203"/>
  <c r="D19" i="202"/>
  <c r="C18" i="202"/>
  <c r="D18" i="202"/>
  <c r="D16" i="202"/>
  <c r="C15" i="202"/>
  <c r="D15" i="202"/>
  <c r="C16" i="201"/>
  <c r="D16" i="201"/>
  <c r="C15" i="201"/>
  <c r="D15" i="201"/>
  <c r="D23" i="201"/>
  <c r="D22" i="201"/>
  <c r="D21" i="201"/>
  <c r="D20" i="201"/>
  <c r="C19" i="201"/>
  <c r="D19" i="201"/>
  <c r="C18" i="201"/>
  <c r="D18" i="201"/>
  <c r="D17" i="201"/>
  <c r="C17" i="198"/>
  <c r="D17" i="198"/>
  <c r="C16" i="198"/>
  <c r="D16" i="198"/>
  <c r="D21" i="200"/>
  <c r="D20" i="200"/>
  <c r="D19" i="200"/>
  <c r="D18" i="200"/>
  <c r="C17" i="200"/>
  <c r="D17" i="200"/>
  <c r="C16" i="200"/>
  <c r="D16" i="200"/>
  <c r="C15" i="200"/>
  <c r="D15" i="200"/>
  <c r="D43" i="199"/>
  <c r="C42" i="199"/>
  <c r="D42" i="199"/>
  <c r="C41" i="199"/>
  <c r="D41" i="199"/>
  <c r="D40" i="199"/>
  <c r="C39" i="199"/>
  <c r="D39" i="199"/>
  <c r="C38" i="199"/>
  <c r="D38" i="199"/>
  <c r="C37" i="199"/>
  <c r="D37" i="199"/>
  <c r="C36" i="199"/>
  <c r="D36" i="199"/>
  <c r="C35" i="199"/>
  <c r="D35" i="199"/>
  <c r="C34" i="199"/>
  <c r="D34" i="199"/>
  <c r="D33" i="199"/>
  <c r="C32" i="199"/>
  <c r="D32" i="199"/>
  <c r="C31" i="199"/>
  <c r="D31" i="199"/>
  <c r="C30" i="199"/>
  <c r="D30" i="199"/>
  <c r="D29" i="199"/>
  <c r="D28" i="199"/>
  <c r="C27" i="199"/>
  <c r="D27" i="199"/>
  <c r="D26" i="199"/>
  <c r="D25" i="199"/>
  <c r="D23" i="199"/>
  <c r="D21" i="199"/>
  <c r="C20" i="199"/>
  <c r="D20" i="199"/>
  <c r="C19" i="199"/>
  <c r="D19" i="199"/>
  <c r="C18" i="199"/>
  <c r="D18" i="199"/>
  <c r="C17" i="199"/>
  <c r="D17" i="199"/>
  <c r="C15" i="199"/>
  <c r="D15" i="199"/>
  <c r="D24" i="200"/>
  <c r="D25" i="200"/>
  <c r="D26" i="200"/>
  <c r="D19" i="207"/>
  <c r="D20" i="207"/>
  <c r="D21" i="207"/>
  <c r="D19" i="209"/>
  <c r="D20" i="209"/>
  <c r="D21" i="209"/>
  <c r="D23" i="208"/>
  <c r="D24" i="208"/>
  <c r="D22" i="206"/>
  <c r="D23" i="206"/>
  <c r="D21" i="205"/>
  <c r="D19" i="204"/>
  <c r="D20" i="204"/>
  <c r="D21" i="204"/>
  <c r="D19" i="203"/>
  <c r="D20" i="203"/>
  <c r="D21" i="203"/>
  <c r="D21" i="202"/>
  <c r="D22" i="202"/>
  <c r="D23" i="202"/>
  <c r="D25" i="201"/>
  <c r="D26" i="201"/>
  <c r="D27" i="201"/>
  <c r="D45" i="199"/>
  <c r="D19" i="198"/>
  <c r="D20" i="198"/>
  <c r="D21" i="198"/>
  <c r="D24" i="206"/>
  <c r="D22" i="205"/>
  <c r="D23" i="205"/>
  <c r="D25" i="208"/>
  <c r="D46" i="199"/>
  <c r="D47" i="199"/>
  <c r="D16" i="197"/>
  <c r="D15" i="197"/>
  <c r="D15" i="196"/>
  <c r="D16" i="196"/>
  <c r="D15" i="195"/>
  <c r="D17" i="195"/>
  <c r="C15" i="194"/>
  <c r="D15" i="194"/>
  <c r="C13" i="194"/>
  <c r="D13" i="194"/>
  <c r="D17" i="194"/>
  <c r="D12" i="194"/>
  <c r="D19" i="193"/>
  <c r="C21" i="193"/>
  <c r="D21" i="193"/>
  <c r="D17" i="193"/>
  <c r="C18" i="193"/>
  <c r="D18" i="193"/>
  <c r="C14" i="193"/>
  <c r="D14" i="193"/>
  <c r="C16" i="193"/>
  <c r="D16" i="193"/>
  <c r="C12" i="193"/>
  <c r="D12" i="193"/>
  <c r="C12" i="191"/>
  <c r="D12" i="191"/>
  <c r="C12" i="192"/>
  <c r="D12" i="192"/>
  <c r="C14" i="192"/>
  <c r="D14" i="192"/>
  <c r="C12" i="190"/>
  <c r="D12" i="190"/>
  <c r="C14" i="191"/>
  <c r="D14" i="191"/>
  <c r="C15" i="191"/>
  <c r="D15" i="191"/>
  <c r="C14" i="190"/>
  <c r="D14" i="190"/>
  <c r="D17" i="197"/>
  <c r="D15" i="190"/>
  <c r="D16" i="190"/>
  <c r="D15" i="192"/>
  <c r="D16" i="192"/>
  <c r="D23" i="193"/>
  <c r="D16" i="191"/>
  <c r="D18" i="197"/>
  <c r="D19" i="197"/>
  <c r="D17" i="196"/>
  <c r="D18" i="196"/>
  <c r="D18" i="195"/>
  <c r="D19" i="195"/>
  <c r="D18" i="194"/>
  <c r="D24" i="193"/>
  <c r="D25" i="193"/>
  <c r="D17" i="192"/>
  <c r="D17" i="191"/>
  <c r="D18" i="191"/>
  <c r="D17" i="190"/>
  <c r="D19" i="194"/>
  <c r="D20" i="194"/>
  <c r="C15" i="189"/>
  <c r="D15" i="189"/>
  <c r="D16" i="189"/>
  <c r="C17" i="188"/>
  <c r="D17" i="188"/>
  <c r="D23" i="188"/>
  <c r="C22" i="188"/>
  <c r="D22" i="188"/>
  <c r="C21" i="188"/>
  <c r="D21" i="188"/>
  <c r="C20" i="188"/>
  <c r="D20" i="188"/>
  <c r="C18" i="188"/>
  <c r="D18" i="188"/>
  <c r="C16" i="188"/>
  <c r="D16" i="188"/>
  <c r="C15" i="188"/>
  <c r="D15" i="188"/>
  <c r="D19" i="188"/>
  <c r="D24" i="188"/>
  <c r="D25" i="188"/>
  <c r="D26" i="188"/>
  <c r="D18" i="189"/>
  <c r="D19" i="189"/>
  <c r="D20" i="189"/>
  <c r="D27" i="187"/>
  <c r="D26" i="187"/>
  <c r="D23" i="187"/>
  <c r="D21" i="187"/>
  <c r="D22" i="187"/>
  <c r="D28" i="187"/>
  <c r="D25" i="187"/>
  <c r="D24" i="187"/>
  <c r="D20" i="187"/>
  <c r="C19" i="187"/>
  <c r="D19" i="187"/>
  <c r="C18" i="187"/>
  <c r="D18" i="187"/>
  <c r="D17" i="187"/>
  <c r="C16" i="187"/>
  <c r="D16" i="187"/>
  <c r="C15" i="187"/>
  <c r="D15" i="187"/>
  <c r="D30" i="187"/>
  <c r="D31" i="187"/>
  <c r="D32" i="187"/>
  <c r="C16" i="186"/>
  <c r="D16" i="186"/>
  <c r="C15" i="186"/>
  <c r="D15" i="186"/>
  <c r="D17" i="186"/>
  <c r="C17" i="185"/>
  <c r="D17" i="185"/>
  <c r="C19" i="185"/>
  <c r="D19" i="185"/>
  <c r="C18" i="185"/>
  <c r="D18" i="185"/>
  <c r="D20" i="185"/>
  <c r="D15" i="184"/>
  <c r="C20" i="174"/>
  <c r="D20" i="174"/>
  <c r="D16" i="174"/>
  <c r="D17" i="174"/>
  <c r="D25" i="174"/>
  <c r="C23" i="174"/>
  <c r="D23" i="174"/>
  <c r="C22" i="174"/>
  <c r="D22" i="174"/>
  <c r="D15" i="174"/>
  <c r="C24" i="174"/>
  <c r="D24" i="174"/>
  <c r="C21" i="174"/>
  <c r="D21" i="174"/>
  <c r="D19" i="186"/>
  <c r="D20" i="186"/>
  <c r="D21" i="186"/>
  <c r="D22" i="185"/>
  <c r="D23" i="185"/>
  <c r="D24" i="185"/>
  <c r="D16" i="184"/>
  <c r="D17" i="184"/>
  <c r="C15" i="183"/>
  <c r="D15" i="183"/>
  <c r="D17" i="183"/>
  <c r="D17" i="182"/>
  <c r="D15" i="182"/>
  <c r="C23" i="181"/>
  <c r="D23" i="181"/>
  <c r="C15" i="181"/>
  <c r="D15" i="181"/>
  <c r="D25" i="181"/>
  <c r="D24" i="181"/>
  <c r="D20" i="181"/>
  <c r="C19" i="181"/>
  <c r="D19" i="181"/>
  <c r="C18" i="181"/>
  <c r="D18" i="181"/>
  <c r="D17" i="181"/>
  <c r="C16" i="181"/>
  <c r="D16" i="181"/>
  <c r="D18" i="183"/>
  <c r="D19" i="183"/>
  <c r="D20" i="183"/>
  <c r="D18" i="184"/>
  <c r="D18" i="182"/>
  <c r="D19" i="182"/>
  <c r="D20" i="182"/>
  <c r="D27" i="181"/>
  <c r="D28" i="181"/>
  <c r="D29" i="181"/>
  <c r="D21" i="180"/>
  <c r="C20" i="180"/>
  <c r="D20" i="180"/>
  <c r="C19" i="180"/>
  <c r="D19" i="180"/>
  <c r="D18" i="180"/>
  <c r="D28" i="180"/>
  <c r="D27" i="180"/>
  <c r="D26" i="180"/>
  <c r="D25" i="180"/>
  <c r="D24" i="180"/>
  <c r="D23" i="180"/>
  <c r="C22" i="180"/>
  <c r="D22" i="180"/>
  <c r="D17" i="180"/>
  <c r="C17" i="180"/>
  <c r="C16" i="180"/>
  <c r="D16" i="180"/>
  <c r="D30" i="180"/>
  <c r="D31" i="180"/>
  <c r="D32" i="180"/>
  <c r="D27" i="177"/>
  <c r="C25" i="177"/>
  <c r="C15" i="179"/>
  <c r="D15" i="179"/>
  <c r="D17" i="179"/>
  <c r="C23" i="178"/>
  <c r="D23" i="178"/>
  <c r="C18" i="178"/>
  <c r="D18" i="179"/>
  <c r="D19" i="179"/>
  <c r="C16" i="178"/>
  <c r="D16" i="178"/>
  <c r="C15" i="178"/>
  <c r="D15" i="178"/>
  <c r="D17" i="178"/>
  <c r="D26" i="178"/>
  <c r="D25" i="178"/>
  <c r="D24" i="178"/>
  <c r="D20" i="178"/>
  <c r="C19" i="178"/>
  <c r="D19" i="178"/>
  <c r="D18" i="178"/>
  <c r="C17" i="173"/>
  <c r="C18" i="177"/>
  <c r="D18" i="177"/>
  <c r="C17" i="177"/>
  <c r="D17" i="177"/>
  <c r="C20" i="177"/>
  <c r="D20" i="177"/>
  <c r="C16" i="177"/>
  <c r="D16" i="177"/>
  <c r="C15" i="177"/>
  <c r="D15" i="177"/>
  <c r="C26" i="177"/>
  <c r="D26" i="177"/>
  <c r="D25" i="177"/>
  <c r="C24" i="177"/>
  <c r="D24" i="177"/>
  <c r="C23" i="177"/>
  <c r="D23" i="177"/>
  <c r="C22" i="177"/>
  <c r="D22" i="177"/>
  <c r="C21" i="177"/>
  <c r="D21" i="177"/>
  <c r="C19" i="177"/>
  <c r="D19" i="177"/>
  <c r="D28" i="178"/>
  <c r="D29" i="178"/>
  <c r="D28" i="177"/>
  <c r="D29" i="177"/>
  <c r="D30" i="177"/>
  <c r="D30" i="178"/>
  <c r="C18" i="174"/>
  <c r="D18" i="174"/>
  <c r="D24" i="173"/>
  <c r="D26" i="172"/>
  <c r="C16" i="173"/>
  <c r="D16" i="173"/>
  <c r="D15" i="173"/>
  <c r="C20" i="172"/>
  <c r="C19" i="173"/>
  <c r="C19" i="174"/>
  <c r="D19" i="174"/>
  <c r="C16" i="176"/>
  <c r="D16" i="176"/>
  <c r="C17" i="176"/>
  <c r="D17" i="176"/>
  <c r="C18" i="176"/>
  <c r="D18" i="176"/>
  <c r="C17" i="175"/>
  <c r="D17" i="175"/>
  <c r="C16" i="175"/>
  <c r="D16" i="175"/>
  <c r="D18" i="175"/>
  <c r="D15" i="175"/>
  <c r="D19" i="175"/>
  <c r="D20" i="175"/>
  <c r="D21" i="175"/>
  <c r="D26" i="174"/>
  <c r="D20" i="176"/>
  <c r="D21" i="176"/>
  <c r="D22" i="176"/>
  <c r="C17" i="119"/>
  <c r="C16" i="120"/>
  <c r="C17" i="120"/>
  <c r="D17" i="120"/>
  <c r="C16" i="119"/>
  <c r="D16" i="119"/>
  <c r="C16" i="172"/>
  <c r="D16" i="172"/>
  <c r="D15" i="172"/>
  <c r="D23" i="173"/>
  <c r="D22" i="173"/>
  <c r="C21" i="173"/>
  <c r="D21" i="173"/>
  <c r="C20" i="173"/>
  <c r="D20" i="173"/>
  <c r="D19" i="173"/>
  <c r="C18" i="173"/>
  <c r="D18" i="173"/>
  <c r="D17" i="173"/>
  <c r="C23" i="172"/>
  <c r="D23" i="172"/>
  <c r="C22" i="172"/>
  <c r="D22" i="172"/>
  <c r="C21" i="172"/>
  <c r="D21" i="172"/>
  <c r="C19" i="172"/>
  <c r="D19" i="172"/>
  <c r="D20" i="172"/>
  <c r="C18" i="172"/>
  <c r="D18" i="172"/>
  <c r="C17" i="172"/>
  <c r="D17" i="172"/>
  <c r="D25" i="172"/>
  <c r="D24" i="172"/>
  <c r="D25" i="173"/>
  <c r="D27" i="172"/>
  <c r="D28" i="172"/>
  <c r="D29" i="172"/>
  <c r="D27" i="174"/>
  <c r="D28" i="174"/>
  <c r="D26" i="173"/>
  <c r="D27" i="173"/>
  <c r="C15" i="171"/>
  <c r="D15" i="171"/>
  <c r="D17" i="171"/>
  <c r="C18" i="170"/>
  <c r="D18" i="170"/>
  <c r="C17" i="170"/>
  <c r="D17" i="170"/>
  <c r="C16" i="170"/>
  <c r="D16" i="170"/>
  <c r="C15" i="170"/>
  <c r="D15" i="170"/>
  <c r="D19" i="170"/>
  <c r="D17" i="167"/>
  <c r="E17" i="166"/>
  <c r="E16" i="166"/>
  <c r="E15" i="166"/>
  <c r="D15" i="166"/>
  <c r="E18" i="166"/>
  <c r="E19" i="166"/>
  <c r="E20" i="166"/>
  <c r="D18" i="171"/>
  <c r="D21" i="170"/>
  <c r="D22" i="170"/>
  <c r="D23" i="170"/>
  <c r="D19" i="171"/>
  <c r="D20" i="171"/>
  <c r="C16" i="169"/>
  <c r="D16" i="169"/>
  <c r="D17" i="169"/>
  <c r="D18" i="169"/>
  <c r="D19" i="169"/>
  <c r="D16" i="167"/>
  <c r="D15" i="167"/>
  <c r="D17" i="166"/>
  <c r="D16" i="166"/>
  <c r="D16" i="165"/>
  <c r="D17" i="165"/>
  <c r="D15" i="165"/>
  <c r="D18" i="165"/>
  <c r="D19" i="165"/>
  <c r="D18" i="167"/>
  <c r="D19" i="167"/>
  <c r="D20" i="167"/>
  <c r="D18" i="166"/>
  <c r="D20" i="165"/>
  <c r="D19" i="166"/>
  <c r="D20" i="166"/>
  <c r="F18" i="166"/>
  <c r="C16" i="163"/>
  <c r="D16" i="163"/>
  <c r="C17" i="163"/>
  <c r="D17" i="163"/>
  <c r="D18" i="163"/>
  <c r="D19" i="163"/>
  <c r="D20" i="163"/>
  <c r="C24" i="162"/>
  <c r="D24" i="162"/>
  <c r="C22" i="162"/>
  <c r="D22" i="162"/>
  <c r="C16" i="162"/>
  <c r="D16" i="162"/>
  <c r="C20" i="162"/>
  <c r="D20" i="162"/>
  <c r="C18" i="162"/>
  <c r="D18" i="162"/>
  <c r="C14" i="162"/>
  <c r="D14" i="162"/>
  <c r="D38" i="162"/>
  <c r="C37" i="162"/>
  <c r="D37" i="162"/>
  <c r="D36" i="162"/>
  <c r="D35" i="162"/>
  <c r="C33" i="162"/>
  <c r="D33" i="162"/>
  <c r="C32" i="162"/>
  <c r="D32" i="162"/>
  <c r="C31" i="162"/>
  <c r="D31" i="162"/>
  <c r="C30" i="162"/>
  <c r="D30" i="162"/>
  <c r="C18" i="159"/>
  <c r="D21" i="161"/>
  <c r="D20" i="161"/>
  <c r="C30" i="161"/>
  <c r="D30" i="161"/>
  <c r="C19" i="161"/>
  <c r="D19" i="161"/>
  <c r="C18" i="161"/>
  <c r="D18" i="161"/>
  <c r="C17" i="161"/>
  <c r="D17" i="161"/>
  <c r="C16" i="161"/>
  <c r="D16" i="161"/>
  <c r="C15" i="161"/>
  <c r="D15" i="161"/>
  <c r="C29" i="161"/>
  <c r="D29" i="161"/>
  <c r="C28" i="161"/>
  <c r="D28" i="161"/>
  <c r="C27" i="161"/>
  <c r="D27" i="161"/>
  <c r="C22" i="160"/>
  <c r="D22" i="160"/>
  <c r="D25" i="160"/>
  <c r="D24" i="160"/>
  <c r="C23" i="160"/>
  <c r="D23" i="160"/>
  <c r="C21" i="160"/>
  <c r="D21" i="160"/>
  <c r="C20" i="160"/>
  <c r="D20" i="160"/>
  <c r="C19" i="160"/>
  <c r="D19" i="160"/>
  <c r="C18" i="160"/>
  <c r="D18" i="160"/>
  <c r="C17" i="160"/>
  <c r="D17" i="160"/>
  <c r="C16" i="160"/>
  <c r="D16" i="160"/>
  <c r="C15" i="160"/>
  <c r="D15" i="160"/>
  <c r="D31" i="161"/>
  <c r="D23" i="161"/>
  <c r="D24" i="161"/>
  <c r="D25" i="161"/>
  <c r="D27" i="160"/>
  <c r="D28" i="160"/>
  <c r="D29" i="160"/>
  <c r="C33" i="161"/>
  <c r="D19" i="159"/>
  <c r="D28" i="159"/>
  <c r="D27" i="159"/>
  <c r="C26" i="159"/>
  <c r="D26" i="159"/>
  <c r="D18" i="159"/>
  <c r="D17" i="159"/>
  <c r="C16" i="159"/>
  <c r="D16" i="159"/>
  <c r="C15" i="159"/>
  <c r="D15" i="159"/>
  <c r="D25" i="159"/>
  <c r="D20" i="156"/>
  <c r="D21" i="158"/>
  <c r="D20" i="158"/>
  <c r="C19" i="158"/>
  <c r="D19" i="158"/>
  <c r="C18" i="158"/>
  <c r="D18" i="158"/>
  <c r="D17" i="158"/>
  <c r="D29" i="157"/>
  <c r="D28" i="157"/>
  <c r="C26" i="157"/>
  <c r="D26" i="157"/>
  <c r="D25" i="157"/>
  <c r="D24" i="157"/>
  <c r="D23" i="157"/>
  <c r="D22" i="157"/>
  <c r="D21" i="157"/>
  <c r="D20" i="157"/>
  <c r="D19" i="157"/>
  <c r="C18" i="157"/>
  <c r="D18" i="157"/>
  <c r="D17" i="157"/>
  <c r="D31" i="156"/>
  <c r="D30" i="156"/>
  <c r="C29" i="156"/>
  <c r="D29" i="156"/>
  <c r="D28" i="156"/>
  <c r="D26" i="156"/>
  <c r="D25" i="156"/>
  <c r="D24" i="156"/>
  <c r="C23" i="156"/>
  <c r="D23" i="156"/>
  <c r="D22" i="156"/>
  <c r="D21" i="156"/>
  <c r="C19" i="156"/>
  <c r="D19" i="156"/>
  <c r="D17" i="156"/>
  <c r="C12" i="155"/>
  <c r="D12" i="155"/>
  <c r="C14" i="155"/>
  <c r="D14" i="155"/>
  <c r="C19" i="154"/>
  <c r="D19" i="154"/>
  <c r="C15" i="154"/>
  <c r="D15" i="154"/>
  <c r="C20" i="154"/>
  <c r="D20" i="154"/>
  <c r="D23" i="154"/>
  <c r="D22" i="154"/>
  <c r="D21" i="154"/>
  <c r="D18" i="154"/>
  <c r="C17" i="154"/>
  <c r="D17" i="154"/>
  <c r="C16" i="154"/>
  <c r="D16" i="154"/>
  <c r="C19" i="152"/>
  <c r="C20" i="152"/>
  <c r="C19" i="145"/>
  <c r="C19" i="151"/>
  <c r="C20" i="151"/>
  <c r="C19" i="153"/>
  <c r="D15" i="155"/>
  <c r="D16" i="155"/>
  <c r="D17" i="155"/>
  <c r="D33" i="156"/>
  <c r="D29" i="159"/>
  <c r="D23" i="158"/>
  <c r="D24" i="158"/>
  <c r="D25" i="158"/>
  <c r="D21" i="159"/>
  <c r="D22" i="159"/>
  <c r="D23" i="159"/>
  <c r="D31" i="157"/>
  <c r="D25" i="154"/>
  <c r="C30" i="159"/>
  <c r="D34" i="156"/>
  <c r="D35" i="156"/>
  <c r="D32" i="157"/>
  <c r="D33" i="157"/>
  <c r="D26" i="154"/>
  <c r="D27" i="154"/>
  <c r="C20" i="153"/>
  <c r="D20" i="153"/>
  <c r="D23" i="153"/>
  <c r="D22" i="153"/>
  <c r="D21" i="153"/>
  <c r="D19" i="153"/>
  <c r="D18" i="153"/>
  <c r="C17" i="153"/>
  <c r="D17" i="153"/>
  <c r="C16" i="153"/>
  <c r="D16" i="153"/>
  <c r="D15" i="153"/>
  <c r="D23" i="152"/>
  <c r="D22" i="152"/>
  <c r="D21" i="152"/>
  <c r="D20" i="152"/>
  <c r="D19" i="152"/>
  <c r="D18" i="152"/>
  <c r="C17" i="152"/>
  <c r="D17" i="152"/>
  <c r="C16" i="152"/>
  <c r="D16" i="152"/>
  <c r="D15" i="152"/>
  <c r="D23" i="151"/>
  <c r="D22" i="151"/>
  <c r="D21" i="151"/>
  <c r="D20" i="151"/>
  <c r="D19" i="151"/>
  <c r="D18" i="151"/>
  <c r="C17" i="151"/>
  <c r="D17" i="151"/>
  <c r="C16" i="151"/>
  <c r="D16" i="151"/>
  <c r="D15" i="151"/>
  <c r="C20" i="148"/>
  <c r="D20" i="148"/>
  <c r="C19" i="148"/>
  <c r="D19" i="148"/>
  <c r="C16" i="148"/>
  <c r="D16" i="148"/>
  <c r="D18" i="148"/>
  <c r="C17" i="148"/>
  <c r="D17" i="148"/>
  <c r="D15" i="148"/>
  <c r="C17" i="147"/>
  <c r="D17" i="147"/>
  <c r="C16" i="147"/>
  <c r="D16" i="147"/>
  <c r="C20" i="146"/>
  <c r="D20" i="146"/>
  <c r="C27" i="146"/>
  <c r="D27" i="146"/>
  <c r="C19" i="146"/>
  <c r="D19" i="146"/>
  <c r="C15" i="146"/>
  <c r="D15" i="146"/>
  <c r="C15" i="147"/>
  <c r="D15" i="147"/>
  <c r="D18" i="147"/>
  <c r="D19" i="147"/>
  <c r="D20" i="147"/>
  <c r="D21" i="147"/>
  <c r="C17" i="146"/>
  <c r="D17" i="146"/>
  <c r="C18" i="146"/>
  <c r="D18" i="146"/>
  <c r="D21" i="146"/>
  <c r="D23" i="146"/>
  <c r="D25" i="146"/>
  <c r="D26" i="146"/>
  <c r="D28" i="146"/>
  <c r="D29" i="146"/>
  <c r="C30" i="146"/>
  <c r="D30" i="146"/>
  <c r="C31" i="146"/>
  <c r="D31" i="146"/>
  <c r="C32" i="146"/>
  <c r="D32" i="146"/>
  <c r="D33" i="146"/>
  <c r="C34" i="146"/>
  <c r="D34" i="146"/>
  <c r="C35" i="146"/>
  <c r="D35" i="146"/>
  <c r="C36" i="146"/>
  <c r="D36" i="146"/>
  <c r="C37" i="146"/>
  <c r="D37" i="146"/>
  <c r="C38" i="146"/>
  <c r="D38" i="146"/>
  <c r="C39" i="146"/>
  <c r="D39" i="146"/>
  <c r="D40" i="146"/>
  <c r="C41" i="146"/>
  <c r="D41" i="146"/>
  <c r="C42" i="146"/>
  <c r="D42" i="146"/>
  <c r="D43" i="146"/>
  <c r="D15" i="145"/>
  <c r="C16" i="145"/>
  <c r="D16" i="145"/>
  <c r="C17" i="145"/>
  <c r="D17" i="145"/>
  <c r="D18" i="145"/>
  <c r="D19" i="145"/>
  <c r="C20" i="145"/>
  <c r="D20" i="145"/>
  <c r="D21" i="145"/>
  <c r="D22" i="145"/>
  <c r="D23" i="145"/>
  <c r="C19" i="144"/>
  <c r="D19" i="144"/>
  <c r="D15" i="144"/>
  <c r="C16" i="144"/>
  <c r="D16" i="144"/>
  <c r="C17" i="144"/>
  <c r="D17" i="144"/>
  <c r="D18" i="144"/>
  <c r="C20" i="144"/>
  <c r="D20" i="144"/>
  <c r="D21" i="144"/>
  <c r="D22" i="144"/>
  <c r="D23" i="144"/>
  <c r="C19" i="143"/>
  <c r="D19" i="143"/>
  <c r="C20" i="143"/>
  <c r="D20" i="143"/>
  <c r="D15" i="143"/>
  <c r="C16" i="143"/>
  <c r="D16" i="143"/>
  <c r="C17" i="143"/>
  <c r="D17" i="143"/>
  <c r="D18" i="143"/>
  <c r="D21" i="143"/>
  <c r="D22" i="143"/>
  <c r="D23" i="143"/>
  <c r="C16" i="142"/>
  <c r="D16" i="142"/>
  <c r="D17" i="142"/>
  <c r="C18" i="142"/>
  <c r="D18" i="142"/>
  <c r="C12" i="140"/>
  <c r="D12" i="140"/>
  <c r="C14" i="140"/>
  <c r="D14" i="140"/>
  <c r="C12" i="139"/>
  <c r="D12" i="139"/>
  <c r="C14" i="139"/>
  <c r="D14" i="139"/>
  <c r="C14" i="138"/>
  <c r="D14" i="138"/>
  <c r="C12" i="138"/>
  <c r="D12" i="138"/>
  <c r="C12" i="137"/>
  <c r="D12" i="137"/>
  <c r="C14" i="137"/>
  <c r="D14" i="137"/>
  <c r="D20" i="136"/>
  <c r="C17" i="136"/>
  <c r="D17" i="136"/>
  <c r="D15" i="136"/>
  <c r="D16" i="136"/>
  <c r="C18" i="136"/>
  <c r="D18" i="136"/>
  <c r="D19" i="136"/>
  <c r="D16" i="135"/>
  <c r="D21" i="135"/>
  <c r="C19" i="135"/>
  <c r="D19" i="135"/>
  <c r="C15" i="135"/>
  <c r="D15" i="135"/>
  <c r="D20" i="135"/>
  <c r="D22" i="135"/>
  <c r="C15" i="124"/>
  <c r="D15" i="124"/>
  <c r="D17" i="124"/>
  <c r="C16" i="134"/>
  <c r="D16" i="134"/>
  <c r="C15" i="134"/>
  <c r="D15" i="134"/>
  <c r="C21" i="134"/>
  <c r="D21" i="134"/>
  <c r="C22" i="134"/>
  <c r="D22" i="134"/>
  <c r="D23" i="134"/>
  <c r="D24" i="134"/>
  <c r="C20" i="134"/>
  <c r="C19" i="134"/>
  <c r="C18" i="134"/>
  <c r="C17" i="134"/>
  <c r="C17" i="133"/>
  <c r="D17" i="133"/>
  <c r="C16" i="133"/>
  <c r="D16" i="133"/>
  <c r="D18" i="133"/>
  <c r="C16" i="132"/>
  <c r="D16" i="132"/>
  <c r="C17" i="132"/>
  <c r="D17" i="132"/>
  <c r="C16" i="130"/>
  <c r="D16" i="130"/>
  <c r="D15" i="132"/>
  <c r="D18" i="132"/>
  <c r="D19" i="132"/>
  <c r="D20" i="132"/>
  <c r="D18" i="131"/>
  <c r="C19" i="131"/>
  <c r="D19" i="131"/>
  <c r="C21" i="131"/>
  <c r="D21" i="131"/>
  <c r="D22" i="131"/>
  <c r="D23" i="131"/>
  <c r="D24" i="131"/>
  <c r="C17" i="130"/>
  <c r="D17" i="130"/>
  <c r="D16" i="129"/>
  <c r="D17" i="129"/>
  <c r="D16" i="102"/>
  <c r="C16" i="128"/>
  <c r="D16" i="128"/>
  <c r="C15" i="128"/>
  <c r="D15" i="128"/>
  <c r="D17" i="128"/>
  <c r="D18" i="128"/>
  <c r="C15" i="127"/>
  <c r="D15" i="127"/>
  <c r="D16" i="127"/>
  <c r="C15" i="126"/>
  <c r="D15" i="126"/>
  <c r="D16" i="126"/>
  <c r="D17" i="126"/>
  <c r="C18" i="126"/>
  <c r="D18" i="126"/>
  <c r="C19" i="126"/>
  <c r="D19" i="126"/>
  <c r="D20" i="126"/>
  <c r="D22" i="126"/>
  <c r="D23" i="126"/>
  <c r="D24" i="126"/>
  <c r="D63" i="125"/>
  <c r="D62" i="125"/>
  <c r="D61" i="125"/>
  <c r="D60" i="125"/>
  <c r="D59" i="125"/>
  <c r="D58" i="125"/>
  <c r="D19" i="125"/>
  <c r="D18" i="125"/>
  <c r="D17" i="125"/>
  <c r="D16" i="125"/>
  <c r="D15" i="125"/>
  <c r="D14" i="125"/>
  <c r="D20" i="123"/>
  <c r="C19" i="123"/>
  <c r="D19" i="123"/>
  <c r="C18" i="123"/>
  <c r="D18" i="123"/>
  <c r="D17" i="123"/>
  <c r="D16" i="123"/>
  <c r="D15" i="123"/>
  <c r="D22" i="123"/>
  <c r="D23" i="123"/>
  <c r="D24" i="123"/>
  <c r="D12" i="122"/>
  <c r="D15" i="122"/>
  <c r="C17" i="82"/>
  <c r="D17" i="82"/>
  <c r="D16" i="82"/>
  <c r="E17" i="75"/>
  <c r="E18" i="75"/>
  <c r="E19" i="75"/>
  <c r="D23" i="120"/>
  <c r="D15" i="121"/>
  <c r="D16" i="121"/>
  <c r="D17" i="121"/>
  <c r="D19" i="119"/>
  <c r="D17" i="119"/>
  <c r="C18" i="119"/>
  <c r="D18" i="119"/>
  <c r="D20" i="119"/>
  <c r="D21" i="119"/>
  <c r="D23" i="119"/>
  <c r="D24" i="119"/>
  <c r="D19" i="120"/>
  <c r="D16" i="120"/>
  <c r="C18" i="120"/>
  <c r="D18" i="120"/>
  <c r="D20" i="120"/>
  <c r="D21" i="120"/>
  <c r="D22" i="120"/>
  <c r="D24" i="120"/>
  <c r="C15" i="75"/>
  <c r="D15" i="75"/>
  <c r="D17" i="75"/>
  <c r="C17" i="78"/>
  <c r="D17" i="78"/>
  <c r="C15" i="77"/>
  <c r="D15" i="77"/>
  <c r="C12" i="118"/>
  <c r="D12" i="118"/>
  <c r="D16" i="118"/>
  <c r="C16" i="117"/>
  <c r="D16" i="117"/>
  <c r="C18" i="117"/>
  <c r="D18" i="117"/>
  <c r="C18" i="115"/>
  <c r="D18" i="115"/>
  <c r="C17" i="105"/>
  <c r="D17" i="105"/>
  <c r="C17" i="116"/>
  <c r="D17" i="116"/>
  <c r="C18" i="116"/>
  <c r="D18" i="116"/>
  <c r="C17" i="117"/>
  <c r="D17" i="117"/>
  <c r="C17" i="115"/>
  <c r="D17" i="115"/>
  <c r="C16" i="115"/>
  <c r="D16" i="115"/>
  <c r="C16" i="116"/>
  <c r="D16" i="116"/>
  <c r="C20" i="105"/>
  <c r="D20" i="105"/>
  <c r="C18" i="105"/>
  <c r="D18" i="105"/>
  <c r="C18" i="104"/>
  <c r="D18" i="104"/>
  <c r="C16" i="104"/>
  <c r="D16" i="104"/>
  <c r="D12" i="114"/>
  <c r="D14" i="114"/>
  <c r="D18" i="113"/>
  <c r="D16" i="113"/>
  <c r="D14" i="113"/>
  <c r="D63" i="113"/>
  <c r="D62" i="113"/>
  <c r="D61" i="113"/>
  <c r="D60" i="113"/>
  <c r="D59" i="113"/>
  <c r="D58" i="113"/>
  <c r="D19" i="113"/>
  <c r="D17" i="113"/>
  <c r="D58" i="112"/>
  <c r="D17" i="112"/>
  <c r="D16" i="112"/>
  <c r="D59" i="112"/>
  <c r="E17" i="109"/>
  <c r="D63" i="112"/>
  <c r="D18" i="112"/>
  <c r="D19" i="112"/>
  <c r="D14" i="112"/>
  <c r="D62" i="112"/>
  <c r="D61" i="112"/>
  <c r="D60" i="112"/>
  <c r="C20" i="109"/>
  <c r="D20" i="109"/>
  <c r="C19" i="109"/>
  <c r="D19" i="109"/>
  <c r="C17" i="109"/>
  <c r="D17" i="109"/>
  <c r="C20" i="108"/>
  <c r="D20" i="108"/>
  <c r="C19" i="108"/>
  <c r="D19" i="108"/>
  <c r="C17" i="108"/>
  <c r="D17" i="108"/>
  <c r="D24" i="111"/>
  <c r="D23" i="111"/>
  <c r="D19" i="111"/>
  <c r="D16" i="111"/>
  <c r="D12" i="111"/>
  <c r="D24" i="110"/>
  <c r="D23" i="110"/>
  <c r="D19" i="110"/>
  <c r="D16" i="110"/>
  <c r="D12" i="110"/>
  <c r="D21" i="109"/>
  <c r="D21" i="108"/>
  <c r="E17" i="108"/>
  <c r="C26" i="107"/>
  <c r="D26" i="107"/>
  <c r="C27" i="107"/>
  <c r="D27" i="107"/>
  <c r="C42" i="107"/>
  <c r="D42" i="107"/>
  <c r="C41" i="107"/>
  <c r="D41" i="107"/>
  <c r="C40" i="107"/>
  <c r="D40" i="107"/>
  <c r="C39" i="107"/>
  <c r="D39" i="107"/>
  <c r="C35" i="107"/>
  <c r="D35" i="107"/>
  <c r="C32" i="107"/>
  <c r="D32" i="107"/>
  <c r="C33" i="107"/>
  <c r="D33" i="107"/>
  <c r="C34" i="107"/>
  <c r="D34" i="107"/>
  <c r="C28" i="107"/>
  <c r="D28" i="107"/>
  <c r="C25" i="107"/>
  <c r="D25" i="107"/>
  <c r="C24" i="107"/>
  <c r="D24" i="107"/>
  <c r="C18" i="107"/>
  <c r="D18" i="107"/>
  <c r="C16" i="107"/>
  <c r="D16" i="107"/>
  <c r="C14" i="107"/>
  <c r="D14" i="107"/>
  <c r="D47" i="107"/>
  <c r="C46" i="107"/>
  <c r="D46" i="107"/>
  <c r="D45" i="107"/>
  <c r="D44" i="107"/>
  <c r="C19" i="105"/>
  <c r="D19" i="105"/>
  <c r="C16" i="105"/>
  <c r="D16" i="105"/>
  <c r="D24" i="105"/>
  <c r="D23" i="105"/>
  <c r="D22" i="105"/>
  <c r="C21" i="105"/>
  <c r="D21" i="105"/>
  <c r="C20" i="104"/>
  <c r="D20" i="104"/>
  <c r="C19" i="104"/>
  <c r="D19" i="104"/>
  <c r="C17" i="104"/>
  <c r="D17" i="104"/>
  <c r="C21" i="104"/>
  <c r="D21" i="104"/>
  <c r="D24" i="104"/>
  <c r="D23" i="104"/>
  <c r="D22" i="104"/>
  <c r="C17" i="103"/>
  <c r="D17" i="103"/>
  <c r="C18" i="103"/>
  <c r="D18" i="103"/>
  <c r="C16" i="103"/>
  <c r="D16" i="103"/>
  <c r="D15" i="102"/>
  <c r="D20" i="101"/>
  <c r="D19" i="101"/>
  <c r="D18" i="101"/>
  <c r="D17" i="101"/>
  <c r="D16" i="101"/>
  <c r="D15" i="101"/>
  <c r="D17" i="100"/>
  <c r="D16" i="100"/>
  <c r="D19" i="99"/>
  <c r="C17" i="99"/>
  <c r="D17" i="99"/>
  <c r="D20" i="99"/>
  <c r="D18" i="99"/>
  <c r="D16" i="99"/>
  <c r="D16" i="98"/>
  <c r="C18" i="98"/>
  <c r="D18" i="98"/>
  <c r="D25" i="98"/>
  <c r="D24" i="98"/>
  <c r="C26" i="98"/>
  <c r="D26" i="98"/>
  <c r="D23" i="98"/>
  <c r="C22" i="98"/>
  <c r="D22" i="98"/>
  <c r="C21" i="98"/>
  <c r="D21" i="98"/>
  <c r="D20" i="98"/>
  <c r="D19" i="98"/>
  <c r="D16" i="97"/>
  <c r="D19" i="97"/>
  <c r="D20" i="97"/>
  <c r="D23" i="97"/>
  <c r="D24" i="97"/>
  <c r="D18" i="97"/>
  <c r="C22" i="97"/>
  <c r="D22" i="97"/>
  <c r="C21" i="97"/>
  <c r="D21" i="97"/>
  <c r="D173" i="93"/>
  <c r="D167" i="93"/>
  <c r="D135" i="93"/>
  <c r="D96" i="93"/>
  <c r="D90" i="93"/>
  <c r="D171" i="93"/>
  <c r="D172" i="93"/>
  <c r="D170" i="93"/>
  <c r="D133" i="93"/>
  <c r="D94" i="93"/>
  <c r="D129" i="93"/>
  <c r="D134" i="93"/>
  <c r="D132" i="93"/>
  <c r="D95" i="93"/>
  <c r="D57" i="93"/>
  <c r="D55" i="93"/>
  <c r="D19" i="93"/>
  <c r="D17" i="93"/>
  <c r="D93" i="93"/>
  <c r="C18" i="96"/>
  <c r="D18" i="96"/>
  <c r="C17" i="96"/>
  <c r="D17" i="96"/>
  <c r="D19" i="96"/>
  <c r="D16" i="96"/>
  <c r="C18" i="95"/>
  <c r="D18" i="95"/>
  <c r="C17" i="95"/>
  <c r="D17" i="95"/>
  <c r="D19" i="95"/>
  <c r="D16" i="95"/>
  <c r="D16" i="94"/>
  <c r="D18" i="94"/>
  <c r="D17" i="94"/>
  <c r="D58" i="93"/>
  <c r="D52" i="93"/>
  <c r="D20" i="93"/>
  <c r="D14" i="93"/>
  <c r="D56" i="93"/>
  <c r="D18" i="93"/>
  <c r="D17" i="92"/>
  <c r="D18" i="92"/>
  <c r="D19" i="92"/>
  <c r="D113" i="54"/>
  <c r="D112" i="54"/>
  <c r="D111" i="54"/>
  <c r="D110" i="54"/>
  <c r="D108" i="54"/>
  <c r="D18" i="91"/>
  <c r="C17" i="91"/>
  <c r="D17" i="91"/>
  <c r="C16" i="91"/>
  <c r="D16" i="91"/>
  <c r="D15" i="91"/>
  <c r="D21" i="90"/>
  <c r="D20" i="90"/>
  <c r="D19" i="90"/>
  <c r="D18" i="90"/>
  <c r="D17" i="90"/>
  <c r="D16" i="90"/>
  <c r="D107" i="55"/>
  <c r="D106" i="55"/>
  <c r="D105" i="55"/>
  <c r="D104" i="55"/>
  <c r="D102" i="55"/>
  <c r="D64" i="62"/>
  <c r="D63" i="62"/>
  <c r="D62" i="62"/>
  <c r="D61" i="62"/>
  <c r="D59" i="62"/>
  <c r="D17" i="89"/>
  <c r="D16" i="89"/>
  <c r="D15" i="88"/>
  <c r="D16" i="88"/>
  <c r="D18" i="86"/>
  <c r="D15" i="86"/>
  <c r="D20" i="86"/>
  <c r="D19" i="86"/>
  <c r="D17" i="86"/>
  <c r="D16" i="86"/>
  <c r="D15" i="87"/>
  <c r="D17" i="87"/>
  <c r="D18" i="87"/>
  <c r="C18" i="85"/>
  <c r="D18" i="85"/>
  <c r="C17" i="85"/>
  <c r="D17" i="85"/>
  <c r="D17" i="84"/>
  <c r="D16" i="84"/>
  <c r="D37" i="83"/>
  <c r="D36" i="83"/>
  <c r="D35" i="83"/>
  <c r="C33" i="83"/>
  <c r="D33" i="83"/>
  <c r="C32" i="83"/>
  <c r="D32" i="83"/>
  <c r="C31" i="83"/>
  <c r="D31" i="83"/>
  <c r="D26" i="83"/>
  <c r="D25" i="83"/>
  <c r="C21" i="83"/>
  <c r="D21" i="83"/>
  <c r="C20" i="83"/>
  <c r="D20" i="83"/>
  <c r="C19" i="83"/>
  <c r="D19" i="83"/>
  <c r="C18" i="83"/>
  <c r="D18" i="83"/>
  <c r="D16" i="81"/>
  <c r="D18" i="81"/>
  <c r="D19" i="81"/>
  <c r="D20" i="81"/>
  <c r="D16" i="80"/>
  <c r="D18" i="80"/>
  <c r="D19" i="80"/>
  <c r="D20" i="80"/>
  <c r="C16" i="79"/>
  <c r="D23" i="79"/>
  <c r="D22" i="79"/>
  <c r="D21" i="79"/>
  <c r="C20" i="79"/>
  <c r="D20" i="79"/>
  <c r="C19" i="79"/>
  <c r="D19" i="79"/>
  <c r="D18" i="79"/>
  <c r="D17" i="79"/>
  <c r="D16" i="79"/>
  <c r="C19" i="78"/>
  <c r="D19" i="78"/>
  <c r="C18" i="78"/>
  <c r="D18" i="78"/>
  <c r="C16" i="77"/>
  <c r="D16" i="77"/>
  <c r="D20" i="78"/>
  <c r="C15" i="76"/>
  <c r="D15" i="76"/>
  <c r="D17" i="76"/>
  <c r="C18" i="73"/>
  <c r="D18" i="73"/>
  <c r="D18" i="74"/>
  <c r="C18" i="74"/>
  <c r="C17" i="74"/>
  <c r="D17" i="74"/>
  <c r="D17" i="73"/>
  <c r="D19" i="73"/>
  <c r="C17" i="72"/>
  <c r="D17" i="72"/>
  <c r="D19" i="72"/>
  <c r="D16" i="71"/>
  <c r="D17" i="71"/>
  <c r="C22" i="70"/>
  <c r="D22" i="70"/>
  <c r="C21" i="70"/>
  <c r="D21" i="70"/>
  <c r="C17" i="70"/>
  <c r="D17" i="70"/>
  <c r="C18" i="70"/>
  <c r="D18" i="70"/>
  <c r="C16" i="70"/>
  <c r="D16" i="70"/>
  <c r="C15" i="70"/>
  <c r="D15" i="70"/>
  <c r="D20" i="70"/>
  <c r="D19" i="70"/>
  <c r="D17" i="69"/>
  <c r="D15" i="69"/>
  <c r="C22" i="69"/>
  <c r="D22" i="69"/>
  <c r="D20" i="69"/>
  <c r="C18" i="69"/>
  <c r="D18" i="69"/>
  <c r="C16" i="69"/>
  <c r="D16" i="69"/>
  <c r="D21" i="69"/>
  <c r="D19" i="69"/>
  <c r="D17" i="68"/>
  <c r="D18" i="68"/>
  <c r="D19" i="68"/>
  <c r="C16" i="68"/>
  <c r="D16" i="68"/>
  <c r="C15" i="68"/>
  <c r="D15" i="68"/>
  <c r="C15" i="67"/>
  <c r="D15" i="67"/>
  <c r="D17" i="67"/>
  <c r="D15" i="66"/>
  <c r="D17" i="66"/>
  <c r="C17" i="65"/>
  <c r="D17" i="65"/>
  <c r="C16" i="65"/>
  <c r="D16" i="65"/>
  <c r="D18" i="64"/>
  <c r="D17" i="64"/>
  <c r="D16" i="64"/>
  <c r="K116" i="54"/>
  <c r="K26" i="54"/>
  <c r="D26" i="54"/>
  <c r="C18" i="63"/>
  <c r="D18" i="63"/>
  <c r="C17" i="63"/>
  <c r="D17" i="63"/>
  <c r="D19" i="63"/>
  <c r="D16" i="63"/>
  <c r="H54" i="54"/>
  <c r="K15" i="54"/>
  <c r="D15" i="54"/>
  <c r="G46" i="54"/>
  <c r="C15" i="23"/>
  <c r="D15" i="23"/>
  <c r="C19" i="24"/>
  <c r="D19" i="24"/>
  <c r="C18" i="24"/>
  <c r="D18" i="24"/>
  <c r="C17" i="24"/>
  <c r="D17" i="24"/>
  <c r="G36" i="54"/>
  <c r="G35" i="54"/>
  <c r="G34" i="54"/>
  <c r="K114" i="54"/>
  <c r="K113" i="54"/>
  <c r="K112" i="54"/>
  <c r="K72" i="54"/>
  <c r="K70" i="54"/>
  <c r="K69" i="54"/>
  <c r="K68" i="54"/>
  <c r="K22" i="54"/>
  <c r="K25" i="54"/>
  <c r="K24" i="54"/>
  <c r="K17" i="54"/>
  <c r="K16" i="54"/>
  <c r="D230" i="21"/>
  <c r="C15" i="29"/>
  <c r="D15" i="29"/>
  <c r="D19" i="60"/>
  <c r="C18" i="60"/>
  <c r="D18" i="60"/>
  <c r="D18" i="61"/>
  <c r="D17" i="61"/>
  <c r="C16" i="61"/>
  <c r="D16" i="61"/>
  <c r="C17" i="60"/>
  <c r="D17" i="60"/>
  <c r="C16" i="60"/>
  <c r="D16" i="60"/>
  <c r="D26" i="56"/>
  <c r="D27" i="56"/>
  <c r="D25" i="56"/>
  <c r="D24" i="56"/>
  <c r="C28" i="56"/>
  <c r="D28" i="56"/>
  <c r="C21" i="56"/>
  <c r="D21" i="56"/>
  <c r="C20" i="56"/>
  <c r="D20" i="56"/>
  <c r="D22" i="56"/>
  <c r="D19" i="56"/>
  <c r="D18" i="56"/>
  <c r="C20" i="57"/>
  <c r="D20" i="57"/>
  <c r="C16" i="57"/>
  <c r="D16" i="57"/>
  <c r="D16" i="59"/>
  <c r="D18" i="59"/>
  <c r="C17" i="57"/>
  <c r="D17" i="57"/>
  <c r="C16" i="56"/>
  <c r="D16" i="56"/>
  <c r="D19" i="57"/>
  <c r="D18" i="57"/>
  <c r="D23" i="56"/>
  <c r="D17" i="56"/>
  <c r="D16" i="51"/>
  <c r="D22" i="28"/>
  <c r="D23" i="28"/>
  <c r="D63" i="55"/>
  <c r="D61" i="55"/>
  <c r="D60" i="55"/>
  <c r="D59" i="55"/>
  <c r="D58" i="55"/>
  <c r="D57" i="55"/>
  <c r="D23" i="55"/>
  <c r="D22" i="55"/>
  <c r="D20" i="55"/>
  <c r="D19" i="55"/>
  <c r="D18" i="55"/>
  <c r="D17" i="55"/>
  <c r="D16" i="55"/>
  <c r="D15" i="55"/>
  <c r="D72" i="54"/>
  <c r="D70" i="54"/>
  <c r="D69" i="54"/>
  <c r="D68" i="54"/>
  <c r="D66" i="54"/>
  <c r="D65" i="54"/>
  <c r="D25" i="54"/>
  <c r="D24" i="54"/>
  <c r="D22" i="54"/>
  <c r="D21" i="54"/>
  <c r="D20" i="54"/>
  <c r="D18" i="54"/>
  <c r="D17" i="54"/>
  <c r="D16" i="54"/>
  <c r="D16" i="53"/>
  <c r="D15" i="53"/>
  <c r="C16" i="52"/>
  <c r="D16" i="52"/>
  <c r="D18" i="52"/>
  <c r="D19" i="52"/>
  <c r="D20" i="52"/>
  <c r="C16" i="50"/>
  <c r="D16" i="50"/>
  <c r="D17" i="50"/>
  <c r="D21" i="42"/>
  <c r="D22" i="42"/>
  <c r="D20" i="42"/>
  <c r="C15" i="51"/>
  <c r="D15" i="51"/>
  <c r="D18" i="51"/>
  <c r="D17" i="51"/>
  <c r="D15" i="50"/>
  <c r="D16" i="49"/>
  <c r="D15" i="49"/>
  <c r="C20" i="43"/>
  <c r="D20" i="43"/>
  <c r="C20" i="48"/>
  <c r="D20" i="48"/>
  <c r="C17" i="48"/>
  <c r="D17" i="48"/>
  <c r="C16" i="48"/>
  <c r="D16" i="48"/>
  <c r="D19" i="48"/>
  <c r="C18" i="48"/>
  <c r="D18" i="48"/>
  <c r="C16" i="43"/>
  <c r="D16" i="43"/>
  <c r="C17" i="43"/>
  <c r="D17" i="43"/>
  <c r="C18" i="43"/>
  <c r="D18" i="43"/>
  <c r="C35" i="39"/>
  <c r="D35" i="39"/>
  <c r="C38" i="40"/>
  <c r="D38" i="40"/>
  <c r="C37" i="40"/>
  <c r="D37" i="40"/>
  <c r="C36" i="40"/>
  <c r="D36" i="40"/>
  <c r="C35" i="40"/>
  <c r="D35" i="40"/>
  <c r="C34" i="40"/>
  <c r="D34" i="40"/>
  <c r="C33" i="40"/>
  <c r="D33" i="40"/>
  <c r="C31" i="40"/>
  <c r="D31" i="40"/>
  <c r="C41" i="39"/>
  <c r="D41" i="39"/>
  <c r="C40" i="39"/>
  <c r="D40" i="39"/>
  <c r="C39" i="39"/>
  <c r="D39" i="39"/>
  <c r="C38" i="39"/>
  <c r="D38" i="39"/>
  <c r="C28" i="39"/>
  <c r="D28" i="39"/>
  <c r="C21" i="39"/>
  <c r="D21" i="39"/>
  <c r="C20" i="39"/>
  <c r="D20" i="39"/>
  <c r="C19" i="39"/>
  <c r="D19" i="39"/>
  <c r="C17" i="39"/>
  <c r="D17" i="39"/>
  <c r="C15" i="39"/>
  <c r="D15" i="39"/>
  <c r="D362" i="21"/>
  <c r="D318" i="21"/>
  <c r="D317" i="21"/>
  <c r="D315" i="21"/>
  <c r="D313" i="21"/>
  <c r="D275" i="21"/>
  <c r="D190" i="21"/>
  <c r="D148" i="21"/>
  <c r="D107" i="21"/>
  <c r="D63" i="21"/>
  <c r="D23" i="21"/>
  <c r="D15" i="21"/>
  <c r="D16" i="21"/>
  <c r="D14" i="21"/>
  <c r="D17" i="47"/>
  <c r="D16" i="47"/>
  <c r="C17" i="46"/>
  <c r="D17" i="46"/>
  <c r="C16" i="46"/>
  <c r="D16" i="46"/>
  <c r="D16" i="45"/>
  <c r="D15" i="45"/>
  <c r="D25" i="44"/>
  <c r="D24" i="44"/>
  <c r="D23" i="44"/>
  <c r="D22" i="44"/>
  <c r="D21" i="44"/>
  <c r="D20" i="44"/>
  <c r="D19" i="44"/>
  <c r="D18" i="44"/>
  <c r="D17" i="44"/>
  <c r="D16" i="44"/>
  <c r="C15" i="44"/>
  <c r="D15" i="44"/>
  <c r="D19" i="43"/>
  <c r="C18" i="42"/>
  <c r="D18" i="42"/>
  <c r="C17" i="42"/>
  <c r="D17" i="42"/>
  <c r="D28" i="42"/>
  <c r="D27" i="42"/>
  <c r="C26" i="42"/>
  <c r="D26" i="42"/>
  <c r="C25" i="42"/>
  <c r="D25" i="42"/>
  <c r="D24" i="42"/>
  <c r="D23" i="42"/>
  <c r="C19" i="42"/>
  <c r="D19" i="42"/>
  <c r="D16" i="42"/>
  <c r="C52" i="41"/>
  <c r="D52" i="41"/>
  <c r="C51" i="41"/>
  <c r="D51" i="41"/>
  <c r="D50" i="41"/>
  <c r="D49" i="41"/>
  <c r="C47" i="41"/>
  <c r="D47" i="41"/>
  <c r="C46" i="41"/>
  <c r="D46" i="41"/>
  <c r="C45" i="41"/>
  <c r="D45" i="41"/>
  <c r="C41" i="41"/>
  <c r="D41" i="41"/>
  <c r="C40" i="41"/>
  <c r="D40" i="41"/>
  <c r="D36" i="41"/>
  <c r="D35" i="41"/>
  <c r="C31" i="41"/>
  <c r="D31" i="41"/>
  <c r="C30" i="41"/>
  <c r="D30" i="41"/>
  <c r="C29" i="41"/>
  <c r="D29" i="41"/>
  <c r="C25" i="41"/>
  <c r="D25" i="41"/>
  <c r="C24" i="41"/>
  <c r="D24" i="41"/>
  <c r="C23" i="41"/>
  <c r="D23" i="41"/>
  <c r="C22" i="41"/>
  <c r="D22" i="41"/>
  <c r="C16" i="41"/>
  <c r="D16" i="41"/>
  <c r="C14" i="41"/>
  <c r="D14" i="41"/>
  <c r="D42" i="40"/>
  <c r="D41" i="40"/>
  <c r="D40" i="40"/>
  <c r="D39" i="40"/>
  <c r="D32" i="40"/>
  <c r="C30" i="40"/>
  <c r="D30" i="40"/>
  <c r="D29" i="40"/>
  <c r="C28" i="40"/>
  <c r="D28" i="40"/>
  <c r="C27" i="40"/>
  <c r="D27" i="40"/>
  <c r="D26" i="40"/>
  <c r="D25" i="40"/>
  <c r="D23" i="40"/>
  <c r="D21" i="40"/>
  <c r="C20" i="40"/>
  <c r="D20" i="40"/>
  <c r="C19" i="40"/>
  <c r="D19" i="40"/>
  <c r="C18" i="40"/>
  <c r="D18" i="40"/>
  <c r="C17" i="40"/>
  <c r="D17" i="40"/>
  <c r="C15" i="40"/>
  <c r="D15" i="40"/>
  <c r="D47" i="39"/>
  <c r="D46" i="39"/>
  <c r="D45" i="39"/>
  <c r="D44" i="39"/>
  <c r="C43" i="39"/>
  <c r="D43" i="39"/>
  <c r="C42" i="39"/>
  <c r="D42" i="39"/>
  <c r="D37" i="39"/>
  <c r="C36" i="39"/>
  <c r="D36" i="39"/>
  <c r="C30" i="39"/>
  <c r="D30" i="39"/>
  <c r="D29" i="39"/>
  <c r="D27" i="39"/>
  <c r="D26" i="39"/>
  <c r="D24" i="39"/>
  <c r="D22" i="39"/>
  <c r="C18" i="39"/>
  <c r="D18" i="39"/>
  <c r="D16" i="38"/>
  <c r="D18" i="38"/>
  <c r="C16" i="38"/>
  <c r="D16" i="37"/>
  <c r="D18" i="37"/>
  <c r="D19" i="36"/>
  <c r="D18" i="36"/>
  <c r="D17" i="36"/>
  <c r="D16" i="36"/>
  <c r="C19" i="35"/>
  <c r="D19" i="35"/>
  <c r="C18" i="35"/>
  <c r="D18" i="35"/>
  <c r="C17" i="35"/>
  <c r="D17" i="35"/>
  <c r="C16" i="35"/>
  <c r="D16" i="35"/>
  <c r="C22" i="34"/>
  <c r="D22" i="34"/>
  <c r="C21" i="34"/>
  <c r="D21" i="34"/>
  <c r="C23" i="32"/>
  <c r="D23" i="32"/>
  <c r="C22" i="32"/>
  <c r="D22" i="32"/>
  <c r="C20" i="31"/>
  <c r="D20" i="31"/>
  <c r="C22" i="31"/>
  <c r="D22" i="31"/>
  <c r="C19" i="31"/>
  <c r="C28" i="31"/>
  <c r="D28" i="31"/>
  <c r="C27" i="31"/>
  <c r="D27" i="31"/>
  <c r="C29" i="31"/>
  <c r="D29" i="31"/>
  <c r="C18" i="32"/>
  <c r="D18" i="32"/>
  <c r="C17" i="31"/>
  <c r="D17" i="31"/>
  <c r="C16" i="31"/>
  <c r="D16" i="31"/>
  <c r="C19" i="34"/>
  <c r="D19" i="34"/>
  <c r="C19" i="32"/>
  <c r="D19" i="32"/>
  <c r="C17" i="34"/>
  <c r="D17" i="34"/>
  <c r="C18" i="34"/>
  <c r="D18" i="34"/>
  <c r="D25" i="34"/>
  <c r="D24" i="34"/>
  <c r="D23" i="34"/>
  <c r="D20" i="34"/>
  <c r="D16" i="34"/>
  <c r="C17" i="32"/>
  <c r="D17" i="32"/>
  <c r="D19" i="33"/>
  <c r="D18" i="33"/>
  <c r="D17" i="33"/>
  <c r="D16" i="33"/>
  <c r="D25" i="32"/>
  <c r="D24" i="32"/>
  <c r="D21" i="32"/>
  <c r="D20" i="32"/>
  <c r="D16" i="32"/>
  <c r="C59" i="31"/>
  <c r="D59" i="31"/>
  <c r="C58" i="31"/>
  <c r="D58" i="31"/>
  <c r="D57" i="31"/>
  <c r="D56" i="31"/>
  <c r="C54" i="31"/>
  <c r="D54" i="31"/>
  <c r="C53" i="31"/>
  <c r="D53" i="31"/>
  <c r="C52" i="31"/>
  <c r="D52" i="31"/>
  <c r="C48" i="31"/>
  <c r="D48" i="31"/>
  <c r="C47" i="31"/>
  <c r="D47" i="31"/>
  <c r="C46" i="31"/>
  <c r="D46" i="31"/>
  <c r="C45" i="31"/>
  <c r="D45" i="31"/>
  <c r="D41" i="31"/>
  <c r="D40" i="31"/>
  <c r="C36" i="31"/>
  <c r="D36" i="31"/>
  <c r="C35" i="31"/>
  <c r="D35" i="31"/>
  <c r="C34" i="31"/>
  <c r="D34" i="31"/>
  <c r="C33" i="31"/>
  <c r="D33" i="31"/>
  <c r="D17" i="30"/>
  <c r="C16" i="30"/>
  <c r="D16" i="30"/>
  <c r="C15" i="30"/>
  <c r="D15" i="30"/>
  <c r="D17" i="29"/>
  <c r="C16" i="29"/>
  <c r="D16" i="29"/>
  <c r="C18" i="27"/>
  <c r="D18" i="27"/>
  <c r="D16" i="28"/>
  <c r="C16" i="28"/>
  <c r="C20" i="28"/>
  <c r="D20" i="28"/>
  <c r="C19" i="28"/>
  <c r="D19" i="28"/>
  <c r="D17" i="28"/>
  <c r="D21" i="28"/>
  <c r="D18" i="28"/>
  <c r="C15" i="27"/>
  <c r="D15" i="27"/>
  <c r="D20" i="27"/>
  <c r="D19" i="27"/>
  <c r="C17" i="27"/>
  <c r="D17" i="27"/>
  <c r="C16" i="27"/>
  <c r="D16" i="27"/>
  <c r="C15" i="26"/>
  <c r="D15" i="26"/>
  <c r="D17" i="26"/>
  <c r="D20" i="1"/>
  <c r="D19" i="1"/>
  <c r="D18" i="1"/>
  <c r="D16" i="25"/>
  <c r="D18" i="25"/>
  <c r="D19" i="25"/>
  <c r="C16" i="16"/>
  <c r="D16" i="16"/>
  <c r="D20" i="24"/>
  <c r="C16" i="23"/>
  <c r="D16" i="23"/>
  <c r="D21" i="22"/>
  <c r="D20" i="22"/>
  <c r="D16" i="22"/>
  <c r="D15" i="22"/>
  <c r="D12" i="22"/>
  <c r="D360" i="21"/>
  <c r="D359" i="21"/>
  <c r="D358" i="21"/>
  <c r="D357" i="21"/>
  <c r="D356" i="21"/>
  <c r="D316" i="21"/>
  <c r="D314" i="21"/>
  <c r="D273" i="21"/>
  <c r="D272" i="21"/>
  <c r="D271" i="21"/>
  <c r="D270" i="21"/>
  <c r="D269" i="21"/>
  <c r="D232" i="21"/>
  <c r="D231" i="21"/>
  <c r="D229" i="21"/>
  <c r="D228" i="21"/>
  <c r="D189" i="21"/>
  <c r="D188" i="21"/>
  <c r="D187" i="21"/>
  <c r="D186" i="21"/>
  <c r="D185" i="21"/>
  <c r="D146" i="21"/>
  <c r="D145" i="21"/>
  <c r="D144" i="21"/>
  <c r="D143" i="21"/>
  <c r="D105" i="21"/>
  <c r="D104" i="21"/>
  <c r="D103" i="21"/>
  <c r="D102" i="21"/>
  <c r="D61" i="21"/>
  <c r="D59" i="21"/>
  <c r="D58" i="21"/>
  <c r="D57" i="21"/>
  <c r="D22" i="21"/>
  <c r="D20" i="21"/>
  <c r="D19" i="21"/>
  <c r="D18" i="21"/>
  <c r="D17" i="21"/>
  <c r="D18" i="20"/>
  <c r="C17" i="20"/>
  <c r="D17" i="20"/>
  <c r="D16" i="20"/>
  <c r="D16" i="19"/>
  <c r="D18" i="19"/>
  <c r="D19" i="18"/>
  <c r="D18" i="18"/>
  <c r="D17" i="18"/>
  <c r="D16" i="18"/>
  <c r="D16" i="17"/>
  <c r="D18" i="17"/>
  <c r="D19" i="17"/>
  <c r="D20" i="17"/>
  <c r="D19" i="16"/>
  <c r="D18" i="16"/>
  <c r="C17" i="16"/>
  <c r="D17" i="16"/>
  <c r="D44" i="15"/>
  <c r="D43" i="15"/>
  <c r="C42" i="15"/>
  <c r="D42" i="15"/>
  <c r="C41" i="15"/>
  <c r="D41" i="15"/>
  <c r="C40" i="15"/>
  <c r="D40" i="15"/>
  <c r="C39" i="15"/>
  <c r="D39" i="15"/>
  <c r="C38" i="15"/>
  <c r="D38" i="15"/>
  <c r="C37" i="15"/>
  <c r="D37" i="15"/>
  <c r="D36" i="15"/>
  <c r="C35" i="15"/>
  <c r="D35" i="15"/>
  <c r="C34" i="15"/>
  <c r="D34" i="15"/>
  <c r="D33" i="15"/>
  <c r="C32" i="15"/>
  <c r="D32" i="15"/>
  <c r="D31" i="15"/>
  <c r="C30" i="15"/>
  <c r="D30" i="15"/>
  <c r="D29" i="15"/>
  <c r="D28" i="15"/>
  <c r="D26" i="15"/>
  <c r="D24" i="15"/>
  <c r="C23" i="15"/>
  <c r="D23" i="15"/>
  <c r="C22" i="15"/>
  <c r="D22" i="15"/>
  <c r="C21" i="15"/>
  <c r="D21" i="15"/>
  <c r="C20" i="15"/>
  <c r="D20" i="15"/>
  <c r="C19" i="15"/>
  <c r="D19" i="15"/>
  <c r="C17" i="15"/>
  <c r="D17" i="15"/>
  <c r="D23" i="14"/>
  <c r="D22" i="14"/>
  <c r="D21" i="14"/>
  <c r="D20" i="14"/>
  <c r="C19" i="14"/>
  <c r="D19" i="14"/>
  <c r="C18" i="14"/>
  <c r="D18" i="14"/>
  <c r="C17" i="14"/>
  <c r="D17" i="14"/>
  <c r="D45" i="13"/>
  <c r="C44" i="13"/>
  <c r="D44" i="13"/>
  <c r="C43" i="13"/>
  <c r="D43" i="13"/>
  <c r="D42" i="13"/>
  <c r="C41" i="13"/>
  <c r="D41" i="13"/>
  <c r="C40" i="13"/>
  <c r="D40" i="13"/>
  <c r="C39" i="13"/>
  <c r="D39" i="13"/>
  <c r="C38" i="13"/>
  <c r="D38" i="13"/>
  <c r="C37" i="13"/>
  <c r="D37" i="13"/>
  <c r="C36" i="13"/>
  <c r="D36" i="13"/>
  <c r="D35" i="13"/>
  <c r="C34" i="13"/>
  <c r="D34" i="13"/>
  <c r="C33" i="13"/>
  <c r="D33" i="13"/>
  <c r="C32" i="13"/>
  <c r="D32" i="13"/>
  <c r="D31" i="13"/>
  <c r="D30" i="13"/>
  <c r="C29" i="13"/>
  <c r="D29" i="13"/>
  <c r="D28" i="13"/>
  <c r="D27" i="13"/>
  <c r="D25" i="13"/>
  <c r="D23" i="13"/>
  <c r="C22" i="13"/>
  <c r="D22" i="13"/>
  <c r="C21" i="13"/>
  <c r="D21" i="13"/>
  <c r="C20" i="13"/>
  <c r="D20" i="13"/>
  <c r="C19" i="13"/>
  <c r="D19" i="13"/>
  <c r="C17" i="13"/>
  <c r="D17" i="13"/>
  <c r="D24" i="12"/>
  <c r="D23" i="12"/>
  <c r="D20" i="12"/>
  <c r="C19" i="12"/>
  <c r="D19" i="12"/>
  <c r="D16" i="12"/>
  <c r="C15" i="12"/>
  <c r="D15" i="12"/>
  <c r="C13" i="12"/>
  <c r="D13" i="12"/>
  <c r="D10" i="12"/>
  <c r="D25" i="11"/>
  <c r="D24" i="11"/>
  <c r="D23" i="11"/>
  <c r="C22" i="11"/>
  <c r="D22" i="11"/>
  <c r="D19" i="11"/>
  <c r="D16" i="11"/>
  <c r="C15" i="11"/>
  <c r="D15" i="11"/>
  <c r="C13" i="11"/>
  <c r="D13" i="11"/>
  <c r="D10" i="11"/>
  <c r="D24" i="10"/>
  <c r="D23" i="10"/>
  <c r="D22" i="10"/>
  <c r="D21" i="10"/>
  <c r="C20" i="10"/>
  <c r="D20" i="10"/>
  <c r="C19" i="10"/>
  <c r="D19" i="10"/>
  <c r="C18" i="10"/>
  <c r="D18" i="10"/>
  <c r="C17" i="10"/>
  <c r="D17" i="10"/>
  <c r="C66" i="9"/>
  <c r="D66" i="9"/>
  <c r="C65" i="9"/>
  <c r="D65" i="9"/>
  <c r="D64" i="9"/>
  <c r="D63" i="9"/>
  <c r="C61" i="9"/>
  <c r="D61" i="9"/>
  <c r="C60" i="9"/>
  <c r="D60" i="9"/>
  <c r="C59" i="9"/>
  <c r="D59" i="9"/>
  <c r="C55" i="9"/>
  <c r="D55" i="9"/>
  <c r="C54" i="9"/>
  <c r="D54" i="9"/>
  <c r="C53" i="9"/>
  <c r="D53" i="9"/>
  <c r="C52" i="9"/>
  <c r="D52" i="9"/>
  <c r="D48" i="9"/>
  <c r="D47" i="9"/>
  <c r="C43" i="9"/>
  <c r="D43" i="9"/>
  <c r="C42" i="9"/>
  <c r="D42" i="9"/>
  <c r="C41" i="9"/>
  <c r="D41" i="9"/>
  <c r="C40" i="9"/>
  <c r="D40" i="9"/>
  <c r="C36" i="9"/>
  <c r="D36" i="9"/>
  <c r="C35" i="9"/>
  <c r="D35" i="9"/>
  <c r="C34" i="9"/>
  <c r="D34" i="9"/>
  <c r="C33" i="9"/>
  <c r="D33" i="9"/>
  <c r="C32" i="9"/>
  <c r="D32" i="9"/>
  <c r="C26" i="9"/>
  <c r="D26" i="9"/>
  <c r="C24" i="9"/>
  <c r="D24" i="9"/>
  <c r="C22" i="9"/>
  <c r="D22" i="9"/>
  <c r="C20" i="9"/>
  <c r="D20" i="9"/>
  <c r="C18" i="9"/>
  <c r="D18" i="9"/>
  <c r="C16" i="9"/>
  <c r="D16" i="9"/>
  <c r="D46" i="8"/>
  <c r="C45" i="8"/>
  <c r="D45" i="8"/>
  <c r="C44" i="8"/>
  <c r="D44" i="8"/>
  <c r="D43" i="8"/>
  <c r="C42" i="8"/>
  <c r="D42" i="8"/>
  <c r="C41" i="8"/>
  <c r="D41" i="8"/>
  <c r="C40" i="8"/>
  <c r="D40" i="8"/>
  <c r="C39" i="8"/>
  <c r="D39" i="8"/>
  <c r="C38" i="8"/>
  <c r="D38" i="8"/>
  <c r="C37" i="8"/>
  <c r="D37" i="8"/>
  <c r="D36" i="8"/>
  <c r="C35" i="8"/>
  <c r="D35" i="8"/>
  <c r="C34" i="8"/>
  <c r="D34" i="8"/>
  <c r="D33" i="8"/>
  <c r="C32" i="8"/>
  <c r="D32" i="8"/>
  <c r="D31" i="8"/>
  <c r="C30" i="8"/>
  <c r="D30" i="8"/>
  <c r="D29" i="8"/>
  <c r="D28" i="8"/>
  <c r="D26" i="8"/>
  <c r="D24" i="8"/>
  <c r="C23" i="8"/>
  <c r="D23" i="8"/>
  <c r="C22" i="8"/>
  <c r="D22" i="8"/>
  <c r="C21" i="8"/>
  <c r="D21" i="8"/>
  <c r="C20" i="8"/>
  <c r="D20" i="8"/>
  <c r="C19" i="8"/>
  <c r="D19" i="8"/>
  <c r="C17" i="8"/>
  <c r="D17" i="8"/>
  <c r="D31" i="7"/>
  <c r="C30" i="7"/>
  <c r="D30" i="7"/>
  <c r="D29" i="7"/>
  <c r="D28" i="7"/>
  <c r="D26" i="7"/>
  <c r="D24" i="7"/>
  <c r="C23" i="7"/>
  <c r="D23" i="7"/>
  <c r="C22" i="7"/>
  <c r="D22" i="7"/>
  <c r="C21" i="7"/>
  <c r="D21" i="7"/>
  <c r="C20" i="7"/>
  <c r="D20" i="7"/>
  <c r="C19" i="7"/>
  <c r="D19" i="7"/>
  <c r="C17" i="7"/>
  <c r="D17" i="7"/>
  <c r="C17" i="5"/>
  <c r="D17" i="5"/>
  <c r="C16" i="5"/>
  <c r="D16" i="5"/>
  <c r="D19" i="5"/>
  <c r="D18" i="5"/>
  <c r="C15" i="5"/>
  <c r="D15" i="5"/>
  <c r="C16" i="4"/>
  <c r="D16" i="4"/>
  <c r="D18" i="4"/>
  <c r="D23" i="3"/>
  <c r="D22" i="3"/>
  <c r="D21" i="3"/>
  <c r="C20" i="3"/>
  <c r="D20" i="3"/>
  <c r="D19" i="3"/>
  <c r="D18" i="3"/>
  <c r="C17" i="3"/>
  <c r="D17" i="3"/>
  <c r="D16" i="3"/>
  <c r="D24" i="2"/>
  <c r="D23" i="2"/>
  <c r="D22" i="2"/>
  <c r="C21" i="2"/>
  <c r="D21" i="2"/>
  <c r="D20" i="2"/>
  <c r="D19" i="2"/>
  <c r="C18" i="2"/>
  <c r="D18" i="2"/>
  <c r="C17" i="2"/>
  <c r="D17" i="2"/>
  <c r="D16" i="2"/>
  <c r="D17" i="1"/>
  <c r="D16" i="1"/>
  <c r="D15" i="1"/>
  <c r="D19" i="47"/>
  <c r="D20" i="47"/>
  <c r="D21" i="47"/>
  <c r="D17" i="45"/>
  <c r="D18" i="45"/>
  <c r="D19" i="129"/>
  <c r="D20" i="20"/>
  <c r="D19" i="82"/>
  <c r="D20" i="82"/>
  <c r="D138" i="93"/>
  <c r="D139" i="93"/>
  <c r="D140" i="93"/>
  <c r="G45" i="54"/>
  <c r="D22" i="24"/>
  <c r="D23" i="24"/>
  <c r="D24" i="24"/>
  <c r="D17" i="53"/>
  <c r="D18" i="53"/>
  <c r="D19" i="53"/>
  <c r="D21" i="125"/>
  <c r="D22" i="125"/>
  <c r="D23" i="125"/>
  <c r="D15" i="138"/>
  <c r="D16" i="138"/>
  <c r="D61" i="93"/>
  <c r="D62" i="93"/>
  <c r="D21" i="27"/>
  <c r="D22" i="27"/>
  <c r="D23" i="27"/>
  <c r="D19" i="85"/>
  <c r="D21" i="18"/>
  <c r="D22" i="18"/>
  <c r="D23" i="18"/>
  <c r="G49" i="54"/>
  <c r="D65" i="125"/>
  <c r="D66" i="125"/>
  <c r="D67" i="125"/>
  <c r="D20" i="25"/>
  <c r="D65" i="21"/>
  <c r="D66" i="21"/>
  <c r="D67" i="21"/>
  <c r="D20" i="74"/>
  <c r="D21" i="74"/>
  <c r="D22" i="74"/>
  <c r="D67" i="62"/>
  <c r="D68" i="62"/>
  <c r="D69" i="62"/>
  <c r="D20" i="64"/>
  <c r="D21" i="64"/>
  <c r="D22" i="64"/>
  <c r="D20" i="117"/>
  <c r="D21" i="117"/>
  <c r="D150" i="21"/>
  <c r="D151" i="21"/>
  <c r="D152" i="21"/>
  <c r="D20" i="94"/>
  <c r="D21" i="94"/>
  <c r="D20" i="133"/>
  <c r="D26" i="14"/>
  <c r="D18" i="30"/>
  <c r="D27" i="32"/>
  <c r="D28" i="32"/>
  <c r="D29" i="32"/>
  <c r="D23" i="90"/>
  <c r="D24" i="90"/>
  <c r="D15" i="139"/>
  <c r="D16" i="139"/>
  <c r="D277" i="21"/>
  <c r="D278" i="21"/>
  <c r="D279" i="21"/>
  <c r="D19" i="46"/>
  <c r="D20" i="46"/>
  <c r="G39" i="54"/>
  <c r="D21" i="1"/>
  <c r="D22" i="1"/>
  <c r="D23" i="1"/>
  <c r="D21" i="86"/>
  <c r="D22" i="86"/>
  <c r="D23" i="86"/>
  <c r="D17" i="49"/>
  <c r="D18" i="49"/>
  <c r="D19" i="49"/>
  <c r="K75" i="54"/>
  <c r="D23" i="93"/>
  <c r="D24" i="93"/>
  <c r="D99" i="93"/>
  <c r="D100" i="93"/>
  <c r="D21" i="113"/>
  <c r="D22" i="113"/>
  <c r="D23" i="113"/>
  <c r="E23" i="113"/>
  <c r="D19" i="130"/>
  <c r="D20" i="130"/>
  <c r="D21" i="130"/>
  <c r="D192" i="21"/>
  <c r="D193" i="21"/>
  <c r="D194" i="21"/>
  <c r="D364" i="21"/>
  <c r="D365" i="21"/>
  <c r="D366" i="21"/>
  <c r="D234" i="21"/>
  <c r="D235" i="21"/>
  <c r="D75" i="54"/>
  <c r="D76" i="54"/>
  <c r="D176" i="93"/>
  <c r="D177" i="93"/>
  <c r="D26" i="119"/>
  <c r="D27" i="119"/>
  <c r="D28" i="119"/>
  <c r="D18" i="127"/>
  <c r="D19" i="127"/>
  <c r="D20" i="127"/>
  <c r="D109" i="21"/>
  <c r="D110" i="21"/>
  <c r="D21" i="36"/>
  <c r="D22" i="36"/>
  <c r="D23" i="36"/>
  <c r="D28" i="54"/>
  <c r="D29" i="54"/>
  <c r="D65" i="55"/>
  <c r="D66" i="55"/>
  <c r="D67" i="55"/>
  <c r="D18" i="65"/>
  <c r="D19" i="65"/>
  <c r="D20" i="65"/>
  <c r="D19" i="84"/>
  <c r="D20" i="84"/>
  <c r="D21" i="84"/>
  <c r="D65" i="112"/>
  <c r="D66" i="112"/>
  <c r="D19" i="59"/>
  <c r="D20" i="59"/>
  <c r="D27" i="10"/>
  <c r="D28" i="10"/>
  <c r="D31" i="39"/>
  <c r="D20" i="116"/>
  <c r="D21" i="116"/>
  <c r="D22" i="116"/>
  <c r="D18" i="121"/>
  <c r="D25" i="21"/>
  <c r="D25" i="110"/>
  <c r="D26" i="110"/>
  <c r="D25" i="131"/>
  <c r="D27" i="131"/>
  <c r="D18" i="77"/>
  <c r="D19" i="77"/>
  <c r="D20" i="77"/>
  <c r="D26" i="123"/>
  <c r="D27" i="123"/>
  <c r="D21" i="101"/>
  <c r="D22" i="101"/>
  <c r="D23" i="101"/>
  <c r="D18" i="29"/>
  <c r="D19" i="29"/>
  <c r="D20" i="29"/>
  <c r="D24" i="70"/>
  <c r="D25" i="70"/>
  <c r="D26" i="70"/>
  <c r="D111" i="55"/>
  <c r="D112" i="55"/>
  <c r="D26" i="134"/>
  <c r="D27" i="134"/>
  <c r="D28" i="134"/>
  <c r="D20" i="142"/>
  <c r="D21" i="142"/>
  <c r="D22" i="142"/>
  <c r="D26" i="105"/>
  <c r="D27" i="105"/>
  <c r="D28" i="105"/>
  <c r="D22" i="43"/>
  <c r="D23" i="43"/>
  <c r="D24" i="43"/>
  <c r="D25" i="79"/>
  <c r="D21" i="95"/>
  <c r="D22" i="95"/>
  <c r="D22" i="109"/>
  <c r="D23" i="109"/>
  <c r="D25" i="12"/>
  <c r="D20" i="51"/>
  <c r="D21" i="51"/>
  <c r="D22" i="51"/>
  <c r="D25" i="55"/>
  <c r="D26" i="55"/>
  <c r="D27" i="55"/>
  <c r="D20" i="60"/>
  <c r="D21" i="60"/>
  <c r="D22" i="60"/>
  <c r="G44" i="54"/>
  <c r="D17" i="102"/>
  <c r="D18" i="102"/>
  <c r="D19" i="102"/>
  <c r="D22" i="108"/>
  <c r="D23" i="108"/>
  <c r="D24" i="108"/>
  <c r="D65" i="113"/>
  <c r="D66" i="113"/>
  <c r="D67" i="113"/>
  <c r="E67" i="113"/>
  <c r="D26" i="11"/>
  <c r="K117" i="54"/>
  <c r="K118" i="54"/>
  <c r="K119" i="54"/>
  <c r="K28" i="54"/>
  <c r="K29" i="54"/>
  <c r="K30" i="54"/>
  <c r="D18" i="71"/>
  <c r="D26" i="104"/>
  <c r="D27" i="104"/>
  <c r="D28" i="104"/>
  <c r="D21" i="63"/>
  <c r="D22" i="63"/>
  <c r="D23" i="63"/>
  <c r="D44" i="40"/>
  <c r="D45" i="40"/>
  <c r="D46" i="40"/>
  <c r="D27" i="44"/>
  <c r="D28" i="44"/>
  <c r="D29" i="44"/>
  <c r="D22" i="22"/>
  <c r="D19" i="89"/>
  <c r="D20" i="89"/>
  <c r="D21" i="89"/>
  <c r="D117" i="54"/>
  <c r="D118" i="54"/>
  <c r="D20" i="103"/>
  <c r="D21" i="103"/>
  <c r="D26" i="126"/>
  <c r="D27" i="126"/>
  <c r="D28" i="126"/>
  <c r="D30" i="56"/>
  <c r="D31" i="56"/>
  <c r="D32" i="56"/>
  <c r="D22" i="57"/>
  <c r="D23" i="57"/>
  <c r="D24" i="57"/>
  <c r="D20" i="68"/>
  <c r="D21" i="68"/>
  <c r="D22" i="68"/>
  <c r="D320" i="21"/>
  <c r="D321" i="21"/>
  <c r="D322" i="21"/>
  <c r="D18" i="23"/>
  <c r="D19" i="23"/>
  <c r="D20" i="23"/>
  <c r="D20" i="61"/>
  <c r="D21" i="61"/>
  <c r="D22" i="61"/>
  <c r="D22" i="99"/>
  <c r="D23" i="99"/>
  <c r="D24" i="99"/>
  <c r="D25" i="111"/>
  <c r="D26" i="111"/>
  <c r="D21" i="112"/>
  <c r="D22" i="112"/>
  <c r="D23" i="112"/>
  <c r="D15" i="140"/>
  <c r="D16" i="140"/>
  <c r="D49" i="39"/>
  <c r="D50" i="39"/>
  <c r="D51" i="39"/>
  <c r="D20" i="5"/>
  <c r="D21" i="5"/>
  <c r="D22" i="5"/>
  <c r="D21" i="33"/>
  <c r="D22" i="33"/>
  <c r="D23" i="33"/>
  <c r="D21" i="73"/>
  <c r="D22" i="73"/>
  <c r="D23" i="73"/>
  <c r="D19" i="100"/>
  <c r="D20" i="100"/>
  <c r="D21" i="100"/>
  <c r="D18" i="66"/>
  <c r="D19" i="66"/>
  <c r="D25" i="144"/>
  <c r="D22" i="132"/>
  <c r="D26" i="2"/>
  <c r="D27" i="34"/>
  <c r="D22" i="78"/>
  <c r="D30" i="42"/>
  <c r="D19" i="50"/>
  <c r="K76" i="54"/>
  <c r="K77" i="54"/>
  <c r="D28" i="98"/>
  <c r="D15" i="114"/>
  <c r="D16" i="114"/>
  <c r="D20" i="128"/>
  <c r="D21" i="133"/>
  <c r="D22" i="133"/>
  <c r="D25" i="3"/>
  <c r="D47" i="13"/>
  <c r="D21" i="16"/>
  <c r="D19" i="37"/>
  <c r="D20" i="37"/>
  <c r="D20" i="91"/>
  <c r="D23" i="136"/>
  <c r="D20" i="129"/>
  <c r="D21" i="129"/>
  <c r="D48" i="8"/>
  <c r="D19" i="38"/>
  <c r="D20" i="38"/>
  <c r="D22" i="48"/>
  <c r="F17" i="75"/>
  <c r="D18" i="75"/>
  <c r="F18" i="75"/>
  <c r="D17" i="88"/>
  <c r="D18" i="88"/>
  <c r="D18" i="67"/>
  <c r="D19" i="67"/>
  <c r="D21" i="35"/>
  <c r="D20" i="85"/>
  <c r="D21" i="85"/>
  <c r="D16" i="122"/>
  <c r="D17" i="122"/>
  <c r="D18" i="124"/>
  <c r="D19" i="124"/>
  <c r="D45" i="146"/>
  <c r="D27" i="14"/>
  <c r="D28" i="14"/>
  <c r="D25" i="28"/>
  <c r="D20" i="72"/>
  <c r="D21" i="72"/>
  <c r="D18" i="76"/>
  <c r="D19" i="76"/>
  <c r="D24" i="135"/>
  <c r="D25" i="143"/>
  <c r="D21" i="20"/>
  <c r="D22" i="20"/>
  <c r="D19" i="4"/>
  <c r="D20" i="4"/>
  <c r="D33" i="7"/>
  <c r="D46" i="15"/>
  <c r="D47" i="15"/>
  <c r="D19" i="19"/>
  <c r="D20" i="19"/>
  <c r="D18" i="26"/>
  <c r="D19" i="26"/>
  <c r="D24" i="69"/>
  <c r="D21" i="96"/>
  <c r="D20" i="115"/>
  <c r="D15" i="137"/>
  <c r="D26" i="97"/>
  <c r="D19" i="118"/>
  <c r="D20" i="118"/>
  <c r="D21" i="118"/>
  <c r="D23" i="118"/>
  <c r="D19" i="45"/>
  <c r="F17" i="108"/>
  <c r="D23" i="148"/>
  <c r="D24" i="148"/>
  <c r="D25" i="148"/>
  <c r="D20" i="92"/>
  <c r="D111" i="21"/>
  <c r="D26" i="120"/>
  <c r="D27" i="120"/>
  <c r="D28" i="120"/>
  <c r="D25" i="145"/>
  <c r="D26" i="145"/>
  <c r="D27" i="145"/>
  <c r="D19" i="87"/>
  <c r="D25" i="152"/>
  <c r="D26" i="152"/>
  <c r="D27" i="152"/>
  <c r="D25" i="151"/>
  <c r="D25" i="153"/>
  <c r="D26" i="153"/>
  <c r="D27" i="153"/>
  <c r="D24" i="147"/>
  <c r="D25" i="147"/>
  <c r="D26" i="147"/>
  <c r="D21" i="82"/>
  <c r="D25" i="90"/>
  <c r="D17" i="139"/>
  <c r="D17" i="138"/>
  <c r="D25" i="93"/>
  <c r="D63" i="93"/>
  <c r="D27" i="11"/>
  <c r="D28" i="11"/>
  <c r="D27" i="110"/>
  <c r="D22" i="117"/>
  <c r="G54" i="54"/>
  <c r="D29" i="10"/>
  <c r="D101" i="93"/>
  <c r="D22" i="94"/>
  <c r="D26" i="21"/>
  <c r="D27" i="21"/>
  <c r="D178" i="93"/>
  <c r="D19" i="75"/>
  <c r="F19" i="75"/>
  <c r="D21" i="46"/>
  <c r="D23" i="95"/>
  <c r="D26" i="12"/>
  <c r="D27" i="12"/>
  <c r="D28" i="123"/>
  <c r="D19" i="71"/>
  <c r="D20" i="71"/>
  <c r="D27" i="111"/>
  <c r="D28" i="111"/>
  <c r="D29" i="111"/>
  <c r="D77" i="54"/>
  <c r="L77" i="54"/>
  <c r="D67" i="112"/>
  <c r="D236" i="21"/>
  <c r="D24" i="109"/>
  <c r="F27" i="54"/>
  <c r="D32" i="39"/>
  <c r="D33" i="39"/>
  <c r="D23" i="22"/>
  <c r="D24" i="22"/>
  <c r="D17" i="140"/>
  <c r="F28" i="54"/>
  <c r="D113" i="55"/>
  <c r="D22" i="103"/>
  <c r="D25" i="135"/>
  <c r="D26" i="135"/>
  <c r="D23" i="132"/>
  <c r="D24" i="132"/>
  <c r="D26" i="144"/>
  <c r="D27" i="144"/>
  <c r="D22" i="96"/>
  <c r="D23" i="96"/>
  <c r="D48" i="15"/>
  <c r="D49" i="15"/>
  <c r="D34" i="7"/>
  <c r="D35" i="7"/>
  <c r="D20" i="50"/>
  <c r="D21" i="50"/>
  <c r="D23" i="78"/>
  <c r="D24" i="78"/>
  <c r="L119" i="54"/>
  <c r="D26" i="28"/>
  <c r="D27" i="28"/>
  <c r="D22" i="35"/>
  <c r="D23" i="35"/>
  <c r="D22" i="16"/>
  <c r="D23" i="16"/>
  <c r="D31" i="42"/>
  <c r="D32" i="42"/>
  <c r="D28" i="34"/>
  <c r="D29" i="34"/>
  <c r="D25" i="69"/>
  <c r="D26" i="69"/>
  <c r="D49" i="8"/>
  <c r="D50" i="8"/>
  <c r="D48" i="13"/>
  <c r="D49" i="13"/>
  <c r="D21" i="128"/>
  <c r="D22" i="128"/>
  <c r="D27" i="97"/>
  <c r="D28" i="97"/>
  <c r="D29" i="98"/>
  <c r="D30" i="98"/>
  <c r="D46" i="146"/>
  <c r="D47" i="146"/>
  <c r="D24" i="136"/>
  <c r="D25" i="136"/>
  <c r="D26" i="3"/>
  <c r="D27" i="3"/>
  <c r="D16" i="137"/>
  <c r="D17" i="137"/>
  <c r="D21" i="115"/>
  <c r="D22" i="115"/>
  <c r="D27" i="2"/>
  <c r="D28" i="2"/>
  <c r="D21" i="91"/>
  <c r="D22" i="91"/>
  <c r="D23" i="48"/>
  <c r="D24" i="48"/>
  <c r="D26" i="151"/>
  <c r="D27" i="151"/>
  <c r="D26" i="143"/>
  <c r="D27" i="143"/>
  <c r="D119" i="54"/>
  <c r="D30" i="54"/>
  <c r="L30" i="54"/>
  <c r="G31" i="54"/>
  <c r="G41" i="54"/>
  <c r="F29" i="54"/>
  <c r="G29" i="54"/>
  <c r="D26" i="219"/>
  <c r="D27" i="219"/>
  <c r="D37" i="219"/>
  <c r="D21" i="225" l="1"/>
</calcChain>
</file>

<file path=xl/sharedStrings.xml><?xml version="1.0" encoding="utf-8"?>
<sst xmlns="http://schemas.openxmlformats.org/spreadsheetml/2006/main" count="11363" uniqueCount="1902">
  <si>
    <t xml:space="preserve"> </t>
  </si>
  <si>
    <t>Empresa: Sr. Francisco Magaña</t>
  </si>
  <si>
    <t>Atención a:  Sr. Francisco Magaña</t>
  </si>
  <si>
    <t>Domicilio:  CONOCIDO</t>
  </si>
  <si>
    <t>Nombre del predio: EL RODEO</t>
  </si>
  <si>
    <t>EL RODEO, JALISCO.</t>
  </si>
  <si>
    <t>P r e s e n t e</t>
  </si>
  <si>
    <t>POZO EL RODEO</t>
  </si>
  <si>
    <t>INSTALACION, PRUEBAS Y CABLES PARA LLEGAR A CASETA DE CONTROL</t>
  </si>
  <si>
    <t>Notas:</t>
  </si>
  <si>
    <t xml:space="preserve">La cotización puede variar a falta de material o exceso del mismo </t>
  </si>
  <si>
    <t>Políticas de Precio y Restricciones:</t>
  </si>
  <si>
    <t>Precios sujetos a cambio sin previo aviso. T.C. 20.00</t>
  </si>
  <si>
    <t>La presente cotización tiene una vigencia de 10 días naturales.</t>
  </si>
  <si>
    <t>Los modelos y características pueden variar.</t>
  </si>
  <si>
    <t>Políticas de Garantía:</t>
  </si>
  <si>
    <t>Garantia de 1 año natural en equipo, dispositivos, material de instalación y mano de obra. En caso de aplicar</t>
  </si>
  <si>
    <t>La garantía no será válida por mal uso, maltrato, sabotaje, manipulación de terceras personas, descargas eléctricas o vicios oculto.</t>
  </si>
  <si>
    <t>Políticas de Entrega e Instalación:</t>
  </si>
  <si>
    <r>
      <rPr>
        <b/>
        <sz val="11"/>
        <rFont val="Arial"/>
        <family val="2"/>
      </rPr>
      <t>Tiempo de entrega del sistema:</t>
    </r>
    <r>
      <rPr>
        <sz val="11"/>
        <rFont val="Arial"/>
        <family val="2"/>
      </rPr>
      <t xml:space="preserve"> VARIA DEPENDIENDO DEL PUNTO A TRATAR.</t>
    </r>
  </si>
  <si>
    <r>
      <rPr>
        <b/>
        <sz val="11"/>
        <rFont val="Arial"/>
        <family val="2"/>
      </rPr>
      <t>Tiempo de instalación:</t>
    </r>
    <r>
      <rPr>
        <sz val="11"/>
        <rFont val="Arial"/>
        <family val="2"/>
      </rPr>
      <t xml:space="preserve"> no definida, previa calendarización de la misma.</t>
    </r>
  </si>
  <si>
    <t>Políticas y Medios de Pago:</t>
  </si>
  <si>
    <r>
      <rPr>
        <b/>
        <sz val="11"/>
        <rFont val="Arial"/>
        <family val="2"/>
      </rPr>
      <t>Método de Pago:</t>
    </r>
    <r>
      <rPr>
        <sz val="11"/>
        <rFont val="Arial"/>
        <family val="2"/>
      </rPr>
      <t xml:space="preserve"> Efectivo.</t>
    </r>
  </si>
  <si>
    <t>Con la seguridad de que la presente propuesta económica cumple ampliamente sus necesidades, en NUCLEO DE INGENIERIA quedamos de usted(es) como sus más atentos y seguros servidores.</t>
  </si>
  <si>
    <t>Empresa: BERRYMEX</t>
  </si>
  <si>
    <t>Atención a: ING. FRANCISCO VAZQUEZ</t>
  </si>
  <si>
    <t>Domicilio: ATEQUIZAYAN, JALISCO</t>
  </si>
  <si>
    <t>Nombre del predio: MESETA AZUL</t>
  </si>
  <si>
    <t>Atendiendo a su amable solicitud , ponemos a su consideración la siguiente propuesta económica para realizar los trabajos de maniobras y rehabilitacion de pozo.</t>
  </si>
  <si>
    <t>Cant.</t>
  </si>
  <si>
    <t>Descripción Accesorios de Sistema Eléctrico de baja Tension:</t>
  </si>
  <si>
    <t>Precio Unitario</t>
  </si>
  <si>
    <t>Importe Total:</t>
  </si>
  <si>
    <t>MATERIAL PARA EMPATE INCLUYE: CINTAS AISLANTE SUPER 33, CINTA MASILLA, CONECTORES, MANGA TERMOCONTRACTIL</t>
  </si>
  <si>
    <t>POLIDUCTO DE ALTA DENSIDAD DE 1" PARA MEDICION DE SONDA ELECTRICA</t>
  </si>
  <si>
    <t>VALVULA CHECK VERTICAL DE HIERRO DUCTIL 6" MCA. NUCLEO ING @ 600 PSI</t>
  </si>
  <si>
    <t xml:space="preserve">CAJA DE ALAMBRE CAL 10 PARA AMARRE </t>
  </si>
  <si>
    <t>INSTALACIÓN DE EQUIPO MOTOBOMBA DE 6" ALCANCE  245 MTS,  INCLUYE: MANIOBRAS DE IZAJE, DESINSTALACION DE TREN DE DESCARGA, EPP PERSONAL, MANIOBRAS. NO INCUYE EQUIPO DE CORTE O SOLDADURA EN CASO DE REQUERIRLO.</t>
  </si>
  <si>
    <t>Suma:</t>
  </si>
  <si>
    <t>Iva 16%:</t>
  </si>
  <si>
    <t>Total:</t>
  </si>
  <si>
    <t>La cotización NO INCLUYE MATERIALES DE EMPATE, TUBERIA NI CANALIZACIÓN E3N CASO DE REQUERIAR DE MANDARA UNA FACTURA DE FINIQUITO</t>
  </si>
  <si>
    <t>Garantia de 1 año natural en equipo, dispositivos, material de instalación y mano de obra.</t>
  </si>
  <si>
    <t>La garantía no será válida por mal uso, maltrato, sabotaje, manipulación de terceras personas, descargas eléctricas o vicios oculto. Solo falta anxar materiales para canalizar el equipo que se tiene que ver en campo.</t>
  </si>
  <si>
    <r>
      <rPr>
        <b/>
        <sz val="11"/>
        <rFont val="Arial"/>
        <family val="2"/>
      </rPr>
      <t>Método de Pago:</t>
    </r>
    <r>
      <rPr>
        <sz val="11"/>
        <rFont val="Arial"/>
        <family val="2"/>
      </rPr>
      <t xml:space="preserve"> Efectivo, Cheque, Transferencia Interbancaria.</t>
    </r>
  </si>
  <si>
    <r>
      <rPr>
        <b/>
        <sz val="11"/>
        <rFont val="Arial"/>
        <family val="2"/>
      </rPr>
      <t>Numero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BBVA BANCOMER</t>
    </r>
  </si>
  <si>
    <t>CANALIZACION DE CABLE SUMERGIBLE ALCANCE  15 MTS,  INCLUYE: ABRIR ZANJAS, MATERIALES DE PVC PESADO DE 3", CURCAS, TUBOS, ZAPA, CONECTORES ZAPA, EPP PERSONAL, HERRAMIENTAS, TAPAR ZANJA, MANO DE OBRA.</t>
  </si>
  <si>
    <t>04 DE ENERO DEL 2025</t>
  </si>
  <si>
    <r>
      <t xml:space="preserve">DESINTALACIÓN EQUIPO DE BOMBEO 6" ALCANCE 245 MTS, </t>
    </r>
    <r>
      <rPr>
        <sz val="12"/>
        <color rgb="FFFF0000"/>
        <rFont val="Arial"/>
        <family val="2"/>
      </rPr>
      <t>CARGADA CON AGUA</t>
    </r>
    <r>
      <rPr>
        <sz val="12"/>
        <rFont val="Arial"/>
        <family val="2"/>
      </rPr>
      <t>, INCLUYE: MANIOBRAS DE IZAJE, DESINSTALACION DE TREN DE DESCARGA, EPP PERSONAL.</t>
    </r>
  </si>
  <si>
    <r>
      <t>MOTOR SUMERGIBLE 200 HP.</t>
    </r>
    <r>
      <rPr>
        <b/>
        <sz val="12"/>
        <color rgb="FFFF0000"/>
        <rFont val="Arial"/>
        <family val="2"/>
      </rPr>
      <t xml:space="preserve"> NUEVO</t>
    </r>
    <r>
      <rPr>
        <b/>
        <i/>
        <sz val="12"/>
        <rFont val="Arial"/>
        <family val="2"/>
      </rPr>
      <t xml:space="preserve"> MCA.- SME 460 VOLTS 60 HZ. ALTA TEMP. Y EMPUJE AXIAL</t>
    </r>
  </si>
  <si>
    <r>
      <t xml:space="preserve">BOMBA SUMERGIBLE MCA.- FRANKLIN ELECTRIC EN FUND. DE HIERRO. </t>
    </r>
    <r>
      <rPr>
        <b/>
        <sz val="12"/>
        <rFont val="Arial"/>
        <family val="2"/>
      </rPr>
      <t xml:space="preserve"> 45 LT/SEG</t>
    </r>
  </si>
  <si>
    <t>SEISCIENTOS VEINTE Y CUATRO MIL SEISCIENTOS CINCUENTA Y NUEVE PESOS 12/100 M.N.</t>
  </si>
  <si>
    <t>Forma de Pago: 100 % TRABAJO FINALIZADO</t>
  </si>
  <si>
    <r>
      <rPr>
        <b/>
        <sz val="11"/>
        <rFont val="Arial"/>
        <family val="2"/>
      </rPr>
      <t>Tiempo de entrega del sistema:</t>
    </r>
    <r>
      <rPr>
        <sz val="11"/>
        <rFont val="Arial"/>
        <family val="2"/>
      </rPr>
      <t xml:space="preserve"> EQUIPO EN OPERACION salvo previa venta, una vez dado el pago.</t>
    </r>
  </si>
  <si>
    <t>CIENTO SETENTA MIL OCHOCIENTOS CUARENTA PESOS 21/100 M.N.</t>
  </si>
  <si>
    <t>CUATROCIENTOS CINCUENTA Y TRES MIL OCHOCIENTOS DIEZ Y OCHO PESOS 91/100 M.N.</t>
  </si>
  <si>
    <t>02 DE ENERO DEL 2025</t>
  </si>
  <si>
    <t>DISEÑO, FABRICACION, INSTALACION DE BARRIL PARA EQUIPO DE REBOMBEO, INCLUYE: MATERIALES EN 12", BRIDAS, EMPAQUES, TUBERIA CED. 40, SOLDADURA, FLETES, MANO DE OBRA.</t>
  </si>
  <si>
    <t>CONEXIÓN LINEA DE LLENADO DE BARRIL PARA REBOMBEO, INCLUYE: VALVULA COMP, TEE CEMENTAR CED. 40, BRIDA CEMENTAR CED. 40, TORNILLOS GALV. CODO 8", REDUCCIONES, ADPTADORES, EMPAQUES, VALVULA EXP. PEGAMENTOS, PRIMER, TUBO 8" CED 40, MANO DE OBRA, HERRAMIENTAS.</t>
  </si>
  <si>
    <t>INSTALACION DE EQUIPO DE BOMBEO</t>
  </si>
  <si>
    <t>CONEXIÓN DE SALIDA DE REBOMBEO A LINEA DE RIEGO EN 4", INCLUYE: TUBO CED. 40, TEE, BRIDA CEMENTAR, TORNILLOS, CODOS, REDUCCIONES, EMPAQUES, PEGAMENTO, MANO DE OBRA, HERRAMIENTAS.</t>
  </si>
  <si>
    <t>CANALIZACION DE CABLE PARA VARIADOR DE FRECUENCIA, INCLUYE: CABLE PLANO SUM. 3 X 2 A 1000 VOLTS, TUBO PVC PESADO, CONECTOR LICUATITE, TUBO LICUATITE, CURVAS PVC PESADO, MANO DE OBRA, HERRAMIENTAS, EMPATE DE MOTOR, PRUEBAS DE FUNCIONAMIENTO.</t>
  </si>
  <si>
    <t>Descripción Accesorios</t>
  </si>
  <si>
    <t>Atendiendo a su amable solicitud , ponemos a su consideración la siguiente propuesta económica para realizar los trabajos de servicio de reemplazo de motor y bomba.</t>
  </si>
  <si>
    <r>
      <t xml:space="preserve">SERVICIO DE DESINTALACIÓN EQUIPO DE BOMBEO 6" ALCANCE 245 MTS, </t>
    </r>
    <r>
      <rPr>
        <sz val="12"/>
        <color rgb="FFFF0000"/>
        <rFont val="Arial"/>
        <family val="2"/>
      </rPr>
      <t>CARGADA CON AGUA</t>
    </r>
    <r>
      <rPr>
        <sz val="12"/>
        <rFont val="Arial"/>
        <family val="2"/>
      </rPr>
      <t>, INCLUYE: MANIOBRAS DE IZAJE, DESINSTALACION DE TREN DE DESCARGA, EPP PERSONAL.</t>
    </r>
  </si>
  <si>
    <t>SERVICIO DE CANALIZACION DE CABLE SUMERGIBLE ALCANCE  15 MTS,  INCLUYE: ABRIR ZANJAS, MATERIALES DE PVC PESADO DE 3", CURCAS, TUBOS, ZAPA, CONECTORES ZAPA, EPP PERSONAL, HERRAMIENTAS, TAPAR ZANJA, MANO DE OBRA.</t>
  </si>
  <si>
    <t>SERVICIO DE INSTALACIÓN DE EQUIPO MOTOBOMBA DE 6" ALCANCE  245 MTS,  INCLUYE: MANIOBRAS DE IZAJE, DESINSTALACION DE TREN DE DESCARGA, EPP PERSONAL, MANIOBRAS.</t>
  </si>
  <si>
    <t>Empresa: INJERTOS DE COLIMA</t>
  </si>
  <si>
    <t>Atención a: SR. JOEL TAMEZ</t>
  </si>
  <si>
    <t>Domicilio: TEPAMES, COLIMA.</t>
  </si>
  <si>
    <t>Nombre del predio: LA PAROTA</t>
  </si>
  <si>
    <t>TEPAMES, COLIMA.</t>
  </si>
  <si>
    <t>22 DE NOVIEMBRE DEL 2024</t>
  </si>
  <si>
    <t>Atendiendo a su amable solicitud , ponemos a su consideración la siguiente propuesta económica para realizar los trabajos de venta e instalación de los siguiente equipos:</t>
  </si>
  <si>
    <t>MOTOR SUMERGIBLE TRIFASICO de 70 Hp. 460 VOLTS 60 HZ. 3510 RPM.  EMPUJE AXIAL.- 60 KN Y ALTA TEMPERATURA.</t>
  </si>
  <si>
    <r>
      <t xml:space="preserve">REBOBINABLE, MCA.- SME 5 3/4" DE DIAMETRO.  </t>
    </r>
    <r>
      <rPr>
        <b/>
        <sz val="10"/>
        <rFont val="Arial"/>
        <family val="2"/>
      </rPr>
      <t xml:space="preserve">(T.E.- INMEDIATO) </t>
    </r>
  </si>
  <si>
    <r>
      <t xml:space="preserve">BOMBA SUMERGIBLE MCA.- FRANKLIN ELECTRIC EN FUNDICION DE HIERRO. </t>
    </r>
    <r>
      <rPr>
        <b/>
        <sz val="10"/>
        <rFont val="Arial"/>
        <family val="2"/>
      </rPr>
      <t xml:space="preserve"> 16 LT/SEG  (T.E.- 1 SEMANA HABIL) </t>
    </r>
  </si>
  <si>
    <t>VALVULA CHECK VERTICAL DE CEDULA 40 DE 4" MCA. NUCLEO ING @ 600 PSI</t>
  </si>
  <si>
    <t>VALVULA CHECK VERTICAL DE HIERRO DUCTIL 4" MCA. GOULDS @ 400 PSI</t>
  </si>
  <si>
    <t>TUBO CED. 40 CON COPLE CONICO DE 4" Y 6.1 MT DE LONG. MCA.- LAGUNA.</t>
  </si>
  <si>
    <t>CABLE PLANO SUMERGIBLE CAL. 3 X 2/0 @ 1000 VOLTS</t>
  </si>
  <si>
    <t>INSTALACION DE EQUIPO DE BOMBEO CON AYUDA DE GRUA TIPO TRIPIE DE 30 TONELADAS INCLUYE:</t>
  </si>
  <si>
    <t>MANIOBRAS DE IZAJE, PRUEBAS A CABLE, MOTOR Y BOMBA (PRUEBAS ELECTROMECANICAS)</t>
  </si>
  <si>
    <t>EMPATE DE CABLE PLANO SUMERGIBLE EN CALIBRE 3/0  INCLUYE:</t>
  </si>
  <si>
    <t>CONECTOR CORTO A TOPE, CINTA 130-C, CINTA MASILLA, CINTA SUPER 33, MANGA TERMOCON. CAL. 3/0</t>
  </si>
  <si>
    <t>CAJAS DE ALAMBRE CAL. 10 PARA AMARRES</t>
  </si>
  <si>
    <t>SONDA DE ALTA PRESION PARA MEDICION DE NIVELES DE 300 PSI</t>
  </si>
  <si>
    <r>
      <t xml:space="preserve">CABEZAL 4" TAPA SANITARIA Y BRIDADO </t>
    </r>
    <r>
      <rPr>
        <b/>
        <sz val="10"/>
        <rFont val="Arial"/>
        <family val="2"/>
      </rPr>
      <t>REFORZADO</t>
    </r>
  </si>
  <si>
    <t>ARRANQUE Y PRUEBAS DE FUNCIONAMIENTO DE EQUIPO DE BOMBEO, PRUEBAS ELECTROMECANICAS</t>
  </si>
  <si>
    <t xml:space="preserve">PRUEBAS A BOCA DE POZO Y EN MEMBRANA, </t>
  </si>
  <si>
    <t>Iva 16%</t>
  </si>
  <si>
    <t>NOVECIENTOS VEINTE Y CINCO MIL CUATROCIENTOS OCHENTA Y TRES PESOS 16/100 M.N.</t>
  </si>
  <si>
    <r>
      <rPr>
        <b/>
        <sz val="11"/>
        <rFont val="Arial"/>
        <family val="2"/>
      </rPr>
      <t>Tiempo de entrega del sistema:</t>
    </r>
    <r>
      <rPr>
        <sz val="11"/>
        <rFont val="Arial"/>
        <family val="2"/>
      </rPr>
      <t xml:space="preserve"> De 1 semana hábil de la instalacion salvo previa venta, una vez dado el pago.</t>
    </r>
  </si>
  <si>
    <t>Forma de Pago: 70% al contratar, 30% AL AVISO DE ENTREGA</t>
  </si>
  <si>
    <t>06 DE NOVIEMBRE DEL 2024</t>
  </si>
  <si>
    <t>MOTOR SUMERGIBLE TRIFASICO de 100 Hp. 460 VOLTS 60 HZ. 3510 RPM.  EMPUJE AXIAL.- 35 KN Y ALTA TEMPERATURA.</t>
  </si>
  <si>
    <r>
      <t xml:space="preserve">REBOBINABLE, MCA.- ALTAMIRA SERIE RT, 8" DE DIAM.  </t>
    </r>
    <r>
      <rPr>
        <b/>
        <sz val="10"/>
        <rFont val="Arial"/>
        <family val="2"/>
      </rPr>
      <t xml:space="preserve">(T.E.- INMEDIATO) </t>
    </r>
  </si>
  <si>
    <r>
      <t xml:space="preserve">BOMBA SUMERGIBLE MCA.- ALTAMIRA, ACERO INOXIDABLE. </t>
    </r>
    <r>
      <rPr>
        <b/>
        <sz val="10"/>
        <rFont val="Arial"/>
        <family val="2"/>
      </rPr>
      <t xml:space="preserve"> 20 LT/SEG  (T.E.- 1 SEMANA HABIL) </t>
    </r>
  </si>
  <si>
    <t>TUBO CED. 40 CON COPLE CONICO DE 4" Y 6.1 MT DE LONG. MCA.- NUCLEO INGENIERIA.</t>
  </si>
  <si>
    <t>CABLE PLANO SUMERGIBLE CAL. 3 X 3/0 @ 1000 VOLTS MCA.- CONDUCTORES DEL NORTE</t>
  </si>
  <si>
    <t>ARRANCADOR A TENSION REDUCIDA PARA MOTOR DE 100 Hp. MCA.- SIEMENS</t>
  </si>
  <si>
    <t>SUB MONITOR CONNECT PARA MOTOR DE 100 HP. INCLUYE:  TCS, INSTALACION, PROGRAMACION Y PRUEBAS DE FUNCIONAMIENTO.</t>
  </si>
  <si>
    <t>MEDIDOR DE FLUJO ANALOGO DE 4" MCA.- AMEXSA MEDICION ANALOGICA</t>
  </si>
  <si>
    <t>CANALIZACION DE CABLES SUMERGIBLES DE POZO, INCLUYE:  TUBO LICUATITE, CONECTOR DE OJO, CONECTOR RECTO LICUATITE, TUBO PVC PESADO, CODO DE PVC, CONECTOR PVC PESADO, COPLES, VARILLA ROSCADA, ABRAZADERAS, CABLE THW ATERRIZADA, REGISTROS PRECOLADOS, CINTAS, MANGAS TERMOCONTRACTIL, MANO DE OBRA, HERRAMIENTAS, MANO DE OBRA.</t>
  </si>
  <si>
    <t>CARRETES ACERO AL CARBON BRIDADOS DE 4"</t>
  </si>
  <si>
    <t>LOTES DE ACCESORIOS EXP. Y ADMS. AIRE Y MANOMETRO</t>
  </si>
  <si>
    <t>VALVULA CHECK DE ALUMINIO DE 4" BRIDADO</t>
  </si>
  <si>
    <t>TEE DE FO.FO. DE 4" A 3"</t>
  </si>
  <si>
    <t>VALVULA DE COMPUERTA CON VOLANTE DE 4"</t>
  </si>
  <si>
    <t>VALVULA DE COMPUERTA CON VOLANTE DE 3"</t>
  </si>
  <si>
    <t>EMPAQUES DE NEOPRENO DE 4"</t>
  </si>
  <si>
    <t>EMPAQUE DE NEOPRENO DE 3"</t>
  </si>
  <si>
    <t>SISTEMA DE TIERRAS PARA EQUIPO DE BOMBEO SUMERGIBLE, INCLUYE:  ACOPLADOR DE IMPEDANCIAS, SOLDADURA EXOTERMICA, VARILLAS DE 3 MT CON PROTOCOLO, REGISTROS, HERRAMIENTAS Y MANO DE OBRA</t>
  </si>
  <si>
    <t>TORNILLOS GALVANIZADOS DE 3/4" X 3 1/2"</t>
  </si>
  <si>
    <t>TORNILLOS GALVANIZADOS DE 5/8" X 3"</t>
  </si>
  <si>
    <t>UN MILLON CIENTO VEINTE Y UN MIL SEISCIENTOS DIEZ Y SEIS PESOS 86/100 M.N.</t>
  </si>
  <si>
    <t>MOTOR SUM TRIFASICO de 100 Hp. 460 VOLTS 60 HZ. 3510 RPM.  EMPUJE AXIAL.- 50 KN Y ALTA TEMP</t>
  </si>
  <si>
    <r>
      <t xml:space="preserve">REBOBINABLE, MCA.- SME 8" DE DIAMETRO.  </t>
    </r>
    <r>
      <rPr>
        <b/>
        <sz val="10"/>
        <rFont val="Arial"/>
        <family val="2"/>
      </rPr>
      <t xml:space="preserve">(T.E.- INMEDIATO) </t>
    </r>
  </si>
  <si>
    <t>MOTOR SUM TRIFASICO de 100 Hp. 460 VOLTS 60 HZ. 3510 RPM.  EMPUJE AXIAL.- 40 KN</t>
  </si>
  <si>
    <r>
      <t xml:space="preserve">REBOBINABLE, MCA.- ALTAMIRA SERIE "RT" 8" DE DIAMETRO.  </t>
    </r>
    <r>
      <rPr>
        <b/>
        <sz val="10"/>
        <rFont val="Arial"/>
        <family val="2"/>
      </rPr>
      <t xml:space="preserve">(T.E.- 1 SEMANA) </t>
    </r>
  </si>
  <si>
    <t>MOTOR SUM TRIFASICO de 100 Hp. 460 VOLTS 60 HZ. 3510 RPM.  EMPUJE AXIAL.- 40 KN  Y ALTA TEMP</t>
  </si>
  <si>
    <r>
      <t xml:space="preserve">REBOBINABLE, MCA.- ALTAMIRA SERIE "X" 8" DE DIAMETRO.  </t>
    </r>
    <r>
      <rPr>
        <b/>
        <sz val="10"/>
        <rFont val="Arial"/>
        <family val="2"/>
      </rPr>
      <t xml:space="preserve">(T.E.- 1 SEMANA) </t>
    </r>
  </si>
  <si>
    <t>MOTOR SUM TRIFASICO de 125 Hp. 460 VOLTS 60 HZ. 3510 RPM.  EMPUJE AXIAL.- 35 KN</t>
  </si>
  <si>
    <r>
      <t xml:space="preserve">REBOBINABLE, MCA.- LUBI 8" DE DIAM.  </t>
    </r>
    <r>
      <rPr>
        <b/>
        <sz val="10"/>
        <rFont val="Arial"/>
        <family val="2"/>
      </rPr>
      <t xml:space="preserve">(T.E.- INMEDIATO) </t>
    </r>
  </si>
  <si>
    <t>MOTOR SUMERGIBLE TRIFASICO de 125 Hp. 460 VOLTS 60 HZ. 3510 RPM. EMPUJE AXIAL.- 35 KN</t>
  </si>
  <si>
    <r>
      <t>REBOBINABLE, MCA.- ALTAMIRA SERIE "RT".- 8" DE DIAMETRO.</t>
    </r>
    <r>
      <rPr>
        <b/>
        <sz val="10"/>
        <rFont val="Arial"/>
        <family val="2"/>
      </rPr>
      <t xml:space="preserve"> (T.E.- 1 SEMANA) </t>
    </r>
  </si>
  <si>
    <t>MOTOR SUM TRIFASICO de 125 Hp. 460 VOLTS 60 HZ. 3510 RPM.  EMPUJE AXIAL.- 50 KN Y ALTA TEMP</t>
  </si>
  <si>
    <r>
      <t xml:space="preserve">BOMBA SUMERGIBLE MCA.- LUBI ACERO INOXIDABLE. </t>
    </r>
    <r>
      <rPr>
        <b/>
        <sz val="10"/>
        <rFont val="Arial"/>
        <family val="2"/>
      </rPr>
      <t xml:space="preserve"> 20 LT/SEG  (T.E.- 1 SEMANA HABIL) </t>
    </r>
  </si>
  <si>
    <r>
      <t xml:space="preserve">BOMBA SUM. MCA.- FRANKLIN ELECTRIC EN FUNDICION DE HIERRO. </t>
    </r>
    <r>
      <rPr>
        <b/>
        <sz val="10"/>
        <rFont val="Arial"/>
        <family val="2"/>
      </rPr>
      <t xml:space="preserve"> 20 LT/SEG  (T.E.- 1 SEMANA HABIL) </t>
    </r>
  </si>
  <si>
    <t>ARRANCADOR A TENSION REDUCIDA PARA MOTOR DE 100 Hp. MCA.- ENER</t>
  </si>
  <si>
    <t>ARRANCADOR A TENSION REDUCIDA PARA MOTOR DE 125 Hp. MCA.- SIEMENS</t>
  </si>
  <si>
    <t>MEDIDOR DE FLUJO MCA. GEYSER DE 4" CON MEDICION DE GASTO INSTANTANEO</t>
  </si>
  <si>
    <t>MEDIDOR DE FLUJO ELECTROMAGNETICO DE 4" CON MEDICION DE GASTO INSTANTANEO (NO INCLUYE ALIMENTACION A 110 VOLTS)</t>
  </si>
  <si>
    <t>MEDIDOR DE FLUJO MCA. MC CROMETER DE 4" CON MEDICION DE GASTO INSTANTANEO (150 PSI)</t>
  </si>
  <si>
    <t>CABLE PLANO SUMERGIBLE CAL. 3 X 1/0 @ 1000 VOLTS</t>
  </si>
  <si>
    <t>CABLE PLANO SUMERGIBLE CAL. 3 X 3/0 @ 1000 VOLTS</t>
  </si>
  <si>
    <t>CABLE PLANO SUMERGIBLE CAL. 3 X 4/0 @ 1000 VOLTS</t>
  </si>
  <si>
    <t>VALVULA CHECK VERTICAL DE HIERRO DUCTIL 4" MCA. FLOMATIC</t>
  </si>
  <si>
    <t>SUPRESOR DE PICOS DE 400 000 AMP. (400 KA) PARA DESCARGAS ATMOSFERICAS Y RAYOS, CON ALARMA VISUAL Y AUDITIVA.</t>
  </si>
  <si>
    <t>SISTEMA DE TIERRAS PARA DESCARGAS Y DREN A TIERRA: INCLUYE:  CALCULO DE MALLA, INSTALACION DE SISTEMA, UNIFICACION DE APARTARRAYOS, ACOPLADOR DE IMPEDANCIAS. MCA.- TOTAL GROUND</t>
  </si>
  <si>
    <t>FILTRO DE ARMONICOS DV/DT MCA.- ABB 120 Amp. KIT DE CHOQUE.</t>
  </si>
  <si>
    <t>VIDEO GRABACION DINAMICA INCLUYE.- REVISION , ANALISIS Y REPORTE ESCRITO .</t>
  </si>
  <si>
    <t>ALCANCES : VERIFICACION NIVEL ESTATICO , GRADO Y TIPO DE INCRUSTACION ,REVISION ESTRUCTURAL DEL ADEME, FONDO Y AZOLVE DEL POZO.</t>
  </si>
  <si>
    <r>
      <t xml:space="preserve">La garantía no será válida por mal uso, maltrato, sabotaje, manipulación de terceras personas, descargas eléctricas o vicios oculto. Solo falta anxar materiales para canalizar el equipo que se tiene que ver en campo. </t>
    </r>
    <r>
      <rPr>
        <b/>
        <sz val="11"/>
        <rFont val="Arial"/>
        <family val="2"/>
      </rPr>
      <t>TODOS LOS PRECIOS SON MAS IVA.</t>
    </r>
  </si>
  <si>
    <r>
      <rPr>
        <b/>
        <sz val="11"/>
        <rFont val="Arial"/>
        <family val="2"/>
      </rPr>
      <t>Tiempo de entrega del sistema:</t>
    </r>
    <r>
      <rPr>
        <sz val="11"/>
        <rFont val="Arial"/>
        <family val="2"/>
      </rPr>
      <t xml:space="preserve"> De 2 a 3 semanas hábiles de la instalacion salvo previa venta, una vez dado el pago.</t>
    </r>
  </si>
  <si>
    <r>
      <rPr>
        <b/>
        <sz val="11"/>
        <rFont val="Arial"/>
        <family val="2"/>
      </rPr>
      <t>Forma de Pago: 70</t>
    </r>
    <r>
      <rPr>
        <sz val="11"/>
        <rFont val="Arial"/>
        <family val="2"/>
      </rPr>
      <t xml:space="preserve">% al contratar, </t>
    </r>
    <r>
      <rPr>
        <b/>
        <sz val="11"/>
        <rFont val="Arial"/>
        <family val="2"/>
      </rPr>
      <t>30</t>
    </r>
    <r>
      <rPr>
        <sz val="11"/>
        <rFont val="Arial"/>
        <family val="2"/>
      </rPr>
      <t>% termino del trabajo.</t>
    </r>
  </si>
  <si>
    <t>Atención: ING JOEL TAMEZ</t>
  </si>
  <si>
    <t>Domicilio: COLIMA TEPAMES LA PAROTA</t>
  </si>
  <si>
    <t>COLIMA, COLIMA.</t>
  </si>
  <si>
    <t>11 DE NOVIEMBRE DEL 2024</t>
  </si>
  <si>
    <t>Atendiendo a su amable solicitud , ponemos a su consideración la siguiente propuesta económica para realizar los trabajos de venta e instalación de los siguientes trabajos.</t>
  </si>
  <si>
    <t xml:space="preserve">INSTALACION DE TRANSFORMADOR 150 KVA 13KV 440/254 V TIPO POSTE INCLUYE: TRANSFORMADOR, SISTEMA DE TIERRAS, APARTARAYOS, CORTACIRCUITOS, CONEXIONES, TRANSPORTE,MATERIALES MENORES </t>
  </si>
  <si>
    <t>INSTALACIÓN DE POSTE DE 13 MTS CON CRUCETAS Y ESTRUCTURAS DE REMATE INCLUYE: TRASLADO DE EQUIPOS, POSTES DE 13 MTS, INCADO, CABLE RETENIDA, ANCLAS, PROTECTORES DE RETENIDA, SISTEMAS DE TIERRA, CORTACIRCUITOS, AISLADORES DE SUSPENSION, CABLE DE ALUMINIO ACSR 1/0, MATERIALES MENORES Y TODO LO NECESARIO PARA SU CORRECTA INSTALACIÓN.</t>
  </si>
  <si>
    <t>INSTALACION DE EQUIPO COMPACTO DE MEDICION MK17 RELACIÓN DE TRANSFAORMACION 10:5</t>
  </si>
  <si>
    <t>ALIMENTACION EN BAJA TENSION ALCANCE 15 MTS INCLUYE: CABLEADO CAL 3/0 3 FASES +1 NEUTRO Y TIERRA FISICA, BASE DE MEDICION, INTERRUPTOR GENERAL 40A, TUBERIA, CONECTORES, MATERIALES MENORES</t>
  </si>
  <si>
    <t>PAGO UVIE (UNIDAD VERIFICADORA DE INSTALACIONES ELECTRICAS)</t>
  </si>
  <si>
    <t>PAGO APROBACION DE PROYECTO (CFE)</t>
  </si>
  <si>
    <t>PAGO EQUIPO DE MEDICIÓN (CFE)</t>
  </si>
  <si>
    <t>PAGO INTERCALACIÓN A LA NUEVA LINEA (CFE)</t>
  </si>
  <si>
    <t>PAGO DEPOSITO EN GARANTIA DE CONTRATO A CARGO DEL USUARIO</t>
  </si>
  <si>
    <t>SUMA:</t>
  </si>
  <si>
    <t>IVA:</t>
  </si>
  <si>
    <t>TOTAL:</t>
  </si>
  <si>
    <t>UN MILLON DOSCIENTOS OCHENTA Y NUEVE MIL SEISCIENTOS NOVENTA Y OCHO PESOS 35/100 M.N.</t>
  </si>
  <si>
    <t>La cotización puede variar a falta de material o exceso del mismo o en base a diseño de CFE</t>
  </si>
  <si>
    <t>La garantía no será válida por mal uso, maltrato, sabotaje, manipulación de terceras personas, descargas eléctricas o vicios oculto. Solo falta anexar materiales para canalizar el equipo que se tiene que ver en campo.</t>
  </si>
  <si>
    <r>
      <rPr>
        <b/>
        <sz val="11"/>
        <rFont val="Arial"/>
        <family val="2"/>
      </rPr>
      <t>Tiempo de entrega del sistema:</t>
    </r>
    <r>
      <rPr>
        <sz val="11"/>
        <rFont val="Arial"/>
        <family val="2"/>
      </rPr>
      <t xml:space="preserve"> De 3 a 4 meses hábiles de la instalacion salvo previa venta, una vez dado el pago. De acuerdo a avances de CFE</t>
    </r>
  </si>
  <si>
    <t>TRAMITES: SE HARAN EN BASE AL AVANCE DE CFE.</t>
  </si>
  <si>
    <r>
      <rPr>
        <b/>
        <sz val="11"/>
        <rFont val="Arial"/>
        <family val="2"/>
      </rPr>
      <t>Forma de Pago: 70</t>
    </r>
    <r>
      <rPr>
        <sz val="11"/>
        <rFont val="Arial"/>
        <family val="2"/>
      </rPr>
      <t>% ANTICIPO 20% AL INSTALAR  10% AL FINALIZAR OBRA.</t>
    </r>
  </si>
  <si>
    <t>Con la seguridad de que la presente propuesta económica cumple ampliamente sus necesidades, en NUCLEO DE INGENIERIA APLICADA quedamos de usted(es) como sus más atentos y seguros servidores.</t>
  </si>
  <si>
    <t>Empresa: INDAMEX</t>
  </si>
  <si>
    <t>Atención a: ING. CARLOS FLORES CEJA</t>
  </si>
  <si>
    <t>Nombre del predio: Pozo Abastecimiento 2</t>
  </si>
  <si>
    <t>Ubicacion: Jiquilpán, Michoacan.</t>
  </si>
  <si>
    <t>24 DE NOVIEMBRE DEL 2024</t>
  </si>
  <si>
    <t>Descripción Accesorios de Sistema Eléctrico de baja Tension Y Manioibras:</t>
  </si>
  <si>
    <t>MANIOBRA DE DES-INST DE EQUIPO DE BOMBEO CON AYUDA DE</t>
  </si>
  <si>
    <t>GRUA TIPO TRIPIE, INCLUYE: DESINSTALACION DE</t>
  </si>
  <si>
    <t>TREN DE DESCARGA, MANIOBRAS DE IZAJE, EPP.</t>
  </si>
  <si>
    <t xml:space="preserve">MOTOR SUMERGIBLE TRIFASICO de 30 Hp. 460 VOLTS 60 HZ. 3510 RPM.  </t>
  </si>
  <si>
    <t xml:space="preserve">EMP AXI.- 30 KN, REBOBINABLE, MCA.- RT 6" DE DIAMETRO.  </t>
  </si>
  <si>
    <r>
      <t xml:space="preserve">BOMBA SUMERGIBLE MCA.- ALTAMIRA EN ACERO INOXIDABLE. </t>
    </r>
    <r>
      <rPr>
        <b/>
        <sz val="12"/>
        <rFont val="Aptos Narrow"/>
        <family val="2"/>
        <scheme val="minor"/>
      </rPr>
      <t xml:space="preserve"> 30 HP. </t>
    </r>
  </si>
  <si>
    <t>MANIOBRA DE INSTALACION DE EQUIPO DE BOMBEO CON AYUDA DE</t>
  </si>
  <si>
    <t>TREN DE DESCARGA, MANIOBRAS DE IZAJE, EPP, HERRAMIENTAS NECESARIAS.</t>
  </si>
  <si>
    <t>EMPATE DE CABLE PLANO SUMERGIBLE EN CALIBRE 6 INCLUYE:</t>
  </si>
  <si>
    <t xml:space="preserve">CONECTOR CORTO DE OJO, CINTA 130-C, CINTA MASILLA, CINTA SUPER 33, </t>
  </si>
  <si>
    <t>MANGA TERMOCON. CAL. 1/0, MANGA TERMOCONTRACTIL CAL. 750 MCM</t>
  </si>
  <si>
    <t>SERVICIO DE ARRANQUE Y PRUEBAS DE FUNCIONAMIENTO DE POZO.</t>
  </si>
  <si>
    <t>Sub-Total.-</t>
  </si>
  <si>
    <t>EL MOTOR TIENE 1 AÑO DE GARANTIA CON PROVEDOR CON NUESTRA ASISTENCIA.</t>
  </si>
  <si>
    <t>LA BOMBA TIENE 3 MESES DE GARANTIA, LA GARANTIA NO INCLUYE LAS MANIOBRAS CON GRUA.</t>
  </si>
  <si>
    <t>CIENTO VEINTE Y NUEVE MIL CUATROCIENTOS VEINTE Y DOS PESOS 97/100 M.N.</t>
  </si>
  <si>
    <t>Garantia por maniobra solamente en equipo, dispositivos, material de instalación y mano de obra.</t>
  </si>
  <si>
    <r>
      <rPr>
        <b/>
        <sz val="11"/>
        <rFont val="Arial"/>
        <family val="2"/>
      </rPr>
      <t>Tiempo de entrega del sistema:</t>
    </r>
    <r>
      <rPr>
        <sz val="11"/>
        <rFont val="Arial"/>
        <family val="2"/>
      </rPr>
      <t xml:space="preserve"> De salvo previa venta, una vez dado el pago.</t>
    </r>
  </si>
  <si>
    <t>Forma de Pago: 100% TRABAJO REALIZADO</t>
  </si>
  <si>
    <t xml:space="preserve">EMP AXI.- 50 KN, REB, MCA.- SME 6" ALTO EMPUJE Y ALTA TEMP.  </t>
  </si>
  <si>
    <r>
      <t xml:space="preserve">BOMBA SUMERGIBLE MCA.- FRANKLIN ELECTRIC DE FUNDICION DE HIERRO. </t>
    </r>
    <r>
      <rPr>
        <b/>
        <sz val="12"/>
        <rFont val="Aptos Narrow"/>
        <family val="2"/>
        <scheme val="minor"/>
      </rPr>
      <t xml:space="preserve"> 30 HP. </t>
    </r>
  </si>
  <si>
    <t>SUB MONITOR CONNECT PARA MOTOR DE 60 HP. INCLUYE:  TCS, INSTALACION, PROGRAMACION Y PRUEBAS DE FUNCIONAMIENTO.</t>
  </si>
  <si>
    <t>CIENTO NOVENTA Y SIETE MIL OCHOCIENTOS NOVENTA Y UN PESOS 65/100 M.N.</t>
  </si>
  <si>
    <t>Garantia por maniobra solamente en equipo, dispositivos, material</t>
  </si>
  <si>
    <r>
      <rPr>
        <b/>
        <sz val="11"/>
        <rFont val="Arial"/>
        <family val="2"/>
      </rPr>
      <t>Tiempo de instalación:</t>
    </r>
    <r>
      <rPr>
        <sz val="11"/>
        <rFont val="Arial"/>
        <family val="2"/>
      </rPr>
      <t xml:space="preserve"> no definida, previa calendarización.</t>
    </r>
  </si>
  <si>
    <t>Forma de Pago: 70% AL CONTRATAR 30% AL AVISO DE ENTREGA</t>
  </si>
  <si>
    <t>Nombre del predio: PILITAS 3</t>
  </si>
  <si>
    <t>ZAPOTLAN EL GRANDE, JALISCO.</t>
  </si>
  <si>
    <t>03 DE NOVIEMBRE DEL 2024</t>
  </si>
  <si>
    <t>MOTOR SUMERGIBLE TRIFASICO de 175 Hp. 460 VOLTS 60 HZ. 3510 RPM.  EMPUJE AXIAL.- 60 KN Y ALTA TEMPERATURA.</t>
  </si>
  <si>
    <r>
      <t xml:space="preserve">REBOBINABLE, MCA.- SME 8" DE DIAMETRO.  </t>
    </r>
    <r>
      <rPr>
        <b/>
        <sz val="10"/>
        <rFont val="Arial"/>
        <family val="2"/>
      </rPr>
      <t xml:space="preserve">(T.E.- 1 SEMANAS HABILES) </t>
    </r>
  </si>
  <si>
    <r>
      <t xml:space="preserve">BOMBA SUMERGIBLE MCA.- FRANKLIN ELECTRIC EN FUNDICION DE HIERRO. </t>
    </r>
    <r>
      <rPr>
        <b/>
        <sz val="10"/>
        <rFont val="Arial"/>
        <family val="2"/>
      </rPr>
      <t xml:space="preserve"> 33 LT/SEG  (T.E.- 1 SEMANA HABIL) </t>
    </r>
  </si>
  <si>
    <t>VALVULA CHECK VERTICAL DE HIERRO DUCTIL 6" MCA. GOULDS @ 400 PSI</t>
  </si>
  <si>
    <t>TUBO CED. 40 CON COPLE CONICO DE 6" Y 6.1 MT DE LONG. MCA.- NUCLEO INGENIERIA.</t>
  </si>
  <si>
    <t>ARRANCADOR A TENSION REDUCIDA PARA MOTOR DE 200 Hp.</t>
  </si>
  <si>
    <t>SUB MONITOR CONNECT PARA MOTOR DE 175 HP. INCLUYE:  TCS, INSTALACION, PROGRAMACION Y PRUEBAS DE FUNCIONAMIENTO.</t>
  </si>
  <si>
    <t>MEDIDOR DE FLUJO ANALOGO DE 6" MCA.- AMEXSA MEDICION ANALOGICA</t>
  </si>
  <si>
    <r>
      <t xml:space="preserve">CABEZAL 6" TAPA SANITARIA Y BRIDADO </t>
    </r>
    <r>
      <rPr>
        <b/>
        <sz val="10"/>
        <rFont val="Arial"/>
        <family val="2"/>
      </rPr>
      <t>REFORZADO</t>
    </r>
  </si>
  <si>
    <t>CARRETES ACERO AL CARBON BRIDADOS DE 6"</t>
  </si>
  <si>
    <t>VALVULA CHECK DE ALUMINIO DE 6" BRIDADO</t>
  </si>
  <si>
    <t>TEE DE FO.FO. DE 6" A 4"</t>
  </si>
  <si>
    <t>VALVULA DE COMPUERTA CON VOLANTE DE 6"</t>
  </si>
  <si>
    <t>EMPAQUES DE NEOPRENO DE 6"</t>
  </si>
  <si>
    <t>EMPAQUE DE NEOPRENO DE 4"</t>
  </si>
  <si>
    <t>UN MILLON QUINIENTOS DOCE MIL SEISICIENTOS CINCUENTA Y SIETE PESOS 44/100 M.N.</t>
  </si>
  <si>
    <r>
      <rPr>
        <b/>
        <sz val="11"/>
        <rFont val="Arial"/>
        <family val="2"/>
      </rPr>
      <t>Tiempo de entrega del sistema:</t>
    </r>
    <r>
      <rPr>
        <sz val="11"/>
        <rFont val="Arial"/>
        <family val="2"/>
      </rPr>
      <t xml:space="preserve"> De 1 - 2 semana hábil de la instalacion salvo previa venta, una vez dado el pago.</t>
    </r>
  </si>
  <si>
    <t>Forma de Pago: 70% al contratar, 30% AL AVISO DE ENTREGA.</t>
  </si>
  <si>
    <t xml:space="preserve">Empresa: AGROPECUARIA VILLANUEVA   </t>
  </si>
  <si>
    <t>Atención: LIC. FRANCISCO MAGAÑA VILLANUEVA</t>
  </si>
  <si>
    <t>Domicilio: RANCHERIAS</t>
  </si>
  <si>
    <t>Nombre del predio: PILITAS</t>
  </si>
  <si>
    <t>CIUDAD GUZMAN JALISCO.</t>
  </si>
  <si>
    <t>07 DE NOVIEMBRE DEL 2024</t>
  </si>
  <si>
    <t xml:space="preserve">INSTALACION DE TRANSFORMADOR 300 KVA 23KV 440/254 V TIPO POSTE INCLUYE: TRANSFORMADOR, SISTEMA DE TIERRAS, APARTARAYOS, CORTACIRCUITOS, CONEXIONES, TRANSPORTE,MATERIALES MENORES </t>
  </si>
  <si>
    <t>ALIMENTACION EN BAJA TENSION ALCANCE 15 MTS INCLUYE: CABLEADO CAL 4/0 DOS LINEAS POR FASE +1 NEUTRO Y TIERRA FISICA, INTERRUPTOR GENERAL 400A, BASE DE MEDICION 13-20, TC´S(TRANSFORMADORES DE CORRIENTE), TUBERIA, CONECTORES, MATERIALES MENORES</t>
  </si>
  <si>
    <t xml:space="preserve">PAGO APROBACION DE PROYECTO </t>
  </si>
  <si>
    <t>PAGO EQUIPO DE MEDICIÓN</t>
  </si>
  <si>
    <t>PAGO INTERCALACIÓN A LA NUEVA LINEA</t>
  </si>
  <si>
    <t>UN MILLON NOVENTA Y SIETE MIL NOVECIENTOS TREINTA PESOS 19/100 M.N.</t>
  </si>
  <si>
    <t>Precios sujetos a cambio sin previo aviso. T.C. 21.00</t>
  </si>
  <si>
    <t>Empresa: A QUIEN CORRESPONDA</t>
  </si>
  <si>
    <t>Atención a: SR. SANTIAGO LEON TOVAR - SR. FEDERICO MACIAS</t>
  </si>
  <si>
    <t>Domicilio: COAHUAYOTE</t>
  </si>
  <si>
    <t>Nombre del predio: PALO BLANCO  fdmacias@gmail.com</t>
  </si>
  <si>
    <t>COAHUAYOTE, JALISCO.</t>
  </si>
  <si>
    <t>03 DE DICIEMBRE DEL 2024</t>
  </si>
  <si>
    <t>MOTOR SUMERGIBLE TRIFASICO de 50 Hp. 460 VOLTS 60 HZ. 3510 RPM.  EMPUJE AXIAL.- 20 KN Y ALTA TEMPERATURA.</t>
  </si>
  <si>
    <r>
      <t xml:space="preserve">REBOBINABLE, MCA.- SME 6" DE DIAMETRO.  </t>
    </r>
    <r>
      <rPr>
        <b/>
        <sz val="10"/>
        <rFont val="Arial"/>
        <family val="2"/>
      </rPr>
      <t xml:space="preserve">(T.E.- INMEDIATO) </t>
    </r>
  </si>
  <si>
    <r>
      <t xml:space="preserve">BOMBA SUMERGIBLE MCA.- FRANKLIN ELECTRIC EN FUNDICION DE HIERRO. </t>
    </r>
    <r>
      <rPr>
        <b/>
        <sz val="10"/>
        <rFont val="Arial"/>
        <family val="2"/>
      </rPr>
      <t xml:space="preserve"> 20 LT/SEG  (T.E.- 1 SEMANA HABIL) </t>
    </r>
  </si>
  <si>
    <t>VALVULA CHECK VERTICAL DE HIERRO DUCTIL 4" MCA. NUCLEO ING @ 600 PSI</t>
  </si>
  <si>
    <t>CABLE PLANO SUMERGIBLE CAL. 3 X 2 @ 1000 VOLTS</t>
  </si>
  <si>
    <t>ARRANCADOR A TENSION REDUCIDA PARA MOTOR DE 50 Hp.</t>
  </si>
  <si>
    <t>SUB MONITOR CONNECT PARA MOTOR DE 50 HP. INCLUYE:  TCS, INSTALACION, PROGRAMACION Y PRUEBAS DE FUNCIONAMIENTO.</t>
  </si>
  <si>
    <t>CABEZAL 4" TAPA SANITARIA Y BRIDADO</t>
  </si>
  <si>
    <t>DESC.-</t>
  </si>
  <si>
    <t>QUINIENTOS SESENTA Y DOS MIL CUATROCIENTOS CUARENTA PESOS 87/100 M.N.</t>
  </si>
  <si>
    <t>Forma de Pago: 50% al contratar, 50% AL AVISO DE ENTREGA.</t>
  </si>
  <si>
    <t xml:space="preserve">Atención a: ING. JESUS CABALLERO </t>
  </si>
  <si>
    <t>Domicilio: VILLAMAR MICHOACAN</t>
  </si>
  <si>
    <t xml:space="preserve">Nombre del predio: INDAMEX POZO 1 </t>
  </si>
  <si>
    <t>06 DE DICIEMBRE DEL 2024</t>
  </si>
  <si>
    <t>BOMBA SUMERGIBLE ALTAMIRA 4 L/S 9 TAZONES</t>
  </si>
  <si>
    <t>INSTALACIÓN DE EQUIPO MOTOBOMBA DE 4" ALCANCE COLUMNA 101.5 MTS,  INCLUYE: MANIOBRAS DE IZAJE, INSTALACIÓN DE TREN DE DESCARGA, EPP PERSONAL, MANIOBRAS. NO INCUYE EQUIPO DE CORTE O SOLDADURA EN CASO DE REQUERIRLO.</t>
  </si>
  <si>
    <t>EMPATE Y CONEXIONES DE MOTOR, PRUEBAS DE FUNCIONAMIENTO EN VACIO Y EN SISTEMA</t>
  </si>
  <si>
    <t>DOSCIENTOS CINCUENTA Y CUATRO MIL DOSCIENTOS VEINTISEIS PESOS 27/100 M.N.</t>
  </si>
  <si>
    <r>
      <rPr>
        <b/>
        <sz val="11"/>
        <rFont val="Arial"/>
        <family val="2"/>
      </rPr>
      <t>Tiempo de entrega del sistema:</t>
    </r>
    <r>
      <rPr>
        <sz val="11"/>
        <rFont val="Arial"/>
        <family val="2"/>
      </rPr>
      <t xml:space="preserve"> De 4 DIAS HABILES salvo previa venta, una vez dado el pago.</t>
    </r>
  </si>
  <si>
    <t>Forma de Pago: 70 % AL CONTRATAR 30% AL FINALIZAR</t>
  </si>
  <si>
    <t>PESCA DE FLECHA A 110 MTS CON AYUDA DE GRUA TIPO TRIPIE, TUBERIA 4", ELABORACION DE PESCANTES</t>
  </si>
  <si>
    <t>VEINTINUEVE MIL PESOS 00/100 M.N.</t>
  </si>
  <si>
    <t>SE REALIZARAN VARIOS INTENTOS DE PESCA CON VARIAS HERRAMIENTAS, EN CASO DE NO TENER ÉXITO, SE DEJARA DE REALIZAR INTENTOS Y SE TENDRA QUE REALIZAR EL PAGO TOTAL DEL TRABAJO.</t>
  </si>
  <si>
    <r>
      <rPr>
        <b/>
        <sz val="11"/>
        <rFont val="Arial"/>
        <family val="2"/>
      </rPr>
      <t>Tiempo de entrega del sistema:</t>
    </r>
    <r>
      <rPr>
        <sz val="11"/>
        <rFont val="Arial"/>
        <family val="2"/>
      </rPr>
      <t xml:space="preserve"> De 1 DIA HABIL salvo previa venta, una vez dado el pago.</t>
    </r>
  </si>
  <si>
    <t xml:space="preserve">LIMPIEZA DE POZO CON ADEME DE 8" PROFUNDIDAD DE 110 MTS INCLUYE: APLICACIÓN DE LIQUIDOS LIMPIADORES Y DESINFECTANTES, TRABAJO MECANICO CON CEPILLO DE ALAMBRE DE 4 MIN/MTS Y SANITIZACIÓN FINAL DEL POZO </t>
  </si>
  <si>
    <t>LIQUIDO DESINCRUSTANTE MCA.- ALCO GARRAFA 20 LTS</t>
  </si>
  <si>
    <t>LIQUIDO DESINFECTANTE MCA.- ALCO GARRAFA 20 LTS</t>
  </si>
  <si>
    <t>HTH SANITIZANTE GRANULAR AL 97% CONFORME A NORMA 2018</t>
  </si>
  <si>
    <t>OCHENTA Y SEIS MIL NOVENTA Y DOS PESOS 88/100 M.N.</t>
  </si>
  <si>
    <r>
      <rPr>
        <b/>
        <sz val="11"/>
        <rFont val="Arial"/>
        <family val="2"/>
      </rPr>
      <t>Tiempo de entrega del sistema:</t>
    </r>
    <r>
      <rPr>
        <sz val="11"/>
        <rFont val="Arial"/>
        <family val="2"/>
      </rPr>
      <t xml:space="preserve"> De 4 SEMANAS HABILES salvo previa venta, una vez dado el pago.</t>
    </r>
  </si>
  <si>
    <t>10 DE DICIEMBRE DEL 2024</t>
  </si>
  <si>
    <t>GEOFISICA MEDIANTE METODO T.E.M. PARA DETERMINAR PERFORACION DE POZO PROFUNDO PARA ALUMBRAMIENTO HIDRAHULICO, INCLUYE:  ESTUDIO DE CAMPO, ANALISIS DE DATOS, REPORTE POR ESCRITO Y PRE DISEÑO DE POZO.</t>
  </si>
  <si>
    <t>VEINTE Y OCHO MIL CUATROCIENTOS VEINTE PESOS 00/100 M.N.</t>
  </si>
  <si>
    <t>14 DE DICIEMBRE DEL 2024</t>
  </si>
  <si>
    <t>ESTUDIO GEOFISICO PARA DEFINIR PUNTO DE PERFORACION DE POZO PROFUNDO.</t>
  </si>
  <si>
    <t>PERFORACION DE POZO PROFUNDO EN ADEME DE 10" A UNA PROFUNDIDAD DE 200 MT. CON MAQUINA ROTARIA DE LODOS, EN DIAMETRO DE 16". INCLUYE:  PERFORADO, ADEMADO EN ACERO DE 1/4" DE 10", ENGRAVADO, CONTRA ADEMADO, AFORADO POR 24 HORAS.</t>
  </si>
  <si>
    <t>EQUIPAMIENTO DE POZO PROFUNDO PARA OBTENER UN GASTO DE 20 LT/SEG INSTALADO A 140 MT DE PROFUNDIDAD CON TUBERIA DE 4", INCLUYE: TUBERIA CED. 40 DE 4", CABLE A 1000 VOLTS, ARRANCADOR A TENSION REDUCIDA CON PROTECCION, VALVULAS CHECK, TREN DE DESCARGA NORMALIZADO ANTE COMISION NACIONAL DEL AGUA, INSTALACION, CURSOS DE CAPACITACION AL PERSONAL PARA CORRECTA OPERACION DEL EQUIPO Y PRUEBAS DE FUNCIONAMIENTO.</t>
  </si>
  <si>
    <t>DOS MILLONES SETECIENTOS TREINTA Y UN MIL DOSCIENTOS VEINTE PESOS 00/100 M.N.</t>
  </si>
  <si>
    <r>
      <rPr>
        <b/>
        <sz val="11"/>
        <rFont val="Arial"/>
        <family val="2"/>
      </rPr>
      <t>Tiempo de entrega del sistema:</t>
    </r>
    <r>
      <rPr>
        <sz val="11"/>
        <rFont val="Arial"/>
        <family val="2"/>
      </rPr>
      <t xml:space="preserve"> De 1 MES HABIL salvo previa venta, una vez dado el pago.</t>
    </r>
  </si>
  <si>
    <t>Empresa: Hortifrut ABA</t>
  </si>
  <si>
    <t>Atención a: Ing. Edson Ramirez - Perla Galindo</t>
  </si>
  <si>
    <t>Domicilio: CONOCIDO</t>
  </si>
  <si>
    <t>Nombre del predio: Guayabos</t>
  </si>
  <si>
    <t>ZAPOTILTIC, JALISCO.</t>
  </si>
  <si>
    <t>CAMPO</t>
  </si>
  <si>
    <t>C. ACT</t>
  </si>
  <si>
    <t>ITEM</t>
  </si>
  <si>
    <t>COSTO</t>
  </si>
  <si>
    <t>TIEMPO EST. TRAB</t>
  </si>
  <si>
    <t>GUAYABOS</t>
  </si>
  <si>
    <t>A</t>
  </si>
  <si>
    <t>EQUIPO DE BOMBEO DE 250 HP BOMBA DE 50 LPS CON UNA CDT DE 250 MCA</t>
  </si>
  <si>
    <t>1-3 DIAS</t>
  </si>
  <si>
    <t>4 TRAMOS DE TUBERIA DE 8"</t>
  </si>
  <si>
    <t>60 METROS DE CABLE 4/0</t>
  </si>
  <si>
    <t>MANIOBRAS DE DESINTALACION E INTALACION CON GRUA TIPO TRIPIE, 264 M DE TUBERIA DE 8" (44 TRAMOS), MATERIAL PARA EMPATE DE CABLE, CAJA DE ALAMBRE PARA FIJACION DE MANGUERA Y CABLE, PRUBAS Y CONFIGURACION DE EQUIPO DE BOMBEO. INCLUYE MAT. EMPATE, CAJAS DE ALAMBRE Y LO NECESARIO PARA INSTALAR.</t>
  </si>
  <si>
    <t>8 DIAS</t>
  </si>
  <si>
    <t>AFORO CON PRUEBAS DE 20 A 60 LPS A 320 MT. COMO MAXIMO EN UN PERIODO DE 72 HRS</t>
  </si>
  <si>
    <t>3 DIAS</t>
  </si>
  <si>
    <t>C</t>
  </si>
  <si>
    <t>CEPILLADO Y DESAZOLVE DE POZO CON PULSETA A 336 M, DIAMETRO DE ADEME DE 12"</t>
  </si>
  <si>
    <t>2 -3 DIAS</t>
  </si>
  <si>
    <t>SERVICIO DE DESARROLLO DEL POZO MEDIANTE AIRE COMPRIMIDO CON LA TECNOLOGIA AIRSHOCK</t>
  </si>
  <si>
    <t>1 DIA</t>
  </si>
  <si>
    <t>ELEMENTOS SANITIZANTES, JABON LIQUIDO PARA APLICACIÓN EN FILTRO, HTH CLORO PARA DESINFECCION DEL POZO DESPUES DEL CEPILLADO (BAJA CONCENTRACION DE TRATAMIENTO QUIMICO)</t>
  </si>
  <si>
    <t>VIDEO ANTES Y DESPUES DE LA LIMPIEZA</t>
  </si>
  <si>
    <t>2 DIAS</t>
  </si>
  <si>
    <t>E</t>
  </si>
  <si>
    <t>SONDA DE NIVEL HIDROSTATICO</t>
  </si>
  <si>
    <t>F</t>
  </si>
  <si>
    <t>MTTO A EQUIPO DE BOMBEO DE POZOS, BOMBA SUMERGIBLE DE 250 HP Y 200 HP</t>
  </si>
  <si>
    <t>POR COTIZAR</t>
  </si>
  <si>
    <t>Nombre del predio: SAN JOSE</t>
  </si>
  <si>
    <t>CD. GUZMAN, JALISCO.</t>
  </si>
  <si>
    <t>SAN JOSE</t>
  </si>
  <si>
    <t>MANIOBRAS DE DESINTALACION E INTALACION CON GRUA TIPO TRIPIE, 144 M DE TUBERIA DE 8" (24 TRAMOS), MATERIAL PARA EMPATE DE CABLE, CAJA DE ALAMBRE PARA FIJACION DE MANGUERA Y CABLE, PRUBAS Y CONFIGURACION DE EQUIPO DE BOMBEO</t>
  </si>
  <si>
    <t>CEPILLADO Y DESAZOLVE DE POZO CON PULSETA A 150 M, DIAMETRO DE ADEME DE 12"</t>
  </si>
  <si>
    <t>2-3 DIAS</t>
  </si>
  <si>
    <t>ELEMENTOS SANITIZANTES, JABON LIQUIDO PARA APLICACIÓN EN FILTRO, HTH CLORO PARA DESINFECCION DEL POZO DESPUES DEL CEPILLADO (BAJA CONSETRACION DE TRATAMIENTO QUIMICO)</t>
  </si>
  <si>
    <t>D</t>
  </si>
  <si>
    <t>AFORO DE POZO Y CARACTERIZACION DE AGUA</t>
  </si>
  <si>
    <t>MTTO A EQUIPO DE BOMBEO DE POZOS, BOMBA SUMERGIBLE DE 125 HP</t>
  </si>
  <si>
    <t>Nombre del predio: Rincon</t>
  </si>
  <si>
    <t>RINCON</t>
  </si>
  <si>
    <t>MANIOBRAS DE DESINTALACION E INTALACION CON GRUA TIPO TRIPIE, 126 M DE TUBERIA DE 8" (21 TRAMOS), MATERIAL PARA EMPATE DE CABLE, CAJA DE ALAMBRE PARA FIJACION DE MANGUERA Y CABLE, PRUBAS Y CONFIGURACION DE EQUIPO DE BOMBEO</t>
  </si>
  <si>
    <t>4 -6 DIAS</t>
  </si>
  <si>
    <t>CEPILLADO Y DESAZOLVE DE POZO CON PULSETA A 150 M Ó 200 M, DIAMETRO DE ADEME DE 12"</t>
  </si>
  <si>
    <t>ELEMENTOS SANITIZANTES, JABON LIQUIDO PARA APLICACIÓN EN FILTRO, HTH CLORO PARA DESINFECCION DEL POZO DESPUES DEL CEPILLADO (ALTA CONCENTRACION DE TRATAMIENTO QUIMICO) DESINCRUSTANTE Y PARA MATERIA ORGANICA 4 BIDONES.</t>
  </si>
  <si>
    <t>AFORO DE POZO Y CARACTERIZACION DE AGUA (72 HORAS)</t>
  </si>
  <si>
    <t>MTTO A EQUIPO DE BOMBEO DE POZOS, BOMBA TURBINA VERTICAL (FLECHA HUECA) DE 150 HP</t>
  </si>
  <si>
    <t>Nombre del predio: Centenario</t>
  </si>
  <si>
    <t>CENTENARIO</t>
  </si>
  <si>
    <t>MANIOBRAS DE DESINTALACION E INTALACION CON GRUA TIPO TRIPIE, APROX 150 M DE TUBERIA DE 8" (25 TRAMOS), MATERIAL PARA EMPATE DE CABLE, CAJA DE ALAMBRE PARA FIJACION DE MANGUERA Y CABLE, PRUBAS Y CONFIGURACION DE EQUIPO DE BOMBEO</t>
  </si>
  <si>
    <t>5 - 6 DIAS</t>
  </si>
  <si>
    <t>CEPILLADO Y DESAZOLVE DE POZO CON PULSETA A 250 M SEGÚN TITULO DE CONAGUA, DIAMETRO DE ADEME DE 12"</t>
  </si>
  <si>
    <t>ELEMENTOS SANITIZANTES, JABON LIQUIDO PARA APLICACIÓN EN FILTRO, HTH CLORO PARA DESINFECCION DEL POZO DESPUES DEL CEPILLADO (ALTA CONSETRACION DE TRATAMIENTO QUIMICO) DESINCRUSTANTE Y PARA MATERIA ORGANICA 4-5 BIDONES.</t>
  </si>
  <si>
    <t>MTTO A EQUIPO DE BOMBEO DE POZOS, BOMBA TURBINA VERTICAL (FLECHA HUECA) DE 200 HP</t>
  </si>
  <si>
    <t>TEQUILA, JALISCO.</t>
  </si>
  <si>
    <t>EL SALVADOR: FRAMBUESA</t>
  </si>
  <si>
    <t>MANIOBRAS DE DESINTALACION E INTALACION CON GRUA TIPO TRIPIE, APROX 230 M DE TUBERIA DE 3" (39 TRAMOS), MATERIAL PARA EMPATE DE CABLE, CAJA DE ALAMBRE PARA FIJACION DE MANGUERA Y CABLE, PRUBAS Y CONFIGURACION DE EQUIPO DE BOMBEO</t>
  </si>
  <si>
    <t>3 -5 DIAS</t>
  </si>
  <si>
    <t>CEPILLADO Y DESAZOLVE DE POZO CON PULSETA A 250 M, DIAMETRO DE ADEME DE 6"</t>
  </si>
  <si>
    <t>ELEMENTOS SANITIZANTES, JABON LIQUIDO PARA APLICACIÓN EN FILTRO, HTH CLORO PARA DESINFECCION DEL POZO DESPUES DEL CEPILLADO (ALTA CONSETRACION DE TRATAMIENTO QUIMICO)</t>
  </si>
  <si>
    <t>2 DIA</t>
  </si>
  <si>
    <t>MTTO A EQUIPO DE BOMBEO DE POZOS, BOMBA SUMERGIBLE DE 50 HP LUVI W30-25</t>
  </si>
  <si>
    <t>Atención a: Ing. Edson Ramirez Perla Galindo</t>
  </si>
  <si>
    <t>SAN JUAN ESPANATICA</t>
  </si>
  <si>
    <t>CEPILLADO Y DESAZOLVE DE POZO CON PULSETA A 240 M, DIAMETRO DE ADEME DE 12"</t>
  </si>
  <si>
    <t>ELEMENTOS SANITIZANTES, JABON LIQUIDO PARA APLICACIÓN EN FILTRO, HTH CLORO PARA DESINFECCION DEL POZO DESPUES DEL CEPILLADO (ALTA CONSETRACION DE TRATAMIENTO QUIMICO) 3 bidones aprox</t>
  </si>
  <si>
    <t>MTTO A EQUIPO DE BOMBEO DE POZOS, BOMBA SUMERGIBLE DE 50 HP LUVI W30-25. SOLO EXPLOTAR 12 LPS POR PROBLEMAS DE ARENA</t>
  </si>
  <si>
    <t>Nombre del predio: Llano</t>
  </si>
  <si>
    <t>LLANO</t>
  </si>
  <si>
    <t>MANIOBRAS DE DESINTALACION E INTALACION CON GRUA TIPO TRIPIE, 204 M DE TUBERIA DE 8" (34 TRAMOS), MATERIAL PARA EMPATE DE CABLE, CAJA DE ALAMBRE PARA FIJACION DE MANGUERA Y CABLE, PRUBAS Y CONFIGURACION DE EQUIPO DE BOMBEO</t>
  </si>
  <si>
    <t>CEPILLADO Y DESAZOLVE DE POZO CON PULSETA A 300 M, DIAMETRO DE ADEME DE 12"</t>
  </si>
  <si>
    <t>MTTO A EQUIPO DE BOMBEO DE POZOS, BOMBA SUMERGIBLE DE 125 HP SME-GOULDS</t>
  </si>
  <si>
    <t>TIEM EST. TRAB</t>
  </si>
  <si>
    <t>EL SALVADOR: ARANDANO</t>
  </si>
  <si>
    <t>MANIOBRAS DE DESINTALACION E INTALACION CON GRUA TIPO TRIPIE, APROX 210 M DE TUBERIA DE 3" (34 TRAMOS), MATERIAL PARA EMPATE DE CABLE, CAJA DE ALAMBRE PARA FIJACION DE MANGUERA Y CABLE, PRUBAS Y CONFIGURACION DE EQUIPO DE BOMBEO</t>
  </si>
  <si>
    <t>CEPILLADO Y DESAZOLVE DE POZO CON PULSETA A 222 M, DIAMETRO DE ADEME DE 6"</t>
  </si>
  <si>
    <t>ELEMENTOS SANITIZANTES, JABON LIQUIDO PARA APLICACIÓN EN FILTRO, HTH CLORO PARA DESINFECCION DEL POZO DESPUES DEL CEPILLADO (ALTA CONCENTRACION DE TRATAMIENTO QUIMICO)</t>
  </si>
  <si>
    <t>AFORO DE POZO Y CARACTERIZACION DE AGUA (EQUIPO A 200 MT. DE 4")</t>
  </si>
  <si>
    <t>MTTO A EQUIPO DE BOMBEO DE POZOS, BOMBA SUMERGIBLE DE 60 HP LUVI W46-20</t>
  </si>
  <si>
    <t>SAUCES</t>
  </si>
  <si>
    <t>MANIOBRAS DE DESINTALACION E INTALACION CON GRUA TIPO TRIPIE, APROX 180 M DE TUBERIA DE 8" (30 TRAMOS), MATERIAL PARA EMPATE DE CABLE, CAJA DE ALAMBRE PARA FIJACION DE MANGUERA Y CABLE, PRUBAS Y CONFIGURACION DE EQUIPO DE BOMBEO</t>
  </si>
  <si>
    <t>CEPILLADO Y DESAZOLVE DE POZO CON PULSETA A 250 M APROX, DIAMETRO DE ADEME DE 12"</t>
  </si>
  <si>
    <t>MTTO A EQUIPO DE BOMBEO DE POZOS, BOMBA SUMERGIBLE DE 150 HP FRANKLIN ELECTRIC BOMBA GOULDS 9RCLC-4</t>
  </si>
  <si>
    <t>Empresa: GRUAS VERVEL</t>
  </si>
  <si>
    <t>Atención a: SR. JAIME VERDUZCO</t>
  </si>
  <si>
    <t>Nombre del predio: EL GATO</t>
  </si>
  <si>
    <t>LAS CANOAS MUN. DE ZAPOTILTIC, JALISCO</t>
  </si>
  <si>
    <t>23 DE DICIEMBRE DEL 2024</t>
  </si>
  <si>
    <t>GRUA TIPO TRIPIE DE 50 TONELADAS, INCLUYE: DESINSTALACION DE</t>
  </si>
  <si>
    <t xml:space="preserve">RENTA DE EQUIPO DE CORTE Y SOLDADURA, </t>
  </si>
  <si>
    <t>TREN DE DESCARGA, MANIOBRAS DE IZAJE, EPP, HERRAMIENTAS NECESARIAS,</t>
  </si>
  <si>
    <t>EQUIPO DE CORTE, INSTALACION CAMISA ETC.</t>
  </si>
  <si>
    <t>CAJA DE ALAMBRE PARA AMARRES CAL. 10 DE COBRE</t>
  </si>
  <si>
    <t>CINTAS NEGRAS PARA AMARRE DE POLIDUCTO.</t>
  </si>
  <si>
    <t>LA PRESENTE SON CON LA VISUALIZACION ACTUAL EN CASO DE REQUERIR</t>
  </si>
  <si>
    <t>MAS MATERIALES SE MANDARAN EN UN FINIQUITO.</t>
  </si>
  <si>
    <t>SETENTA Y NUEVE MIL CUATROCIENTOS CUARENTA Y CUATRO PESOS 92/100 M.N.</t>
  </si>
  <si>
    <r>
      <rPr>
        <b/>
        <sz val="11"/>
        <rFont val="Arial"/>
        <family val="2"/>
      </rPr>
      <t>Tiempo de entrega del sistema:</t>
    </r>
    <r>
      <rPr>
        <sz val="11"/>
        <rFont val="Arial"/>
        <family val="2"/>
      </rPr>
      <t xml:space="preserve"> Trabajo Realizado.</t>
    </r>
  </si>
  <si>
    <t>Forma de Pago: 100 % TRABAJO REALIZADO.</t>
  </si>
  <si>
    <t xml:space="preserve">Empresa: AGRICOLA PILITAS </t>
  </si>
  <si>
    <t xml:space="preserve">Atención a: SR. FRANCISCO MAGAÑA </t>
  </si>
  <si>
    <t>Domicilio: RANCHERIAS CONOCIDO.</t>
  </si>
  <si>
    <t>Nombre del predio.- PILITAS 2</t>
  </si>
  <si>
    <r>
      <t>MOTOR SUMERGIBLE 200 HP.</t>
    </r>
    <r>
      <rPr>
        <b/>
        <sz val="10"/>
        <color rgb="FFFF0000"/>
        <rFont val="Arial"/>
        <family val="2"/>
      </rPr>
      <t xml:space="preserve"> NUEVO</t>
    </r>
    <r>
      <rPr>
        <b/>
        <i/>
        <sz val="10"/>
        <rFont val="Arial"/>
        <family val="2"/>
      </rPr>
      <t xml:space="preserve"> MCA.- SME 460 VOLTS 60 HZ. ALTA TEMP. ALTO EMPUJE AXIAL</t>
    </r>
  </si>
  <si>
    <t>BOMBA MCA.- FRANKLIN ELECTRIC DE 200 HP.</t>
  </si>
  <si>
    <t>ESTE EQUIPO CUENTA CON 1 AÑO DE GARANTIA CON PLANTA</t>
  </si>
  <si>
    <t>IVA.</t>
  </si>
  <si>
    <t>QUINIENTOS CUATRO MIL CUATROCIENTOS SESENTA Y SEIS PESOS 81/100 M.N.</t>
  </si>
  <si>
    <t>Precios sujetos a cambio sin previo aviso. T.C. 17.00</t>
  </si>
  <si>
    <t>Garantia de 1 año natural en equipo, dispositivos</t>
  </si>
  <si>
    <r>
      <rPr>
        <b/>
        <sz val="11"/>
        <rFont val="Arial"/>
        <family val="2"/>
      </rPr>
      <t>Tiempo de entrega del sistema:</t>
    </r>
    <r>
      <rPr>
        <sz val="11"/>
        <rFont val="Arial"/>
        <family val="2"/>
      </rPr>
      <t xml:space="preserve"> De 3 - 4 SEMANAS, una vez dado el pago.</t>
    </r>
  </si>
  <si>
    <r>
      <rPr>
        <b/>
        <sz val="11"/>
        <rFont val="Arial"/>
        <family val="2"/>
      </rPr>
      <t>Tiempo de entrega del sistema:</t>
    </r>
    <r>
      <rPr>
        <sz val="11"/>
        <rFont val="Arial"/>
        <family val="2"/>
      </rPr>
      <t xml:space="preserve"> De 4 - 5 semanas hábil de la instalacion salvo previa venta, una vez dado el pago.</t>
    </r>
  </si>
  <si>
    <t>SESENTA Y OCHO MIL CUATROCIENTOS NOVENTA Y OCHO PESOS 75/100 M.N.</t>
  </si>
  <si>
    <t>08 DE ENERO DEL 2025</t>
  </si>
  <si>
    <t>MOTOR SUMERGIBLE ALTAMIRA 10 HP TRIFASICO</t>
  </si>
  <si>
    <t>Empresa: SR. GONZALO SANCHEZ</t>
  </si>
  <si>
    <t>Atención a: SR. GONZALO SANCHEZ</t>
  </si>
  <si>
    <t>Domicilio: VILLA DE ALVAREZ COLIMA</t>
  </si>
  <si>
    <t>Nombre del predio: ABASTECIMIENTO 1</t>
  </si>
  <si>
    <t>GEOFISICA MEDIANTE METODO S.E.V. PARA DETERMINAR PERFORACION DE POZO PROFUNDO PARA ALUMBRAMIENTO HIDRAHULICO, INCLUYE:  ESTUDIO DE CAMPO, ANALISIS DE DATOS, REPORTE POR ESCRITO Y PRE DISEÑO DE POZO.</t>
  </si>
  <si>
    <t>ESTE ESTUDIO DETERMINARA LOS SIGUIENTES PARAMETROS:</t>
  </si>
  <si>
    <t>DUREZA DE LOS MATERIALES Y QUE TANTO APORTAN AGUA, DONDE SE PUEDE ENCONTRAR</t>
  </si>
  <si>
    <t>ESPEJO DE AGUA, EL DISEÑO DEL POZO POR UN GEOLOGO.</t>
  </si>
  <si>
    <t>Forma de Pago:  100% AL CONTRATAR</t>
  </si>
  <si>
    <r>
      <rPr>
        <b/>
        <sz val="11"/>
        <rFont val="Arial"/>
        <family val="2"/>
      </rPr>
      <t>Tiempo de entrega del sistema:</t>
    </r>
    <r>
      <rPr>
        <sz val="11"/>
        <rFont val="Arial"/>
        <family val="2"/>
      </rPr>
      <t xml:space="preserve"> De 2 SEMANAS HABILES salvo previa venta, una vez dado el pago.</t>
    </r>
  </si>
  <si>
    <t xml:space="preserve">LA PRESENTE NOS DARA INFORMACION CONFIABLE ACERCA DE LA POSIBILIDAD DE EXTRAER LA CANTIDAD DE AGUA </t>
  </si>
  <si>
    <t xml:space="preserve">DESEADA, ASI COMO LOS MT DE TUBERIA LISA - RANURADA NECESARIA, EL DIAMETRO DEL ADEME, EL DIAMETRO DE </t>
  </si>
  <si>
    <t xml:space="preserve">LA PERFORACION, NIVEL ESTATICO, TIPO Y DIAMETRO DE GRAVA, ESTRATOS DEL SUBSUELO, DUREZAS, ASI COMO </t>
  </si>
  <si>
    <t>LOS MATERIALES QUE PRODUCEN AGUA, ADEMAS DEL DISEÑO-DIBUJO DEL POZO A PERFORAR.</t>
  </si>
  <si>
    <t>VEINTE Y CINCO MIL CIENTO SETENTA Y DOS PESOS 00/100 M.N.</t>
  </si>
  <si>
    <t>Empresa: AGRICOLA VALENCIA</t>
  </si>
  <si>
    <t>Atención a: SR. ARTURO VALENCIA</t>
  </si>
  <si>
    <t>Domicilio: EL VELADERO, MUN. SAYULA JALISCO.</t>
  </si>
  <si>
    <t>Nombre del predio: EL PELILLO</t>
  </si>
  <si>
    <t xml:space="preserve"> EL VELADERO, MUN. SAYULA JALISCO.</t>
  </si>
  <si>
    <t>TRASLADOS DE GENERADOR DE GDL- EL VELADERO Y  EL VELADERO-GDL.</t>
  </si>
  <si>
    <t>DIAS DE RENTA DE GENERADOR TRIFASICO DE 125 KW. 460 VOLTS 60 HZ. DEL DIA 09-01-2025 AL DIA 18-01-2025</t>
  </si>
  <si>
    <t>DIAS DE RENTA DE VARIADOR DE FRECUENCIA TRIFASICO A 460 VOLTS 60 HZ. DEL DIA 09-01-2025 AL DIA 18-01-2025</t>
  </si>
  <si>
    <t>INSTALACION, PRUEBAS Y CABLES PARA LLEGAR A SISTEMA DE ARRANQUE.</t>
  </si>
  <si>
    <t>08 ENERO DEL 2025</t>
  </si>
  <si>
    <t>SESENTA Y CUATRO MIL DOSCIENTOS VEINTE PESOS 04/100 M.N.</t>
  </si>
  <si>
    <t>Forma de Pago: 70% al contratar 30% AL 5 DIA DE USO</t>
  </si>
  <si>
    <t>SE TOMA COMO DIA A PARTIR DEL DIA QUE SE CONTRATA DEBIDO A LOS TRASLADOS</t>
  </si>
  <si>
    <t xml:space="preserve">ES EN TURNOS DE 8 HORAS POR 1 DE DESCANSO. </t>
  </si>
  <si>
    <t>EL DIESEL ASI COMO REVISIONES DE ACEITE Y AGUA ES PARTE DEL CLIENTE, EN CASO DE USARLO 1 MES TENDRA</t>
  </si>
  <si>
    <t xml:space="preserve"> QUE HACERSE EL SERVICIO POR PARTE DEL CLIENTE.</t>
  </si>
  <si>
    <t xml:space="preserve">Atención a: FRANCISCO VAZQUEZ, EDGAR RUIZ </t>
  </si>
  <si>
    <t>Domicilio: SAYULA JALISCO</t>
  </si>
  <si>
    <t>Nombre del predio: SAYULA JALISCO</t>
  </si>
  <si>
    <t>13 DE ENERO DEL 2025</t>
  </si>
  <si>
    <t>REPARACIÓN BOMBA SUMERGIBLE MCA ALTAMIRA MOD. KOR25R1000-13 INCLUYE: JUEGO DE ANILLOS DE DESGASTE PARA SELLOS DE IMPULSOR, JUEGO DE BUJES INTERMEDIOS Y DE DESCARGA, CAMBIO DE FLECHA, DESARMADO, LIMPIEZA, AJUSTES Y REARMADO.</t>
  </si>
  <si>
    <t>TREINTA Y CUATRO MIL DOSCIENTOS NOVENTA Y CINCO PESOS 40/100 M.N.</t>
  </si>
  <si>
    <t>Precios sujetos a cambio sin previo aviso. T.C. 20.5</t>
  </si>
  <si>
    <r>
      <rPr>
        <b/>
        <sz val="11"/>
        <rFont val="Arial"/>
        <family val="2"/>
      </rPr>
      <t>Tiempo de entrega del sistema:</t>
    </r>
    <r>
      <rPr>
        <sz val="11"/>
        <rFont val="Arial"/>
        <family val="2"/>
      </rPr>
      <t xml:space="preserve"> De 1 SEMANA, una vez dado el pago.</t>
    </r>
  </si>
  <si>
    <t>CANALIZACION DE CABLE PARA VARIADOR DE FRECUENCIA, INCLUYE: CABLE PLANO SUM. 3X6A 1000 VOLTS, TUBO PVC PESADO, CONECTOR LICUATITE, TUBO LICUATITE, CURVAS PVC PESADO, MANO DE OBRA, HERRAMIENTAS, EMPATE DE MOTOR, PRUEBAS DE FUNCIONAMIENTO.</t>
  </si>
  <si>
    <t>PESCA DE TUBO DE PVC CON AYUDA DE GRUA TIPO TRIPIE, TUBO PVC, ELABORACION DE PESCANTES</t>
  </si>
  <si>
    <t>LIQUIDO DESINCRUSTANTE MCA.- ALCO GARRAFA 10 LTS</t>
  </si>
  <si>
    <t>LIQUIDO DESINFECTANTE MCA.- ALCO GARRAFA 10 LTS</t>
  </si>
  <si>
    <t xml:space="preserve">LIMPIEZA DE POZO CON ADEME DE 6", INCLUYE: APLICACIÓN DE LIQUIDOS LIMPIADORES Y DESINFECTANTES, TRABAJO MECANICO CON CEPILLO DE ALAMBRE DE 4 MIN/MTS Y SANITIZACIÓN FINAL DEL POZO </t>
  </si>
  <si>
    <t>VIDEO GRABACION DE POZO PROFUNDO, INCLUYE: TRASLADOS DE LOS EQUIPOS, TOMA DE VIDEO, REPORTE POR ESCRITO Y MEMORIA CON EL VIDEO. ALCANCES, NIVEL ESTATICO, PROF. RANURA, TUBO LISO, GRADO O TIPO DE INCRUSTACION, FONDO DE POZO.</t>
  </si>
  <si>
    <t>Empresa: CENTRO UNIVERSITARIO DEL SUR</t>
  </si>
  <si>
    <t xml:space="preserve">Atención a: ING. GUILLERMO MORENO </t>
  </si>
  <si>
    <t>Nombre del predio: POZO ABASTECIMIENTO RECTORIA</t>
  </si>
  <si>
    <t>14 DE ENERO DEL 2025</t>
  </si>
  <si>
    <r>
      <rPr>
        <b/>
        <sz val="11"/>
        <rFont val="Arial"/>
        <family val="2"/>
      </rPr>
      <t>Tiempo de entrega del sistema:</t>
    </r>
    <r>
      <rPr>
        <sz val="11"/>
        <rFont val="Arial"/>
        <family val="2"/>
      </rPr>
      <t xml:space="preserve"> De 2-3 DIAS HABILES salvo previa venta, una vez dado el pago.</t>
    </r>
  </si>
  <si>
    <t>PIEZAS PARA INSTALACION DE BOMBA, INCLUYE: NIPLE ROSCADO CON COPLE DE 4", TUBO DE 4" X 6.4 MT. DE LONG. CON COPLE, CABEZALDE 4" CON TAPA SANITARIA PARA CABLE, CARRETE DE 2 MT DE LONGITUD CON INSERCIONES DE 1/2" PARA MANOMETRO Y EXPULSION DE AIRE BRIDADO EN SUS EXTREMOS, ARREGLO PARA MANOMETRO, ARREGLO EXP. Y ADM. DE AIRE.</t>
  </si>
  <si>
    <t>DOSCIENTOS TREINTA Y SIETE MIL CUATROCIENTOS NOVENTA Y UN PESOS 96/100 M.N.</t>
  </si>
  <si>
    <t>OCHENTA Y UN MIL QUINIENTOS DIEZ Y SEIS PESOS 96/100 M.N.</t>
  </si>
  <si>
    <t>CIENTO CUARENTA Y DOS MIL NOVECIENTOS TREINTA Y DOS PESOS 29/100 M.N.</t>
  </si>
  <si>
    <t>15 DE NOVIEMBRE DEL 2024</t>
  </si>
  <si>
    <r>
      <t xml:space="preserve">REBOBINABLE, MCA.- FRANKLIN ELECTRIC REBOBINABLE 10" DE DIAMETRO.  </t>
    </r>
    <r>
      <rPr>
        <b/>
        <sz val="10"/>
        <rFont val="Arial"/>
        <family val="2"/>
      </rPr>
      <t xml:space="preserve">(T.E.- 4 - 6 SEMANAS) </t>
    </r>
  </si>
  <si>
    <t>MEDIDOR DE FLUJO MCA. GEYSER DE 6" CON MEDICION DE GASTO INSTANTANEO</t>
  </si>
  <si>
    <t>MEDIDOR DE FLUJO ELECTROMAGNETICO DE 6" CON MEDICION DE GASTO INSTANTANEO (NO INCLUYE ALIMENTACION A 110 VOLTS)</t>
  </si>
  <si>
    <t>MEDIDOR DE FLUJO MCA. MC CROMETER DE 6" CON MEDICION DE GASTO INSTANTANEO (150 PSI)</t>
  </si>
  <si>
    <t>VALVULA CHECK VERTICAL DE HIERRO DUCTIL 6" MCA. FLOMATIC</t>
  </si>
  <si>
    <t>Domicilio: GOMEZ FARIAS</t>
  </si>
  <si>
    <t>15 DE ENERO DEL 2025</t>
  </si>
  <si>
    <r>
      <rPr>
        <b/>
        <sz val="12"/>
        <color rgb="FFFF0000"/>
        <rFont val="Arial"/>
        <family val="2"/>
      </rPr>
      <t>RENTA DE MOTOBOMBA POR DIA INCLUYE:</t>
    </r>
    <r>
      <rPr>
        <sz val="12"/>
        <rFont val="Arial"/>
        <family val="2"/>
      </rPr>
      <t xml:space="preserve"> MOTOR MARCA CRI 60 HP, BOMBA ALTAMIRA          KOR15 R600-19 </t>
    </r>
    <r>
      <rPr>
        <b/>
        <sz val="12"/>
        <color rgb="FFFF0000"/>
        <rFont val="Arial"/>
        <family val="2"/>
      </rPr>
      <t>PRECIO POR DIA</t>
    </r>
  </si>
  <si>
    <t>DESINSTALACION DE EQUIPO MOTOBOMBA 60 HP Y TUBERIA DE 6" ALCANCE 140 MTS,  INCLUYE: MANIOBRAS DE IZAJE, DESINSTALACIÓN DE TREN DE DESCARGA, EPP PERSONAL, MANIOBRAS. NO INCUYE EQUIPO DE CORTE O SOLDADURA EN CASO DE REQUERIRLO.</t>
  </si>
  <si>
    <t>INSTALACIÓN DE EQUIPO MOTOBOMBA 60 HP Y TUBERIA DE 6" ALCANCE 140 MTS,  INCLUYE: MANIOBRAS DE IZAJE, INSTALACIÓN DE TREN DE DESCARGA, EPP PERSONAL, MANIOBRAS. NO INCUYE EQUIPO DE CORTE O SOLDADURA EN CASO DE REQUERIRLO.</t>
  </si>
  <si>
    <r>
      <t>MOTOR SUMERGIBLE 60 HP.</t>
    </r>
    <r>
      <rPr>
        <b/>
        <sz val="12"/>
        <color rgb="FFFF0000"/>
        <rFont val="Arial"/>
        <family val="2"/>
      </rPr>
      <t xml:space="preserve"> NUEVO</t>
    </r>
    <r>
      <rPr>
        <b/>
        <i/>
        <sz val="12"/>
        <rFont val="Arial"/>
        <family val="2"/>
      </rPr>
      <t xml:space="preserve"> MCA.- SME 460 VOLTS 60 HZ. ALTA TEMP. ALTO EMPUJE AXIAL</t>
    </r>
  </si>
  <si>
    <r>
      <t xml:space="preserve">BOMBA SUMERGIBLE MCA.- FRANKLIN ELECTRIC EN FUND. DE HIERRO. </t>
    </r>
    <r>
      <rPr>
        <b/>
        <sz val="12"/>
        <rFont val="Arial"/>
        <family val="2"/>
      </rPr>
      <t xml:space="preserve"> 20 LT/SEG (T.E.- 4 - 5 DIAS HABIL) </t>
    </r>
  </si>
  <si>
    <t>INSTALACIÓN DE EQUIPO MOTOBOMBA DE 6" ALCANCE  140 MTS,  INCLUYE: MANIOBRAS DE IZAJE, DESINSTALACION DE TREN DE DESCARGA, EPP PERSONAL, MANIOBRAS. NO INCUYE EQUIPO DE CORTE O SOLDADURA EN CASO DE REQUERIRLO.</t>
  </si>
  <si>
    <t>DESINTALACIÓN EQUIPO DE BOMBEO 6" ALCANCE 140 MTS, INCLUYE: MANIOBRAS DE IZAJE, DESINSTALACION DE TREN DE DESCARGA, EPP PERSONAL, MANIOBRAS. NO INCUYE EQUIPO DE CORTE O SOLDADURA EN CASO DE REQUERIRLO.</t>
  </si>
  <si>
    <r>
      <t>MOTOR SUMERGIBLE 60 HP.</t>
    </r>
    <r>
      <rPr>
        <b/>
        <sz val="12"/>
        <color rgb="FFFF0000"/>
        <rFont val="Arial"/>
        <family val="2"/>
      </rPr>
      <t xml:space="preserve"> NUEVO</t>
    </r>
    <r>
      <rPr>
        <b/>
        <i/>
        <sz val="12"/>
        <rFont val="Arial"/>
        <family val="2"/>
      </rPr>
      <t xml:space="preserve"> MCA.- ALTAMIRA 460 VOLTS 60 HZ. </t>
    </r>
  </si>
  <si>
    <r>
      <t xml:space="preserve">BOMBA SUMERGIBLE MCA.- ALTAMIRA. </t>
    </r>
    <r>
      <rPr>
        <b/>
        <sz val="12"/>
        <rFont val="Arial"/>
        <family val="2"/>
      </rPr>
      <t xml:space="preserve"> 20 LT/SEG (T.E.- 6 - 7 DIAS HABIL) </t>
    </r>
  </si>
  <si>
    <t>SUB-MONITOR CONECCTPARA MOTORES SUMERGIBLES, PROTEGE CAIDA DE FASE, DESBALANCE, POZO SECO, SOBRE CARGAS, FUGA A TIERRA, VARIOS.</t>
  </si>
  <si>
    <r>
      <t>MOTOR SUMERGIBLE 60 HP.</t>
    </r>
    <r>
      <rPr>
        <b/>
        <sz val="10"/>
        <color rgb="FFFF0000"/>
        <rFont val="Arial"/>
        <family val="2"/>
      </rPr>
      <t xml:space="preserve"> NUEVO</t>
    </r>
    <r>
      <rPr>
        <b/>
        <i/>
        <sz val="10"/>
        <rFont val="Arial"/>
        <family val="2"/>
      </rPr>
      <t xml:space="preserve"> MCA.- SME 460 VOLTS 60 HZ. ALTA TEMP. ALTO EMPUJE AXIAL</t>
    </r>
  </si>
  <si>
    <r>
      <t>MOTOR SUMERGIBLE 60 HP.</t>
    </r>
    <r>
      <rPr>
        <b/>
        <sz val="10"/>
        <color rgb="FFFF0000"/>
        <rFont val="Arial"/>
        <family val="2"/>
      </rPr>
      <t xml:space="preserve"> NUEVO</t>
    </r>
    <r>
      <rPr>
        <b/>
        <i/>
        <sz val="10"/>
        <rFont val="Arial"/>
        <family val="2"/>
      </rPr>
      <t xml:space="preserve"> MCA.- ALTAMIRA 460 VOLTS 60 HZ. </t>
    </r>
  </si>
  <si>
    <t>MOTOR SUM TRIFASICO de 60 Hp. 460 VOLTS 60 HZ. 3510 RPM.  EMPUJE AXIAL.- 40 KN</t>
  </si>
  <si>
    <r>
      <t xml:space="preserve">REBOBINABLE, MCA.- ALTAMIRA SERIE "X" 6" DE DIAMETRO.  </t>
    </r>
    <r>
      <rPr>
        <b/>
        <sz val="10"/>
        <rFont val="Arial"/>
        <family val="2"/>
      </rPr>
      <t xml:space="preserve">(T.E.- 1 SEMANA) </t>
    </r>
  </si>
  <si>
    <t>MOTOR SUM TRIFASICO de 60 Hp. 460 VOLTS 60 HZ. 3540 RPM.  EMPUJE AXIAL.- 40 KN</t>
  </si>
  <si>
    <r>
      <t xml:space="preserve">BOMBA SUMERGIBLE MCA.- FRANKLIN ELECTRIC EN FUND. DE HIERRO. </t>
    </r>
    <r>
      <rPr>
        <b/>
        <sz val="10"/>
        <rFont val="Arial"/>
        <family val="2"/>
      </rPr>
      <t xml:space="preserve"> 20 LT/SEG (T.E.- 4 - 5 DIAS HABIL) </t>
    </r>
  </si>
  <si>
    <r>
      <t xml:space="preserve">BOMBA SUMERGIBLE MCA.- ALTAMIRA. </t>
    </r>
    <r>
      <rPr>
        <b/>
        <sz val="10"/>
        <rFont val="Arial"/>
        <family val="2"/>
      </rPr>
      <t xml:space="preserve"> 20 LT/SEG (T.E.- 6 - 7 DIAS HABIL) </t>
    </r>
  </si>
  <si>
    <r>
      <t xml:space="preserve">BOMBA SUMERGIBLE MCA.- LUBI INOXIDABLE. </t>
    </r>
    <r>
      <rPr>
        <b/>
        <sz val="10"/>
        <rFont val="Arial"/>
        <family val="2"/>
      </rPr>
      <t xml:space="preserve"> 20 LT/SEG (T.E.- 3 - 4 DIAS HABIL) </t>
    </r>
  </si>
  <si>
    <r>
      <t xml:space="preserve">REBOBINABLE, MCA.- ALTAMIRA SERIE "EVER" 6" DE DIAMETRO.  </t>
    </r>
    <r>
      <rPr>
        <b/>
        <sz val="10"/>
        <rFont val="Arial"/>
        <family val="2"/>
      </rPr>
      <t xml:space="preserve">(T.E.- 1 SEMANA) </t>
    </r>
  </si>
  <si>
    <t>DOSCIENTOS QUINCE MIL TRESCIENTOS CINCUENTA Y NUEVE PESOS 90/100 M.N.</t>
  </si>
  <si>
    <t>DOSCIENTOS OCHENTA Y OCHO MIL SEISCIENTOS NOVENTA Y OCHO PESOS 60/100 M.N.</t>
  </si>
  <si>
    <t>La cotización NO INCLUYE MATERIALES DE EMPATE, TUBERIA NI CANALIZACIÓN EN CASO DE REQUERIAR DE MANDARA UNA FACTURA DE FINIQUITO</t>
  </si>
  <si>
    <t>Empresa: BERRYS DON ALEJO</t>
  </si>
  <si>
    <t xml:space="preserve">Atención a: SR. JESUS ARANDA - ING. JAIME MARTINEZ </t>
  </si>
  <si>
    <t>Nombre del predio: EL PADRE</t>
  </si>
  <si>
    <t xml:space="preserve">Empresa: CENTRO UNIVERSITARIO DEL SUR </t>
  </si>
  <si>
    <t>Atención a: ING. GUILLERMO MORENO</t>
  </si>
  <si>
    <t xml:space="preserve"> BOMBA SUMERGIBLE ALTAMIRA 5HP INOX 4"</t>
  </si>
  <si>
    <t>MOTOR SUMERGIBLE AQUAPAK ACEITE 5 HP 230V 3F</t>
  </si>
  <si>
    <t>MOTOR SUMERGIBLE ALTAMIRA TRUST4" 5 HP 230V 3F</t>
  </si>
  <si>
    <t>MOTOR SUMERGIBLE FRANKLIN 4" 5HP 230V 3F</t>
  </si>
  <si>
    <t>INSTALACIÓN DE EQUIPO MOTOBOMBA 5 HP ALCANCE 15 MTS,  INCLUYE: MANIOBRAS DE IZAJE, NO INCUYE EQUIPO DE CORTE O SOLDADURA EN CASO DE REQUERIRLO.</t>
  </si>
  <si>
    <t>OCHENTA Y UN MIL DOSCIENTOS VEINTE TRES PESOS 20/100 M.N.</t>
  </si>
  <si>
    <r>
      <rPr>
        <b/>
        <sz val="11"/>
        <rFont val="Arial"/>
        <family val="2"/>
      </rPr>
      <t>Tiempo de entrega del sistema:</t>
    </r>
    <r>
      <rPr>
        <sz val="11"/>
        <rFont val="Arial"/>
        <family val="2"/>
      </rPr>
      <t xml:space="preserve"> De 3 DIAS HABILES salvo previa venta, una vez dado el pago.</t>
    </r>
  </si>
  <si>
    <t xml:space="preserve">LIMPIEZA DE POZO CON ADEME DE 8" PROFUNDIDAD DE 220 MTS INCLUYE: APLICACIÓN DE LIQUIDOS LIMPIADORES Y DESINFECTANTES, TRABAJO MECANICO CON CEPILLO DE ALAMBRE DE 4 MIN/MTS Y SANITIZACIÓN FINAL DEL POZO </t>
  </si>
  <si>
    <t>Atendiendo a su amable solicitud , ponemos a su consideración la siguiente propuesta económica para realizar los trabajos de Aforo.</t>
  </si>
  <si>
    <t>AFORO MEDIANTE EQUIPO DE BOMBEO SUMERGIBLE DE 4" INSTALADO A 370 MT. PARA OBTENER UN GASTO DE 6 - 20 LT/SEG. INCLUYE: INSTALACION DEL EQUIPO, PRUEBA POR 24 HORAS, RECOPILACION DE DATOS, ANALISIS Y REPORTE POR ESCRITO.</t>
  </si>
  <si>
    <t xml:space="preserve">HORA EXTRA DE BOMBEO </t>
  </si>
  <si>
    <r>
      <rPr>
        <b/>
        <sz val="11"/>
        <rFont val="Arial"/>
        <family val="2"/>
      </rPr>
      <t>Tiempo de entrega del sistema:</t>
    </r>
    <r>
      <rPr>
        <sz val="11"/>
        <rFont val="Arial"/>
        <family val="2"/>
      </rPr>
      <t xml:space="preserve"> De 2 semanas hábil de la instalacion salvo previa venta, una vez dado el pago.</t>
    </r>
  </si>
  <si>
    <t>Forma de Pago: 70% ANTICIPO 30% AL AVISO DE ENTREGA</t>
  </si>
  <si>
    <t>SETENTA Y OCHO MIL DOSCIENTOS OCHO PESOS 36/100 M.N.</t>
  </si>
  <si>
    <t xml:space="preserve">                                                                 SETENTA Y TRES MIL OCHENTA PESOS 00/100 M.N.</t>
  </si>
  <si>
    <t>MOTOR SUMERGIBLE TRIFASICO de 15 Hp. 460 VOLTS 60 HZ. 3510 RPM.  EMPUJE AXIAL.- 30 KN Y ALTA TEMP.</t>
  </si>
  <si>
    <r>
      <t xml:space="preserve">BOMBA SUMERGIBLE MCA.- FRANKLIN ELECTRIC EN FUNDICION DE HIERRO. </t>
    </r>
    <r>
      <rPr>
        <b/>
        <sz val="10"/>
        <rFont val="Arial"/>
        <family val="2"/>
      </rPr>
      <t xml:space="preserve"> 6 LT/SEG  (T.E.- 1 SEMANA HABIL) </t>
    </r>
  </si>
  <si>
    <t>VALVULA CHECK VERTICAL DE HIERRO DUCTIL 3" MCA. GOULDS @ 400 PSI</t>
  </si>
  <si>
    <t>TUBO CED. 40 CON COPLE CONICO DE 3" Y 6.1 MT DE LONG. MCA.- NUCLEO DE INGENIERIA.</t>
  </si>
  <si>
    <t>CABLE PLANO SUMERGIBLE CAL. 3 X 8 @ 1000 VOLTS MCA.- CONDUCTORES DEL NORTE</t>
  </si>
  <si>
    <t>ARRANCADOR A TENSION REDUCIDA PARA MOTOR DE 15 Hp. MCA.- ENERWELL</t>
  </si>
  <si>
    <t>MEDIDOR DE FLUJO ELECTROMAGNETICO DE 3" CON MEDICION DE GASTO INSTANTANEO (NO INCLUYE ALIMENTACION A 110 VOLTS)</t>
  </si>
  <si>
    <t>CABEZAL 3" TAPA SANITARIA Y BRIDADO</t>
  </si>
  <si>
    <t>CARRETES ACERO AL CARBON BRIDADOS DE 3"</t>
  </si>
  <si>
    <t>VALVULA CHECK DE ALUMINIO DE 3" BRIDADO</t>
  </si>
  <si>
    <t>TEE DE FO.FO. DE 3" A 2"</t>
  </si>
  <si>
    <t>VALVULA DE COMPUERTA CON VOLANTE DE 2"</t>
  </si>
  <si>
    <t>EMPAQUES DE NEOPRENO DE 3"</t>
  </si>
  <si>
    <t>EMPAQUE DE NEOPRENO DE 2"</t>
  </si>
  <si>
    <t>TORNILLOS GALVANIZADOS DE 5/8" X 2 1/2"</t>
  </si>
  <si>
    <t>TORNILLOS GALVANIZADOS DE 5/8" X 1 1/2"</t>
  </si>
  <si>
    <t>CUATROCIENTOS CUARENTA Y UN MIL TRESCIENTOS VEINTE PESOS 71/100 M.N.</t>
  </si>
  <si>
    <t>MOTOR SUMERGIBLE TRIFASICO de 15 Hp. 460 VOLTS 60 HZ. 3510 RPM.  EMPUJE AXIAL.- 15 KN</t>
  </si>
  <si>
    <r>
      <t xml:space="preserve">REBOBINABLE, MCA.- RT 6" DE DIAMETRO.  </t>
    </r>
    <r>
      <rPr>
        <b/>
        <sz val="10"/>
        <rFont val="Arial"/>
        <family val="2"/>
      </rPr>
      <t xml:space="preserve">(T.E.- INMEDIATO) </t>
    </r>
  </si>
  <si>
    <r>
      <t xml:space="preserve">BOMBA SUMERGIBLE MCA.- ALTAMIRA EN ACERO INOXIDABLE. </t>
    </r>
    <r>
      <rPr>
        <b/>
        <sz val="10"/>
        <rFont val="Arial"/>
        <family val="2"/>
      </rPr>
      <t xml:space="preserve"> 6 LT/SEG  (T.E.- 1 SEMANA HABIL) </t>
    </r>
  </si>
  <si>
    <t>VALVULA CHECK VERTICAL DE HIERRO DUCTIL 3" MCA. NUCLEO DE INGENIERIA @ 600 PSI</t>
  </si>
  <si>
    <t>POLIDUCTO DE 1" PARA MEDICION DE NIVELES</t>
  </si>
  <si>
    <t>MEDIDOR DE FLUJO MEDICION ANALOGA MCA.- AMEXSA DE 3"</t>
  </si>
  <si>
    <t>TRESCIENTOS CATORCE MIL DOSCIENTOS OCHENTA PESOS 03/100 M.N.</t>
  </si>
  <si>
    <t>ARRANCADOR A TENSION PLENA PARA MOTOR DE 15 Hp. MCA.- ENERWELL</t>
  </si>
  <si>
    <t>MEDIDOR DE FLUJO MCA. GEYSER DE 3" CON MEDICION DE GASTO INSTANTANEO</t>
  </si>
  <si>
    <t>CABLE PLANO SUMERGIBLE CAL. 3 X 10 @ 1000 VOLTS MCA.- CONDUCTORES DEL NORTE</t>
  </si>
  <si>
    <t>VALVULA CHECK VERTICAL DE HIERRO DUCTIL 3" MCA. FLOMATIC</t>
  </si>
  <si>
    <t>Empresa: SR. ALFREDO ORTIZ</t>
  </si>
  <si>
    <t>Atención a: SR. ALFREDO - SALVADOR ORTIZ</t>
  </si>
  <si>
    <t>Domicilio: ATEQUIZAYAN JALISCO.</t>
  </si>
  <si>
    <t>Nombre del predio: JALERILLAS</t>
  </si>
  <si>
    <t>15 DE ENERO DEL 2024</t>
  </si>
  <si>
    <t>TRECE MIL CIENTO DIEZ Y NUEVE PESOS 60/100 M.N.</t>
  </si>
  <si>
    <r>
      <t xml:space="preserve">BOMBA SUMERGIBLE MCA.- ALTAMIRA. </t>
    </r>
    <r>
      <rPr>
        <b/>
        <sz val="12"/>
        <rFont val="Arial"/>
        <family val="2"/>
      </rPr>
      <t xml:space="preserve"> 20 LT/SEG (T.E.- 3 - 4 DIAS HABIL) </t>
    </r>
  </si>
  <si>
    <r>
      <rPr>
        <b/>
        <sz val="11"/>
        <rFont val="Arial"/>
        <family val="2"/>
      </rPr>
      <t>Tiempo de entrega del sistema:</t>
    </r>
    <r>
      <rPr>
        <sz val="11"/>
        <rFont val="Arial"/>
        <family val="2"/>
      </rPr>
      <t xml:space="preserve"> De 1 SEMANA HABIL salvo previa venta, una vez dado el pago.</t>
    </r>
  </si>
  <si>
    <t>Empresa: BLUE ROCK</t>
  </si>
  <si>
    <t xml:space="preserve">Atención a: LIC. FRANCISCO RAMIREZ </t>
  </si>
  <si>
    <t>Domicilio: PARQUE INDUSTRIAL S/N</t>
  </si>
  <si>
    <t>Nombre del predio: BLUE ROCK ABASTECIMIENTO</t>
  </si>
  <si>
    <t>CONJUNTO DE MOTOR ALTAMIRA SERIE X 25 HP 3F 460V NEMA 6 Y BOMBA SUMERGIBLE PARA POZO PROFUNDO ALTAMIRA 25 HP NEMA 6 EN ACERO INOX DESCARGA DE 3"</t>
  </si>
  <si>
    <t>ARRANCADOR ENERWELL A TENSION REDUCIDA 3X440 VCA PROTECCION 29-49 A CON PROTECCIONES DE SOBRECARGA, BAJA CARGA, ALTO Y BAJO VOLTAJE PERDIDA DE FASES, DESVALANCE DE VOLTAJE, DESBALANCE DE FASES Y CORRIENTE, ETC.</t>
  </si>
  <si>
    <t>SISTEMA DE TIERRA INCLUYE. VARILLA DE TIERRA 3MTS 5/8, CONECTORES, CABLEADO CALIBRE 10</t>
  </si>
  <si>
    <t>CABLE SUMERGIBLE ALTAMIRA 600V CALIBRE 4 AWG TRES LINEAS (3X4)</t>
  </si>
  <si>
    <t xml:space="preserve">TUBO PARA CONDUCCION DE AGUA, TUBO UPVC PARA COLUMNA MAX DE 250 MTS 2"X3MTS </t>
  </si>
  <si>
    <t>ADAPTADORES PARA TUBERIA DE COLUMNA DE 2" ACERO INOXIDABLE</t>
  </si>
  <si>
    <t>VALVULA CHECK 2" HIERRO DUCTIL 400 PSI</t>
  </si>
  <si>
    <t>JUEGO DE ARNES PARA TUBERIA UPVC 2"</t>
  </si>
  <si>
    <t xml:space="preserve">PLACA DE ACERO PARA TAPA Y DESCARGA DE 5/8 DE ESPESOR </t>
  </si>
  <si>
    <t>GRUA</t>
  </si>
  <si>
    <t>MANO DE OBRA</t>
  </si>
  <si>
    <r>
      <rPr>
        <b/>
        <sz val="11"/>
        <rFont val="Arial"/>
        <family val="2"/>
      </rPr>
      <t>Tiempo de entrega del sistema:</t>
    </r>
    <r>
      <rPr>
        <sz val="11"/>
        <rFont val="Arial"/>
        <family val="2"/>
      </rPr>
      <t xml:space="preserve"> De 2 DIAS hábiles de la instalacion salvo previa venta, una vez dado el pago.</t>
    </r>
  </si>
  <si>
    <t>18 DE ENERO DEL 2024</t>
  </si>
  <si>
    <t>TRESCIENTOS CUARENTA Y UN MIL CUATROCIENTOS CINCUENTA Y SIETE PESOS 11/100 M.N.</t>
  </si>
  <si>
    <t>Empresa: AGRICOLA FARAVI</t>
  </si>
  <si>
    <t>Atención a: SR. HENRY ABRAHAM FARIAS</t>
  </si>
  <si>
    <t>Nombre del predio: CONOCIDO</t>
  </si>
  <si>
    <t>18 ENERO DEL 2025</t>
  </si>
  <si>
    <t xml:space="preserve">EN LA PRESENTE YA NO SE INCLUYEN LOS COSTOS DE FLETES, CONEXIONES </t>
  </si>
  <si>
    <t xml:space="preserve">Y PRUEBAS YA QUE FUERON PAGADOS POR AGRICOLA VALENCIA, ESTE </t>
  </si>
  <si>
    <t>COSTO ES DE .- $ 15 420 PESOS.</t>
  </si>
  <si>
    <t>Forma de Pago: 100% al contratar.</t>
  </si>
  <si>
    <t>DIAS DE RENTA DE GENERADOR TRIFASICO DE 125 KW. 460 VOLTS 60 HZ. DEL DIA 20-01-2025 AL DIA 26-01-2025. SE RECOGE EL DIA 27 SALVO QUE SE CONTRATEN MAS DIAS</t>
  </si>
  <si>
    <t>DIAS DE RENTA DE VARIADOR DE FRECUENCIA TRIFASICO A 460 VOLTS 60 HZ. DEL DIA 20-01-2025 AL DIA 26-01-2025. SE RECOGE EL DIA 27 SALVO QUE SE CONTRATEN MAS DIAS</t>
  </si>
  <si>
    <t>TREINTA Y CUATRO MIL CIENTO SESENTA PESOS 03/100 M.N.</t>
  </si>
  <si>
    <t>CUARENTA Y SEIS MIL OCHOCIENTOS CINCUENTA PESOS 78/100 M.N.</t>
  </si>
  <si>
    <t>Forma de Pago: 100 % AL CONTRATAR</t>
  </si>
  <si>
    <t>21 DE ENERO DEL 2025</t>
  </si>
  <si>
    <t>CUATRO MIL OCHOCIENTOS SEIS PESOS 34/100 M.N.</t>
  </si>
  <si>
    <t>Forma de Pago: 100 % TRABAJO REALIZADO</t>
  </si>
  <si>
    <r>
      <rPr>
        <b/>
        <sz val="11"/>
        <rFont val="Arial"/>
        <family val="2"/>
      </rPr>
      <t>Tiempo de entrega del sistema:</t>
    </r>
    <r>
      <rPr>
        <sz val="11"/>
        <rFont val="Arial"/>
        <family val="2"/>
      </rPr>
      <t xml:space="preserve"> TRABAJO REALIZADO</t>
    </r>
  </si>
  <si>
    <t>22 DE ENERO DEL 2025</t>
  </si>
  <si>
    <t>6 DIAS</t>
  </si>
  <si>
    <t>5 DIAS</t>
  </si>
  <si>
    <t>21 DIAS</t>
  </si>
  <si>
    <t>7 DIAS</t>
  </si>
  <si>
    <t>UN MILLON TRESCIENTOS NOVENTA Y UN MIL QUINIENTOS ONCE PESOS 15/100 M.N.</t>
  </si>
  <si>
    <t>QUINIENTOS VEINTE Y DOS MIL DOSCIENTOS CINCUENTA Y OCHO PESOS 87/100 M.N.</t>
  </si>
  <si>
    <t>22 DE ENERO DEL 2024</t>
  </si>
  <si>
    <r>
      <rPr>
        <b/>
        <sz val="11"/>
        <rFont val="Arial"/>
        <family val="2"/>
      </rPr>
      <t>Tiempo de entrega del sistema:</t>
    </r>
    <r>
      <rPr>
        <sz val="11"/>
        <rFont val="Arial"/>
        <family val="2"/>
      </rPr>
      <t xml:space="preserve"> De 25 DIAS HABILES salvo previa venta, una vez dado el pago.</t>
    </r>
  </si>
  <si>
    <r>
      <rPr>
        <b/>
        <sz val="11"/>
        <rFont val="Arial"/>
        <family val="2"/>
      </rPr>
      <t>Tiempo de entrega del sistema:</t>
    </r>
    <r>
      <rPr>
        <sz val="11"/>
        <rFont val="Arial"/>
        <family val="2"/>
      </rPr>
      <t xml:space="preserve"> De16 DIAS HABILES salvo previa venta, una vez dado el pago.</t>
    </r>
  </si>
  <si>
    <r>
      <rPr>
        <b/>
        <sz val="11"/>
        <rFont val="Arial"/>
        <family val="2"/>
      </rPr>
      <t>Tiempo de entrega del sistema:</t>
    </r>
    <r>
      <rPr>
        <sz val="11"/>
        <rFont val="Arial"/>
        <family val="2"/>
      </rPr>
      <t xml:space="preserve"> De 30 DIAS HABILES salvo previa venta, una vez dado el pago.</t>
    </r>
  </si>
  <si>
    <t>Nombre del predio: El Salvador Frambuesa</t>
  </si>
  <si>
    <r>
      <rPr>
        <b/>
        <sz val="11"/>
        <rFont val="Arial"/>
        <family val="2"/>
      </rPr>
      <t>Tiempo de entrega del sistema:</t>
    </r>
    <r>
      <rPr>
        <sz val="11"/>
        <rFont val="Arial"/>
        <family val="2"/>
      </rPr>
      <t xml:space="preserve"> De 18 DIAS HABILES salvo previa venta, una vez dado el pago.</t>
    </r>
  </si>
  <si>
    <t xml:space="preserve">               QUINIENTOS SETENTA Y TRES MIL CIENTO SESENTA Y OCHO PESOS 09/100 M.N.</t>
  </si>
  <si>
    <r>
      <rPr>
        <b/>
        <sz val="11"/>
        <rFont val="Arial"/>
        <family val="2"/>
      </rPr>
      <t>Tiempo de entrega del sistema:</t>
    </r>
    <r>
      <rPr>
        <sz val="11"/>
        <rFont val="Arial"/>
        <family val="2"/>
      </rPr>
      <t xml:space="preserve"> De 21 DIAS HABILES salvo previa venta, una vez dado el pago.</t>
    </r>
  </si>
  <si>
    <t xml:space="preserve">                   CUATROCIENTOS TRES MIL OCHOCIENTOS SETENTA Y NUEVE PESOS 09/100 M.N.</t>
  </si>
  <si>
    <r>
      <rPr>
        <b/>
        <sz val="11"/>
        <rFont val="Arial"/>
        <family val="2"/>
      </rPr>
      <t>Tiempo de entrega del sistema:</t>
    </r>
    <r>
      <rPr>
        <sz val="11"/>
        <rFont val="Arial"/>
        <family val="2"/>
      </rPr>
      <t xml:space="preserve"> De 19 DIAS HABILES salvo previa venta, una vez dado el pago.</t>
    </r>
  </si>
  <si>
    <t>Nombre del predio: San Juan Espanatica</t>
  </si>
  <si>
    <t xml:space="preserve">              TRESCIENTOS TREINTA Y UN MIL SEISCIENTOS NOVENTA Y NUEVE PESOS 68/100 M.N.</t>
  </si>
  <si>
    <r>
      <rPr>
        <b/>
        <sz val="11"/>
        <rFont val="Arial"/>
        <family val="2"/>
      </rPr>
      <t>Tiempo de entrega del sistema:</t>
    </r>
    <r>
      <rPr>
        <sz val="11"/>
        <rFont val="Arial"/>
        <family val="2"/>
      </rPr>
      <t xml:space="preserve"> De 17 DIAS HABILES salvo previa venta, una vez dado el pago.</t>
    </r>
  </si>
  <si>
    <t xml:space="preserve">               SEISCIENTOS CUARENTA Y SIETE MIL CIENTO NOVENTA Y CUATRO PESOS 07/100 M.N.</t>
  </si>
  <si>
    <t>Nombre del predio: El Salvador Arandano</t>
  </si>
  <si>
    <t xml:space="preserve">                     CUATROCIENTOS CUARENTA Y TRES MIL TREINTA Y SIETE PESOS 73/100 M.N.</t>
  </si>
  <si>
    <t>Nombre del predio: Sauces</t>
  </si>
  <si>
    <t xml:space="preserve">                   SEISCIENTOS SETENTA Y NUEVE MIL SETECIENTOS SETENTA PESOS 73/100 M.N.</t>
  </si>
  <si>
    <t xml:space="preserve">                    QUINIENTOS TREINTA Y NUEVE MIL NOVECIENTOS QUINCE PESOS 18/100 M.N.</t>
  </si>
  <si>
    <t>OPCIONAL</t>
  </si>
  <si>
    <t>23 DE ENERO DEL 2024</t>
  </si>
  <si>
    <t>MOTOR SUM. TRIFASICO de 20 Hp. 460 VOLTS 60 HZ. 3510 RPM.  EMPUJE AXIAL.- 30 KN Y ALTA TEMP.</t>
  </si>
  <si>
    <r>
      <t xml:space="preserve">BOMBA SUMERGIBLE MCA.- TX PUMPS EN FUNDICION DE HIERRO. </t>
    </r>
    <r>
      <rPr>
        <b/>
        <sz val="10"/>
        <rFont val="Arial"/>
        <family val="2"/>
      </rPr>
      <t xml:space="preserve"> 5 LT/SEG  (T.E.- 1 SEMANA HABIL) </t>
    </r>
  </si>
  <si>
    <t>VALVULA CHECK VERTICAL DE HIERRO DUCTIL 3" MCA. NUCLEO DE INGENERIA @ 400 PSI</t>
  </si>
  <si>
    <t>CABLE PLANO SUMERGIBLE CAL. 3 X 4 @ 1000 VOLTS MCA.- CONDUCTORES DEL NORTE</t>
  </si>
  <si>
    <t>CONECTOR CORTO A TOPE, CINTA 130-C, CINTA MASILLA, CINTA SUPER 33, MANGA TERMOCON. CAL. 4</t>
  </si>
  <si>
    <t>EMPATE DE CABLE PLANO SUMERGIBLE EN CALIBRE 4 INCLUYE:</t>
  </si>
  <si>
    <t>POLIDUCTO DE ALTA DENSIDAD PARA MEDICION DE NIVEL</t>
  </si>
  <si>
    <t>MEDIDOR DE FLUJO DE 3" MEDICION ANALOGA.</t>
  </si>
  <si>
    <t>SUB-MONITOR CONECCT PARA MOTORES SUMERGIBLES, PROTEGE CAIDA DE FASE, DESBALANCE, POZO SECO, SOBRE CARGAS, FUGA A TIERRA, VARIOS.</t>
  </si>
  <si>
    <t>MANT. A ARRANCADOR A TENSION REDUCIDA, INCLUYE.- APRIETE DE TERMINALES, LIMPIEZA CON DIELECTRICOS, REVISION DE PROGRAMACION, MANTTO. GENERAL.</t>
  </si>
  <si>
    <r>
      <t>MOTOR SUM. 30 HP.</t>
    </r>
    <r>
      <rPr>
        <b/>
        <sz val="12"/>
        <color rgb="FFFF0000"/>
        <rFont val="Arial"/>
        <family val="2"/>
      </rPr>
      <t xml:space="preserve"> NUEVO</t>
    </r>
    <r>
      <rPr>
        <b/>
        <i/>
        <sz val="12"/>
        <rFont val="Arial"/>
        <family val="2"/>
      </rPr>
      <t xml:space="preserve"> MCA.- SME, ALTA TEMP. ALTO EMPUJE AXIAL 460 VOLTS 60 HZ. </t>
    </r>
  </si>
  <si>
    <r>
      <t xml:space="preserve">BOMBA SUMERGIBLE MCA.- ALTAMIRA. </t>
    </r>
    <r>
      <rPr>
        <b/>
        <sz val="12"/>
        <rFont val="Arial"/>
        <family val="2"/>
      </rPr>
      <t xml:space="preserve"> 8 LT/SEG (T.E.- 3 - 4 DIAS HABIL) </t>
    </r>
  </si>
  <si>
    <t>24 DE ENERO DEL 2025</t>
  </si>
  <si>
    <r>
      <t xml:space="preserve">BOMBA SUMERGIBLE MCA.- FRANKLIN ELECTRIC. </t>
    </r>
    <r>
      <rPr>
        <b/>
        <sz val="12"/>
        <rFont val="Arial"/>
        <family val="2"/>
      </rPr>
      <t xml:space="preserve"> 8 LT/SEG (T.E.- 3 - 4 DIAS HABIL) </t>
    </r>
  </si>
  <si>
    <r>
      <t>MOTOR SUM. 30 HP.</t>
    </r>
    <r>
      <rPr>
        <b/>
        <sz val="12"/>
        <color rgb="FFFF0000"/>
        <rFont val="Arial"/>
        <family val="2"/>
      </rPr>
      <t xml:space="preserve"> NUEVO</t>
    </r>
    <r>
      <rPr>
        <b/>
        <i/>
        <sz val="12"/>
        <rFont val="Arial"/>
        <family val="2"/>
      </rPr>
      <t xml:space="preserve"> MCA.- ALTAMIRA SERIE RT. 460 VOLTS 60 HZ. </t>
    </r>
  </si>
  <si>
    <t>MEDIDOR DE FLUJO DE 4"ANALOGO AMEXSA.</t>
  </si>
  <si>
    <t>CIENTO CINCUENTA MIL CUATROCIENTOS DIEZ PESOS 15/100 M.N.</t>
  </si>
  <si>
    <t>MEDIDOR DE FLUJO DE 4" MEDICION INSTANTANEA. GEYSER</t>
  </si>
  <si>
    <t>DOSCIENTOS CUARENTA Y CUATRO MIL QUINIENTOS SETENTA Y TRES PESOS 87/100 M.N.</t>
  </si>
  <si>
    <t>NUEVE MIL SETECIENTOS SESENTA PESOS 01/100 M.N.</t>
  </si>
  <si>
    <t>27 DE ENERO DEL 2024</t>
  </si>
  <si>
    <t>CUCHILLAS PARA 23 KV</t>
  </si>
  <si>
    <t>SERVICIO DE CAMBIO DE CUCHILLAS, REVISION DE LINEAS Y PRUEBAS DE FUNCIONAMIENTO</t>
  </si>
  <si>
    <t>SERVICIO DE HIAB PARA MOVER CABLE DE INCII A PREDIO PILITAS 3</t>
  </si>
  <si>
    <t>VARIADOR DE FRECUENCIA PARA EQUIPO PID</t>
  </si>
  <si>
    <t>SERVICIOS DE INSTALACION, PROGRAMACION Y PRUEBAS DE FUNCIONAMIENTO.</t>
  </si>
  <si>
    <t>VEINTE Y CINCO MIL DOSCIENTOS NOVENTA Y CUATRO PESOS 90/100 M.N.</t>
  </si>
  <si>
    <t>SUB-MONITOR CONECT PARA MOTORES SUMERGIBLES, PROTEGE CAIDA DE FASE, DESBALANCE, POZO SECO, SOBRE CARGAS, FUGA A TIERRA, VARIOS.</t>
  </si>
  <si>
    <t>VIDEO GRABACION A POZO PROFUNDO, INCLUYE VIDEO, MEMORIA CON INFORMACION Y REPORTE.</t>
  </si>
  <si>
    <t>SERVICIO DE SOLDAR VIGAS PARA SOPRTE DE ADEME DE 12", INCLUYE: VIGAS, FLETES, EQUIPOS DE CORTE Y SOLDADURA, MANO DE OBRA Y EQUIPOS.</t>
  </si>
  <si>
    <t>SERVICIO DE ROSCADO DE TUBO PARA INSTALACION DE VALVULA CHECK, INCLUYE: FLETES, CORTE DE TUCO, ROSCADO, COPLE.</t>
  </si>
  <si>
    <t>DOSCIENTOS CUARENTA Y UN MIL DOSCIENTOS UN PESOS 13/100 M.N.</t>
  </si>
  <si>
    <t>27 DE ENERO DEL 2025</t>
  </si>
  <si>
    <t>VARIADOR DE FRECUENCIA ACQ 580 PARA MOTOR DE 60 HP. 98 AMP. INCLUYE, TERMICO, CABLEADO, CONTROL, BOTONERAS, MANDO A DISTANCIA, INSTALACION, PROGRAMACION Y PRUEBAS.</t>
  </si>
  <si>
    <t>CIENTO SESENTA Y CINCO MIL CUATROCIENTOS NOVENTA Y OCHO PESOS 36/100 M.N.</t>
  </si>
  <si>
    <r>
      <rPr>
        <b/>
        <sz val="11"/>
        <rFont val="Arial"/>
        <family val="2"/>
      </rPr>
      <t>Tiempo de entrega del sistema:</t>
    </r>
    <r>
      <rPr>
        <sz val="11"/>
        <rFont val="Arial"/>
        <family val="2"/>
      </rPr>
      <t xml:space="preserve"> De 2-3 DIAS HABIL salvo previa venta, una vez dado el pago.</t>
    </r>
  </si>
  <si>
    <t>31 ENERO DEL 2025</t>
  </si>
  <si>
    <r>
      <rPr>
        <b/>
        <sz val="11"/>
        <rFont val="Arial"/>
        <family val="2"/>
      </rPr>
      <t>Método de Pago:</t>
    </r>
    <r>
      <rPr>
        <sz val="11"/>
        <rFont val="Arial"/>
        <family val="2"/>
      </rPr>
      <t xml:space="preserve"> TRANSFERENCIA INTERBANCARIA O EFECTIVO</t>
    </r>
  </si>
  <si>
    <r>
      <t xml:space="preserve">DIAS DE RENTA DE GENERADOR TRIFASICO DE 125 KW. 460 VOLTS 60 HZ. DEL DIA </t>
    </r>
    <r>
      <rPr>
        <sz val="12"/>
        <color rgb="FF00B050"/>
        <rFont val="Arial"/>
        <family val="2"/>
      </rPr>
      <t>29-01-2025 AL DIA 02-02-2025</t>
    </r>
  </si>
  <si>
    <r>
      <t xml:space="preserve">DIAS DE RENTA DE VARIADOR DE FRECUENCIA TRIFASICO A 460 VOLTS 60 HZ. DEL DIA </t>
    </r>
    <r>
      <rPr>
        <sz val="12"/>
        <color rgb="FF00B050"/>
        <rFont val="Arial"/>
        <family val="2"/>
      </rPr>
      <t>29-01-2025 AL DIA 02-02-2025</t>
    </r>
  </si>
  <si>
    <t>VEINTE MIL SEISCIENTOS CUARENTA Y NUEVE PESOS 97/100 M.N.</t>
  </si>
  <si>
    <t>EL DIESEL ASI COMO REVISION DE ACEITE Y AGUA ES PARTE DEL CLIENTE, EN CASO DE USAR 1 MES TENDRA</t>
  </si>
  <si>
    <t xml:space="preserve">            OCHOCIENTOS SESENTA Y UN MIL CUATROCIENTOS CINCUENTA Y TRES PESOS 67/100 M.N.</t>
  </si>
  <si>
    <t>SETENTA Y CUATRO MIL QUINIENTOS SESENTA Y CINCO PESOS 38/100 M.N.</t>
  </si>
  <si>
    <t>SENSOR DE PRESION 4-20 m-amp 0-10 volts. Gefrand</t>
  </si>
  <si>
    <t>DESINTALACIÓN EQUIPO DE BOMBEO 8" ALCANCE 80 MTS, INCLUYE: MANIOBRAS DE IZAJE, DESINSTALACION DE TREN DE DESCARGA, EPP PERSONAL, MANIOBRAS. NO INCUYE EQUIPO DE CORTE O SOLDADURA EN CASO DE REQUERIRLO.</t>
  </si>
  <si>
    <t>DESINTALACIÓN EQUIPO DE BOMBEO 3" ALCANCE 300 MTS, INCLUYE: MANIOBRAS DE IZAJE, DESINSTALACION DE TREN DE DESCARGA, EPP PERSONAL, MANIOBRAS. NO INCUYE EQUIPO DE CORTE O SOLDADURA EN CASO DE REQUERIRLO.</t>
  </si>
  <si>
    <t>INTALACIÓN EQUIPO DE BOMBEO 3" ALCANCE 300 MTS, INCLUYE: MANIOBRAS DE IZAJE, DESINSTALACION DE TREN DE DESCARGA, EPP PERSONAL, MANIOBRAS. NO INCUYE EQUIPO DE CORTE O SOLDADURA EN CASO DE REQUERIRLO.</t>
  </si>
  <si>
    <t xml:space="preserve">Atención a: SR. RUBEN ALCARAZ DELGADO - ING. PAULINO  </t>
  </si>
  <si>
    <t>Nombre del predio: EL NARANJITO</t>
  </si>
  <si>
    <t>10 DE FEBRERO DEL 2025</t>
  </si>
  <si>
    <t>Domicilio: CAMINOI SACA COSECHAS KM. 6 ENTRE NOGUERAS Y CARRIZALILLOS</t>
  </si>
  <si>
    <r>
      <rPr>
        <b/>
        <sz val="11"/>
        <rFont val="Arial"/>
        <family val="2"/>
      </rPr>
      <t>Tiempo de entrega del sistema:</t>
    </r>
    <r>
      <rPr>
        <sz val="11"/>
        <rFont val="Arial"/>
        <family val="2"/>
      </rPr>
      <t xml:space="preserve"> De 1 SEMANAS HABILES salvo previa venta, una vez dado el pago.</t>
    </r>
  </si>
  <si>
    <t xml:space="preserve">LA REPARACION DEL EQUIPO DE BOMBEO SE INCLUIRA EN OTRA COTIZACION DEBIDO A QUE </t>
  </si>
  <si>
    <t>REVISION DE EQUIPOS Y PRUEBAS DE SISTEMA DE ARRANQUE, TRANSFORMADOR, LINEAS DE ALIMENTACION, REVISION DE MOTOR, DIAGNOSTICO Y REPORTE POR ESCRITO.</t>
  </si>
  <si>
    <t>CUATRO MIL CUATROCIENTOS OCHO PESOS 00/100 M.N.</t>
  </si>
  <si>
    <t>NO SE CONOCE LOS DAÑOS EN ELLA. HASTA NO ABRIRLA Y DAR EL DIAGNOSTICO.</t>
  </si>
  <si>
    <t>OCHENTA Y UN MIL CUATROCIENTOS VEINTE Y OCHO PESOS 45/100 M.N.</t>
  </si>
  <si>
    <t>SUB-MONITOR CONECCT PARA MOTORES SUMERGIBLES, PROTEGE CAIDA DE FASE, DESBALANCE, POZO SECO, SOBRE CARGAS, FUGA A TIERRA, VARIOS. INCLUYE INSTALACION, PROGRAMACION Y PRUEBAS DE FUNCIONAMIENTO.</t>
  </si>
  <si>
    <t xml:space="preserve">CON ESTE DIAGNOSTICO REALIZANDO LA PRUEBA DE MEGGER SE CORROBORARA EL DAÑO DEL </t>
  </si>
  <si>
    <t xml:space="preserve">EQUIPO O SE SOLUCIONARA SI ES EL CASO. EN CASO DE NO REQUERIR FACTURA PUEDE </t>
  </si>
  <si>
    <t>MANEJARSE SIN IVA SIEMPRE Y CUANDO SE PAGUE EN EFECTIVO.</t>
  </si>
  <si>
    <t>MANTENIMIENTO A SISTEMA DE ARRANQUE, INCLUYE:LIMPIEZA DE CONTACTORES, DIELECTRICOS, APRIETE, REVI. PROGRAMACION, ARRANQUE Y PRUEBAS DE FUNCIONAMIENTO.</t>
  </si>
  <si>
    <t>LIQUIDO PARA MATERIA ORGANICA MCA.- ALCO GARRAFA 20 LTS</t>
  </si>
  <si>
    <t>REVISION Y REPARACION DE FUNDAS, FLECHAS, TRANSMISION DE EQUIPO DE BOMBEO LUBRICACION ACEITE.</t>
  </si>
  <si>
    <t>REPARACION DE ADEME CON CAMISA DE ACERO, INCLUYE: TRASLADOS, VIATICOS, CAMISAS DE 1.2 MT DE LONG. PRENSADO, VIDEO ANTES Y DESPUES DE CAMISA, GRUA Y EQUIPOS ESPECIALES.</t>
  </si>
  <si>
    <t>MATERIALES PARA INSTALACION DE EQUIPO LUBRICACION ACEITE, INCLUYE: ACEITE SAE 62, HILO GRAFITADO, PINTURA, RECORTE DE FLECHA MOTRIZ, EQUIPOS, HERRAMIENTAS.</t>
  </si>
  <si>
    <t>REPARACION DE MOTOR DE FLECHA LUBRICACION ACEITE, INCLUYE: TRASLADOS, BOBINADO, CAMBIO DE BALEROS, LUBRICACION, MANO DE OBRA.</t>
  </si>
  <si>
    <t>CUATROCIENTOS SETENTA Y TRES MIL SETECIENTOS VEINTE Y CINCO PESOS 44/100 M.N.</t>
  </si>
  <si>
    <t>Empresa: SR. OSCAR ALVAREZ</t>
  </si>
  <si>
    <t>Atención a: SR. OSCAR ALVAREZ</t>
  </si>
  <si>
    <t>Domicilio: SAN JUAN ESPANATICA</t>
  </si>
  <si>
    <t>Nombre del predio: SAN JUAN ESPANATICA</t>
  </si>
  <si>
    <t>12 DE FEBRERO DEL 2025</t>
  </si>
  <si>
    <t xml:space="preserve"> BOMBA SUMERGIBLE MCA.- LUBI 40 HP INOX 6"</t>
  </si>
  <si>
    <t>Empresa: AGRICOLA EL NARANJITO</t>
  </si>
  <si>
    <t xml:space="preserve">Atención a: SR. RUBEN ALCARAZ </t>
  </si>
  <si>
    <t>MOTOR SUMERGIBLE MCA.- SME 40 HP 460V 3F ALTA TEMP. Y ALTO EMPUJE AXIAL</t>
  </si>
  <si>
    <r>
      <rPr>
        <b/>
        <sz val="11"/>
        <rFont val="Arial"/>
        <family val="2"/>
      </rPr>
      <t>Tiempo de entrega del sistema:</t>
    </r>
    <r>
      <rPr>
        <sz val="11"/>
        <rFont val="Arial"/>
        <family val="2"/>
      </rPr>
      <t xml:space="preserve"> De 6 DIAS HABILES salvo previa venta, una vez dado el pago.</t>
    </r>
  </si>
  <si>
    <t>VALVULA CHECK DE 4"ALUMINIO BRIDADO</t>
  </si>
  <si>
    <t>DOCE MIL DOSCIENTOS OCHENTA Y OCHO PESOS 34/100 M.N.</t>
  </si>
  <si>
    <t>BALANCEO DE LINEAS DE TRANSFORMADOR Y ARRANCADOR.</t>
  </si>
  <si>
    <t>SE ANEXARA UN CURSO DE CAPACITACION EN CUANTO A LA OPERACIÓN DE LOS EQUIPOS, ADEMAS</t>
  </si>
  <si>
    <t>SE DEJARA UNA BITACORA DE MONITOREO PARA VER LA EVOLUCION DE LOS EQUIPOS.</t>
  </si>
  <si>
    <t>NO INCLUYE LOS CENTRADORES PARA EL EQUIPO.</t>
  </si>
  <si>
    <t>CIENTO CINCUENTA Y TRES MIL SEISCIENTOS SETENTA Y SEIS PESOS 92/100 M.N.</t>
  </si>
  <si>
    <t>Forma de Pago: 70 % AL CONTRATAR 30% AVISO DE ENTREGA</t>
  </si>
  <si>
    <t>ANT. 40%</t>
  </si>
  <si>
    <t>UTILIDAD BRUTA.-</t>
  </si>
  <si>
    <t>INVERSIONES.-</t>
  </si>
  <si>
    <t>MOTOR 305 HP.</t>
  </si>
  <si>
    <t>BOMBA 300 HP.</t>
  </si>
  <si>
    <t>VARIADOR.-</t>
  </si>
  <si>
    <t>10 TUBO 8"</t>
  </si>
  <si>
    <t>10 TUBO 6"</t>
  </si>
  <si>
    <t>TOTAL.-</t>
  </si>
  <si>
    <t>QUINIENTOS QUINCE MIL CIENTO TREINTA Y CUATRO PESOS 35/100 M.N.</t>
  </si>
  <si>
    <t>16 DE FEBRERO DEL 2025</t>
  </si>
  <si>
    <t>TRESCIENTOS DIEZ Y NUEVE MIL CIENTO SETENTA Y CUATRO PESOS 70/100 M.N.</t>
  </si>
  <si>
    <r>
      <rPr>
        <b/>
        <sz val="11"/>
        <rFont val="Arial"/>
        <family val="2"/>
      </rPr>
      <t>Tiempo de entrega del sistema:</t>
    </r>
    <r>
      <rPr>
        <sz val="11"/>
        <rFont val="Arial"/>
        <family val="2"/>
      </rPr>
      <t xml:space="preserve"> De 1 -2 SEMANAS, una vez dado el pago.</t>
    </r>
  </si>
  <si>
    <t>ARRANCADOR A TENSION REDUCIDA PARA MOTOR CON PROTECCION ELECTRONICA.</t>
  </si>
  <si>
    <r>
      <t>BOMBA CENTRIFUGA MCA.- BARNES EN FUNDICION DE HIERRO.</t>
    </r>
    <r>
      <rPr>
        <b/>
        <sz val="10"/>
        <rFont val="Arial"/>
        <family val="2"/>
      </rPr>
      <t xml:space="preserve"> (T.E.- 4 - 6 SEMANAS HABILES)</t>
    </r>
  </si>
  <si>
    <t>UTILIDAD NETA.-</t>
  </si>
  <si>
    <t xml:space="preserve">  GASTOS INICIALES PROYECTO</t>
  </si>
  <si>
    <t>AIRSHOCK</t>
  </si>
  <si>
    <t>TUBO Y CABLE G</t>
  </si>
  <si>
    <t>SONDAS ELECTR</t>
  </si>
  <si>
    <t>QUIMICOS</t>
  </si>
  <si>
    <t>GASTOS</t>
  </si>
  <si>
    <t>ANT.</t>
  </si>
  <si>
    <t>17 DE ENERO DEL 2025</t>
  </si>
  <si>
    <t>LIQUIDO FLOCULANTE PARA MATERIA ORGANICA MCA.- ALCO GARRAFA 20 LTS</t>
  </si>
  <si>
    <t>NO ES RECOMENDABLE HACER EL PISTONEO DEBIDO A QUE EL ADEME EN LA PARTE DE ABAJO</t>
  </si>
  <si>
    <t>NO ESTA FIJO, EL PISTON POR SU CONFIGURACION ENTRA MUY AJUSTADO Y PODRIAMOS TRAERNOS</t>
  </si>
  <si>
    <t>O MOVER EL ADEME. PERO SI USTEDES LO QUIEREN SIN PROBLEMA LO REALIZAMOS.</t>
  </si>
  <si>
    <t>CIENTO VEINTE DOS MIL NOVECIENTOS CINCUENTA Y OCHO PESOS 84/100 M.N.</t>
  </si>
  <si>
    <t>EN CASO DE SER EN EFECTIVO PUEDE MANEJARSE SIN IVA TODA LA MANO DE OBRA LOS PRODUCTOS SI LLEVAN IVA.</t>
  </si>
  <si>
    <t>G</t>
  </si>
  <si>
    <t>VALVULAS CHECK DE 8"</t>
  </si>
  <si>
    <t>VALVULAS CHECK DE 3"</t>
  </si>
  <si>
    <t>3 VALVULAS CHECK DE 8"</t>
  </si>
  <si>
    <t>3 VALVULAS CHECK DE 3"</t>
  </si>
  <si>
    <t xml:space="preserve">MTTO DE EQUIPO DE BOMBEO </t>
  </si>
  <si>
    <t>10 DIAS</t>
  </si>
  <si>
    <t>DISPERSANTE DE ARCILLAS GARRAFA 20 LTS DILUIBES EN 200 LT.</t>
  </si>
  <si>
    <t xml:space="preserve">LIMPIEZA DE POZO CON ADEME DE 6", INCLUYE: APLICACIÓN DE LIQUIDOS LIMPIADORES Y DESINFECTANTES, TRABAJO MECANICO CON CEPILLO DE ALAMBRE DE 2 MIN/MTS Y SANITIZACIÓN FINAL DEL POZO </t>
  </si>
  <si>
    <t>19 DE ENERO DEL 2025</t>
  </si>
  <si>
    <t>VALVULA CHECK VERTICAL DE HIERRO DUCTIL 3" MCA. GOULDS @ 600 PSI</t>
  </si>
  <si>
    <r>
      <rPr>
        <b/>
        <sz val="11"/>
        <rFont val="Arial"/>
        <family val="2"/>
      </rPr>
      <t>Tiempo de entrega del sistema:</t>
    </r>
    <r>
      <rPr>
        <sz val="11"/>
        <rFont val="Arial"/>
        <family val="2"/>
      </rPr>
      <t xml:space="preserve"> De INMEDIATA salvo previa venta, una vez dado el pago.</t>
    </r>
  </si>
  <si>
    <t>Empresa: SR. JUAN CARLOS VALLE</t>
  </si>
  <si>
    <t>Atención a: SR. JUAN CARLOS VALLE</t>
  </si>
  <si>
    <t>Domicilio: EL RINCON, JALISCO.</t>
  </si>
  <si>
    <t>Nombre del predio: AGUA ESCONDIDA</t>
  </si>
  <si>
    <t>25 DE FEBRERO DEL 2024</t>
  </si>
  <si>
    <t>AFORO MEDIANTE EQUIPOS DE BOMBEO INSTALADOS, INCLUYE: INSTALACION DEL EQUIPO, PRUEBA POR 24 HORAS, RECOPILACION DE DATOS, ANALISIS Y REPORTE POR ESCRITO.</t>
  </si>
  <si>
    <t xml:space="preserve">                                                     VEINTE Y SIETE MIL OCHOCIENTOS CUARENTA PESOS 00/100 M.N.</t>
  </si>
  <si>
    <t>MANTENIMIENTO DE TRANSFORMADOR TRIFASICO ENFRIADO POR ACEITE DE 112.5 KVA, INCLUYE: CAMBIO DE ACEITE, EMPACADO, REVISION DE BORNAS DE ALTA Y BAJA, FLETES Y MANO DE OBRA.</t>
  </si>
  <si>
    <t>EN CASO DE REQUERIR MATERIALES EXTRAS SE AVISARA PARA SU AUTORIZACION.</t>
  </si>
  <si>
    <t xml:space="preserve"> TRAMOS DE TUBERIA DE 8"</t>
  </si>
  <si>
    <t xml:space="preserve"> METROS DE CABLE 3/0</t>
  </si>
  <si>
    <t>MANIOBRA DE INSTALACION DE 4 TRAMOS DE TUBERIA PARA SUMERGENCIA DE MOTOR CON AYUDA DE GRUA TIPO TRIPIE.</t>
  </si>
  <si>
    <t>MATERIAL PARA EMPATES DE CABLE</t>
  </si>
  <si>
    <t>PROGRAMACION SUB MONITOR, PRUEBAS DE FUNCIONAMIENTO, BALANCEO DE MOTOR.</t>
  </si>
  <si>
    <t xml:space="preserve">                                                     CIENTO CATORCE MIL TRESCIENTOS CINCUENTA Y NUEVE PESOS 76/100 M.N.</t>
  </si>
  <si>
    <t>MANIOBRA DE DESINSTALACION DE EQUIPO DE BOMBEO DE 8" CON AYUDA DE GRUA TIPO TRIPIE DE 40 TONELADAS. INCLUYE EPP, IZAJE, MANIOBRAS, QUITAR TREN DE DESCARGA.</t>
  </si>
  <si>
    <t>AJUSTE DE EQUIPO DE BOMBEO  PARA MENOS FLUJO</t>
  </si>
  <si>
    <t>MANIOBRA DE INSTALACION DE EQUIPO DE BOMBEO DE 8" CON AYUDA DE GRUA TIPO TRIPIE DE 40 TONELADAS. INCLUYE EPP, IZAJE, MANIOBRAS, QUITAR TREN DE DESCARGA.</t>
  </si>
  <si>
    <t>CAJA DE ALAMBRE CAL. 10 PARA AMARRES DE CABLE SUMERGIBLE A COLUMNA</t>
  </si>
  <si>
    <t>EN CASO DE REQUERIR MATERIALES EXTRAS PARA EL TRANSFORMADOR SE AVISARA PARA SU AUTORIZACION.</t>
  </si>
  <si>
    <t>03 DE MARZO DEL 2024</t>
  </si>
  <si>
    <t xml:space="preserve">                                                     CIENTO QUINCE MIL OCHOCIENTOS OCHENTA Y CUATRO PESOS 00/100 M.N.</t>
  </si>
  <si>
    <t xml:space="preserve">                                                     CIENTO VEINTE Y SEIS MIL TRESCIENTOS VEINTE Y CUATRO PESOS 00/100 M.N.</t>
  </si>
  <si>
    <t>03 de marzo del 2025</t>
  </si>
  <si>
    <t>TECALITLAN, JALISCO.</t>
  </si>
  <si>
    <t>Nombre del predio: TECALITLAN, JALISCO.</t>
  </si>
  <si>
    <t>AFORO DE POZO PROFUNDO, CON TUBERIA DE 3", PARA OBTENER UN GASTO DESDE 2 HASTA 20 LT/SEG, INCLUYE: MANIOBRAS, PRUEBA POR 24 HORAS, CABLEADO, FLETES, GENERADOR, DIESEL, CONSUMIBLES, RECOPILACION DE DATOS, ANALISIS Y REPORTE POR ESCRITO.</t>
  </si>
  <si>
    <t xml:space="preserve">                                                     SESENTA Y NUEVE MIL SEISCIENTOS PESOS 00/100 M.N.</t>
  </si>
  <si>
    <r>
      <rPr>
        <b/>
        <sz val="11"/>
        <rFont val="Arial"/>
        <family val="2"/>
      </rPr>
      <t>Tiempo de entrega del sistema:</t>
    </r>
    <r>
      <rPr>
        <sz val="11"/>
        <rFont val="Arial"/>
        <family val="2"/>
      </rPr>
      <t xml:space="preserve"> 2 DIAS de envio, 1 DIA hábil de la instalacion salvo previa venta, una vez dado el pago. </t>
    </r>
  </si>
  <si>
    <t>Precios sujetos a cambio sin previo aviso. T.C. 20.50</t>
  </si>
  <si>
    <t>OCHENTA Y SEIS MIL QUINIENTOS CINCUENTA Y OCHO PESOS 50/100 M.N.</t>
  </si>
  <si>
    <t>INSTALACION DE VARIADOR DE FRECUENCIA ENERWELL 3X440 VOLT, MAXIMO AMPERAJE 75, PROTECCIONES: Sobrecarga, alto y bajo voltaje, pérdida de fase de alimentación y motor, control de temperatura a través de sonda PT100 (NO INCLUIDA), paro de emergencia, picos de voltaje de entrada a través del supresor de picos, trabajo en seco. INCLUYE: VARIADOR DE FRECUENCIA, INSTALACION DE EQUIPO, CONEXIONES, PROGRAMACIÓN, PRUEBAS EN EL SISTEMA.</t>
  </si>
  <si>
    <t>03 DE MARZO DEL 2025</t>
  </si>
  <si>
    <t>TECALITLAN JALISCO.</t>
  </si>
  <si>
    <t>Domicilio: TECALITLAN JALISCO</t>
  </si>
  <si>
    <t>Atención: SR. ARTURO VALENCIA</t>
  </si>
  <si>
    <t xml:space="preserve">Empresa: AGRICOLA VALENCIA   </t>
  </si>
  <si>
    <t>CINCUENTA Y SIETE MIL CIENTO SETENTA Y DOS PESOS 46/100 M.N.</t>
  </si>
  <si>
    <t>INSTALACIÓN EQUIPO DE BOMBEO 3" ALCANCE 70 MTS, INCLUYE: MANIOBRAS DE IZAJE, INSTALACIÓN DE TREN DE DESCARGA, EPP PERSONAL.</t>
  </si>
  <si>
    <t>BOMBA SUMERGIBLE ALTAMIRA INOXIDABLE 6 LTS</t>
  </si>
  <si>
    <t>DESINTALACIÓN EQUIPO DE BOMBEO 3" ALCANCE 70 MTS, INCLUYE: MANIOBRAS DE IZAJE, DESINSTALACION DE TREN DE DESCARGA, EPP PERSONAL.</t>
  </si>
  <si>
    <t xml:space="preserve">Empresa:   </t>
  </si>
  <si>
    <t>Atención: SR. JESUS LARA</t>
  </si>
  <si>
    <t>Domicilio: ZAPOTILTIC, JALISCO</t>
  </si>
  <si>
    <t>Nombre del predio: TINAJERO 2</t>
  </si>
  <si>
    <t>06 DE MARZO DEL 2025</t>
  </si>
  <si>
    <t>DESINTALACIÓN EQUIPO DE BOMBEO 8" ALCANCE 150 MTS, CON GRUA TIPO TRIPIE DE 50 TONELADAS, INCLUYE: MANIOBRAS DE IZAJE, DESINSTALACION DE TREN DE DESCARGA, EPP PERSONAL.</t>
  </si>
  <si>
    <t>CUARENTA Y SIETE MIL QUINIENTOS SETENTA Y UN PESOS 60/100 M.N.</t>
  </si>
  <si>
    <r>
      <rPr>
        <b/>
        <sz val="11"/>
        <rFont val="Arial"/>
        <family val="2"/>
      </rPr>
      <t>Forma de Pago: 70</t>
    </r>
    <r>
      <rPr>
        <sz val="11"/>
        <rFont val="Arial"/>
        <family val="2"/>
      </rPr>
      <t>% ANTICIPO 30% AL TOMAR EL VIDEO</t>
    </r>
  </si>
  <si>
    <t>07 DE MARZO DEL 2025</t>
  </si>
  <si>
    <t>CUATROCIENTOS DOCE MIL SEISCIENTOS NOVENTA Y SIETE PESOS 38/100 M.N.</t>
  </si>
  <si>
    <t>CUATROCIENTOS TRES MIL NOVECIENTOS OCHENTA Y SEIS PESOS 24/100 M.N.</t>
  </si>
  <si>
    <t>MOTOBOMBA SUMERGIBLE  KSB, PARA 40 LT. 60 HZ 440V INCLUYE: BOMBA SUMERGIBLE DE FUNDICION DE HIERRO, ACOPLADO A UN MOTOR SUMERGIBLE 305 HP.</t>
  </si>
  <si>
    <r>
      <t xml:space="preserve">BOMBA CENTRIFUGA MCA.- BARNES EN FUNDICION DE HIERRO. </t>
    </r>
    <r>
      <rPr>
        <b/>
        <sz val="10"/>
        <rFont val="Arial"/>
        <family val="2"/>
      </rPr>
      <t xml:space="preserve"> 35 LT/SEG  (T.E.- 4 - 6 SEMANAS HABILES)</t>
    </r>
  </si>
  <si>
    <t>ARRANCADOR A TENSION REDUCIDA PARA MOTOR DE 50 Hp. CON PROTECCION ELECTRONICA.</t>
  </si>
  <si>
    <t>CINCUENTA Y OCHO MIL SEISCIENTOS OCHENTA PESOS 50/100 M.N.</t>
  </si>
  <si>
    <t>13 DE MARZO DEL 2025</t>
  </si>
  <si>
    <t>Empresa: GAMA</t>
  </si>
  <si>
    <t>Atención a: ING. JOSE GARCIA</t>
  </si>
  <si>
    <t>Empresa: PRIZE AGRO MEX</t>
  </si>
  <si>
    <t xml:space="preserve">Atención a: LIC.- MARCO ARIAS </t>
  </si>
  <si>
    <t>Domicilio: MANUEL GOMEZ MORIN NO. 265</t>
  </si>
  <si>
    <t xml:space="preserve">Nombre del predio: ZAMORA MICHCOACAN, </t>
  </si>
  <si>
    <t>REVISION DE EQUIPOS Y PRUEBAS DE POZO PROFUNDO, INCLUYE:                               TRANSFORMADOR, SISTEMA DE ARRANQUE, LINEAS DE ALIMENTACION, REVISION DE CABLES,  REVISION DE MOTOR (MEGGUER), DIAGNOSTICO ELECTROMECANICO DE EQUIPOS, MEDICION DE NIVELES, GASTOS, ELECTRICOS DE OPERACION Y REPORTE POR ESCRITO.</t>
  </si>
  <si>
    <t xml:space="preserve">CON ESTE DIAGNOSTICO PODEMOS DETERMINAR LAS CONDICIONES EN LAS QUE OPERAN LOS </t>
  </si>
  <si>
    <t>EQUIPOS INSTALADOS, ASI COMO LA REVISION DE LOS EQUIPOS Y SU OPERACIÓN.</t>
  </si>
  <si>
    <t>SE DARA UN REPORTE POR ESCRITO PARA SU CONSULTA EN UN FUTURO.</t>
  </si>
  <si>
    <t>VEINTE Y SIETE MIL CIENTO CUARENTA Y CUATRO PESOS 00/100 M.N.</t>
  </si>
  <si>
    <t>18 DE MARZO DEL 2025</t>
  </si>
  <si>
    <t>VALVULAS DE EXPULSION Y ADMISION DE AIRE, INCLUYE:     VIATICOS, EQUIPO DE CORTE, SOLDADURA, VALVULAS DE EXPULSION DE AIRE, INSTALACION Y PRUEBAS.</t>
  </si>
  <si>
    <t>Empresa: HORTIFRUT ABA</t>
  </si>
  <si>
    <t xml:space="preserve">Atención a: ING </t>
  </si>
  <si>
    <t xml:space="preserve">Nombre del predio: SAN JUAN ESPANATICA </t>
  </si>
  <si>
    <t>DESINTALACIÓN EQUIPO DE BOMBEO 3" ALCANCE 250 MTS, INCLUYE: MANIOBRAS DE IZAJE, DESINSTALACION DE TREN DE DESCARGA, EPP PERSONAL, MANIOBRAS. NO INCUYE EQUIPO DE CORTE O SOLDADURA EN CASO DE REQUERIRLO.</t>
  </si>
  <si>
    <t>FLETE DE EQUIPOS DESINTALADOS DE POZO EL SALVADOR A POZO SAN JUAN ESPANATICA ALCANCE CABLE, TUBERIA, TREN DE DESCARGA, MOTOBOMBA.</t>
  </si>
  <si>
    <r>
      <rPr>
        <b/>
        <sz val="11"/>
        <rFont val="Arial"/>
        <family val="2"/>
      </rPr>
      <t>Tiempo de entrega del sistema:</t>
    </r>
    <r>
      <rPr>
        <sz val="11"/>
        <rFont val="Arial"/>
        <family val="2"/>
      </rPr>
      <t xml:space="preserve"> De 5 DIAS HABILES salvo previa venta, una vez dado el pago.</t>
    </r>
  </si>
  <si>
    <t>Empresa: ING. AMAURY CASTILLO</t>
  </si>
  <si>
    <t>Atención a:I NG. AMAURY CASTILLO</t>
  </si>
  <si>
    <t>Domicilio: SAYULA, JALISCO.</t>
  </si>
  <si>
    <t>Nombre del predio: SAYULA, JALISCO.</t>
  </si>
  <si>
    <t>SAYULA, JALISCO.</t>
  </si>
  <si>
    <t>21 DE MARZO DEL 2025</t>
  </si>
  <si>
    <t>REPARACION DE EQUIPO DE BOMBEO INOX. DE 40 HP. INCLUYE: CAMBIO DE ANILLOS DE DESGASTE, PULIDO DE FLECHA, ENDEREZADO DE IMPULSORES, RECTIFICAR IMPELENTES, CAMBIO DE BUJES, FLECHA, CANDADOS, 2 IMPULSORES, MANO DE OBRA, FLETES.</t>
  </si>
  <si>
    <t>VALVULAS DE EXPULSION Y ADMISION DE AIRE, INCLUYE: EQUIPO DE CORTE DE ACETILENO, SOLDADURA, ARREGLOS DE EXPULSION DE AIRE, MANO DE OBRA.</t>
  </si>
  <si>
    <t>Empresa: SAPAZA</t>
  </si>
  <si>
    <t xml:space="preserve">Atención a:  ING. MARCO    - LIC.- </t>
  </si>
  <si>
    <t>Nombre del predio: ABASTECIMIENTO</t>
  </si>
  <si>
    <t>26 DE MARZO DEL 2025</t>
  </si>
  <si>
    <t>ARRANCADOR A TENSION REDUCIDA PARA MOTOR DE 250 Hp. 440 VOLTS, 60 HZ, 200-320 AMP. MCA SIEMENS CON PRTECCION ELECTRONICA SUB MONITOR CONNECT PARA MOTOR DE 250 HP. INCLUYE:  TCS, INSTALACION, PROGRAMACION Y PRUEBAS DE FUNCIONAMIENTO. T.E.- 1 SEMANA</t>
  </si>
  <si>
    <r>
      <t xml:space="preserve">ARRANCADOR A TENSION REDUCIDA PARA MOTOR DE 250 Hp. 440 VOLTS, 60 HZ, 275-420 AMP. </t>
    </r>
    <r>
      <rPr>
        <b/>
        <sz val="10"/>
        <color rgb="FF00B050"/>
        <rFont val="Arial"/>
        <family val="2"/>
      </rPr>
      <t>MCA WEG</t>
    </r>
    <r>
      <rPr>
        <sz val="10"/>
        <rFont val="Arial"/>
        <family val="2"/>
      </rPr>
      <t xml:space="preserve"> CON PRTECCION ELECTRONICA SUB MONITOR CONNECT PARA MOTOR DE 250 HP. INCLUYE:  TCS, INSTALACION, PROGRAMACION Y PRUEBAS DE FUNCIONAMIENTO. T.E.- 6 -8 DIAS</t>
    </r>
  </si>
  <si>
    <t>04 DE ABRIL DEL 2025</t>
  </si>
  <si>
    <t>AFORO MEDIANTE EQUIPOS DE BOMBEO SUMERGIBLE, INCLUYE: INSTALACION DEL EQUIPO A 110 MT CON TUBERIA DE 4", AFOROS, PRUEBA POR 24 HORAS, RECOPILACION DE DATOS, ANALISIS Y REPORTE POR ESCRITO.</t>
  </si>
  <si>
    <t>CINCUENTA Y SEIS MIL SETECIENTOS DIEZ Y NUEVE PESOS 94/100 M.N.</t>
  </si>
  <si>
    <t>VIDEO GRABACION DE POZO PROFUNDO, INCLUYUE: TOMA DE VIDEO, REPORTE POR ESCRITO, MEMORIA CON EVIDENCIAS.</t>
  </si>
  <si>
    <t xml:space="preserve">                                                     ONCE MIL QUINIENTOS NOVENTA Y OCHO PESOS 84/100 M.N.</t>
  </si>
  <si>
    <r>
      <t xml:space="preserve">DIAS DE RENTA DE GENERADOR TRIFASICO DE 125 KW. 460 VOLTS 60 HZ. DEL DIA </t>
    </r>
    <r>
      <rPr>
        <sz val="12"/>
        <color rgb="FF00B050"/>
        <rFont val="Arial"/>
        <family val="2"/>
      </rPr>
      <t>09-04-2025 AL 18-04-2025</t>
    </r>
  </si>
  <si>
    <r>
      <t xml:space="preserve">DIAS DE RENTA DE VARIADOR DE FRECUENCIA TRIFASICO A 460 VOLTS 60 HZ. DEL DIA </t>
    </r>
    <r>
      <rPr>
        <sz val="12"/>
        <color rgb="FF00B050"/>
        <rFont val="Arial"/>
        <family val="2"/>
      </rPr>
      <t>09-04-2025 AL 18-04-2025</t>
    </r>
  </si>
  <si>
    <t>DESINTALACIÓN EQUIPO DE BOMBEO 3" ALCANCE 100 MTS, INCLUYE: MANIOBRAS DE IZAJE, DESINSTALACION DE TREN DE DESCARGA, EPP PERSONAL, MANIOBRAS. NO INCUYE EQUIPO DE CORTE O SOLDADURA EN CASO DE REQUERIRLO.</t>
  </si>
  <si>
    <t>VIDEO GRABACION DE POZO PROFUNDO, INCLUYE: TOMA DE VIDEO, REPORTE POR ESCRITO, MEMORIA CON EVIDENCIAS.</t>
  </si>
  <si>
    <t>Empresa: ING. EDUARDO CHAVEZ</t>
  </si>
  <si>
    <t>Atención a: ING. EDUARDO CHAVEZ</t>
  </si>
  <si>
    <t>Domicilio: TAMAZULA, JALISCO.</t>
  </si>
  <si>
    <t xml:space="preserve">Nombre del predio: EL AGUACATE. </t>
  </si>
  <si>
    <t>05 DE ABRIL DEL 2025</t>
  </si>
  <si>
    <t>TRASLADOS DE EQUIPOS DEL SALVADOR A SAN JUAN ESPANATICA.</t>
  </si>
  <si>
    <t>EQUIPOS DE CORTE, ROSCAR 5 TUBOS DE 3", 5 COPLES CONICOS DE 3"</t>
  </si>
  <si>
    <t>19 DE AGOSTO DEL 2024</t>
  </si>
  <si>
    <t xml:space="preserve">LIMPIEZA DE POZO CON ADEME DE 12" PROFUNDIDAD DE 240 MTS INCLUYE: APLICACIÓN DE LIQUIDOS LIMPIADORES Y DESINFECTANTES, TRABAJO MECANICO DE 4 MIN/MTS Y SANITIZACIÓN FINAL DEL POZO </t>
  </si>
  <si>
    <t>INSTALACIÓN DE EQUIPO MOTOBOMBA DE 3" ALCANCE 220 MTS,  INCLUYE: MANIOBRAS DE IZAJE, DESINSTALACION DE TREN DE DESCARGA, EPP PERSONAL, MANIOBRAS. NO INCUYE EQUIPO DE CORTE O SOLDADURA EN CASO DE REQUERIRLO.</t>
  </si>
  <si>
    <t>CIENTO TREINTA Y TRES MIL CIENTO DIEZ Y OCHO PESOS 12/100 M.N.</t>
  </si>
  <si>
    <t>La cotización NO INCLUYE MATERIALES DE EMPATE, TUBERIA NI CANALIZACIÓN EN CASO DE REQUERIR DE MANDARA UNA FACTURA DE FINIQUITO</t>
  </si>
  <si>
    <t xml:space="preserve">                                 CUATROCIENTOS DIEZ MIL CUATROCIENTOS OCHENTA PESOS 79/100 M.N.</t>
  </si>
  <si>
    <t>07 DE ABRIL DEL 2025</t>
  </si>
  <si>
    <t>SAN JUAN ESPANATICA, JALISCO.</t>
  </si>
  <si>
    <t>CAMBIO DE CABLEADO E INSTALACION DE INTERRUPTOR TERMOMAGNETICO, INCLUYE, MANO DE OBRA, HERRAMIENTAS, VARIOS.</t>
  </si>
  <si>
    <t>MT CABLE THW CAL. 3/0 A 70 C</t>
  </si>
  <si>
    <t>INTERRUPTOR TERMOMAGNETICO DE 200 AMP.</t>
  </si>
  <si>
    <t>LOTE DE CONEXIONES PARA BAJA TENSION, INCLUYE: TERMINALES DE OJO, CONECTORES A TOPE, CINTAS, TERMINALES.</t>
  </si>
  <si>
    <r>
      <rPr>
        <b/>
        <sz val="11"/>
        <rFont val="Arial"/>
        <family val="2"/>
      </rPr>
      <t>Tiempo de entrega del sistema:</t>
    </r>
    <r>
      <rPr>
        <sz val="11"/>
        <rFont val="Arial"/>
        <family val="2"/>
      </rPr>
      <t xml:space="preserve"> SISTEMA ENTREGADO</t>
    </r>
  </si>
  <si>
    <t xml:space="preserve">    </t>
  </si>
  <si>
    <t>CAB 1/2" 500 MT</t>
  </si>
  <si>
    <t>OCHO MIL CIENTO VEINTE PESOS 00/100 M.N.</t>
  </si>
  <si>
    <t xml:space="preserve">Atención a:  ING. MARCO  </t>
  </si>
  <si>
    <t>Atención a: Ing. Eduardo Alvarez Ceballos</t>
  </si>
  <si>
    <t>Domicilio: Abasolo Gto.</t>
  </si>
  <si>
    <t>ABASOLO, GUANAJUATO.</t>
  </si>
  <si>
    <t>Nombre del predio: NO. 2, CAMPO ALAMEDA</t>
  </si>
  <si>
    <t>ALAMEDA 2</t>
  </si>
  <si>
    <t>MANIOBRAS DE DESINTALACION  DE TREN DE DESCARGA ASI COMO DE EQUIPO DE BOMBEO CON GRUA TIPO TRIPIE, APROX 120 M DE TUBERIA DE 8" (20 TRAMOS)</t>
  </si>
  <si>
    <t>REVISION VISUAL Y VALIDACION DE ACCESORIOS EXTRAIDOS( CBALES, COPLE, VALVULAS CHECK, CABEZAL, VARIOS.)</t>
  </si>
  <si>
    <t>REVISION DE EQUIPOS EXTRAIDOS Y COMPONENTES (AISLAMIENTO DEL MOTOR, CABLE SUMERGIBLE PRUEBA DIELECTRICA, INSPECCION DE EQUIPOS EN CAMPO, AJUSTES, VARIOS)</t>
  </si>
  <si>
    <t>VIDEOGRABACION DINAMICA DE POZO ANTES DE REHABILITACION, CON EL FIN DE OBTENER DATOS FIDEDIGNOS, TALES COMO, NIVEL DINAMICO, DIAMETROS, PROF. REJILLAS, GRADO-TIPO DE INCRUSTACIONES, FONDO DE POZO. INCLUYE, TOMA DE VIDEO, MEMORIA CON VIDEO Y REPORTE POR ESCRITO.</t>
  </si>
  <si>
    <t>REHABILITACION MECANICA DE POZO PROFUNDO CON CEPILLO DE ALAMBRE CON AYUDA DE GRUA, INCLUYE: TRASLADOS, EQUIPOS, EPP, APLICACIÓN DE ELEMENTOS DE LIMPIEZA, CEPILLADO, DESASOLVE, SANITIZACION DE POZO.</t>
  </si>
  <si>
    <t>MANIOBRAS DE INTALACION  DE TREN DE DESCARGA ASI COMO DE EQUIPO DE BOMBEO CON GRUA TIPO TRIPIE, APROX 120 M DE TUBERIA DE 8" (20 TRAMOS), INCLUYE: EPP, MANIOBRAS, MATERIAL PARA EMPATE, CAJAS DE CABLE, CINTAS, VARIOS.</t>
  </si>
  <si>
    <t>ARRANQUE Y PRUEBAS DE FUNCIONAMIENTO DE EQUIPO DE BOMBEO INSTALADO, INCLUYE: REVISION DE PARAMETROS ELECTRICOS, PARAMETROS HIDRAHULICOS, REVISION DE NIVELES, CURVA DE COMPORTAMIENTO, REPORTE POR ESCRITO.</t>
  </si>
  <si>
    <t>LIMPIEZA, REVISION Y MANTENIMIENTO DE EQUIPO DE CONTROL, INCLUYE: DESARMADO DE CONTACTORES, TERMICOS, LIMPIEZA CON LIQUIDOS DIELECTRICOS, ARMADO, REAPRIETE.</t>
  </si>
  <si>
    <t>Nombre del predio: NO. 4, CAMPO ALAMEDA</t>
  </si>
  <si>
    <t>REVISION VISUAL Y VALIDACION DE ACCESORIOS EXTRAIDOS( CABLES, COPLE, VALVULAS CHECK, CABEZAL, VARIOS.)</t>
  </si>
  <si>
    <t>ALAMEDA 4</t>
  </si>
  <si>
    <t>RENTA DE EQUIPO DE BOMBEO DE 75 HP. PARA 32 LT/SEG</t>
  </si>
  <si>
    <t>DESINTALACIÓN EQUIPO DE BOMBEO 6" ALCANCE 150 MTS, INCLUYE: MANIOBRAS DE IZAJE, DESINSTALACION DE TREN DE DESCARGA, EPP PERSONAL, MANIOBRAS. NO INCUYE EQUIPO DE CORTE O SOLDADURA EN CASO DE REQUERIRLO.</t>
  </si>
  <si>
    <t>INTALACIÓN EQUIPO DE BOMBEO 6" ALCANCE 150 MTS, INCLUYE: MANIOBRAS DE IZAJE, DESINSTALACION DE TREN DE DESCARGA, EPP PERSONAL, MANIOBRAS. INCLUYE CABLE, CINTAS Y MATERIAL PARA EMPATES.</t>
  </si>
  <si>
    <t>CUARENTA Y CINCO MIL OCHOCIENTOS SETENTA Y CINCO PESOS 68/100 M.N.</t>
  </si>
  <si>
    <t>Empresa: BERRY LAND</t>
  </si>
  <si>
    <t xml:space="preserve">Atención a: ING. CARLOS JIMENEZ </t>
  </si>
  <si>
    <t>Nombre del predio: BERRYLAN EL JOROBADO.</t>
  </si>
  <si>
    <t>10 DE ABRIL DEL 2025</t>
  </si>
  <si>
    <t>Domicilio: BRECHA AL JOROBADO      berryland01@hotmail.com</t>
  </si>
  <si>
    <t xml:space="preserve">MOTOR SUMERGIBLE DE 75 HP. SERIA RT MCA.- ALTAMIRA </t>
  </si>
  <si>
    <t xml:space="preserve">BOMBA SUMERGIBLE DE 75 HP. MCA.- ALTAMIRA </t>
  </si>
  <si>
    <t>CIENTO SESENTA Y TRES MIL DOSCIENTOS CUARENTA Y NUEVE PESOS 31/100 M.N.</t>
  </si>
  <si>
    <t>BOMBA SUMERGIBLE EN FUNDICION DE HIERRO DE 75 HP. MCA.- FRANKLIN ELECTRIC. T.E.- 5 DIAS</t>
  </si>
  <si>
    <t>MOTOR SUM. DE 75 HP. SERIA RT MCA.- SME, ALTA TEMP. Y ALTO EMPUJE AXIAL. T.E.- 5 DIAS</t>
  </si>
  <si>
    <t>DOSCIENTOS NOVENTA Y DOS MIL OCHOCIENTOS NOVENTA Y CUATRO PESOS 20/100 M.N.</t>
  </si>
  <si>
    <r>
      <rPr>
        <b/>
        <sz val="8"/>
        <rFont val="Arial"/>
        <family val="2"/>
      </rPr>
      <t>Tiempo de entrega del sistema:</t>
    </r>
    <r>
      <rPr>
        <sz val="8"/>
        <rFont val="Arial"/>
        <family val="2"/>
      </rPr>
      <t xml:space="preserve"> De 19 DIAS HABILES salvo previa venta, una vez dado el pago.</t>
    </r>
  </si>
  <si>
    <r>
      <rPr>
        <b/>
        <sz val="8"/>
        <rFont val="Arial"/>
        <family val="2"/>
      </rPr>
      <t>Tiempo de instalación:</t>
    </r>
    <r>
      <rPr>
        <sz val="8"/>
        <rFont val="Arial"/>
        <family val="2"/>
      </rPr>
      <t xml:space="preserve"> no definida, previa calendarización de la misma.</t>
    </r>
  </si>
  <si>
    <r>
      <rPr>
        <b/>
        <sz val="8"/>
        <rFont val="Arial"/>
        <family val="2"/>
      </rPr>
      <t>Método de Pago:</t>
    </r>
    <r>
      <rPr>
        <sz val="8"/>
        <rFont val="Arial"/>
        <family val="2"/>
      </rPr>
      <t xml:space="preserve"> Efectivo, Cheque, Transferencia Interbancaria.</t>
    </r>
  </si>
  <si>
    <r>
      <rPr>
        <b/>
        <sz val="8"/>
        <rFont val="Arial"/>
        <family val="2"/>
      </rPr>
      <t>Numero de cuenta:</t>
    </r>
    <r>
      <rPr>
        <sz val="8"/>
        <rFont val="Arial"/>
        <family val="2"/>
      </rPr>
      <t xml:space="preserve"> 048 247 5650   </t>
    </r>
    <r>
      <rPr>
        <b/>
        <sz val="8"/>
        <rFont val="Arial"/>
        <family val="2"/>
      </rPr>
      <t xml:space="preserve">CLABE.- </t>
    </r>
    <r>
      <rPr>
        <sz val="8"/>
        <rFont val="Arial"/>
        <family val="2"/>
      </rPr>
      <t xml:space="preserve">012 342 004824 756509  </t>
    </r>
    <r>
      <rPr>
        <b/>
        <sz val="8"/>
        <rFont val="Arial"/>
        <family val="2"/>
      </rPr>
      <t>BBVA BANCOMER</t>
    </r>
  </si>
  <si>
    <t>SANTA FE</t>
  </si>
  <si>
    <t>Domicilio: Tecolotlan, Jal.</t>
  </si>
  <si>
    <t>Nombre del predio: NO. 1, Campo Santa Fe.</t>
  </si>
  <si>
    <t>TECOLOTLAN, JALISCO.</t>
  </si>
  <si>
    <r>
      <t xml:space="preserve">LIMPIEZA, REVISION Y MANTENIMIENTO DE EQUIPO DE CONTROL </t>
    </r>
    <r>
      <rPr>
        <b/>
        <sz val="10"/>
        <color rgb="FF00B050"/>
        <rFont val="Aptos Narrow"/>
        <family val="2"/>
        <scheme val="minor"/>
      </rPr>
      <t>VFD DANFOSS IP20</t>
    </r>
    <r>
      <rPr>
        <sz val="10"/>
        <color theme="1"/>
        <rFont val="Aptos Narrow"/>
        <family val="2"/>
        <scheme val="minor"/>
      </rPr>
      <t>, INCLUYE: DESARMADO DE CONTACTORES, TERMICOS, LIMPIEZA CON LIQUIDOS DIELECTRICOS, ARMADO, REAPRIETE.</t>
    </r>
  </si>
  <si>
    <t>Nombre del predio: NO. 2, Campo Santa Fe.</t>
  </si>
  <si>
    <t>MANIOBRAS DE DESINTALACION  DE TREN DE DESCARGA ASI COMO DE EQUIPO DE BOMBEO CON GRUA TIPO TRIPIE, APROX 235 M DE TUBERIA DE 4" (39 TRAMOS)</t>
  </si>
  <si>
    <t>SANTA FE 2</t>
  </si>
  <si>
    <t>VIDEOGRABACION DINAMICA DE POZO ANTES DE REHABILITACION, CON EL FIN DE OBTENER DATOS FIDEDIGNOS, TALES COMO, NIVEL DINAMICO, DIAMETROS, PROF. REJILLAS, GRADO-TIPO DE INCRUSTACIONES, FONDO DE POZO. INCLUYE, TOMA DE VIDEO, MEM CON VIDEO Y REP POR ESCRITO.</t>
  </si>
  <si>
    <t>Nombre del predio: NO. 3, Campo Santa Fe.</t>
  </si>
  <si>
    <t>SANTA FE 3</t>
  </si>
  <si>
    <t>MANIOBRAS DE DESINTALACION  DE TREN DE DESCARGA ASI COMO DE EQUIPO DE BOMBEO CON GRUA TIPO TRIPIE, APROX 266 M DE TUBERIA DE 6" (44 TRAMOS)</t>
  </si>
  <si>
    <t>MANIOBRAS DE DESINTALACION  DE TREN DE DESCARGA ASI COMO DE EQUIPO DE BOMBEO CON GRUA TIPO TRIPIE, APROX 109 M DE TUBERIA DE 6" (18 TRAMOS)</t>
  </si>
  <si>
    <t xml:space="preserve">                                 CIENTO NOVENTA Y TRES MIL SEISCIENTOS CINCUENTA PESOS 40/100 M.N.</t>
  </si>
  <si>
    <t xml:space="preserve">                                 CIENTO NOVENTA Y DOS MIL CIENTO CUARENTA Y DOS PESOS 40/100 M.N.</t>
  </si>
  <si>
    <t xml:space="preserve">                                 CIENTO SETENTA Y UN MIL SEISCIENTOS OCHENTA PESOS 00/100 M.N.</t>
  </si>
  <si>
    <t xml:space="preserve">                                 CIENTO NOVENTA Y UN MIL CUATROCIENTOS PESOS 00/100 M.N.</t>
  </si>
  <si>
    <t xml:space="preserve">                                 DOSCIENTOS ONCE MIL TRESCIENTOS CINCUENTA Y DOS PESOS 00/100 M.N.</t>
  </si>
  <si>
    <t>4 DIAS</t>
  </si>
  <si>
    <t>DES-INSTALACIÓN DE EQUIPO MOTOBOMBA 5 HP ALCANCE 15 MTS,  INCLUYE: MANIOBRAS DE IZAJE, NO INCUYE EQUIPO DE CORTE O SOLDADURA EN CASO DE REQUERIRLO.</t>
  </si>
  <si>
    <t xml:space="preserve">SERVICIO DE MONITOREO DE POZO PROFUNDO, INCLUYE: REVISION DE NIVELES, REV. DATOS </t>
  </si>
  <si>
    <t>HIDRAHULICOS Y ELECTRICOS.</t>
  </si>
  <si>
    <t>12 DE ABRIL DEL 2025</t>
  </si>
  <si>
    <t>DESINTALACIÓN EQUIPO DE BOMBEO 6" ALCANCE 90 MTS, INCLUYE: MANIOBRAS DE IZAJE, DESINSTALACION DE TREN DE DESCARGA, EPP PERSONAL, MANIOBRAS. NO INCUYE EQUIPO DE CORTE O SOLDADURA EN CASO DE REQUERIRLO.</t>
  </si>
  <si>
    <t xml:space="preserve">LIMPIEZA DE POZO CON ADEME DE 12", INCLUYE: APLICACIÓN DE LIQUIDOS LIMPIADORES Y DESINFECTANTES, TRABAJO MECANICO CON CEPILLO DE ALAMBRE DE 4 MIN/MTS Y SANITIZACIÓN FINAL DEL POZO </t>
  </si>
  <si>
    <t>INTALACIÓN EQUIPO DE BOMBEO 6" ALCANCE 90 MTS, INCLUYE: MANIOBRAS DE IZAJE, DESINSTALACION DE TREN DE DESCARGA, EPP PERSONAL, MANIOBRAS. NO INCUYE EQUIPO DE CORTE O SOLDADURA EN CASO DE REQUERIRLO.</t>
  </si>
  <si>
    <t>CAJA DE ALAMBRE CAL. 10 PARA AMARRES</t>
  </si>
  <si>
    <t>MATERIAL PARA EMPATES DE EQUIPO SUMERGIBLE, INCLUYE: CINTAS MASILLA, CINTA 130-C, CINTA SUPER 33, MANGA TERMOCONTRACTIL CAL. 1/0, MANGA TERMOCONTRACTIL CAL. 350 MCM, RESINA DIELECTRICA Y MANO DE OBRA.</t>
  </si>
  <si>
    <t>Domicilio: Aeropista conocido.</t>
  </si>
  <si>
    <t>CIENTO SIETE MIL DOSCIENTOS NOVENTA Y CINCO PESOS 94/100 M.N.</t>
  </si>
  <si>
    <t>INTALACIÓN EQUIPO DE BOMBEO 3" ALCANCE 100 MTS, INCLUYE: MANIOBRAS DE IZAJE, DESINSTALACION DE TREN DE DESCARGA, EPP PERSONAL, MANIOBRAS. NO INCUYE EQUIPO DE CORTE O SOLDADURA EN CASO DE REQUERIRLO.</t>
  </si>
  <si>
    <t>15 DE ABRIL DEL 2025</t>
  </si>
  <si>
    <t>EQUIPO DE BOMBEO 5 HP. ENFRIADO POR ACEITE MCA.- ALTAMIRA. 3 LT/SEG</t>
  </si>
  <si>
    <t>LOTE DE MATERIALES PARA EMPATE E INSTALACION. INCLUYE: CINTAS 130-C, CINTAS SUPER 33, MANGA TERMOCONTRACTIL, CAJAS DE ALAMBRE, MANO DE OBRA Y HERRAMIENTAS.</t>
  </si>
  <si>
    <t>CINCUENTA Y SEIS MIL DOS PESOS 68/100 M.N.</t>
  </si>
  <si>
    <t>ARRANCADOR A TENSION REDUCIDA, MCA.- ENERWELL PARA 20 HP. INCLUYE PROTECCIONES ELECTRONICAS PARA MOTOR SUMERGIBLE</t>
  </si>
  <si>
    <t>INSTALACION DE ARRANCADOR A TENSION REDUCIDA, INCLUYE: FLETES, INSTALACION, PROGRAMACION, PRUEBAS, MANO DE OBRA Y HERRAMIENTAS.</t>
  </si>
  <si>
    <t>CINCUENTA MIL SEISCIENTOS OCHENTA Y SIETE PESOS 01/100 M.N.</t>
  </si>
  <si>
    <t>Empresa: SR. SAUL ALEJANDRO ARREDONDO OCHOA</t>
  </si>
  <si>
    <t>Atención a:  SR. SAUL ALEJANDRO ARREDONDO OCHOA</t>
  </si>
  <si>
    <t>Domicilio: TUXPAN, JALISCO.</t>
  </si>
  <si>
    <r>
      <t xml:space="preserve">DIAS DE RENTA DE GENERADOR TRIFASICO DE 125 KW. 460 VOLTS 60 HZ. DEL DIA </t>
    </r>
    <r>
      <rPr>
        <sz val="12"/>
        <color rgb="FF00B050"/>
        <rFont val="Arial"/>
        <family val="2"/>
      </rPr>
      <t>14-04-2025 AL 23-04-2025</t>
    </r>
  </si>
  <si>
    <r>
      <t xml:space="preserve">DIAS DE RENTA DE VARIADOR DE FRECUENCIA TRIFASICO A 460 VOLTS 60 HZ. DEL DIA </t>
    </r>
    <r>
      <rPr>
        <sz val="12"/>
        <color rgb="FF00B050"/>
        <rFont val="Arial"/>
        <family val="2"/>
      </rPr>
      <t>14-04-2025 AL 23-04-2025</t>
    </r>
  </si>
  <si>
    <t>DESINTALACIÓN EQUIPO DE BOMBEO 8" ALCANCE 240 MTS, INCLUYE: MANIOBRAS DE IZAJE, DESINSTALACION DE TREN DE DESCARGA, EPP PERSONAL, MANIOBRAS. NO INCUYE EQUIPO DE CORTE O SOLDADURA EN CASO DE REQUERIRLO.</t>
  </si>
  <si>
    <t>INTALACIÓN EQUIPO DE BOMBEO 8" ALCANCE 240 MTS, INCLUYE: MANIOBRAS DE IZAJE, DESINSTALACION DE TREN DE DESCARGA, EPP PERSONAL, MANIOBRAS. NO INCUYE EQUIPO DE CORTE O SOLDADURA EN CASO DE REQUERIRLO.</t>
  </si>
  <si>
    <t>LOTE DE MATERIALES PARA EMPATE E INSTALACION. INCLUYE: CINTAS 130-C, CINTAS SUPER 33, MANGA TERMOCONTRACTIL, CAJAS DE ALAMBRE, MANO DE OBRA Y HERRAMIENTAS. EN CASO DE SER 2 EMPATES SE COBRARAN MATERIALES EXCEDENTES</t>
  </si>
  <si>
    <t>SESENTA Y NUEVE MIL CUATROCIENTOS OCHENTA Y CUATRO PESOS 00/100 M.N.</t>
  </si>
  <si>
    <t>Domicilio: ZAPOTILTIC, JALISCO.</t>
  </si>
  <si>
    <t>16 DE ABRIL DEL 2025</t>
  </si>
  <si>
    <t>Empresa: Socios Pozo de Urzua</t>
  </si>
  <si>
    <t>Atención a: ING. SAMUEL CAZARES</t>
  </si>
  <si>
    <t>BOMBA SUMERGIBLE PARA 60 LT CDT.- 135 MT ACERO INOXIDABLE.</t>
  </si>
  <si>
    <t>MOTOR SUMERGIBLE DE 150 HP. MCA.- ALTAMIRA SERIE RT.</t>
  </si>
  <si>
    <t>ARRANCADOR A TENSION REDUCIDAD MCA.- ENERWELL PARA 150 HP.</t>
  </si>
  <si>
    <t>VALVULA CHECK DE 8" HIERRO DUCTIL MCA.- ALTAMIRA.</t>
  </si>
  <si>
    <t>INSTALACIÓN DE EQUIPO MOTOBOMBA DE 8" ALCANCE 140 MTS,  INCLUYE: MANIOBRAS DE IZAJE, DESINSTALACION DE TREN DE DESCARGA, EPP PERSONAL, MANIOBRAS. NO INCUYE EQUIPO DE CORTE O SOLDADURA EN CASO DE REQUERIRLO.</t>
  </si>
  <si>
    <t>MATERIAL PARA EMPATES E INSTALACION DE EQUIPO DE BOMBEO.</t>
  </si>
  <si>
    <t>ARRANQUE Y PRUEBAS DE FUNCIONAMIENTO DE EQUIPO DE BOMBEO A MEMBRANA Y A BOCA DE POZO.</t>
  </si>
  <si>
    <t>TRAMO DE TUBERIA DE 8" CON COPLE CONICO DE 6.1 MT. DE LARGO.</t>
  </si>
  <si>
    <t>MT. DE CABLE PLANO SUMERGIBLE CAL. 3 X 3/0 A 1000 VOLTS. MONCLOVA</t>
  </si>
  <si>
    <t>Atención a: ING EDSON RAMIREZ</t>
  </si>
  <si>
    <t>Domicilio: ZAPOTLAN EL GRANDE</t>
  </si>
  <si>
    <t xml:space="preserve">Nombre del predio: CENTENARIO </t>
  </si>
  <si>
    <t>26 DE ABRIL DEL 2025</t>
  </si>
  <si>
    <t>BOMBA SUMERGIBLE PARA 60 LT CDT.- 135 MT MCA.- FRANKLIN ELECTRIC EN FUNDICION DE HIERRO.</t>
  </si>
  <si>
    <t>MOTOR SUMERGIBLE DE 150 HP. MCA.- SME ALTA TEMP. Y ALTO EMPUJE AXIAL.</t>
  </si>
  <si>
    <t>VARIADOR DE FRECUENCIA ACQ-880-228A CON GABINETA, FUSIBLES ULTRARRAPIDOS, LUCES INDICADORAS, PANEL EN GABINETE PRINCIPAL, PANTALLA MULTIMEDIA, PROGRAMACION, INSTALACION Y PRUEBAS.</t>
  </si>
  <si>
    <t>EL EQUIPO DE FABRICA CUENTA CON 1 AÑO DE GARANTIA, PERO ESTOS EQUIPOS CUENTAN CON LA "GARANTIA NUCLEO" QUE SE EXTIENDE A 1 AÑO Y MEDIO AL LLEVAR EL CURSO DE CAPACITACION Y LLENADO DE LA BITACORA DE MONITOREO A CONDICION.                                                                                                                                        EN LA COMPRA DE ESTE EQUIPO SE DA UN CURSO DE CAPACITACION AL PERSONAL DE OPERACION EN EQUIPOS DE BOMBEO CON UNA DURACION DE ALREDEDOR DE 4 HORAS.                                                                                                                                                 EN CASO DE REQUERIR SE PUEDE PRESTAR UN VARIADOR DE FRECUENCIA PARA LA OPERACION DEL EQUIPO EN LO QUE SE ARMA EL DE USTEDES.</t>
  </si>
  <si>
    <t>MOTOR SUM TRIFASICO de 150 Hp. 460 VOLTS 60 HZ. 3510 RPM.  EMPUJE AXIAL.- 50 KN Y ALTA TEMP</t>
  </si>
  <si>
    <r>
      <t xml:space="preserve">REBOBINABLE, MCA.- ALTAMIRA SERIE "RT" 8" DE DIAMETRO.  </t>
    </r>
    <r>
      <rPr>
        <b/>
        <sz val="10"/>
        <rFont val="Arial"/>
        <family val="2"/>
      </rPr>
      <t xml:space="preserve">(T.E.- 4 DIAS) </t>
    </r>
  </si>
  <si>
    <r>
      <t xml:space="preserve">REBOBINABLE, MCA.- FRANKLIN ELECTRIC 8" DE DIAMETRO.  </t>
    </r>
    <r>
      <rPr>
        <b/>
        <sz val="10"/>
        <rFont val="Arial"/>
        <family val="2"/>
      </rPr>
      <t xml:space="preserve">(T.E.- 10 DIAS) </t>
    </r>
  </si>
  <si>
    <t>ARRANCADOR A TENSION REDUCIDA PARA MOTOR DE 150 Hp. MCA.- WEG CON SUB MONITOR CONECTT</t>
  </si>
  <si>
    <t>BOMBA SUMERGIBLE PARA 60 LT CDT.- 135 MT MCA.- GOULDS EN FUNDICION DE HIERRO.</t>
  </si>
  <si>
    <t>BOMBA SUMERGIBLE PARA 60 LT CDT.- 135 MT MCA.- TX PUMPS EN FUNDICION DE HIERRO.</t>
  </si>
  <si>
    <t>VALVULA CHECK VERTICAL DE CEDULA 40 DE 8" MCA. NUCLEO ING @ 600 PSI</t>
  </si>
  <si>
    <t>VALVULA CHECK VERTICAL DE HIERRO DUCTIL 8" MCA. GOULDS @ 400 PSI</t>
  </si>
  <si>
    <t>VALVULA CHECK VERTICAL DE HIERRO DUCTIL 8" MCA. TX PUMPS @ 400 PSI</t>
  </si>
  <si>
    <t>VALVULA CHECK DE 8" HIERRO DUCTIL MCA.- FLOMATIC 600 PSI.</t>
  </si>
  <si>
    <t>Empresa: GRUPO GWP</t>
  </si>
  <si>
    <t>Atención a:  Ing. Rodrigo Linares - Ing. Cristian Cortez</t>
  </si>
  <si>
    <t>Nombre del predio: Los Mazos</t>
  </si>
  <si>
    <t>Los Mazos Municipio De Tuxpan, Jalisco.</t>
  </si>
  <si>
    <t>09 DE OCTUBRE DEL 2024</t>
  </si>
  <si>
    <t>TUBO CED. 40 CON COPLE CONICO DE 4" Y 6.1 MT DE LONG. MCA. LAGUNA.</t>
  </si>
  <si>
    <t>CERTIFICADA, API5L, ASTM-A53 B, CON PRUEBAS HIDROSTATICAS. T.E.- 1 SEM. HABIL</t>
  </si>
  <si>
    <t>VALVULA CHECK VERTICAL DE HIERRO DUCTIL 4" MCA. FLOMATIC @ 600 PSI</t>
  </si>
  <si>
    <t>NIPLE REDUCCION CONICO ROSCADO EN SUS EXTREMOS 4" A 6"</t>
  </si>
  <si>
    <t>SEISCIENTOS NOVENTA Y SIETE MIL OCHOCIENTOS CUARENTA Y NUEVE PESOS 92/100 M.N.</t>
  </si>
  <si>
    <t>TUBO CED. 40 CON COPLE CONICO DE 4" Y 6.1 MT DE LONG. MCA. NUCLEO DE INGENIERIA</t>
  </si>
  <si>
    <t>ASTM-A53 B, COPLE REFORZADO. T.E.- 1 SEM. HABIL</t>
  </si>
  <si>
    <t>SEISCIENTOS VEINTE Y SIETE MIL NOVECIENTOS SETENTA Y SEIS PESOS 67/100 M.N.</t>
  </si>
  <si>
    <t>Empresa: WEST PAK</t>
  </si>
  <si>
    <t>Atención a: ING. CRISTIAN CORTEZ - ING. RODRIGO LINARES</t>
  </si>
  <si>
    <t>Nombre del predio: LOS MAZOS</t>
  </si>
  <si>
    <t>LOS MAZOS MUN. DE TUXPAN, JALISCO</t>
  </si>
  <si>
    <t>EQUIPO DE CORTE, DESINSTALACION CAMISA ETC.</t>
  </si>
  <si>
    <t>EMPATE DE CABLE PLANO SUMERGIBLE EN CALIBRE 1/0 INCLUYE:</t>
  </si>
  <si>
    <t>MANGA TERMOCON. CAL. 4/0, MANGA TERMOCONTRACTIL CAL. 750 MCM</t>
  </si>
  <si>
    <t>CIENTO SETENTA Y OCHO MIL CIENTO TREINTA Y CUATRO PESOS 24/100 M.N.</t>
  </si>
  <si>
    <r>
      <rPr>
        <b/>
        <sz val="11"/>
        <rFont val="Arial"/>
        <family val="2"/>
      </rPr>
      <t>Tiempo de entrega del sistema:</t>
    </r>
    <r>
      <rPr>
        <sz val="11"/>
        <rFont val="Arial"/>
        <family val="2"/>
      </rPr>
      <t xml:space="preserve"> De 1 - 2 SEMANAS salvo previa venta, una vez dado el pago.</t>
    </r>
  </si>
  <si>
    <t>Desc.-</t>
  </si>
  <si>
    <t>TOTAL 1.-</t>
  </si>
  <si>
    <t>LA PRESENTE SON CON LA VISION ACTUAL EN CASO DE REQUERIR</t>
  </si>
  <si>
    <t>29 DE ABRIL DEL 2025</t>
  </si>
  <si>
    <t>CIENTO SESENTA Y OCHO MIL CUATROCIENTOS UN PESOS 84/100 M.N.</t>
  </si>
  <si>
    <r>
      <rPr>
        <b/>
        <sz val="11"/>
        <rFont val="Arial"/>
        <family val="2"/>
      </rPr>
      <t>Tiempo de entrega del sistema:</t>
    </r>
    <r>
      <rPr>
        <sz val="11"/>
        <rFont val="Arial"/>
        <family val="2"/>
      </rPr>
      <t xml:space="preserve"> De 1  SEMANA salvo previa venta, una vez dado el pago.</t>
    </r>
  </si>
  <si>
    <t xml:space="preserve">EL MANTENIMIENTO DEL EQUIPO DE BOM BEO SE COTIZARA APARTE, DEBIDO A LOS FLETES ASI </t>
  </si>
  <si>
    <t>COMO LAS REFACCIONBES QUE SE PUEDAN OCUPAR.</t>
  </si>
  <si>
    <t xml:space="preserve">                   CUATROCIENTOS SETENTA Y UN MIL NOVENTA Y TRES PESOS 18/100 M.N.</t>
  </si>
  <si>
    <t>30 DE ABRIL DEL 2025</t>
  </si>
  <si>
    <t xml:space="preserve">                     CUATROCIENTOS SESENTA Y DOS MIL TRESCIENTOS NUEVE PESOS 07/100 M.N.</t>
  </si>
  <si>
    <t xml:space="preserve">                   CUATROCIENTOS TREINTA Y CINCO MIL OCHOCIENTOS TREINTA Y UN PESOS 50/100 M.N.</t>
  </si>
  <si>
    <t>01 DE MAYO DEL 2025</t>
  </si>
  <si>
    <t xml:space="preserve">MT DE PERFORACION DE POZO PROFUNDO, INCLUYE:    PERFORACION, </t>
  </si>
  <si>
    <t>ADEMADO EN 6" DE PVC, ENGRAVADO, PRUEBA DE BOMBEO POR 4 HORAS.</t>
  </si>
  <si>
    <t>CIENTO CUARENTA Y NUEVE SEISCIENTOS CUARENTA PESOS 00/100 M.N.</t>
  </si>
  <si>
    <r>
      <rPr>
        <b/>
        <sz val="11"/>
        <rFont val="Arial"/>
        <family val="2"/>
      </rPr>
      <t>Tiempo de entrega del sistema:</t>
    </r>
    <r>
      <rPr>
        <sz val="11"/>
        <rFont val="Arial"/>
        <family val="2"/>
      </rPr>
      <t xml:space="preserve"> De 1 SEMANA salvo previa venta, una vez dado el pago.</t>
    </r>
  </si>
  <si>
    <t>Empresa: INMOBILIARIA BOSQUES DEL SUR</t>
  </si>
  <si>
    <t xml:space="preserve">Atención a: </t>
  </si>
  <si>
    <t xml:space="preserve">Nombre del predio: </t>
  </si>
  <si>
    <t>MANZANILLO COLIMA</t>
  </si>
  <si>
    <t>MATERIAL PARA EMPATES Y PARA INSTALACION DE EQUIPO DE BOMBEO.</t>
  </si>
  <si>
    <t>NOVECIENTOS NUEVE MIL DOSCIENTOS DOCE PESOS 69/100 M.N.</t>
  </si>
  <si>
    <t>VALVULA CHECK DE 8" HIERRO DUCTIL MCA.- GOULDS 600 PSI.</t>
  </si>
  <si>
    <t>06 DE MAYO DEL 2025</t>
  </si>
  <si>
    <t>MOTOR SUMERGIBLE DE 100 HP. MCA.- ALTAMIRA SERIE RT.</t>
  </si>
  <si>
    <t>BOMBA SUMERGIBLE PARA 61 LT/SEG @ 85 MT. KOR 53 MT ACERO INOXIDABLE.</t>
  </si>
  <si>
    <t>TRESCIENTOS TREINTA MIL OCHOCIENTOS VEINTE Y SEIS PESOS 09/100 M.N.</t>
  </si>
  <si>
    <t>Empresa: AGRICOLA VIESCA</t>
  </si>
  <si>
    <t>VARIADOR DE FRECUENCIA ACQ-580 CON GABINETA, FUSIBLES ULTRARRAPIDOS, LUCES INDICADORAS, PANEL EN GABINETE PRINCIPAL, PANTALLA MULTIMEDIA, PROGRAMACION, INSTALACION Y PRUEBAS.</t>
  </si>
  <si>
    <t>BOMBA SUMERGIBLE PARA 60 LT CDT.- 70 MT MCA.- FRANKLIN ELECTRIC EN FUNDICION DE HIERRO.</t>
  </si>
  <si>
    <t>MOTOR SUMERGIBLE DE 75 HP. MCA.- SME ALTA TEMP. Y ALTO EMPUJE AXIAL.</t>
  </si>
  <si>
    <t>UN MILLON DOSCIENTOS CINCUENTA MIL QUINIENTOS CINCUENTA Y UN PESOS 44/100 M.N.</t>
  </si>
  <si>
    <t>BOMBA SUMERGIBLE PARA 61 LT/SEG @ 70 MT. KOR 70 MT ACERO INOXIDABLE.</t>
  </si>
  <si>
    <t>ARRANCADOR ENERWELL CON PROTECIONES INLUCIDAS, LECOTR DE VOLTAJE, CORRIENTE, DISPLAY FRONTAL.</t>
  </si>
  <si>
    <t>DOSCIENTOS CINCUENTA Y CUATRO MIL CUARENTA Y CUATRO PESOS 46/100 M.N.</t>
  </si>
  <si>
    <t>Atención a: ING MARIANA BRACAMONTES</t>
  </si>
  <si>
    <t>CUATROCIENTOS OCHENTA Y NUEVE MIL TRESCIENTOS SESENTA Y SEIS PESOS 27/100 M.N.</t>
  </si>
  <si>
    <t>VARIADOR DE FRECUENCIA MCA.- WEG. CON GABINETE, FUSIBLES ULTRARRAPIDOS, LUCES INDICADORAS, PANEL EN GABINETE PRINCIPAL, PANTALLA MULTIMEDIA, PROGRAMACION, INSTALACION Y PRUEBAS.</t>
  </si>
  <si>
    <t>13 DE MAYO DEL 2025</t>
  </si>
  <si>
    <t>EL PRECIO ES POR MT. PERFORADO</t>
  </si>
  <si>
    <t>VIDEO GRABACION DE POZO PROFUNDO, INCLUYE:</t>
  </si>
  <si>
    <t>MANIOBRA DE DES-INST DE EQUIPO DE BOMBEO CON AYUDA DE 8" HASTA 200 MT</t>
  </si>
  <si>
    <r>
      <rPr>
        <b/>
        <sz val="11"/>
        <rFont val="Arial"/>
        <family val="2"/>
      </rPr>
      <t>Tiempo de entrega del sistema:</t>
    </r>
    <r>
      <rPr>
        <sz val="11"/>
        <rFont val="Arial"/>
        <family val="2"/>
      </rPr>
      <t xml:space="preserve"> De 3 -4 DIAS salvo previa venta, una vez dado el pago.</t>
    </r>
  </si>
  <si>
    <t xml:space="preserve">Empresa: </t>
  </si>
  <si>
    <t>Atención a: ING. JOSE ALVAREZ</t>
  </si>
  <si>
    <t>Nombre del predio: EL RINCON</t>
  </si>
  <si>
    <t>EL RINCON, MUNICIPO DE ZAPOTILTIC JALISCO</t>
  </si>
  <si>
    <t>TOMA DE VIDEO, TRASLADOS, REPORTE POR ESCRITO Y GRABACION EN FISICO.</t>
  </si>
  <si>
    <t>NIVEL ESTATICO, FONDO, REJILLAS, GRADO Y TIPO DE INCRUSTACION, ESTRUCTURA</t>
  </si>
  <si>
    <t>QUINIENTOS DIEZ Y OCHO MIL TRESCIENTOS NUEVE PESOS 25/100 M.N.</t>
  </si>
  <si>
    <t>TRESCIENTOS VEINTE Y TRES MIL CUATROCIENTOS SESENTA Y OCHO PESOS 04/100 M.N.</t>
  </si>
  <si>
    <t>MOTOBOMBA SUMERGIBLE  KSB, 40 LPS A DESCARGA LIBRE UPA 250-120/07GB + UMA 250-160/21GD 440V INCLUYE: BOMBA SUMERGIBLE DE FUNDICON ACOPLADO A UN MOTOR SUMERGIBLE 257 HP</t>
  </si>
  <si>
    <t>INSTALACIÓN DE EQUIPO MOTOBOMBA DE 6" ALCANCE 200 MTS,  INCLUYE: MANIOBRAS DE IZAJE, DESINSTALACION DE TREN DE DESCARGA, EPP PERSONAL, MANIOBRAS. NO INCUYE EQUIPO DE CORTE O SOLDADURA EN CASO DE REQUERIRLO.</t>
  </si>
  <si>
    <t>Empresa: POZO LOS MANGOS</t>
  </si>
  <si>
    <t>Atención a: SR. JOSE ARTURO ALVAREZ</t>
  </si>
  <si>
    <t>Domicilio: EL RINCON, JALISCO</t>
  </si>
  <si>
    <t>Nombre del predio: LOS MANGOS</t>
  </si>
  <si>
    <t xml:space="preserve">JUEGO DE TCS DE SUB MONITOR PARA EQUIPO SUMERGIBLE </t>
  </si>
  <si>
    <t>TRASLADOS DE GENERADOR GDL- EL RODEO   EL RODEO-GDL.</t>
  </si>
  <si>
    <t>SESENTA Y NUEVE MIL NOVECIENTOS SETENTA PESOS 00/100 M.N.</t>
  </si>
  <si>
    <t>20 DE MAYO DEL 2025</t>
  </si>
  <si>
    <t>DIAS DE RENTA DE GENERADOR TRIFASICO DE 125 KW. 460 VOLTS 60 HZ. DEL DIA 22-05-2025 AL DIA 04-06-2025</t>
  </si>
  <si>
    <t>22-05-2025 AL DIA 04-06-2025</t>
  </si>
  <si>
    <r>
      <rPr>
        <b/>
        <i/>
        <sz val="12"/>
        <color rgb="FFFF0000"/>
        <rFont val="Arial"/>
        <family val="2"/>
      </rPr>
      <t>REPARACION</t>
    </r>
    <r>
      <rPr>
        <b/>
        <i/>
        <sz val="12"/>
        <rFont val="Arial"/>
        <family val="2"/>
      </rPr>
      <t xml:space="preserve"> MOTOR SUM. 125 HP. MCA.- FRANKLIN ELECTRIC 460 VOLTS 60 HZ. INCLUYE:  CAMBIO DE SEGMENTOS DE RANGUA, CONEXIÓN INTERNA DE MOTOR, CABLEADO DE ALIMENTACION, RELLENADO DE GLICOL, CAMBIO DE BUJES, TRASLADOS. </t>
    </r>
  </si>
  <si>
    <t>REPARACION DE CABLEADO SUMERGIBLE CAL. 4/0, MANGAS TERMOCONTRACTILES, CINTAS, HERRAMIENTAS.</t>
  </si>
  <si>
    <r>
      <rPr>
        <b/>
        <sz val="11"/>
        <rFont val="Arial"/>
        <family val="2"/>
      </rPr>
      <t>Tiempo de entrega del sistema:</t>
    </r>
    <r>
      <rPr>
        <sz val="11"/>
        <rFont val="Arial"/>
        <family val="2"/>
      </rPr>
      <t xml:space="preserve"> De 3 - 4 DIAS HABILES salvo previa venta, una vez dado el pago.</t>
    </r>
  </si>
  <si>
    <t>Forma de Pago: 100 % TRABAJOS REALIZADO</t>
  </si>
  <si>
    <t>Atención a: ING EDSON RAMIREZ LIC. NAYELI TAPIA</t>
  </si>
  <si>
    <t>27 DE MAYO DEL 2025</t>
  </si>
  <si>
    <t>GRUA TIPO TRIPIE DE 50 TONELADAS, INCLUYE: DES DE TRANSMICION,</t>
  </si>
  <si>
    <t>TRESCE MIL NOVECIENTOS VEINTE PESOS 00/100 M.N.</t>
  </si>
  <si>
    <t>Atención a: JESUS ANGEL ALVAREZ MARQUEZ</t>
  </si>
  <si>
    <t>Nombre del predio: CAMINO DEL AGUA</t>
  </si>
  <si>
    <t>CD. GUZMAN, MUNICIPIO DE ZAPOTLAN EL GRANDE JALISCO</t>
  </si>
  <si>
    <t>28 DE MAYO DEL 2025</t>
  </si>
  <si>
    <t>MANIOBRA DE DES-INST DE CABEZAL Y TREN MOTRIZ CON AYUDA</t>
  </si>
  <si>
    <t>NO INCLUYE SACAR TODA LA TRANSMISION EN CASO DE TENER QUE SACAR SE COBRARIA EL EXCEDENTE DE METROS DE COLUMNA.</t>
  </si>
  <si>
    <t>REPARACION DE EQUIPO DE BOMBEO DE 125 HP. 460 VOLTS 60 HZ.</t>
  </si>
  <si>
    <t xml:space="preserve">         POR COTIZAR</t>
  </si>
  <si>
    <t xml:space="preserve">                                          CIENTO TREINTA Y CINCO MIL CUATROCIENTOS CUARENTA Y DOS PESOS 76/100 M.N.</t>
  </si>
  <si>
    <t>AFORO MEDIANTE EQUIPOS DE BOMBEO SUMERGIBLE, INCLUYE: INSTALACION DEL EQUIPO A 430 MT CON TUBERIA DE 4", AFOROS, PRUEBA POR 24 HORAS, RECOPILACION DE DATOS, ANALISIS Y REPORTE POR ESCRITO.</t>
  </si>
  <si>
    <t xml:space="preserve">                                                    CIENTO SESENTA Y CINCO MIL OCHOCIENTOS OCHENTA PESOS 00/100 M.N.</t>
  </si>
  <si>
    <t>Empresa: PERTIMEX</t>
  </si>
  <si>
    <t>Atención a: ING. CHELITO OLIVARES</t>
  </si>
  <si>
    <t>Nombre del predio: ATOYAC</t>
  </si>
  <si>
    <t>ATOYAC, MUN. SAYULA JALISCO.</t>
  </si>
  <si>
    <t>HORA ADICIONAL DE BOMBEO</t>
  </si>
  <si>
    <r>
      <rPr>
        <b/>
        <sz val="11"/>
        <rFont val="Arial"/>
        <family val="2"/>
      </rPr>
      <t>Tiempo de entrega del sistema:</t>
    </r>
    <r>
      <rPr>
        <sz val="11"/>
        <rFont val="Arial"/>
        <family val="2"/>
      </rPr>
      <t xml:space="preserve"> De 2 sem hábil salvo previa venta, una vez dado el pago.</t>
    </r>
  </si>
  <si>
    <t xml:space="preserve">EL SALVADOR: FRAMBUESA </t>
  </si>
  <si>
    <t>COMO LAS REFACCIONBES QUE SE PUEDAN OCUPAR. EN CASO DE OCUPAR MAS MATERIALES SE MANDARAN EN UNA COTIZACION DE FINIQUITO.</t>
  </si>
  <si>
    <t>EL COSTO YA ES POR 2 POZOS DE POBLADO EL SALVADOR FRAMBUEZA</t>
  </si>
  <si>
    <t>EL COSTO YA ES POR 2 POZOS DE POBLADO EL SALVADOR ARANDANO</t>
  </si>
  <si>
    <t>MANIOBRA DE DESINSTALACION DE EQUIPO DE BOMBEO DE 6" HASTA 180 MT. CON AYUDA DE GRUA TIPO TRIPIE DE 40 TONELADAS. INCLUYE EPP, IZAJE, MANIOBRAS, QUITAR TREN DE DESCARGA.</t>
  </si>
  <si>
    <t>AFORO MEDIANTE EQUIPOS DE BOMBEO SUMERGIBLE, INCLUYE: INSTALACION DEL EQUIPO A 100 MT CON TUBERIA DE 4", AFOROS, PRUEBA POR 24 HORAS, RECOPILACION DE DATOS, ANALISIS Y REPORTE POR ESCRITO.</t>
  </si>
  <si>
    <t>Atención a: JANETH GUTIERREZ</t>
  </si>
  <si>
    <t>Domicilio: CAJITITLAN, JALISCO.</t>
  </si>
  <si>
    <t>Nombre del predio: CAJITITLAN, JALISCO.</t>
  </si>
  <si>
    <t>29 DE MAYO DEL 2025</t>
  </si>
  <si>
    <t>CAJITITLAN, JALISCO.       Rosadelacruzguti...ez301@gmail.com</t>
  </si>
  <si>
    <t xml:space="preserve">                                                NOVENTA MIL DOSCIENTOS VEINTE Y CUATRO PESOS 00/100 M.N.</t>
  </si>
  <si>
    <r>
      <rPr>
        <b/>
        <sz val="11"/>
        <rFont val="Arial"/>
        <family val="2"/>
      </rPr>
      <t>Tiempo de entrega del sistema:</t>
    </r>
    <r>
      <rPr>
        <sz val="11"/>
        <rFont val="Arial"/>
        <family val="2"/>
      </rPr>
      <t xml:space="preserve"> De 3 sem hábil salvo previa venta, una vez dado el pago.</t>
    </r>
  </si>
  <si>
    <t>MANIOBRA DE DESINSTALACION DE EQUIPO DE BOMBEO DE 6" HASTA 80 MT. CON AYUDA DE GRUA TIPO TRIPIE DE 40 TONELADAS. INCLUYE EPP, IZAJE, MANIOBRAS, QUITAR TREN DE DESCARGA.</t>
  </si>
  <si>
    <t>CUBETRA DE ACEITE HIDRAHULICO PARA TRANSMISION</t>
  </si>
  <si>
    <t>MATERIALES PARA INSTALACION, HILO GRAFITADO, TORNILLOS, EMPAQUES, VARIOS.</t>
  </si>
  <si>
    <t>EN CASO DE REQUERIR CORTE O AJUSTE DE FLECHA SE COBRARA EXTRA POR ESE TRABAJOS.</t>
  </si>
  <si>
    <t>MANIOBRA DE INSTALACION DE EQUIPO DE BOMBEO DE 6" TURBINA DE FLECHA DE ACEITE HASTA 80 MT. CON AYUDA DE GRUA TIPO TRIPIE DE 40 TONELADAS. INCLUYE EPP, IZAJE, MANIOBRAS, QUITAR TREN DE DESCARGA.</t>
  </si>
  <si>
    <t>Empresa: AGROPECUARIA CERCA LISA</t>
  </si>
  <si>
    <t>Atención a: SR. DANIEL MENDEZ</t>
  </si>
  <si>
    <t>Domicilio: CERCA LISA, JALISCO.</t>
  </si>
  <si>
    <t>Nombre del predio: CERCA LISA</t>
  </si>
  <si>
    <t>31 DE MAYO DEL 2025</t>
  </si>
  <si>
    <t xml:space="preserve">                 OCHOCIENTOS SETENTA Y UN MIL SEISCIENTOS SESENTA Y DOS PESOS 99/100 M.N.</t>
  </si>
  <si>
    <t xml:space="preserve">                   NOVECIENTOS VEINTE Y CUATRO MIL SEISCIENTOS DIEZ Y OCHO PESOS 15/100 M.N.</t>
  </si>
  <si>
    <t>09 DE JUNIO DEL 2025</t>
  </si>
  <si>
    <t>AFORO MEDIANTE EQUIPOS DE BOMBEO SUMERGIBLE, INCLUYE: INSTALACION DEL EQUIPO A 170 MT CON TUBERIA DE 4", AFOROS, PRUEBA POR 24 HORAS, RECOPILACION DE DATOS, ANALISIS Y REPORTE POR ESCRITO.</t>
  </si>
  <si>
    <t xml:space="preserve">                                         CINCUENTA Y OCHO MIL PESOS 00/100 M.N.</t>
  </si>
  <si>
    <t>Domicilio: LLANO</t>
  </si>
  <si>
    <t xml:space="preserve">Nombre del predio: LLANO </t>
  </si>
  <si>
    <t>SERVICIO DE MANTENIMIENTO A VARIADOR DE FRECUENCIA ACQ-580, INCLUYE: DESARMADO, LIMPIEZA CON LIQUIDOS DIELECTRICOS, PROGRAMACION, ASPIRADO, ARMADO Y PRUEBAS DE FUNCIONAMIENTO.</t>
  </si>
  <si>
    <t>LIMPIEZA DE TRANSFORMADOR, MANTENIMIENTO.</t>
  </si>
  <si>
    <t>ONCE MIL DOSCIENTOS CINCUENTA Y DOS PESOS 00/100 M.N.</t>
  </si>
  <si>
    <t>Empresa: BIRLOS INTERNACIONALES</t>
  </si>
  <si>
    <t>Atención a: SR. SANTIAGO LEON TOVAR</t>
  </si>
  <si>
    <t>Domicilio: COAHUAYOTE, JALISCO.</t>
  </si>
  <si>
    <t>Nombre del predio: COAHUAYOTE, JALISCO.</t>
  </si>
  <si>
    <t>MANO DE OBRA POR INSTALACION, FLETES, HERRAMIENTAS, VARIOS.</t>
  </si>
  <si>
    <t>INSTALACION DE ACOMETIDA EN MEDIA TENSION, INCLUYE: POSTE DE CONCRETO, CONECTORES, FUSIBLES, APARTARRAYOS, CABLE DESNUDO, ABRAZADERAS, VARILLAS TIERRA, CABLE ALUMINIO, CABLE THW CAL. 2, MUFA, LICUATITE, CONECTORES, HERRAJES MENORES.</t>
  </si>
  <si>
    <t>CIENTO CUATRO MIL CUATROCIENTOS TREINTA Y TRES PESOS 21/100 M.N.</t>
  </si>
  <si>
    <r>
      <rPr>
        <b/>
        <sz val="11"/>
        <rFont val="Arial"/>
        <family val="2"/>
      </rPr>
      <t>Forma de Pago: 70</t>
    </r>
    <r>
      <rPr>
        <sz val="11"/>
        <rFont val="Arial"/>
        <family val="2"/>
      </rPr>
      <t>% ANTICIPO 30% AL AVISO DE ENTREGA</t>
    </r>
  </si>
  <si>
    <t xml:space="preserve">                                                    SESENTA Y SEIS MIL SEISCIENTOS OCHENTA PESOS 00/100 M.N.</t>
  </si>
  <si>
    <t>PRECIO NO INCLUYE IVA DEBIDO A QUE COMENTARON QUE SERIA EN EFECTIVO.</t>
  </si>
  <si>
    <t>SERVICIO DE SUBIR CUCHILLAS, INCLUYE: CAMBIO DE FUSIBLES, REVISION DE ALIMENTACION, SUBIR TABS, PRUEBAS DE FUNCIONAMIENTO.</t>
  </si>
  <si>
    <t>MATERIAL PARA EMPATE DE MOTOR A CABLE SUMERGIBLE</t>
  </si>
  <si>
    <t>INSTALACION DE EQUIPO DE BOMBEO DE 6" CON AYUDA DE GRUA TIPO TRIPIE, INCLUYE: MANIOBRAS DE IZAJE, MANO DE OBRA, INSTALACION, E.P.P., HERRAMIENTAS Y TODO LO NECESARIO PARA SU INSTALACION.</t>
  </si>
  <si>
    <t>REPARACION DE BOMBA SUMERGIBLE EN ACERO INOXIDABLE, INCLUYE: FLETES, DESARMADO, CAMBIO DE BUJES, FLECHA, CANDADOS, ANILLOS, ARMADO Y MANO DE OBRA.</t>
  </si>
  <si>
    <t>EMPUJE AXIAL.- 30 KN, INCLUYE: FLETES, DESARMADO, EMBOBINADO A 30 GRADOS, BUJES, SELLO MECANICO Y MANO DE OBRA. SERIE X</t>
  </si>
  <si>
    <t xml:space="preserve">REPARACION DE MOTOR SUMERGIBLE TRIFASICO de 25 Hp. 460 VOLTS 60 HZ. 3510 RPM. </t>
  </si>
  <si>
    <t>DES-INSTALACION DE EQUIPO DE BOMBEO DE 6" CON AYUDA DE GRUA TIPO TRIPIE, INCLUYE: MANIOBRAS DE IZAJE, MANO DE OBRA, INSTALACION, E.P.P., HERRAMIENTAS Y TODO LO NECESARIO PARA SU INSTALACION.</t>
  </si>
  <si>
    <t>Atendiendo a su amable solicitud , ponemos a su consideración la siguiente propuesta económica para realizar los trabajos de venta e instalación de los siguiente equipos.</t>
  </si>
  <si>
    <t>07 DE SEPTIEMBRE DEL 2024</t>
  </si>
  <si>
    <t>USMAJAC, JALISCO.</t>
  </si>
  <si>
    <t>Nombre del predio: USMAJAC COOLER GREEN GOLD</t>
  </si>
  <si>
    <t>Atención a: SR. JULIO ARECHIGA</t>
  </si>
  <si>
    <t>Empresa: SR. JULIO ARECHIGA</t>
  </si>
  <si>
    <t>MANIOBRA DE DESINSTALACION DE EQUIPO DE BOMBEO DE 2" HASTA 80 MT. CON AYUDA DE GRUA TIPO TRIPIE. INCLUYE EPP, IZAJE, MANIOBRAS, QUITAR TREN DE DESCARGA.</t>
  </si>
  <si>
    <t>MANIOBRA DE INSTALACION DE EQUIPO DE BOMBEO DE 2" HASTA 80 MT. CON AYUDA DE GRUA TIPO TRIPIE. INCLUYE EPP, IZAJE, MANIOBRAS, PONER TREN DE DESCARGA.</t>
  </si>
  <si>
    <t>MATERIAL PARA EMPATE E INSTALACION DE EQUIPO DE BOMBEO.</t>
  </si>
  <si>
    <t>MT. POLIDUCTO DE ALTA DENSIDAD DE 1" PARA MEDICION DE NIVELES.</t>
  </si>
  <si>
    <t>EQUIPO DE BOMBEO KOR3 R75-21 ACERO INOXIDABLE</t>
  </si>
  <si>
    <t>MOTOR SUMERGIBLE DE 7.5 HP. MCA.- ALTAMIRA ENFRIADO POR ACEITE.</t>
  </si>
  <si>
    <t>Empresa: CSC CONTADORES</t>
  </si>
  <si>
    <t>Atención a: LCP. ARTURO CORTEZ VILLAVICENCIO</t>
  </si>
  <si>
    <t>Domicilio: TUXPAN, JALISCO.                  csc.integra@hotmail.com</t>
  </si>
  <si>
    <t>EN CASO DE REQUERIR MAS MATERIALES SE ENVIARAN EN UNA COTIZACION DE FINIQUITO.</t>
  </si>
  <si>
    <t xml:space="preserve">                                          CUARENTA Y SIETE MIL OCHOCIENTOS NOVENTA Y SEIS PESOS 40/100 M.N.</t>
  </si>
  <si>
    <t>MATERIALES PARA CANALIZACION DE CABLE DE GENERADOR, INCLUYE: POLIDUCTO DE 1 1/2", CONECTORES, VARILLAS TIERRA, CODOS CONDUIT, CABLE THW CAL. 6, ABRAZADERAS, LICUATITE, CONECTORES, HERRAJES MENORES.</t>
  </si>
  <si>
    <t>INTERRUPTOR TERMOMAGNETICO DE 100 AMP. 600 VOLTS CON GABINETE IP-43</t>
  </si>
  <si>
    <t>TREINTA Y UN MIL SEISCIENTOS CINCUENTA Y DOS PESOS 65/100 M.N.</t>
  </si>
  <si>
    <t>10 DE JUNIO DEL 2025</t>
  </si>
  <si>
    <t>CUBETA DE ACEITE HIDRAHULICO PARA TRANSMISION</t>
  </si>
  <si>
    <t>SUMINISTRO DE CHUMACERAS DE BRONCE ROSCADA DE 2" X 1 3/16" (PRECIO UNIT)</t>
  </si>
  <si>
    <t>SUMINISTRO DE TRAMO DE CUBIERTA DE 2" X 60" CED. 80 (PRECIO UNIT)</t>
  </si>
  <si>
    <t>SUMINISTRO DE FLECHA INTERMEDIA DE ACERO 1045 DE 1 3/16" X 120" (PRE. UNIT)</t>
  </si>
  <si>
    <t>SUMINISTRO DE COPLE PARA FLECHA DE 1 3"16" (PRECIO UNITARIO)</t>
  </si>
  <si>
    <t>TUBERIA DE 6" DE DIAMETRO DE 3.05 MT CON ROSCA RECTA Y COPLE.</t>
  </si>
  <si>
    <t>11 DE JUNIO DEL 2025</t>
  </si>
  <si>
    <t>LOS EXTRAS DE CHUMACERA, FLECHAS, O COPLES SE DETERMINARAN AL DESARMAR.</t>
  </si>
  <si>
    <t>Domicilio: ATOYAC, JALISCO.</t>
  </si>
  <si>
    <t>SERVICIO POR REPARACION DE COLUMNA DE TRANSMISION LUBRICACION ACEITE DE 2" X 1 3/16" X 120" INCLUYE:                                                                                         - DESARMADOR, LIMPIADO, REARMADO Y PINTAR 23 TRAMOS.                                                                 - RECTIFICAR Y ENDEREZAR 23 TRAMOS DE FLECHA INTERMEDIAS DE 1 3/16" X 120"</t>
  </si>
  <si>
    <t xml:space="preserve">                                   NOVENTA Y DOS MIL DOSCIENTOS CUARENTA Y NUEVE PESOS 00/100 M.N.</t>
  </si>
  <si>
    <t>MANIOBRA DE DESINSTALACION DE EQUIPO DE BOMBEO DE 8" HASTA 250 MT. CON AYUDA DE GRUA TIPO TRIPIE DE 50 TONELADAS. INCLUYE EPP, IZAJE, MANIOBRAS, QUITAR TREN DE DESCARGA.</t>
  </si>
  <si>
    <t>MANIOBRA DE INSTALACION DE EQUIPO DE BOMBEO DE 8" HASTA 250 MT. CON AYUDA DE GRUA TIPO TRIPIE DE 50 TONELADAS. INCLUYE EPP, IZAJE, MANIOBRAS, QUITAR TREN DE DESCARGA.</t>
  </si>
  <si>
    <t>SERVICIO DE ARRANQUE Y PRUEBAS DE EQUIPOS A DECARGA LIBRE Y EN SISTEMA.</t>
  </si>
  <si>
    <t xml:space="preserve">REPARACION DE EQUIPO DE BOMBEO DE 200 HP. </t>
  </si>
  <si>
    <t xml:space="preserve">     COSTO EN TALLER</t>
  </si>
  <si>
    <t>VIDEO GRABACION DE POZO PROFUNDO, INCLUYE: VIDEOGRABACION, REPORTE POR ESCRITO, MEMORIA CON VIDEO.  OBJETIVOS: VERIFICAR NIVEL ESTATICO, ESTRCTURA DEL POZO, UNIONES, TIPO Y GRADO DE INCRUSTACIONES, FONDO REAL DEL POZO.</t>
  </si>
  <si>
    <t>REHABILITACION MECANICA A POZO PROFUNDO CON GRUA, INCLUYE, CEPILLADO, PISTONEO, APLICACIÓN DE LIQUIDOS DESINCRUSTANTES, LIQUIDOS LIMPIADORES, SANITIZANTES.</t>
  </si>
  <si>
    <t>COSTO SOBRE  VIDEO</t>
  </si>
  <si>
    <t xml:space="preserve">                                             NOVENTA Y CINCO MIL QUINIENTOS OCHENTA Y NUEVE PESOS 80/100 M.N.</t>
  </si>
  <si>
    <t>Empresa: AGRICOLA TORBELLINO</t>
  </si>
  <si>
    <t>Atención a: PABLO OROZCO</t>
  </si>
  <si>
    <t>Domicilio: TUXPAN, JALISCO.                  mz.torbellino@outlook.com</t>
  </si>
  <si>
    <t>Nombre del predio: EL CAMPANARIO</t>
  </si>
  <si>
    <t>14 DE JUNIO DEL 2025</t>
  </si>
  <si>
    <t>Empresa: GRENAMEX</t>
  </si>
  <si>
    <t>Atención a: ING. LUIS ALVA</t>
  </si>
  <si>
    <t>Nombre del predio: ABASTECIMIENTO 2</t>
  </si>
  <si>
    <t>16 DE JUNIO DEL 2025</t>
  </si>
  <si>
    <t>LIQUIDO DESINCRUSTANTE MCA.- COTEY CHEMICAL LIQUID DESCALER</t>
  </si>
  <si>
    <t>AFORO MEDIANTE EQUIPO SUMERGIBLE PARA OBTENER UN GASTO DE 40-50 LT/SEG A UNA PROFUNDIDAD DE 180 MT. TUBERIA DE 6" POR UN LAPSO DE 24 HORAS</t>
  </si>
  <si>
    <t>HORA EXTRA DE BOMBEO CON EQUIPOS YA INSTALADOS</t>
  </si>
  <si>
    <r>
      <rPr>
        <b/>
        <sz val="11"/>
        <color theme="1"/>
        <rFont val="Aptos Narrow"/>
        <family val="2"/>
        <scheme val="minor"/>
      </rPr>
      <t>REP.</t>
    </r>
    <r>
      <rPr>
        <sz val="11"/>
        <color theme="1"/>
        <rFont val="Aptos Narrow"/>
        <family val="2"/>
        <scheme val="minor"/>
      </rPr>
      <t xml:space="preserve"> DE EQUIPO DE BOMBEO MCA.- KSB MODELO.-  UMA 250-190/21 DE 305 HP. </t>
    </r>
  </si>
  <si>
    <t>FLETES, LOS MAZOS-GUZMAN-QUERETARO       QUERETARO-GUZMAN-LOS MAZOS</t>
  </si>
  <si>
    <t>DOSCIENTOS CUARENTA Y SIETE MIL SEISCIENTOS NOVENTA Y SIETE PESOS 12/100 M.N.</t>
  </si>
  <si>
    <r>
      <rPr>
        <b/>
        <sz val="11"/>
        <rFont val="Arial"/>
        <family val="2"/>
      </rPr>
      <t xml:space="preserve">              Tiempo de entrega del sistema:</t>
    </r>
    <r>
      <rPr>
        <sz val="11"/>
        <rFont val="Arial"/>
        <family val="2"/>
      </rPr>
      <t xml:space="preserve"> De 3 - 4 SEMANAS salvo previa venta, una vez dado el pago.</t>
    </r>
  </si>
  <si>
    <r>
      <rPr>
        <b/>
        <sz val="11"/>
        <rFont val="Arial"/>
        <family val="2"/>
      </rPr>
      <t xml:space="preserve">                 Numero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BBVA BANCOMER</t>
    </r>
  </si>
  <si>
    <t>MOTOR SUMERGIBLE DE 200 HP. MCA. SME SIGNATURE  1 000 VOLTS REBOBINABLE</t>
  </si>
  <si>
    <t>BOMBA MCA.- FRANKLIN ELECTRIC PARA 20 LT EN FUND. DE HIERRO (T.E.- 2 A 3 SEM.)</t>
  </si>
  <si>
    <t>ALTA TEMPERATURA Y ALTO EMPUJE AXIAL. (T.E.- 8 - 10 SEM.)</t>
  </si>
  <si>
    <t>A 1000 VOLTS, 60 HZ. 389 AMP. (T.E.- 6 SEM.) 6 MESES DE GARANTIA</t>
  </si>
  <si>
    <t>MOTOR SUMERGIBLE DE 250 HP. MCA. SME SIGNATURE  1 000 VOLTS REBOBINABLE</t>
  </si>
  <si>
    <t>UN MILLON TRESCIENTOS ONCE MIL CATORCE PESOS 48/100 M.N.</t>
  </si>
  <si>
    <t xml:space="preserve">                             La cotización puede variar a falta de material o exceso del mismo </t>
  </si>
  <si>
    <t>UN MILLON TRESCIENTOS CUARENTA Y DOS MIL DOSCIENTOS SETENTA Y NUEVE PESOS 67/100 M.N.</t>
  </si>
  <si>
    <t>MOTOR SUMERGIBLE DE 300 HP. MCA. SME SIGNATURE  1 000 VOLTS REBOBINABLE</t>
  </si>
  <si>
    <t>UN MILLON CUATROCIENTOS VEINTE MIL SETECIENTOS SESENTA Y UN PESOS 33/100 M.N.</t>
  </si>
  <si>
    <t>17 DE JUNIO DEL 2025</t>
  </si>
  <si>
    <t>FLETES ATEQUIZAYAN - GUZMAN - MEXICO D.F.    MEXICO DF - GUZMAN - ATEQUIZAYAN</t>
  </si>
  <si>
    <t>SERVICIO DE DESINTALACION E INSTALACION DE VARIADOR, PROGRAMACION ARRANQUE Y PRUEBAS DE FUNCIONAMIENTO EN CAMPO.</t>
  </si>
  <si>
    <t>SETENTA Y OCHO MIL DOSCIENTOS CUARENTA Y DOS PESOS 00/100 M.N.</t>
  </si>
  <si>
    <r>
      <t xml:space="preserve">REPARACION DE VARIADOR DE FRECUENCIA ACQ-580-169A MCA.- ABB.                                                                                                                                                                                   -  REEMPLAZO DE BRONAS DE PUENTES IGBTS.                                                                                                                                                        - CAMBIO DE MODULO IGBTS                                          - DAÑO EN MODULOS DE ENTRADA.                                        - DAÑO EN CIRCUITO INTERMEDIO DE CC                        - REEMPLAZO DE VENTILADOR AUXILIAR.                                              - MANTENIMIENTO GENERAL.   </t>
    </r>
    <r>
      <rPr>
        <b/>
        <sz val="12"/>
        <color rgb="FFFF0000"/>
        <rFont val="Arial"/>
        <family val="2"/>
      </rPr>
      <t>(T.E.- 7 - 8 SEM.)</t>
    </r>
  </si>
  <si>
    <t xml:space="preserve">EN CASO DE NO APROBAR LA PRESENTE COTIZACION SE COBRARA EL FLETE Y UN COSTO DE </t>
  </si>
  <si>
    <t>$5 000 PESOS POR COSTOS DE REVISION.</t>
  </si>
  <si>
    <t>19 DE JUNIO DEL 2025</t>
  </si>
  <si>
    <t xml:space="preserve">REPARACION DE BOMBA SUMERGIBLE GOULDS </t>
  </si>
  <si>
    <t>23 DE JUNIO DEL 2025</t>
  </si>
  <si>
    <t>EL COSTO DE UN MOTOR NUEVO DE LAS MISMAS CARACTERISTICAS ES.- $ 156 689 PESOS MAS IVA</t>
  </si>
  <si>
    <t>POR LO CUAL HACIENDO UN PEQUEÑO ANALISIS ECONOMICO EL COSTO DE LA REPARACION ES DE</t>
  </si>
  <si>
    <t>56% EL COSTO DE UN EQUIPO NUEVO, PODEMOS MENCIONAR LOS PROS Y CONTRAS.</t>
  </si>
  <si>
    <t xml:space="preserve">                                          TRESCIENTOS UN MIL CIENTO NOVENTA Y CUATRO PESOS 00/100 M.N.</t>
  </si>
  <si>
    <t xml:space="preserve">                                          DOSCIENTOS VEINTE MIL TRESCIENTOS DIEZ Y NUEVE PESOS 00/100 M.N.</t>
  </si>
  <si>
    <t xml:space="preserve">                                          CIENTO OCHENTA Y CUATRO MIL TRESCIENTOS NOVENTA Y CUATRO PESOS 76/100 M.N.</t>
  </si>
  <si>
    <t>35 % EL COSTO DE UN EQUIPO NUEVO, PODEMOS MENCIONAR LOS PROS Y CONTRAS.</t>
  </si>
  <si>
    <t>MOTOR SUMERGIBLE TRIFASICO de 150 Hp. 460 VOLTS 60 HZ. 3510 RPM.  EMPUJE AXIAL.- 60 KN Y ALTA TEMP.</t>
  </si>
  <si>
    <t>ARRANCADOR A TENSION REDUCIDA PARA MOTOR DE 150 Hp.</t>
  </si>
  <si>
    <t>CABEZAL 6" TAPA SANITARIA Y BRIDADO</t>
  </si>
  <si>
    <t>MT. DE CABLE PLANO SUMERGIBLE CAL. 3 X 4/0 A 1 000 VOLTS</t>
  </si>
  <si>
    <t>UN MILLON CUATROCIENTOS VEINTE MIL CUATROCIENTOS CINCUENTA Y TRES PESOS 86/100 M.N.</t>
  </si>
  <si>
    <t>LA LIMPIEZA DEL POZO RONDARIA LOS $ 125 000 PESOS. PARA SU CONSIDERACION EN EL CAPEX.</t>
  </si>
  <si>
    <t>UN MILLON NOVENTA Y TRES MIL NEVOCIENTOS SESENTA PESOS 49/100 M.N.</t>
  </si>
  <si>
    <t>PRECIOS CON CAMBIOS SIN PREVIO AVISO</t>
  </si>
  <si>
    <t xml:space="preserve">                                            DOSCIENTOS VEINTE Y SEIS MIL CIENTO DOS PESOS 56/100 M.N.</t>
  </si>
  <si>
    <t>REPARACION DE EQUIPO DE BOMBEO DE 150 HP. 460 VOLTS 60 HZ. INCLUYE:  EMBOBINADO, BUJES, SELLOS, EMPUJE.</t>
  </si>
  <si>
    <t>LIQUIDO DESINCRUSTANTE LIQUID DESCALER COTEY CHEMICAL</t>
  </si>
  <si>
    <t>EL COSTO DE UN MOTOR NUEVO DE LAS MISMAS CARACTERISTICAS ES.- $ 169 689 PESOS MAS IVA</t>
  </si>
  <si>
    <t>EL PRECIO DE LA LIMPIEZA AUMENTO DEBIDO A LO VISTO EN EL VIDEO QUE SE REALIZO</t>
  </si>
  <si>
    <t>YA SE INCLUYEN EN ESTE COSTO LOS PRODUCTOS NECESARIOS PARA LA LIMPIEZA.</t>
  </si>
  <si>
    <t xml:space="preserve">                                          TRESCIENTOS TREINTA MIL CIENTO NOVENTA Y CUATRO PESOS 00/100 M.N.</t>
  </si>
  <si>
    <t>MOTOR SUMERGIBLE DE 125 HP. 460 VOLTS 60 HZ. MCA.- SME ALTA TEMP Y ALTOEMPUJE AXIAL.</t>
  </si>
  <si>
    <t>REPARACION DE MOTOR SUMERGIBLE DE 125 HP. 460 VOLTS 60 HZ.</t>
  </si>
  <si>
    <t xml:space="preserve">                                          DOSCIENTOS OCHO MIL SETECIENTOS CINCUENTA Y CUATRO PESOS 76/100 M.N.</t>
  </si>
  <si>
    <t>MOTOR SUMERGIBLE DE 100 HP. 460 VOLTS 60 HZ. MCA.- GRUNDFOS ALTA TEMP Y ALTO EMPUJE AXIAL.</t>
  </si>
  <si>
    <t xml:space="preserve">                                          TRESCIENTOS DIEZ MIL OCHOCIENTOS TREINTA Y CUATRO PESOS 00/100 M.N.</t>
  </si>
  <si>
    <t>ESTE EQUIPO DE 100 HP. PUEDE CUMPLIR CON LAS ESPECTATIVAS DE POTENCIA REQUERIDO</t>
  </si>
  <si>
    <t>EN SU EQUIPO DE BOMBEO. ES UN EQUIPO DE ALTA CALIDAD QUE TIENE HASTA 1 AÑO Y MEDIO DE</t>
  </si>
  <si>
    <t>GARANTIA.</t>
  </si>
  <si>
    <t>FLETE     QUERETARO-GUZMAN-LOS MAZOS</t>
  </si>
  <si>
    <t>A 1000 VOLTS, 60 HZ. 389 AMP. (T.E.- 4 SEM.) 1 AÑO DE GARANTIA CABLE ALTA TEMP.</t>
  </si>
  <si>
    <t>26 DE JUNIO DEL 2025</t>
  </si>
  <si>
    <t>SEISCIENTOS NUEVE MIL OCHOCIENTOS PESOS 40/100 M.N.</t>
  </si>
  <si>
    <t xml:space="preserve">     La cotización puede variar a falta de material o exceso del mismo </t>
  </si>
  <si>
    <t>Empresa: Agricola Don Memo.</t>
  </si>
  <si>
    <t>Atención a: Ing. Carlos Aguayo</t>
  </si>
  <si>
    <t>TOLIMAN, JALISCO.</t>
  </si>
  <si>
    <t>04 DE JULIO DEL 2025</t>
  </si>
  <si>
    <t>AFORO CON EQUIPOS INSTALADOS, INCLUYE: INSTALACION Y RENTA DE VARIADOR, REVISION DE NIVELES,</t>
  </si>
  <si>
    <t xml:space="preserve"> GASTO, PARAMETROS ELECTRICOS, CURVA DE COMP. HIDRAHULICO Y REPORTE POR ESCRITO.</t>
  </si>
  <si>
    <r>
      <t>DES-INSTALACION DE EQUIPO DE BOMBEO CON AYUDA DE GRUA TIPO TRIPIE DE 40 TONELADAS INCLUYE:</t>
    </r>
    <r>
      <rPr>
        <sz val="12"/>
        <color rgb="FFFF0000"/>
        <rFont val="Arial"/>
        <family val="2"/>
      </rPr>
      <t xml:space="preserve"> </t>
    </r>
    <r>
      <rPr>
        <sz val="12"/>
        <rFont val="Arial"/>
        <family val="2"/>
      </rPr>
      <t>MANIOBRAS DE IZAJE, PRUEBAS A CABLE, MOTOR Y BOMBA (PRUEBAS ELECTROMECANICAS)</t>
    </r>
  </si>
  <si>
    <t>TRASLADO DEL PERSONAL Y EQUIPOS. PULSETA Y VEHICULO.</t>
  </si>
  <si>
    <t>CEPILLADO Y DESASOLVE DE POZO MEDIANTE DE POZO CON AYUDA DE PULSETA BUCIRUS ERIE 32</t>
  </si>
  <si>
    <t>ELEMENTO DESINCRUSTANTE MCA.- COTEY CHEMICAL. LIQUID DESCALER</t>
  </si>
  <si>
    <t>LIQUIDO EMULSIFICANTE Y SUAVIZANTE PARA FILTRO DE GRAVA (COMPACTADOR)</t>
  </si>
  <si>
    <t>JABON LIQUIDO PARA APLICACIÓN EN EL FILTRO DE GRAVA.</t>
  </si>
  <si>
    <t>HTH CLORO AL 76% PARA DESINFECCION DE POZO DESPUES DE CEPILLADO</t>
  </si>
  <si>
    <t>REP. DE EQUIPO DE BOMBEO 125 HP.</t>
  </si>
  <si>
    <t xml:space="preserve">   POR COTIZAR EN TALLER</t>
  </si>
  <si>
    <t>SUB MONITOR CONNECT PARA MOTOR DE 125 HP. INCLUYE:  TCS, INSTALACION, PROGRAMACION Y PRUEBAS DE FUNCIONAMIENTO.</t>
  </si>
  <si>
    <r>
      <t>INSTALACION DE EQUIPO DE BOMBEO CON AYUDA DE GRUA TIPO TRIPIE DE 40 TONELADAS INCLUYE:</t>
    </r>
    <r>
      <rPr>
        <sz val="12"/>
        <color rgb="FFFF0000"/>
        <rFont val="Arial"/>
        <family val="2"/>
      </rPr>
      <t xml:space="preserve"> </t>
    </r>
    <r>
      <rPr>
        <sz val="12"/>
        <rFont val="Arial"/>
        <family val="2"/>
      </rPr>
      <t>MANIOBRAS DE IZAJE, PRUEBAS A CABLE, MOTOR Y BOMBA (PRUEBAS ELECTROMECANICAS)</t>
    </r>
  </si>
  <si>
    <t xml:space="preserve">CAJAS DE ALAMBRE CAL. 10  PARA AMARRES </t>
  </si>
  <si>
    <t xml:space="preserve">SERVICIO DE ARRANQUE, PRUEBAS DE FUNCIONAMIENTO DE EQUIPOS Y PRUEBAS </t>
  </si>
  <si>
    <t>A DESCARGA LIBRE Y EN MEMBRANA</t>
  </si>
  <si>
    <t>MAS MATERIALES SE MANDARAN EN UN FINIQUITO. NO INCLUYE LA REVISION O RAPARACION DE LA BOMBA.</t>
  </si>
  <si>
    <t>Forma de Pago: 70 % AL CONTRATAR 30% AL TERMINO DEL TRABAJO.</t>
  </si>
  <si>
    <t>09 DE MARZO DEL 2024</t>
  </si>
  <si>
    <t>AFORO CON EQUIPOS INSTALADOS, INCLUYE: INSTALACION Y RENTA DE VARIADOR, REVISION DE NIVELES, GASTO, PARAMETROS ELECTRICOS, CURVA DE COMPORTAMIENTO HIDRAHULICO Y REPORTE POR ESCRITO.</t>
  </si>
  <si>
    <t>ELEMENTO SANITIZANTE CONCENTRADO MCA.- ALCO PARA BACTERIAS EN SUB-SUELO.</t>
  </si>
  <si>
    <t>DOSCIENTOS SESENTA Y SEIS MIL SETECIENTOS SEIS PESOS 04/100 M.N.</t>
  </si>
  <si>
    <t>OCHENTA Y TRES MIL CUATROCIENTOS CUARENTA Y OCHO PESOS 08/100 M.N.</t>
  </si>
  <si>
    <t>DOSCIENTOS SETENTA Y NUEVE MIL OCHOCIENTOS CUARENTA PESOS 72/100 M.N.</t>
  </si>
  <si>
    <t>CABEZAL PARA BOMBA DE FLECHA DE 6" INCLUYE, ESTOPERO, PRENSA ESTOPAS, BRIDADO Y ROSCADO EN SUS EXTREMIDADES.</t>
  </si>
  <si>
    <t xml:space="preserve">                                     CIENTO CINCUENTA Y CUATRO MIL OCHOCIENTOS NOVENTA Y UN PESOS 55/100 M.N.</t>
  </si>
  <si>
    <t>05 DE JULIO DEL 2025</t>
  </si>
  <si>
    <t xml:space="preserve">                                     SETENTA Y SIETE MIL SETECIENTOS SETENTA Y CUATRO PESOS 75/100 M.N.</t>
  </si>
  <si>
    <t>TOTAL CON IVA Y SIN IVA.-</t>
  </si>
  <si>
    <t xml:space="preserve">                                        DOSCIENTOS DOCE MIL CUATROCIENTOS SETENTA Y SIETE PESOS 20/100 M.N.</t>
  </si>
  <si>
    <t>TOTAL PROYECTO IVA Y SIN IVA.-</t>
  </si>
  <si>
    <t>MOTOR SUMERGIBLE DE 125 HP. MCA.- SME ALTA TEMP. Y ALTO EMPUJE AXIAL.</t>
  </si>
  <si>
    <r>
      <t xml:space="preserve">REBOBINABLE, MCA.- LUBI 10" DE DIAMETRO.  </t>
    </r>
    <r>
      <rPr>
        <b/>
        <sz val="10"/>
        <rFont val="Arial"/>
        <family val="2"/>
      </rPr>
      <t xml:space="preserve">(T.E.- 4 DIAS) </t>
    </r>
  </si>
  <si>
    <r>
      <t xml:space="preserve">REBOBINABLE, MCA.- ALTAMIRA SERIE "RT" 10" DE DIAMETRO.  </t>
    </r>
    <r>
      <rPr>
        <b/>
        <sz val="10"/>
        <rFont val="Arial"/>
        <family val="2"/>
      </rPr>
      <t xml:space="preserve">(T.E.- 4 DIAS) </t>
    </r>
  </si>
  <si>
    <r>
      <t xml:space="preserve">REBOBINABLE, MCA.- ALTAMIRA SERIE "X" 10" DE DIAMETRO.  </t>
    </r>
    <r>
      <rPr>
        <b/>
        <sz val="10"/>
        <rFont val="Arial"/>
        <family val="2"/>
      </rPr>
      <t xml:space="preserve">(T.E.- 4 DIAS) </t>
    </r>
  </si>
  <si>
    <r>
      <t xml:space="preserve">REBOBINABLE, MCA.- FRANKLIN ELECTRIC 8" DE DIAMETRO.  </t>
    </r>
    <r>
      <rPr>
        <b/>
        <sz val="10"/>
        <rFont val="Arial"/>
        <family val="2"/>
      </rPr>
      <t xml:space="preserve">(T.E.- 15 DIAS) </t>
    </r>
  </si>
  <si>
    <t>MOTOR SUMERGIBLE DE 125 HP.</t>
  </si>
  <si>
    <t>MOTOR SUMERGIBLE DE 125 HP. MCA.- LUBI ALTA TEMP.</t>
  </si>
  <si>
    <t>MOTOR SUMERGIBLE DE 100 HP. MCA.- GRUNDFOS ALTA TEMP. Y ALTO EMPUJE AXIAL.</t>
  </si>
  <si>
    <t>11 DE JULIO DEL 2025</t>
  </si>
  <si>
    <t>MOTOR SUMERGIBLE DE 125 HP. MCA.- SME ALTA TEMP. Y ALTO EMPUJE AXIAL. 60KN</t>
  </si>
  <si>
    <t>MOTOR SUM TRIF de 125 Hp. 460 VOLTS 60 HZ. 3510 RPM.  EMPUJE AXIAL.- 50 KN Y ALTA TEMP</t>
  </si>
  <si>
    <t>MOTOR SUMERGIBLE DE 150 HP. 460 VOLTS 60 HZ. MCA.- SME ALTA TEMP Y ALTO EMPUJE AXIAL.</t>
  </si>
  <si>
    <t>NO.</t>
  </si>
  <si>
    <t>PUNTOS A CONSIDERAR EN LA COTIZACION</t>
  </si>
  <si>
    <t>ACTIVIDAD</t>
  </si>
  <si>
    <t>CODIGO DE ACTIVIDAD</t>
  </si>
  <si>
    <t>DEPENDE DE</t>
  </si>
  <si>
    <t>PROCEDIMIENTO DE LAS SIGUIENTES ACTIVIDADES: LIMPIEZA DEL POZO, AFORO DE 72 Y MTTO DE EQUIPO DE BOMBE (MOTOR Y BOMBA), DEATLLE DE INSUMOS Y EQUIPOS A UTILIZAR</t>
  </si>
  <si>
    <t>COMPRA DE EQUIPO DE BOMBEO: INCLUYE: MOTOR, BOMBA, MANIOBRAS DE DESINTALACION, INSTALACION Y AFORO</t>
  </si>
  <si>
    <t>-</t>
  </si>
  <si>
    <t>TIEMPO ESTIMADO DE CADA ACTIVIDAD</t>
  </si>
  <si>
    <t>REPARACION DE EQUIPOS DE BACKUP</t>
  </si>
  <si>
    <t>B</t>
  </si>
  <si>
    <t>COSTO UNITARIO DE CADA ITEM POR ACTIVIDAD</t>
  </si>
  <si>
    <t>MANIOBRAS DE DESINTALACION E INSTALACION DE EQUIPO DE BOMBEO, VIDEO, CEPILLADO, DESAZOLVE Y AIRSHOCK</t>
  </si>
  <si>
    <t>A Y B</t>
  </si>
  <si>
    <t>COTIZACION POR CADA POZO</t>
  </si>
  <si>
    <t>AFORO DE POZO Y CARACTERIZACION DE AGUA PRUEBA DE 72 HRS</t>
  </si>
  <si>
    <t>MTTO A EQUIPO DE BOMBEO DE POZOS</t>
  </si>
  <si>
    <t>CANTIDAD DE POZOS</t>
  </si>
  <si>
    <t>UBICACIÓN</t>
  </si>
  <si>
    <t>https://maps.app.goo.gl/Ms3wWVPXQ5pzyGr3A?g_st=iw</t>
  </si>
  <si>
    <t>MANIOBRAS DE DESINTALACION E INTALACION CON GRUA TIPO TRIPIE, 264 M DE TUBERIA DE 8" (44 TRAMOS), MATERIAL PARA EMPATE DE CABLE, CAJA DE ALAMBRE PARA FIJACION DE MANGUERA Y CABLE, PRUBAS Y CONFIGURACION DE EQUIPO DE BOMBEO</t>
  </si>
  <si>
    <t>OK</t>
  </si>
  <si>
    <t>AFORO CON PRUEBAS DE 20 A 60 LPS COMO MAXIMO EN UN PERIODO DE 72 HRS</t>
  </si>
  <si>
    <t>https://maps.app.goo.gl/kUQLRS2y3p2Mn1bKA?g_st=iw</t>
  </si>
  <si>
    <t>https://maps.app.goo.gl/CEckai4EvTa8GTpv9?g_st=iw</t>
  </si>
  <si>
    <t>https://maps.app.goo.gl/neVgKyR2zyGnQxjN6?g_st=iw</t>
  </si>
  <si>
    <t>https://maps.app.goo.gl/RC6W3SyrbN4YSscaA?g_st=iw</t>
  </si>
  <si>
    <t>https://maps.app.goo.gl/hV8Du5YVd7fxqFVh9?g_st=iw</t>
  </si>
  <si>
    <t>https://maps.app.goo.gl/V65AEwegWdKFNVfh8?g_st=iw</t>
  </si>
  <si>
    <t>https://maps.app.goo.gl/DVvwZXurLZMDAZdb9?g_st=iw</t>
  </si>
  <si>
    <t>BOMBA FRANKLIN ELECTRIC PARA UN GASTO DE 36 LT/SEG FUNDICION DE HIERRO</t>
  </si>
  <si>
    <t>CUATROCIENTOS CINCUENTA Y OCHO MIL DOSCIENTOS SETENTA Y NUEVE PESOS 03/100 M.N.</t>
  </si>
  <si>
    <t>AFORO MEDIANTE EQUIPOS DE BOMBEO SUMERGIBLE, INCLUYE: INSTALACION DEL EQUIPO A 280 MT CON TUBERIA DE 3", AFOROS, PRUEBA POR 24 HORAS, RECOPILACION DE DATOS, ANALISIS Y REPORTE POR ESCRITO.</t>
  </si>
  <si>
    <t>HORA ADICIONAL DE BOMBEO CON EQUIPOS INSTALADOS.</t>
  </si>
  <si>
    <t xml:space="preserve">                                         CIENTO TREINTA MIL OCHOCIENTOS CUARENTA Y OCHO PESOS 00/100 M.N.</t>
  </si>
  <si>
    <t>Empresa: Grupo Alta Don Mario</t>
  </si>
  <si>
    <t>Atención a: Ing. Andres Reyes - Ing. Antonio Leaños</t>
  </si>
  <si>
    <t>Atendiendo a su amable solicitud , ponemos a su consideración la siguiente propuesta económica para realizar los trabajos de venta e instalación de los siguiente sistema electrico.</t>
  </si>
  <si>
    <r>
      <rPr>
        <b/>
        <sz val="11"/>
        <rFont val="Arial"/>
        <family val="2"/>
      </rPr>
      <t>Tiempo de entrega del sistema:</t>
    </r>
    <r>
      <rPr>
        <sz val="11"/>
        <rFont val="Arial"/>
        <family val="2"/>
      </rPr>
      <t xml:space="preserve"> 1 SEMANA HABIL</t>
    </r>
  </si>
  <si>
    <t>19 DE JULIO DEL 2025</t>
  </si>
  <si>
    <r>
      <t xml:space="preserve">REPARACION DE BOMBA DE LODOS 4 HP. 3 FASES, 230 VOLTS 60 HZ. MCA.- ASW PUMPS, INCLUYE: BOBINADO, CAMBIO DE BALEROS, SELLO MECANICO, O-RINGS, MAQUINADO DE FLECHA. </t>
    </r>
    <r>
      <rPr>
        <b/>
        <sz val="12"/>
        <rFont val="Arial"/>
        <family val="2"/>
      </rPr>
      <t>T.E.- EQUIPO ENTREGADO EN MARZO</t>
    </r>
  </si>
  <si>
    <t>Forma de Pago: 100% EQUIPO ENTREGADO EN MARZO</t>
  </si>
  <si>
    <t>CATORCE MIL SEISCIENTOS DIEZ Y SEIS PESOS 00/100 M.N.</t>
  </si>
  <si>
    <t xml:space="preserve">                                         CIENTO SETENTA Y NUEVE MIL QUINIENTOS SESENTA Y OCHO PESOS 00/100 M.N.</t>
  </si>
  <si>
    <t xml:space="preserve">EN CASO DE QUE EL AFORO NO SE PUEDA REALIZAR POR ABATIMIENTO DEL POZO SE TENDRA QUE COBRAR MINIMO LAS PRIMERAS 24 HORAS DEBISO A TODOS LOS MOVIMIENTOS QUE SE TIENE QUE HACER DE CABLE, TUBERIA, MOTOR, BOMBA, ASI COMO DE LA INSTALACION DE LOS EQUIPOS PARA EL BOMBEO SE TIENE QUE LLEVAR GRUAS, GENERADOR, ADEMAS DE DESINSTALAR DE NUEVO TODO PARA REGRESARLO A NUESTRAS BODEGAS. EL COSTO SERIA EL DE $ 92 000 + $ 7 600 DEL VIDEO EN EFECTIVO O TODO MAS IVA EN CASO DE REQUERIRI FACTURA. </t>
  </si>
  <si>
    <t>Empresa: SR. MIGUEL ANGEL NORATO VALENCIA</t>
  </si>
  <si>
    <t>Atención a:  SR. MIGUEL ANGEL NORATO VALENCIA</t>
  </si>
  <si>
    <t>Nombre del predio: TAMAZULA JALISCO</t>
  </si>
  <si>
    <t>TAMAZULA, JALISCO.</t>
  </si>
  <si>
    <t>COSTO ANTERI</t>
  </si>
  <si>
    <t>COSTO FINAL</t>
  </si>
  <si>
    <t>PRECIOS DE AJUSTE GUAYABOS</t>
  </si>
  <si>
    <t>21 DE JULIO DEL 2025</t>
  </si>
  <si>
    <t>TUBO CED. 40 CON COPLE CONICO DE 6" DE DIAMETRO Y 6.2 MT DE LONG.</t>
  </si>
  <si>
    <t>MT DE CABLE PLANO SUMERGIBLE CAL. 3 X 2/0</t>
  </si>
  <si>
    <t>VALVULA CHECK DE 8" MCA.- GOULDS DE HIERRO DUCTIL PARA COLUMNA DE POZO</t>
  </si>
  <si>
    <t>VALVULA CHECK DE 8" MCA.- NUCLEO DE INGENIERIA DE HIERRO CEDULA 40 PARA COLUMNA DE POZO</t>
  </si>
  <si>
    <t xml:space="preserve">                                            CIENTO OCHENTA Y UN MIL CIENTO SETENTA Y DOS CIENTO  PESOS 98/100 M.N.</t>
  </si>
  <si>
    <t>Nombre del predio: ZAPOTILTIC 1</t>
  </si>
  <si>
    <t>01 DE AGOSTO DEL 2025</t>
  </si>
  <si>
    <t>UNIDAD VERIFICADORA DE INSTALACIONES ELECTRICAS PARA AUMENTO DE CARGA EN EMPAQUE.</t>
  </si>
  <si>
    <t>INCLUYE, REVISION, LEVANTAMIENTO Y DIAGRAMAS.</t>
  </si>
  <si>
    <t>ASESORIA Y TRAMITES ANTE CFE PARA AUMENTO DE CARGA</t>
  </si>
  <si>
    <t>TREINTA Y SEIS MIL NOVECIENTOS TREINTA Y CUATRO PESOS 40/100 M.N.</t>
  </si>
  <si>
    <t>Forma de Pago: 100% PROYECTO CONCLUIDO</t>
  </si>
  <si>
    <t>MOTOR SUMERGIBLE DE 40 HP. 460 VOLTS 60 HZ. MCA.- SME ALTA TEMP Y ALTOEMPUJE AXIAL.</t>
  </si>
  <si>
    <t>REPARACION DE BOMBA SUM INOX MCA.- ALTAMIRA.</t>
  </si>
  <si>
    <t>MATERIAL PARA EMPATES DE CABLE DE CABLE 1/0</t>
  </si>
  <si>
    <t>CAJA DE ALAMBRE CAL. 10 PARA AMARRES DE CABLE SUMERGIBLE A COLUMNA, CINTAS, POLIDUCTO, MATERIALES MENORES.</t>
  </si>
  <si>
    <t>TRAMOS DE TUBERIA ROSCA CONICA DE 3" DE DIAMETRO Y 6.4 MT. DE LONGITUD</t>
  </si>
  <si>
    <t>MT DE CABLE PLANO SUMERGIBLE CAL. 3 X 1/0  1000 VOLTS</t>
  </si>
  <si>
    <t>Atención a: ING. EDSON RAMIREZ - LIC.- PERLA GALINDO</t>
  </si>
  <si>
    <t>Domicilio: EL SALVADOR, JALISCO.</t>
  </si>
  <si>
    <t>Nombre del predio: FRAMBUEZA POZO 4</t>
  </si>
  <si>
    <t>02 DE AGOSTO DEL 2025</t>
  </si>
  <si>
    <r>
      <t xml:space="preserve">VALVULAS CHECK DE HIERRO DUCTIL MCA.- </t>
    </r>
    <r>
      <rPr>
        <b/>
        <sz val="12"/>
        <color rgb="FF00B050"/>
        <rFont val="Arial"/>
        <family val="2"/>
      </rPr>
      <t>GOULDS</t>
    </r>
    <r>
      <rPr>
        <sz val="12"/>
        <color theme="1"/>
        <rFont val="Arial"/>
        <family val="2"/>
      </rPr>
      <t xml:space="preserve"> DE 3" DE DIAM.</t>
    </r>
  </si>
  <si>
    <r>
      <t xml:space="preserve">VALVULAS CHECK DE HIERRO DUCTIL MCA.- </t>
    </r>
    <r>
      <rPr>
        <b/>
        <sz val="12"/>
        <color rgb="FF00B0F0"/>
        <rFont val="Arial"/>
        <family val="2"/>
      </rPr>
      <t>FLOMATIC</t>
    </r>
    <r>
      <rPr>
        <sz val="12"/>
        <color theme="1"/>
        <rFont val="Arial"/>
        <family val="2"/>
      </rPr>
      <t xml:space="preserve"> DE 3" DE DIAM.</t>
    </r>
  </si>
  <si>
    <t>SUB-MONITOR CONECT PARA PROTECCION DE MOTOR SUMERGIBLE, INCLUYE.- INSTALACION, PROGRMACION Y PRUEBAS DE FUNCIONAMIENTO.</t>
  </si>
  <si>
    <r>
      <rPr>
        <b/>
        <sz val="11"/>
        <rFont val="Arial"/>
        <family val="2"/>
      </rPr>
      <t>Tiempo de entrega del sistema:</t>
    </r>
    <r>
      <rPr>
        <sz val="11"/>
        <rFont val="Arial"/>
        <family val="2"/>
      </rPr>
      <t xml:space="preserve"> De 1 semanas hábil de la instalacion salvo previa venta, una vez dado el pago.</t>
    </r>
  </si>
  <si>
    <t>REPARACION DE MOTOR SUMERGIBLE DE 40 HP. MCA.- LUBI. INCLUYE: REBOBINADO DE MOTOR, CAMBIO DE RANGUA, SELLO MECANICO, FLETES, ARMADO Y PINTADO.</t>
  </si>
  <si>
    <t>FLETE DE TUBERIA DE POZO SAN JUAN ESPANATICA A POZO EL SALVADOR DE 3", INCLUYE.- SUBIR A GRUA, FLETE Y BAJAR EN SITIO DE TRABAJOS.</t>
  </si>
  <si>
    <t>ROSCADO DE TUBERIA DE 3", INCLUYE FLETES, TRABAJOS EN TORNO, REGRESO DE TUBERIA.</t>
  </si>
  <si>
    <t>MOTOR SUMERGIBLE DE 60 HP. 460 VOLTS 60 HZ. MCA.- SME ALTA TEMP Y ALTO EMPUJE AXIAL.</t>
  </si>
  <si>
    <r>
      <t>BOMBA SUM. MCA.- ALTAMIRA ACERO INOXIDABLE</t>
    </r>
    <r>
      <rPr>
        <b/>
        <sz val="12"/>
        <rFont val="Arial"/>
        <family val="2"/>
      </rPr>
      <t xml:space="preserve"> (T.E.- 1 SEMANA HABIL) </t>
    </r>
  </si>
  <si>
    <t>07 DE AGOSTO DEL 2025</t>
  </si>
  <si>
    <t>Forma de Pago: 100 % PARA PEDIR EQUIPOS</t>
  </si>
  <si>
    <r>
      <t>BOMBA SUM. MCA.- FRANKLIN ELECTRIC EN FUND. DE HIERRO.</t>
    </r>
    <r>
      <rPr>
        <b/>
        <sz val="12"/>
        <rFont val="Arial"/>
        <family val="2"/>
      </rPr>
      <t xml:space="preserve"> (T.E.- 4 - 5 DIAS HABIL) </t>
    </r>
  </si>
  <si>
    <r>
      <rPr>
        <b/>
        <sz val="11"/>
        <rFont val="Arial"/>
        <family val="2"/>
      </rPr>
      <t xml:space="preserve">     Numero de cuenta:</t>
    </r>
    <r>
      <rPr>
        <sz val="11"/>
        <rFont val="Arial"/>
        <family val="2"/>
      </rPr>
      <t xml:space="preserve"> 048 247 5650   </t>
    </r>
    <r>
      <rPr>
        <b/>
        <sz val="11"/>
        <rFont val="Arial"/>
        <family val="2"/>
      </rPr>
      <t xml:space="preserve">CLABE.- </t>
    </r>
    <r>
      <rPr>
        <sz val="11"/>
        <rFont val="Arial"/>
        <family val="2"/>
      </rPr>
      <t xml:space="preserve">012 342 004824 756509  </t>
    </r>
    <r>
      <rPr>
        <b/>
        <sz val="11"/>
        <rFont val="Arial"/>
        <family val="2"/>
      </rPr>
      <t>BBVA BANCOMER</t>
    </r>
  </si>
  <si>
    <t>TRESCIENTOS UN MIL DOSCIENTOS CINCUENTA Y SEIS PESOS 80/100 M.N.</t>
  </si>
  <si>
    <t>CIENTO OCHENTA Y OCHO MIL SETECIENTOS TREINTA Y DOS 45/100 M.N.</t>
  </si>
  <si>
    <t>ANT.-</t>
  </si>
  <si>
    <t>DIEZ Y NUEVE MIL DOSCIENTOS TREINTA Y DOS PESOS 00/100 M.N.</t>
  </si>
  <si>
    <t>LIMPIEZA DE POZO CON ADEME DE 12", INCLUYE: APLICACIÓN DE LIQUIDOS LIMPIADORES Y DESINFECTANTES, TRABAJO MECANICO CON CEPILLO DE ALAMBRE DE 4 MIN/MTS Y SANITIZACIÓN FINAL DEL POZO.</t>
  </si>
  <si>
    <t>Forma de Pago: 90% ANTICIPO 10% AL AVISO DE ENTREGA</t>
  </si>
  <si>
    <t>LIQUIDO DESINCRUSTANTE LIQUID DESCALER MCA.- COTEY CHEMICAL GARRAFA 20 LTS</t>
  </si>
  <si>
    <t>DISPERSANTE DE ARCILLAS AQUA CLEAR MARCA.- BAROID GARRAFA 20 LTS</t>
  </si>
  <si>
    <t xml:space="preserve">                                                CIENTO CUARENTA Y SIETE MIL OCHOCIENTOS OCHO PESOS 56/100 M.N.</t>
  </si>
  <si>
    <r>
      <rPr>
        <b/>
        <sz val="11"/>
        <rFont val="Arial"/>
        <family val="2"/>
      </rPr>
      <t>T.E. del sistema:</t>
    </r>
    <r>
      <rPr>
        <sz val="11"/>
        <rFont val="Arial"/>
        <family val="2"/>
      </rPr>
      <t xml:space="preserve"> De 2 semanas hábil de la instalacion salvo previa venta, una vez dado el pago.</t>
    </r>
  </si>
  <si>
    <t>MEDIDOR DE FLUJO ANALOGO DE 6" MCA.- AMEXSA MEDICION TURBINA</t>
  </si>
  <si>
    <t>MEDIDOR DE FLUJO ANALOGO DE 6" MCA.- AMEXSA MEDICION PALETA</t>
  </si>
  <si>
    <t>Empresa: AGRICOLA DON MEMO</t>
  </si>
  <si>
    <t xml:space="preserve">Atención a: COMPRAS AGRICOLA DON MEMO </t>
  </si>
  <si>
    <t>Domicilio: PETACAL, JALISCO.</t>
  </si>
  <si>
    <t>08 DE AGOSTO DEL 2025</t>
  </si>
  <si>
    <t>MT. DE COLUMNA FLEXIBLE DE 3", INCLUYE., CENTRADOR PLASTICO K-ZWIP, CINTILLO DE PLASTICO HELLERMAN.</t>
  </si>
  <si>
    <t>RACORES ACERO INOXIDABLE CON ABRAZADERAS PARA COLUMNA FLEXIBLE DE 3" ROSCA NPT.</t>
  </si>
  <si>
    <t>CENTRADOR PLASTICO MARCA K-ZWIP PARA COLUMNA FLEXIBLE, 3 SECCIONES DE 3"</t>
  </si>
  <si>
    <t>CINTILLO DE PLASTICO HELLERMAN TYTON, 250 LB RONDANA PLASTICA.</t>
  </si>
  <si>
    <t>10 DE AGOSTO DEL 2025</t>
  </si>
  <si>
    <t>INTALACION DE EQUIPOS, FLETES, PRUEBAS.</t>
  </si>
  <si>
    <t xml:space="preserve">                                           DOSCIENTOS OCHENTA Y OCHO MIL SEISCIENTOS SESENTA Y SEIS PESOS 81/100 M.N.</t>
  </si>
  <si>
    <t>ARRANCADOR A TENSION REDUCIDAD DE 60 HP.  (T.E.- 2 SEMANAS)</t>
  </si>
  <si>
    <t>TRANSFORMADOR ENFRIADO POR ACEITE MCA.- VICTORY, DE 112.5 KVA 23KV-440/254 COBRE, INCLUYE FLETES, MOVIMIENTOS Y PUESTA EN CAMPO.</t>
  </si>
  <si>
    <t>LOTE DE CABLE MONOPOLAR DE 600 VOLTS ALUMINIO XLP 3/0 MCA.-                                        CONDUCTORES DEL NORTE, INCLU FLETES, MANIOBRAS, PUESTO EN CAMPO</t>
  </si>
  <si>
    <t>INTALACION DE EQUIPOS, CANALIZACIONES, MATERIALES, HERRAMIENTAS, MANO DE OBRA.</t>
  </si>
  <si>
    <t>BOMBA SUMERGIBLE EN FUNDICION DE HIERRO MCA.- TX PUMPS 15 LT/SEG (T.E.- 4 - 5 DIAS)</t>
  </si>
  <si>
    <t>REPARACION DE BOMBA SUM INOX MCA.- LUBI</t>
  </si>
  <si>
    <t xml:space="preserve">                                          CIENTO SESENTA Y OCHO MIL SETECIENTOS VEINTE PESOS 08/100 M.N.</t>
  </si>
  <si>
    <t>INT. TERMO  MAGNE DE 150 AMP. INCLUYE GABINETE.</t>
  </si>
  <si>
    <t>AVR DE 75 HP.  (T.E.- 2 SEMANAS)</t>
  </si>
  <si>
    <t>MANIOBRA DE DES-INSTALACION DE EQUIPO DE BOMBEO DE 8" CON AYUDA DE GRUA TIPO TRIPIE DE 40 TONELADAS. INCLUYE EPP, IZAJE, MANIOBRAS, QUITAR TREN DE DESCARGA.</t>
  </si>
  <si>
    <t>VIDEO GRABACION DE POZO PROFUNDO PARA OBTENER DATOS FIDEDIGNOS DEL POZO, INCLUYE, VIDEO GRABACION, TRASLADOS, MEMORIA CON VIDEO Y REPORTE POR ESCRITO.</t>
  </si>
  <si>
    <t>REPARACION MOTOR SUMERGIBLE DE 60 HP. 460 VOLTS 60 HZ. MCA.- SME ALTA TEMP Y ALTOEMPUJE AXIAL.</t>
  </si>
  <si>
    <t>REPARACION DE BOMBA SUMERGIBLE FRANKLIN ELECTRIC</t>
  </si>
  <si>
    <t xml:space="preserve">          POR COTIZAR</t>
  </si>
  <si>
    <t>LIQUID DESCALER MCA.- COTEY CHEMICAL GARRAFA 20 LTS</t>
  </si>
  <si>
    <t>MT. DE CABLE PLANO SUMERGIBLE CAL. 3 X 1/0 @ 1 000 VOLTS</t>
  </si>
  <si>
    <t xml:space="preserve">                                          CUATROCIENTOS TREINTA MIL NOVECIENTOS SETENTA Y CINCO PESOS 96/100 M.N.</t>
  </si>
  <si>
    <t>Empresa: GRUPO ALTA DON MARIO</t>
  </si>
  <si>
    <t>Atención a: ING ANDRES REYES</t>
  </si>
  <si>
    <t>Nombre del predio: POZO 4</t>
  </si>
  <si>
    <t>12 DE AGOSTO DEL 2025</t>
  </si>
  <si>
    <t>Empresa.- SYNERGIA BIO MEXICO</t>
  </si>
  <si>
    <t>Atención a: ING. EDER JACOBO</t>
  </si>
  <si>
    <t>Nombre del predio: POZO 1</t>
  </si>
  <si>
    <t>REPARACION DE BOMBA SUMERGIBLE MCA.- ALTAMIRA 25 ETAPAS. INCLUYE: JUEGO DE ANILLOS DE DESGASTE PARA SELLOS DE IMPULSOR.      JUEGO DE BUJES PARA TAZONES DE SUCCION, INTERMEDIOS Y DE DESCARGA.     CAMBIO DE FLECHA DE IMPULSORES.      DESARMADO, LIMPIEZA, AJUSTES, REARMADO.</t>
  </si>
  <si>
    <t>MOTOR SUMERGIBLE DE 70 HP. 460 VOLTS 60 HZ. MCA.- SME ALTA TEMP Y ALTO EMPUJE AXIAL. (T.E.- 4 - 5 DIAS)</t>
  </si>
  <si>
    <t>MT DE CABLE PLANO SUMERGIBLE CAL. 3 X 2/0  1000 VOLTS</t>
  </si>
  <si>
    <t xml:space="preserve">                                          UN MILLON CIENTO NOVENTA Y SIETE MIL NOVECIENTOS TREINTA Y OCHO PESOS 24/100 M.N.</t>
  </si>
  <si>
    <t>CUATROCIENTOS CUARENTA Y NUEVE MIL SEISCIENTOS SETENTA Y OCHO PESOS 67/100 M.N.</t>
  </si>
  <si>
    <t>13 DE AGOSTO DEL 2025</t>
  </si>
  <si>
    <t>MANIOBRA DE DES-INSTALACION DE EQUIPO DE BOMBEO DE 8" DE FLECHA CON AYUDA DE GRUA TIPO TRIPIE DE 40 TONELADAS. INCLUYE EPP, IZAJE, MANIOBRAS, QUITAR TREN DE DESCARGA.</t>
  </si>
  <si>
    <t>MATERIALES PARA LA INSTALACION, INCLUYE CUBETA DE ACEITE, HILO GRAFITADO, MATERIALES MENORES.</t>
  </si>
  <si>
    <t xml:space="preserve">                                       DOSCIENTOS DIEZ Y SIETE MIL SETECIENTOS SETENTA Y NUEVE PESOS 56/100 M.N.</t>
  </si>
  <si>
    <t>Empresa: H. AYUNTAMIENTO DE ZAPOTILTIC</t>
  </si>
  <si>
    <t>Atención a: A QUIEN CORRESPONDA</t>
  </si>
  <si>
    <t>18 DE AGOSTO DEL 2025</t>
  </si>
  <si>
    <t xml:space="preserve">                                         SETENTA MIL NOVECIENTOS NOVENTA Y DOS PESOS 00/100 M.N.</t>
  </si>
  <si>
    <t>Atención a:  SR. MIGUEL SEPULVEDA</t>
  </si>
  <si>
    <t>Nombre del predio: AGRICOLA SEPULVEDA</t>
  </si>
  <si>
    <t xml:space="preserve">EN CASO DE QUE EL AFORO NO SE PUEDA REALIZAR POR ABATIMIENTO DEL POZO SE TENDRA QUE COBRAR MINIMO LAS PRIMERAS 24 HORAS DEBIDO A TODOS LOS MOVIMIENTOS QUE SE TIENE QUE HACER DE CABLE, TUBERIA, MOTOR, BOMBA, ASI COMO DE LA INSTALACION DE LOS EQUIPOS PARA EL BOMBEO SE TIENE QUE LLEVAR GRUAS, GENERADOR, ADEMAS DE DESINSTALAR DE NUEVO TODO PARA REGRESARLO A NUESTRAS BODEGAS.  EN EFECTIVO O TODO MAS IVA EN CASO DE REQUERIRI FACTURA. </t>
  </si>
  <si>
    <t>Empresa: JORGE ZUÑIGA ZEPEDA</t>
  </si>
  <si>
    <t>Atención a: JORGE ZUÑIGA ZEPEDA</t>
  </si>
  <si>
    <t>Domicilio: LOZ MAZOS, JALISCO.</t>
  </si>
  <si>
    <t>LOS MAZOS, JALISCO.</t>
  </si>
  <si>
    <t>AFORO MEDIANTE EQUIPOS DE BOMBEO SUMERGIBLE, INCLUYE: INSTALACION DEL EQUIPO A 380 MT CON TUBERIA DE 3" Y 4", AFOROS, PRUEBA POR 24 HORAS, RECOPILACION DE DATOS, ANALISIS Y REPORTE POR ESCRITO.</t>
  </si>
  <si>
    <t xml:space="preserve">                                        DOSCIENTOS DOCE MIL QUINIENTOS DOCE PESOS 00/100 M.N.</t>
  </si>
  <si>
    <t>TRAMOS DE TUBERIA DE 3" CED. 40 CON COPLE CONICO</t>
  </si>
  <si>
    <t>INSTALACION DE EQUIPOS, FLETES, PRUEBAS.</t>
  </si>
  <si>
    <t>COPLES DE 3" CONICO</t>
  </si>
  <si>
    <t>BOMBA SUMERGIBLE MCA.- ALTAMIRA ACERO INOXIDABLE PARA 12 LT/SEG.</t>
  </si>
  <si>
    <t>EL EQUIPO DE BOMBEO SE TUVO QUE REDISEÑAR DEBIDO AL AUMENTO EN LAS PERDIDAS</t>
  </si>
  <si>
    <t xml:space="preserve"> POR FRICCION EN LA TUBERIA</t>
  </si>
  <si>
    <t>OPCION PARA INSTALAR EL EQUIPO A 250 MT. CAIDA DE TENSION ABAJO DEL 3%</t>
  </si>
  <si>
    <t>19 DE AGOSTO DEL 2025</t>
  </si>
  <si>
    <t xml:space="preserve">                                          SETECIENTOS TRECE MIL NOVENTA Y OCHO PESOS 05/100 M.N.</t>
  </si>
  <si>
    <t>VISITA TECNICA PAR DIAGNOSTICO DE POZO PROFUNDO, INCLUYE RVISION PARA METROS ELECTRICOS, PARAMETRICOS HIDRAHULICOS, ASI COMO DIAGNOSTICO DE SOLUCION A PROBLEMAS REVISADOS.</t>
  </si>
  <si>
    <t>SE INCLUIRAN LAS COTIZACIONES SOBRE LOS TRABAJOS.</t>
  </si>
  <si>
    <t xml:space="preserve">                                          DOS MIL NOVECIENTOS PESOS 00/100 M.N.</t>
  </si>
  <si>
    <t>25 DE AGOSTO DEL 2025</t>
  </si>
  <si>
    <t>Empresa: SR. LUIS SANCHEZ</t>
  </si>
  <si>
    <t>Atención a: SR. LUIS SANCHEZ</t>
  </si>
  <si>
    <t>Nombre del predio: ABSTECIMIENTO 1</t>
  </si>
  <si>
    <t>Forma de Pago: 100% CONTADO</t>
  </si>
  <si>
    <t xml:space="preserve">ARRANCADOR A TENSION REDUCIDA PARA MOTOR CON PROTECCION ELECTRONICA 60 HP. </t>
  </si>
  <si>
    <t>TRESCIENTOS SESENTA Y DOS MIL CIENTO TREINTA Y SEIS PESOS 87/100 M.N.</t>
  </si>
  <si>
    <t>19 DE SEPTIEMBRE DEL 2025</t>
  </si>
  <si>
    <t>Nombre del predio: EL SALVADOR</t>
  </si>
  <si>
    <t>FLETES EL SALVADOR-CELAYA   CELAYA-EL SALVADOR</t>
  </si>
  <si>
    <t>REPARACION DE MOTOR SUMERGIBLE DE 40 HP. 460 VOLTS 60 HZ. INCLUYE: REBOBINADO, CAMBIO SELLO MECANICO, CABLE DE ALIMENTACION, MANO DE OBRA.</t>
  </si>
  <si>
    <t>REPARACION DE BOMBA SUMERGIBLE MCA.- LUBI W30-20 ETAPAS, KIT COMPLETO DE REPARACION, LIMPIEZA, AJUSTE Y MANO DE OBRA.</t>
  </si>
  <si>
    <t>22 DE AGOSTO DEL 2025</t>
  </si>
  <si>
    <t xml:space="preserve">                                          CINCUENTA Y NUEVE MIL CUARENTA Y TRES PESOS 88/100 M.N.</t>
  </si>
  <si>
    <t xml:space="preserve">EN CASO DE NO ACEPTAR LA REPARACION SOLO SE COBRARIA EL COSTO DE FLETES PARA </t>
  </si>
  <si>
    <t>REGRESAR EL EQUIPO AL CAMPO.</t>
  </si>
  <si>
    <t>TRAMOS DE TUBERIA DE ACERO AL CARBON DE 3" DE 6.4 MT DE LONG.</t>
  </si>
  <si>
    <t>FLETES IDA Y REGRESO DE EQUIPOS</t>
  </si>
  <si>
    <t>BOMBA SUMERGIBLE ACERO INOXIDABLE PARA 12 LT/SEG.</t>
  </si>
  <si>
    <t xml:space="preserve">                                          SEISCIENTOS SETENTA Y CINCO MIL QUINIENTOS DIEZ Y NUEVE PESOS 85/100 M.N.</t>
  </si>
  <si>
    <t>INTALACION DE EQUIPOS, FLETES, PRUEBAS CANALIZACION DE CABLE SUMERGIBLE, INSTALACION Y PROGRAMACION DE EQUIPO DE PROTECCION.</t>
  </si>
  <si>
    <t>29 DE AGOSTO DEL 2025</t>
  </si>
  <si>
    <t>30 DE SEPTIEMBRE DEL 2025</t>
  </si>
  <si>
    <t>A 1000 VOLTS, 60 HZ. 322 AMP. (T.E.- 4 SEM.) 1 AÑO DE GAR, ALT TEMP. (20 LT/SEG)</t>
  </si>
  <si>
    <r>
      <rPr>
        <b/>
        <sz val="11"/>
        <rFont val="Arial"/>
        <family val="2"/>
      </rPr>
      <t xml:space="preserve">              Tiempo de entrega del sistema:</t>
    </r>
    <r>
      <rPr>
        <sz val="11"/>
        <rFont val="Arial"/>
        <family val="2"/>
      </rPr>
      <t xml:space="preserve"> De 4 - 6 SEMANAS salvo previa venta, una vez dado el pago.</t>
    </r>
  </si>
  <si>
    <t xml:space="preserve">MOTOR SUMERGIBLE MCA.- SME </t>
  </si>
  <si>
    <t xml:space="preserve">EQUIPO DE BOMBEO SUMERGIBLE MCA.- KSB </t>
  </si>
  <si>
    <t xml:space="preserve">A 1000 VOLTS, 60 HZ. 322 AMP. (T.E.- 4 SEM.) 1 AÑO DE GAR, ALT TEMP. </t>
  </si>
  <si>
    <t>BOMBA SUMERGIBLE MCA.- FRANKLIN ELECTRIC FUND DE HIERRO. (20 LT/SEG)</t>
  </si>
  <si>
    <t>QUINIENTOS TREINTA Y SIETE MIL DOSCIENTOS CUARENTA Y DOS PESOS 40/100 M.N.</t>
  </si>
  <si>
    <t>SEISCIENTOS SEIS MIL OCHOCIENTOS CUARENTA Y DOS PESOS 40/100 M.N.</t>
  </si>
  <si>
    <t>MANIOBRA DE DES-INST DE EQUIPO DE BOMBEO CON AYUDA DE GRUA TIPO TITAN</t>
  </si>
  <si>
    <t>INCLUYE: DESINST TREN DE DESCARGA, EPP, MANIOBRAS DE IZAJE, MANO DE OBRA.</t>
  </si>
  <si>
    <t xml:space="preserve">MATERIALES PARA EMPATE INCLUYE: CINTA MASILLA, CINTA 130-C, CINTA SUPER 33, </t>
  </si>
  <si>
    <t>MANGA TERMOCONTRACIL CAL. 2/0, MANGA CAL. 350 MCM, CONECTORES.</t>
  </si>
  <si>
    <t>CAJA DE ALAMBRE PARA AMARRE DE CABLE A COLUMNA DE ACERO</t>
  </si>
  <si>
    <t>SUB MONITOR CONECT PARA PROTECCION DE MOTOR SUMERGIBLE, INCLUYE:</t>
  </si>
  <si>
    <t>INSTALACION, PROGRAMACION, PRUEBAS DE FUNCIONAMIENTO.</t>
  </si>
  <si>
    <t>REVISION DE NIVELES, GASTO, PARAMETROS ELECTRICOS, REPORTE, CURVA CARACTERISTICA.</t>
  </si>
  <si>
    <t xml:space="preserve">AFORO CON EQUIPOS INST. INCLUYE: TRASLADOS, VARIADOR DE FRECUENCIA, </t>
  </si>
  <si>
    <t>CIENTOS SESENTA Y TRES MIL NOVECIENTOS CINCUENTA Y CUATRO PESOS 40/100 M.N.</t>
  </si>
  <si>
    <t>Atención a: ING JESUS CABALLERO</t>
  </si>
  <si>
    <t>Nombre del predio: PLANTA INDAMEX ABASTECIMIENTOS 1</t>
  </si>
  <si>
    <t>JIQUILPAN DE JUAREZ, MICHOACAN.</t>
  </si>
  <si>
    <t>04 DE OCTUBRE DEL 2025</t>
  </si>
  <si>
    <t xml:space="preserve">Empresa: INDAMEX </t>
  </si>
  <si>
    <t>GEOFISICA PARA DETERMINAR PUNTO DE PERFORACION</t>
  </si>
  <si>
    <t>SERVICIO DE PERFORACION DE POZO PROFUNDO A 200 MT ADEME DE 12"</t>
  </si>
  <si>
    <t>ACERO AL CARBON, PERFORADO, ENGRAVADO, LAVADO, AFORADO POR 24 HORAS</t>
  </si>
  <si>
    <t>EQUIPAMIENTO DE POZO PROFUNDO PARA OBETNER UN GASTO DE 30-40 LT/SEG</t>
  </si>
  <si>
    <t>EQUIPOS DE GAMA ALTA. (Vfd, sme, franklin)</t>
  </si>
  <si>
    <t>SUB ESTACION ELECTRICA PARA POZO PROFUNDO</t>
  </si>
  <si>
    <t>AFORO MEDIANTE EQUIPOS DE BOMBEO SUMERGIBLE, INCLUYE: INSTALACION DEL EQUIPO A 285 MT CON TUBERIA DE 4", AFOROS, PRUEBA POR 24 HORAS, RECOPILACION DE DATOS, ANALISIS Y REPORTE POR ESCRITO.</t>
  </si>
  <si>
    <t xml:space="preserve">                                                    CIENTO TREINTA Y OCHO MIL CUARENTA PESOS 00/100 M.N.</t>
  </si>
  <si>
    <t>Atención a: ING. HECTOR VALENCIA</t>
  </si>
  <si>
    <t>Domicilio: APANGO, JALISCO.</t>
  </si>
  <si>
    <t>Nombre del predio: LA PROVIDENCIA</t>
  </si>
  <si>
    <t>APANGO, MUN. SAYULA JALISCO.</t>
  </si>
  <si>
    <t>Empresa: AGROGONZALEZ</t>
  </si>
  <si>
    <t>Atención a: ING. IGNACIO CARRILLO</t>
  </si>
  <si>
    <t xml:space="preserve"> JALISCO.</t>
  </si>
  <si>
    <t>POLEA PARA GRUA, INCLUYE: MATERIALES, MAQUINADO, INSTALACION.</t>
  </si>
  <si>
    <t>MANIOBRA DE IZAJE DE TANQUE DE ALMACENAMIENTO EN USMAJAC, JALISCO.</t>
  </si>
  <si>
    <t>DIEZ SIETE MIL CIENTO SESENTA Y OCHO PESOS 00/100 M.N.</t>
  </si>
  <si>
    <t>Atención a: ING. JAIME VERDUZCO</t>
  </si>
  <si>
    <t>BOMBA SUMERGIBLE PARA 36 LT MCA.- ALTAMIRA EN ACERO INOXIDABLE.</t>
  </si>
  <si>
    <t>MOTOR SUMERGIBLE DE 150 HP. MCA.- ALTAMIRA ALTA TEMP. Y ALTO EMPUJE AXIAL.</t>
  </si>
  <si>
    <t>Atención a: ING RUBEN LARA -  ING. GERARDO MENDOZA</t>
  </si>
  <si>
    <t xml:space="preserve">Nombre del predio: ABASTECIMIENTO </t>
  </si>
  <si>
    <t>06 DE OCTUBRE DEL 2025</t>
  </si>
  <si>
    <r>
      <rPr>
        <b/>
        <sz val="11"/>
        <rFont val="Arial"/>
        <family val="2"/>
      </rPr>
      <t>Tiempo de entrega del sistema:</t>
    </r>
    <r>
      <rPr>
        <sz val="11"/>
        <rFont val="Arial"/>
        <family val="2"/>
      </rPr>
      <t xml:space="preserve"> De 100 DIAS salvo previa venta, una vez dado el pago.</t>
    </r>
  </si>
  <si>
    <t>CIENTO SETENTA Y NUEVE MIL TRESCIENTOS TRECE PESOS 74/100 M.N.</t>
  </si>
  <si>
    <t xml:space="preserve">CAJA DE ALAMBRE PARA AMARRES CAL. 10 </t>
  </si>
  <si>
    <t>MANIOBRA DE INSTALACION DE EQUIPO DE BOMBEO DE 8" CON AYUDA DE GRUA TIPO TRIPIE DE 40 TONELADAS. INCLUYE EPP, IZAJE, MANIOBRAS, INST. TREN DE DESCARGA.</t>
  </si>
  <si>
    <t>MATERIAL PARA EMPATES DE CABLE, INCLUYE: CONECTOR C.T. CINTA SUPER 33, 130-C, MASILLA, MANGA TERMOCONTRICTIL 250 MCM Y 500 MCM</t>
  </si>
  <si>
    <t xml:space="preserve">                                            CIENTO TREINTA Y CINCO MIL CUATROCIENTOS SETENTA Y SIETE PESOS 56/100 M.N.</t>
  </si>
  <si>
    <t>Empresa: GRUPO LA FUENTE</t>
  </si>
  <si>
    <t>Atención a: ING KARLA MENDEZ</t>
  </si>
  <si>
    <t>07 DE OCTUBRE DEL 2025</t>
  </si>
  <si>
    <t xml:space="preserve">                                         SETENTA Y SISTE MIL SETENTA Y CINCO PESOS 04/100 M.N.</t>
  </si>
  <si>
    <t>08 DE OCTUBRE DEL 2025</t>
  </si>
  <si>
    <t>ESTRUCTURA PARA PONER ANUNCIO EN FACHADA, INCLUYE: MATERIALES, SOLDADURA, MANO DE OBRA.</t>
  </si>
  <si>
    <t>MANIOBRA DE INSTALACION DE ANUNCIOS Y ESTRUCTURA PRINCIPAL, INCLUYE GRUA TIPO TITAN DE 21 TONELADAS.</t>
  </si>
  <si>
    <t>SERVICIO DE INSTALACION DE CONTROL PARA ANUNCIO, INCLUYE: MATERIALES, INSTALACION, MANO DE OBRA.</t>
  </si>
  <si>
    <t>A COTIZAR</t>
  </si>
  <si>
    <r>
      <rPr>
        <b/>
        <sz val="11"/>
        <rFont val="Arial"/>
        <family val="2"/>
      </rPr>
      <t>T.E. del sistema:</t>
    </r>
    <r>
      <rPr>
        <sz val="11"/>
        <rFont val="Arial"/>
        <family val="2"/>
      </rPr>
      <t xml:space="preserve"> De 1 semanas hábil de la inst. salvo previa venta, una vez dado el pago.</t>
    </r>
  </si>
  <si>
    <t>OCHENTA Y OCHO MIL OCHOCIENTOS NUEVE PESOS 60/100 M.N.</t>
  </si>
  <si>
    <t>Forma de Pago: 100% TRABAJO FINALIZADO</t>
  </si>
  <si>
    <r>
      <rPr>
        <b/>
        <sz val="11"/>
        <rFont val="Arial"/>
        <family val="2"/>
      </rPr>
      <t>Tiempo de entrega del sistema:</t>
    </r>
    <r>
      <rPr>
        <sz val="11"/>
        <rFont val="Arial"/>
        <family val="2"/>
      </rPr>
      <t xml:space="preserve"> TRABAJO ENTREGADO</t>
    </r>
  </si>
  <si>
    <t>10 DE OCTUBRE DEL 2025</t>
  </si>
  <si>
    <t>MOTOR SUMERGIBLE DE 40 HP. 460 VOLTS 60 HZ. MCA.- SME ALTA TEMP Y ALTO EMPUJE AXIAL.</t>
  </si>
  <si>
    <t>BOMBA ACERO INOXIDABLE DE 40 HP.</t>
  </si>
  <si>
    <r>
      <t xml:space="preserve">VALVULAS CHECK DE HIERRO DUCTIL MCA.- </t>
    </r>
    <r>
      <rPr>
        <b/>
        <sz val="12"/>
        <color rgb="FF00B0F0"/>
        <rFont val="Arial"/>
        <family val="2"/>
      </rPr>
      <t>FLOMATIC</t>
    </r>
    <r>
      <rPr>
        <sz val="12"/>
        <color theme="1"/>
        <rFont val="Arial"/>
        <family val="2"/>
      </rPr>
      <t xml:space="preserve"> DE 4" DE DIAM.</t>
    </r>
  </si>
  <si>
    <r>
      <t xml:space="preserve">VALVULAS CHECK DE HIERRO DUCTIL MCA.- </t>
    </r>
    <r>
      <rPr>
        <b/>
        <sz val="12"/>
        <color rgb="FF00B050"/>
        <rFont val="Arial"/>
        <family val="2"/>
      </rPr>
      <t>GOULDS</t>
    </r>
    <r>
      <rPr>
        <sz val="12"/>
        <color theme="1"/>
        <rFont val="Arial"/>
        <family val="2"/>
      </rPr>
      <t xml:space="preserve"> DE 4" DE DIAM.</t>
    </r>
  </si>
  <si>
    <t>TRAMOS DE TUBERIA DE 4" X 6.1 MT. DE LONG. ACERO CED. 40</t>
  </si>
  <si>
    <t>13 DE OCTUBRE DEL 2025</t>
  </si>
  <si>
    <t>DOSCIENTOS OCHENTA Y CUATRO MIL QUINCE PESOS 32/100 M.N.</t>
  </si>
  <si>
    <t>NOVENTA Y OCHO MIL CIENTO SETENTA Y CUATRO PESOS 11/100 M.N.</t>
  </si>
  <si>
    <t>14 DE OCTUBRE DEL 2025</t>
  </si>
  <si>
    <t>SE ENVIARA LA SEGUNDA PARTE EN OTRA COTIZACION PARA SU CONMSIDERACION,</t>
  </si>
  <si>
    <t>LOS PRECIOS PUEDEN VARIAR SOBRE TODO EL DEL CABLEADO Y VARIADOR.</t>
  </si>
  <si>
    <t>FAVOR DE PEDIR ACTUALIZACION DE PRECIOS.</t>
  </si>
  <si>
    <t>CIENTOS TREINTA MIL CIENTO NOVENTA Y NUEVE PESOS 32/100 M.N.</t>
  </si>
  <si>
    <t>Forma de Pago: 100 % PARA ADQUISION DE EQUIPOS</t>
  </si>
  <si>
    <t>TRESCIENTOS NUEVE MIL CIENTO CINCUENTA Y CINCO PESOS 84/100 M.N.</t>
  </si>
  <si>
    <t>A ESTE COSTO SOLO FALTA EL DE MANIOBRAS SE COBRARA UNA VEZ QUE SE HAGA EL CAMBIO.</t>
  </si>
  <si>
    <r>
      <t xml:space="preserve">VARIADOR DE FRECUENCIA 40 hp. 75 amp. </t>
    </r>
    <r>
      <rPr>
        <b/>
        <sz val="12"/>
        <color rgb="FFFF0000"/>
        <rFont val="Arial"/>
        <family val="2"/>
      </rPr>
      <t>T.E.- 4-6 SEMANAS</t>
    </r>
  </si>
  <si>
    <t>SE CONSIDERA LA RENTA DEL MES COMPLETO, COMO SE HABLO</t>
  </si>
  <si>
    <t xml:space="preserve"> VIA TELEFONICA CON EL ING EDSON.</t>
  </si>
  <si>
    <t>EN CASO DE RENTAR POR DIAS COSTARA $2 000 PESOS POR DIA</t>
  </si>
  <si>
    <t>PROGRAMACION Y PRUEBAS.</t>
  </si>
  <si>
    <t xml:space="preserve">INSTALACION DE VFD, INCLUYE: INSTALACION, CABLEADO, </t>
  </si>
  <si>
    <t xml:space="preserve">DES-INSTALACION DE VFD, INCLUYE: INSTALACION, CABLEADO, </t>
  </si>
  <si>
    <t>PRUEBAS A LINEA, EQUIPOS Y MOTOR</t>
  </si>
  <si>
    <t>SETENTA Y DOS MIL DOSCIENTOS SESENTA Y OCHO PESOS 00/100 M.N.</t>
  </si>
  <si>
    <t>Forma de Pago: 100% RENTA DE EQUIPOS</t>
  </si>
  <si>
    <t>MES DE RENTA DE VARIADOR DE FRECUENCIA TRIFASICO 460 AMP.  A 460 VOLTS 60 HZ. DEL DIA 07-10-2025 AL DIA 17-11-2025</t>
  </si>
  <si>
    <t>Nombre del predio: GUAYABOS</t>
  </si>
  <si>
    <t>16 DE OCTUBRE DEL 2025</t>
  </si>
  <si>
    <t xml:space="preserve">                                       CINCUENTA Y OCHO MIL OCHOCIENTOS OCHENTA Y UN PESOS 60/100 M.N.</t>
  </si>
  <si>
    <t>20 DE OCTUBRE DEL 2025</t>
  </si>
  <si>
    <r>
      <rPr>
        <b/>
        <sz val="11"/>
        <rFont val="Arial"/>
        <family val="2"/>
      </rPr>
      <t>Tiempo de entrega del sistema:</t>
    </r>
    <r>
      <rPr>
        <sz val="11"/>
        <rFont val="Arial"/>
        <family val="2"/>
      </rPr>
      <t xml:space="preserve"> De 3 DIAS hábil de la instalacion salvo previa venta, una vez dado el pago.</t>
    </r>
  </si>
  <si>
    <t xml:space="preserve">                                       OCHENTA Y NUEVE MIL CIENTO VEINTE Y SEIS PESOS 98/100 M.N.</t>
  </si>
  <si>
    <t xml:space="preserve">                                       OCHENTA Y CUATRO MIL QUINIENTOS OCHENTA Y SIETE PESOS 20/100 M.N.</t>
  </si>
  <si>
    <r>
      <rPr>
        <b/>
        <sz val="11"/>
        <rFont val="Arial"/>
        <family val="2"/>
      </rPr>
      <t>Tiempo de entrega del sistema:</t>
    </r>
    <r>
      <rPr>
        <sz val="11"/>
        <rFont val="Arial"/>
        <family val="2"/>
      </rPr>
      <t xml:space="preserve"> De 6 DIAS hábil de la instalacion salvo previa venta, una vez dado el pago.</t>
    </r>
  </si>
  <si>
    <t xml:space="preserve">Atención a: ING. EDSON RAMIREZ </t>
  </si>
  <si>
    <t>Domicilio: ZAPOTILITC, JALISCO.</t>
  </si>
  <si>
    <t>22 DE OCTUBRE DEL 2025</t>
  </si>
  <si>
    <t xml:space="preserve">                                      SETENTA Y SIETE MIL TRESCIENTOS VEINTE Y CUATRO PESOS 44/100 M.N.</t>
  </si>
  <si>
    <r>
      <rPr>
        <b/>
        <sz val="11"/>
        <rFont val="Arial"/>
        <family val="2"/>
      </rPr>
      <t>Tiempo de entrega del sistema:</t>
    </r>
    <r>
      <rPr>
        <sz val="11"/>
        <rFont val="Arial"/>
        <family val="2"/>
      </rPr>
      <t xml:space="preserve"> De 7 DIAS hábil de la instalacion salvo previa venta, una vez dado el pago.</t>
    </r>
  </si>
  <si>
    <t>Atención a: ING JOSUE FERNANDEZ - ING CARLOS FLORES CEJA</t>
  </si>
  <si>
    <t>Nombre del predio: PLANTA INDAMEX CREMA</t>
  </si>
  <si>
    <t>24 DE OCTUBRE DEL 2025</t>
  </si>
  <si>
    <t>ESTANQUE PARA ALMACENAMIENTO DE AGUA CON CAPACIDAD DE 200 000 LT. ELABORADO CON GEOMEMBRANA 1 MM AVG DE ESPESOR MCA.- SOLMAX, MALLA Y MEDIA GALVANIZADA, SALIDA DE 4 " POR SUBSUELO PARA TOMA PRINCIPAL Y EN 2" POR UN  COSTADO.</t>
  </si>
  <si>
    <t>TERRAPLEN O PLANTILLA PARA ESTANQUE, ELABORADO CON CONCRETO CON UN ESPESOR DE 15 CM X UN DIAMETRO DE 11.5 MT, NIVELADO PARA UNA CORRECTA INSTALACION DEL ESTANQUE.</t>
  </si>
  <si>
    <t>EL TERRAPLEN PUEDE FABRICARLO USTEDES EN CASO DE QUE LO CONSIDEREN</t>
  </si>
  <si>
    <t>SE MANDARAN LOS ARCHIVOS EN AUTOCAD PARA SU REVISION.</t>
  </si>
  <si>
    <t>DOSCIENTOS CINCUENTA Y SEIS MIL CIENTO VEINTE Y OCHO PESOS 00/100 M.N.</t>
  </si>
  <si>
    <t>AFORO A POZO PROFUNDO, CON TUBERIA DE 3" HASTA 150 MT. INCLUYE: TUBERIA, CABLEADO, VARIADOR DE FRECUENCIA, MEDIDORES, INSTALACION, FLETES, AFORO POR 24 HORAS, DESINSTALACION, INCLUYE, RECOPILACION DE DATOS, REPORTE Y CURVA CARACTERISTICA DEL ACUIFERO.</t>
  </si>
  <si>
    <t>DOCE MIL CIENTO NOVENTA Y SEIS PESOS 24/100 M.N.</t>
  </si>
  <si>
    <t>CIENTO CUATRO MIL CIENTO VEINTE Y DOS PESOS 76/100 M.N.</t>
  </si>
  <si>
    <t>Empresa: LOS MANGOS</t>
  </si>
  <si>
    <t>Atención a: JOSE ALVAREZ</t>
  </si>
  <si>
    <t>03 DE NOVIEMBRE DEL 2025</t>
  </si>
  <si>
    <r>
      <rPr>
        <b/>
        <sz val="11"/>
        <rFont val="Arial"/>
        <family val="2"/>
      </rPr>
      <t>Tiempo de entrega del sistema:</t>
    </r>
    <r>
      <rPr>
        <sz val="11"/>
        <rFont val="Arial"/>
        <family val="2"/>
      </rPr>
      <t xml:space="preserve"> De 3 - 4 DIAS hábil de la instalacion salvo previa venta, una vez dado el pago.</t>
    </r>
  </si>
  <si>
    <t>TRESCIENTOS NOVENTA Y UN MIL NOVECIENTOS OCHENTA Y SIETE PESOS 20/100 M.N.</t>
  </si>
  <si>
    <t>MT. DE CABLE PLANO SUMERGIBLE CAL. 3 X 3/0 A 1 000 VOLTS</t>
  </si>
  <si>
    <t>TRESCIENTOS TRECE MIL QUINIENTOS OCHENTA Y NUEVE PESOS 76/100 M.N.</t>
  </si>
  <si>
    <t>DESCUENTO.-</t>
  </si>
  <si>
    <r>
      <rPr>
        <b/>
        <sz val="11"/>
        <rFont val="Arial"/>
        <family val="2"/>
      </rPr>
      <t>Tiempo de entrega del sistema:</t>
    </r>
    <r>
      <rPr>
        <sz val="11"/>
        <rFont val="Arial"/>
        <family val="2"/>
      </rPr>
      <t xml:space="preserve"> De 9 DIAS HABILES HABILES salvo previa venta, una vez dado el pago.</t>
    </r>
  </si>
  <si>
    <t>DOSCIENTOS NOVENTA Y NUEVE MIL NOVECIENTOS SETENTA PESOS 86/100 M.N.</t>
  </si>
  <si>
    <t>CUATROCIENTOS SESENTA Y UN MIL DOSCIENTOS CUARENTA Y SEIS PESOS 84/100 M.N.</t>
  </si>
  <si>
    <r>
      <t>Forma de Pago:</t>
    </r>
    <r>
      <rPr>
        <b/>
        <sz val="11"/>
        <color theme="6" tint="0.59999389629810485"/>
        <rFont val="Arial"/>
        <family val="2"/>
      </rPr>
      <t xml:space="preserve"> LO QUE LLEVA IVA ES PAGO COMPLETO, LO DEMAS PUEDE SER UNA VEZ QUE LLEGUEN LOS EQUIPOS PARA INSTALAR.</t>
    </r>
  </si>
  <si>
    <t xml:space="preserve">Empresa: CONOCIDA   </t>
  </si>
  <si>
    <t>Atención a: ALEJANDRO DOROTEO</t>
  </si>
  <si>
    <t>Domicilio: SAN ANDRES IXTLAN JALISCO</t>
  </si>
  <si>
    <t xml:space="preserve">Nombre Del Predio: CUESTA DE SAN ANDRES </t>
  </si>
  <si>
    <t>30 DE OCTUBRE DEL 2025</t>
  </si>
  <si>
    <t xml:space="preserve">MANTENIMIENTO DE MOTOR ALTAMIRA 25 HP 460 INCLUYE: PRUEBAS ELECTRICAS, LIMPIEZA </t>
  </si>
  <si>
    <t>FLETE DE TRASLADO IDA Y VUELTA</t>
  </si>
  <si>
    <t>…..............</t>
  </si>
  <si>
    <t>Precios sujetos a cambio sin previo aviso. T.C. 19.00</t>
  </si>
  <si>
    <t xml:space="preserve">POR SER EL MISMO EQUIPO NO SE PUEDE OFRECER GARANTIA DE LOS EQUIPOS </t>
  </si>
  <si>
    <r>
      <rPr>
        <b/>
        <sz val="11"/>
        <rFont val="Arial"/>
        <family val="2"/>
      </rPr>
      <t>Tiempo de entrega del sistema:</t>
    </r>
    <r>
      <rPr>
        <sz val="11"/>
        <rFont val="Arial"/>
        <family val="2"/>
      </rPr>
      <t xml:space="preserve"> De 1 semanas hábil, salvo previa venta, una vez dado el pago.</t>
    </r>
  </si>
  <si>
    <t>Forma de Pago: 90% anticipo, 10% al entregar</t>
  </si>
  <si>
    <t>INSTALACION DE EQUIPO DE BOMBEO POZO LA CUESTA SAYULA</t>
  </si>
  <si>
    <t>MT DE POLIDUCOT DE ALTA DENSIDAD PARA MEDIR NIVELES DE POZO</t>
  </si>
  <si>
    <t>MATERIALES PARA EMPATE DE MOTOR SUMERGIBLE</t>
  </si>
  <si>
    <t>TREINTA Y UN MIL QUINIENTOS CINCUENTA Y SEIS PESOS 64/100 M.N.</t>
  </si>
  <si>
    <r>
      <rPr>
        <b/>
        <i/>
        <sz val="12"/>
        <color rgb="FFFF0000"/>
        <rFont val="Arial"/>
        <family val="2"/>
      </rPr>
      <t>OPCION 1</t>
    </r>
    <r>
      <rPr>
        <b/>
        <i/>
        <sz val="12"/>
        <rFont val="Arial"/>
        <family val="2"/>
      </rPr>
      <t xml:space="preserve"> MANTENIMIENTO BOMBA SUMERGIBLE ALTAMIRA KOR10 INCLUYE: DESARMADO Y ARMADO, LIMPIEZA DE COMPONENTES (TAZONES, IMPULSORES, BUJES, FLECHA), LUBRICACION. </t>
    </r>
    <r>
      <rPr>
        <b/>
        <i/>
        <sz val="12"/>
        <color rgb="FFFF0000"/>
        <rFont val="Arial"/>
        <family val="2"/>
      </rPr>
      <t xml:space="preserve">NOTA : MISMOS COMPONENTES </t>
    </r>
  </si>
  <si>
    <t>Atención a:LIC. FRANCISCO MAGAÑA</t>
  </si>
  <si>
    <t>Empresa: AGRICOLA VILLANUEVA</t>
  </si>
  <si>
    <t>Domicilio: ZAPOTLAN EL GRANDE, JALISCO.</t>
  </si>
  <si>
    <t>Nombre del predio: PILITAS 2</t>
  </si>
  <si>
    <t>07 DE NOVIEMBRE DEL 2025</t>
  </si>
  <si>
    <t>AFORO MEDIANTE EQUIPO DE BOMBEO INSTALADOS, INCLUYE:    VARIADOR DE FRECUENCIA, MEDICOR DE FLUJO ELECTRO, PRUEBA POR 24 HORAS, RECOPILACION DE DATOS, ANALISIS Y REPORTE POR ESCRITO.</t>
  </si>
  <si>
    <t xml:space="preserve">                                                              TREINTA Y SIETE MIL CIENTO VEINTE PESOS 00/100 M.N.</t>
  </si>
  <si>
    <t>MOTOR SUMERGIBLE MCA.- SME-USA 200 HP. 460 VOLTS 60 HZ. ALTO EMPUJE AXIAL ALTA TEMPERATURA (T.E.- 3-4 DIAS)</t>
  </si>
  <si>
    <r>
      <t>BOMBA SUM. MCA.- GOULDS EN FUND. DE HIERRO.</t>
    </r>
    <r>
      <rPr>
        <b/>
        <sz val="12"/>
        <rFont val="Arial"/>
        <family val="2"/>
      </rPr>
      <t xml:space="preserve"> (T.E.- 5 - 6 DIAS HABIL) </t>
    </r>
  </si>
  <si>
    <t>DES-INSTALACIÓN DE EQUIPO MOTOBOMBA DE 6" ALCANCE 200 MTS,  INCLUYE: MANIOBRAS DE IZAJE, DESINSTALACION DE TREN DE DESCARGA, EPP PERSONAL, MANIOBRAS. NO INCUYE EQUIPO DE CORTE O SOLDADURA EN CASO DE REQUERIRLO.</t>
  </si>
  <si>
    <t>Forma de Pago: 50% AL CONTRATAR, 50% 1 MES CREDITO</t>
  </si>
  <si>
    <t>LA GARANTIA PUEDE EXTENDERSE A 1.5 AÑOS POR LA GARANTIA NUCLEO</t>
  </si>
  <si>
    <t>Empresa: BERRIMEX</t>
  </si>
  <si>
    <t>Nombre del predio: LOS MENDOZA</t>
  </si>
  <si>
    <t>10 DE NOVIEMBRE DEL 2025</t>
  </si>
  <si>
    <t>QUINIENTOS OCHENTA Y CUATRO MIL CIENTO VEINTE Y NUEVE PESOS 74/100 M.N.</t>
  </si>
  <si>
    <t>TUBERIA DE 3" CEDULA 40 CON COPLE</t>
  </si>
  <si>
    <t>Empresa: AGROVALENCIA</t>
  </si>
  <si>
    <t>Atención a: SR. HECTOR VALENCIA</t>
  </si>
  <si>
    <t>Domicilio: APANGO JALISCO.</t>
  </si>
  <si>
    <t>Nombre del predio: APANGO</t>
  </si>
  <si>
    <t>MOTOR SUMERGIBLE TRIFASICO 50 HP. 460 VOLTS 60 HZ. 3450 RPM.  EMPUJE AXIAL</t>
  </si>
  <si>
    <t>REBOBINABLE, MCA SME 6" DE DIAMETRO.</t>
  </si>
  <si>
    <r>
      <t xml:space="preserve">BOMBA SUMERGIBLE 40 HP ACERO INOXIDABLE. </t>
    </r>
    <r>
      <rPr>
        <b/>
        <sz val="10"/>
        <rFont val="Arial"/>
        <family val="2"/>
      </rPr>
      <t xml:space="preserve"> 7 LT/SEG  (T.E.- 1 SEMANA HABIL) </t>
    </r>
  </si>
  <si>
    <r>
      <t xml:space="preserve">VALVULA CHECK VERTICAL DE HIERRO DUCTIL 3" MCA. </t>
    </r>
    <r>
      <rPr>
        <b/>
        <sz val="10"/>
        <color theme="6"/>
        <rFont val="Arial"/>
        <family val="2"/>
      </rPr>
      <t>GOULDS</t>
    </r>
    <r>
      <rPr>
        <sz val="10"/>
        <rFont val="Arial"/>
        <family val="2"/>
      </rPr>
      <t xml:space="preserve"> @ 600 PSI</t>
    </r>
  </si>
  <si>
    <r>
      <t xml:space="preserve">VALVULA CHECK VERTICAL DE HIERRO DUCTIL 3" MCA. </t>
    </r>
    <r>
      <rPr>
        <b/>
        <sz val="10"/>
        <color theme="4" tint="0.39997558519241921"/>
        <rFont val="Arial"/>
        <family val="2"/>
      </rPr>
      <t>NUCLEO DE INGENIERIA</t>
    </r>
    <r>
      <rPr>
        <sz val="10"/>
        <rFont val="Arial"/>
        <family val="2"/>
      </rPr>
      <t xml:space="preserve"> @ 400 PSI</t>
    </r>
  </si>
  <si>
    <t>TUBO CED. 40 CON COPLE CONICO DE 3" Y 6.4 MT DE LONG. MCA.- NUCLEO DE INGENIERIA.</t>
  </si>
  <si>
    <t>CABLE PLANO SUMERGIBLE CAL. 3 X1/0 @ 1000 VOLTS MCA. PUEDE VARIAR</t>
  </si>
  <si>
    <t>INSTALACION DE EQUIPO DE BOMBEO CON AYUDA DE GRUA TIPO TRIPIE DE 40 TONELADAS INCLUYE:</t>
  </si>
  <si>
    <t>EMPATE DE CABLE PLANO SUMERGIBLE EN CALIBRE 1/0  INCLUYE:</t>
  </si>
  <si>
    <t>CONECTOR CORTO A TOPE, CINTA 130-C, CINTA MASILLA, CINTA SUPER 33, MANGA TERMOCON. CAL. 1/0, RESINA EPOXICA</t>
  </si>
  <si>
    <t>ARRANCADOR A TENSION REDUCIDA PARA MOTOR DE 50 HP. MCA.- ENERWELL CON PROTECCION DE ALTO Y BAJO VOLTAJE, CAIDA FASES O VOLTAJE, BAJO Y ALTO AMPERAJE</t>
  </si>
  <si>
    <t>CANALIZACION DE CABLES SUMERGIBLES DE POZO, INCLUYE:  TUBO LICUATITE, CONECTOR DE OJO, CONECTOR RECTO LICUATITE, TUBO PVC PESADO, CODO DE PVC, CONECTOR PVC PESADO, COPLES, VARILLA ROSCADA, ABRAZADERAS, CABLE THW ATERRIZADA, REGISTROS PRECOLADOS, CINTAS, MANGAS TERMOCONTRACTIL, HERRAMIENTAS, MANO DE OBRA.</t>
  </si>
  <si>
    <t>TEE DE DESFOGUE DE 3" A 2"</t>
  </si>
  <si>
    <t>Forma de Pago: 70% ANTICIPO, 30% AL AVISO DE ENTREGA</t>
  </si>
  <si>
    <t>OCHOCIENTOS CINCUENTA Y SEIS MIL CUATROCIENTOS TREINTA PESOS 00/100 M.N.</t>
  </si>
  <si>
    <t>POLIDUCTO DE ALTA DENSIDAD PARA MEDICION DE NIVELES</t>
  </si>
  <si>
    <t xml:space="preserve">                                      DIEZ Y OCHO MIL TRECE PESOS 35/100 M.N.</t>
  </si>
  <si>
    <t>MANIOBRA DE INSTALACION DE EQUIPO DE BOMBEO DE 2" 110 MT. CON AYUDA DE GRUA TIPO TRIPIE, INCLUYE EPP, IZAJE, MANIOBRAS, INSTALAR TREN DE DESCARGA, CONEXIONES Y PRUEBAS.</t>
  </si>
  <si>
    <t>MANIOBRA DE INSTALACION DE EQUIPO DE BOMBEO DE 3" 170 MT. CON AYUDA DE GRUA TIPO TRIPIE, INCLUYE EPP, IZAJE, MANIOBRAS, INSTALAR TREN DE DESCARGA, CONEXIONES Y PRUEBAS.</t>
  </si>
  <si>
    <t xml:space="preserve">                                 VEINTE Y SIETE MIL CIENTO OCHENTA Y UN PESOS 70/100 M.N.</t>
  </si>
  <si>
    <r>
      <rPr>
        <b/>
        <sz val="11"/>
        <rFont val="Arial"/>
        <family val="2"/>
      </rPr>
      <t>T.E.:</t>
    </r>
    <r>
      <rPr>
        <sz val="11"/>
        <rFont val="Arial"/>
        <family val="2"/>
      </rPr>
      <t xml:space="preserve"> De 1 semana hábil de la inst salvo previa venta, una vez dado el pago.</t>
    </r>
  </si>
  <si>
    <t xml:space="preserve">MANTENIMIENTO DE MOTOR ALTAMIRA 125 HP 460 INCLUYE: </t>
  </si>
  <si>
    <t xml:space="preserve">MANTENIMIENTO BOMBA SUMERGIBLE </t>
  </si>
  <si>
    <t>MATTO A ARRANCADOR, PROGRAMACION Y PRUEBAS. INCLUYE: CAMBIO DE CONTACTOR, RECABLEADO SUB MONITOR, CONEXIONES, MAT MENORES.</t>
  </si>
  <si>
    <t>DES-INSTALACION DE EQUIPO DE BOMBEO POZO FROSTLAND P/MT HASTA 150 MT.</t>
  </si>
  <si>
    <t>INSTALACION DE EQUIPO DE BOMBEO POZO FROSTLAND P/MT HASTA 150 MT.</t>
  </si>
  <si>
    <t>MATERIAL PARA EMPATES, INCLUYE: CINTAS, 130-C, CINTAS SUPER 33, CINTAS MASILLAS, MANGAS TERMOCONTRACTILES 3/0 Y 400 MCM.</t>
  </si>
  <si>
    <t>Forma de Pago: 70% anticipo, 30% al entregar</t>
  </si>
  <si>
    <t>EN CASO DE URGIR, SE PUEDE RENTAR UN EQUIPO DE BOMBEO, TENEMOS DE ESAS CAPACIDADES EN STOCK</t>
  </si>
  <si>
    <r>
      <rPr>
        <b/>
        <sz val="11"/>
        <rFont val="Arial"/>
        <family val="2"/>
      </rPr>
      <t>Tiempo de entrega del sistema:</t>
    </r>
    <r>
      <rPr>
        <sz val="11"/>
        <rFont val="Arial"/>
        <family val="2"/>
      </rPr>
      <t xml:space="preserve"> De 3 semanas hábil, salvo previa venta, una vez dado el pago.</t>
    </r>
  </si>
  <si>
    <t>SESENTA Y OCHO MIL SETECIENTOS NOVENTA Y SEIS PESOS 12/100 M.N.</t>
  </si>
  <si>
    <t xml:space="preserve">Empresa: AGRICOLA VIEZCA   </t>
  </si>
  <si>
    <t>Atención a: LIC. MARIANA BRACAMONTES   ING. CARLOS CAMBEROS</t>
  </si>
  <si>
    <t>Domicilio: EL FRESNITO JALISCO</t>
  </si>
  <si>
    <t>Nombre Del Predio: FRIGORIFICO FROSTLAND</t>
  </si>
  <si>
    <t>14 DE NOVIEMBRE DEL 2025</t>
  </si>
  <si>
    <t>18 DE NOVIEMBRE DEL 2025</t>
  </si>
  <si>
    <r>
      <t>REBOBINABLE, MCA.-</t>
    </r>
    <r>
      <rPr>
        <b/>
        <sz val="10"/>
        <color theme="4" tint="0.39997558519241921"/>
        <rFont val="Arial"/>
        <family val="2"/>
      </rPr>
      <t xml:space="preserve"> COVERCO 8"</t>
    </r>
    <r>
      <rPr>
        <sz val="10"/>
        <rFont val="Arial"/>
        <family val="2"/>
      </rPr>
      <t xml:space="preserve"> DE DIAMETRO.  </t>
    </r>
    <r>
      <rPr>
        <b/>
        <sz val="10"/>
        <rFont val="Arial"/>
        <family val="2"/>
      </rPr>
      <t xml:space="preserve">(T.E.- INMEDIATO) </t>
    </r>
  </si>
  <si>
    <r>
      <t>REBOBINABLE, MCA.-</t>
    </r>
    <r>
      <rPr>
        <b/>
        <sz val="10"/>
        <color theme="4" tint="0.39997558519241921"/>
        <rFont val="Arial"/>
        <family val="2"/>
      </rPr>
      <t xml:space="preserve"> SME-USA 8" </t>
    </r>
    <r>
      <rPr>
        <sz val="10"/>
        <rFont val="Arial"/>
        <family val="2"/>
      </rPr>
      <t xml:space="preserve">DE DIAMETRO.  </t>
    </r>
    <r>
      <rPr>
        <b/>
        <sz val="10"/>
        <rFont val="Arial"/>
        <family val="2"/>
      </rPr>
      <t xml:space="preserve">(T.E.- INMEDIATO) </t>
    </r>
  </si>
  <si>
    <r>
      <t xml:space="preserve">REBOBINABLE, MCA.- </t>
    </r>
    <r>
      <rPr>
        <b/>
        <sz val="10"/>
        <color theme="4" tint="0.39997558519241921"/>
        <rFont val="Arial"/>
        <family val="2"/>
      </rPr>
      <t>EVANS 8"</t>
    </r>
    <r>
      <rPr>
        <sz val="10"/>
        <rFont val="Arial"/>
        <family val="2"/>
      </rPr>
      <t xml:space="preserve"> DE DIAM.  </t>
    </r>
    <r>
      <rPr>
        <b/>
        <sz val="10"/>
        <rFont val="Arial"/>
        <family val="2"/>
      </rPr>
      <t xml:space="preserve">(T.E.- INMEDIATO) </t>
    </r>
  </si>
  <si>
    <t>MOTOR SUM TRIFASICO de 125 Hp. 460 VOLTS 60 HZ. 3510 RPM.  EMPUJE AXIAL.- 45 KN</t>
  </si>
  <si>
    <r>
      <t xml:space="preserve">REBOBINABLE, MCA.- </t>
    </r>
    <r>
      <rPr>
        <b/>
        <sz val="10"/>
        <color theme="4" tint="0.39997558519241921"/>
        <rFont val="Arial"/>
        <family val="2"/>
      </rPr>
      <t>ALTAMIRA SERIE "RT" DE 8"</t>
    </r>
    <r>
      <rPr>
        <sz val="10"/>
        <rFont val="Arial"/>
        <family val="2"/>
      </rPr>
      <t xml:space="preserve"> DE DIAMETRO.</t>
    </r>
    <r>
      <rPr>
        <b/>
        <sz val="10"/>
        <rFont val="Arial"/>
        <family val="2"/>
      </rPr>
      <t xml:space="preserve"> (T.E.- 1 SEMANA) </t>
    </r>
  </si>
  <si>
    <t>MOTOR SUMERGIBLE TRIFASICO de 125 Hp. 460 VOLTS 60 HZ. 3510 RPM. EMPUJE AXIAL.- 40 KN</t>
  </si>
  <si>
    <t>MOTOR SUM TRIFASICO de 125 Hp. 460 VOLTS 60 HZ. 3510 RPM.  EMPUJE AXIAL.- 40 KN  Y ALTA TEMP</t>
  </si>
  <si>
    <t>MOTOR SUMERGIBLE TRIFASICO de 125 Hp. 460 VOLTS 60 HZ. 3510 RPM. EMPUJE AXIAL.- 40 KN ALT. TEMP.</t>
  </si>
  <si>
    <r>
      <t xml:space="preserve">REBOBINABLE, MCA.- </t>
    </r>
    <r>
      <rPr>
        <b/>
        <sz val="10"/>
        <color theme="4" tint="0.39997558519241921"/>
        <rFont val="Arial"/>
        <family val="2"/>
      </rPr>
      <t>FRANKLIN ENCAPSULADO SAND FIGTHER 8"</t>
    </r>
    <r>
      <rPr>
        <sz val="10"/>
        <rFont val="Arial"/>
        <family val="2"/>
      </rPr>
      <t xml:space="preserve"> DE DIAMETRO.</t>
    </r>
    <r>
      <rPr>
        <b/>
        <sz val="10"/>
        <rFont val="Arial"/>
        <family val="2"/>
      </rPr>
      <t xml:space="preserve"> (T.E.- 3 SEMANAS) </t>
    </r>
  </si>
  <si>
    <r>
      <t xml:space="preserve">REBOBINABLE, MCA.- </t>
    </r>
    <r>
      <rPr>
        <b/>
        <sz val="10"/>
        <color theme="4" tint="0.39997558519241921"/>
        <rFont val="Arial"/>
        <family val="2"/>
      </rPr>
      <t>FRANKLIN REBOBINABLE 8"</t>
    </r>
    <r>
      <rPr>
        <sz val="10"/>
        <rFont val="Arial"/>
        <family val="2"/>
      </rPr>
      <t xml:space="preserve"> DE DIAMETRO.</t>
    </r>
    <r>
      <rPr>
        <b/>
        <sz val="10"/>
        <rFont val="Arial"/>
        <family val="2"/>
      </rPr>
      <t xml:space="preserve"> (T.E.- 3 SEMANAS) </t>
    </r>
  </si>
  <si>
    <r>
      <t xml:space="preserve">REBOBINABLE, MCA.- </t>
    </r>
    <r>
      <rPr>
        <b/>
        <sz val="10"/>
        <color theme="4" tint="0.39997558519241921"/>
        <rFont val="Arial"/>
        <family val="2"/>
      </rPr>
      <t>ALTAMIRA SERIE "X" 8"</t>
    </r>
    <r>
      <rPr>
        <sz val="10"/>
        <rFont val="Arial"/>
        <family val="2"/>
      </rPr>
      <t xml:space="preserve"> DE DIAMETRO.  </t>
    </r>
    <r>
      <rPr>
        <b/>
        <sz val="10"/>
        <rFont val="Arial"/>
        <family val="2"/>
      </rPr>
      <t xml:space="preserve">(T.E.- 2 SEMANAS) </t>
    </r>
  </si>
  <si>
    <t>VALVULA CHECK VERTICAL DE CEDULA 40 DE 6" MCA. NUCLEO ING @ 600 PSI</t>
  </si>
  <si>
    <t xml:space="preserve">Empresa: AGUA ESCONDIDA  </t>
  </si>
  <si>
    <t xml:space="preserve">Atención a: SR. ARMANDO </t>
  </si>
  <si>
    <t>Nombre Del Predio: AGUA ESCONDIDA</t>
  </si>
  <si>
    <r>
      <t>MEDIDOR DE FLUJO ANALOGO DE</t>
    </r>
    <r>
      <rPr>
        <b/>
        <sz val="10"/>
        <color theme="4" tint="0.39997558519241921"/>
        <rFont val="Arial"/>
        <family val="2"/>
      </rPr>
      <t xml:space="preserve"> 8" MCA.- AMEXSA PALETA</t>
    </r>
    <r>
      <rPr>
        <sz val="10"/>
        <rFont val="Arial"/>
        <family val="2"/>
      </rPr>
      <t xml:space="preserve"> MEDICION ANALOGICA</t>
    </r>
  </si>
  <si>
    <r>
      <t xml:space="preserve">MEDIDOR DE FLUJO ANALOGO DE  </t>
    </r>
    <r>
      <rPr>
        <b/>
        <sz val="10"/>
        <color theme="4" tint="0.39997558519241921"/>
        <rFont val="Arial"/>
        <family val="2"/>
      </rPr>
      <t>8" MCA.- AMEXSA PROPELA</t>
    </r>
    <r>
      <rPr>
        <sz val="10"/>
        <rFont val="Arial"/>
        <family val="2"/>
      </rPr>
      <t xml:space="preserve"> MEDICION ANALOGICA</t>
    </r>
  </si>
  <si>
    <r>
      <t xml:space="preserve">MEDIDOR DE FLUJO </t>
    </r>
    <r>
      <rPr>
        <b/>
        <sz val="10"/>
        <color theme="4" tint="0.39997558519241921"/>
        <rFont val="Arial"/>
        <family val="2"/>
      </rPr>
      <t>MCA. GEYSER DE 8"</t>
    </r>
    <r>
      <rPr>
        <sz val="10"/>
        <rFont val="Arial"/>
        <family val="2"/>
      </rPr>
      <t xml:space="preserve"> CON MEDICION DE GASTO INSTANTANEO</t>
    </r>
  </si>
  <si>
    <r>
      <t xml:space="preserve">MEDIDOR DE </t>
    </r>
    <r>
      <rPr>
        <b/>
        <sz val="10"/>
        <color theme="4" tint="0.39997558519241921"/>
        <rFont val="Arial"/>
        <family val="2"/>
      </rPr>
      <t>FLUJO ELECTROMAGNETICO DE 8" CON MEDICION DE GASTO INSTANTANEO</t>
    </r>
    <r>
      <rPr>
        <sz val="10"/>
        <rFont val="Arial"/>
        <family val="2"/>
      </rPr>
      <t xml:space="preserve"> (NO INCLUYE ALIMENTACION A 110 VOLTS)</t>
    </r>
  </si>
  <si>
    <t>NO INCLUYE EQUIPOS DE CORTE Y SOLDADURA. EN CASO DEL ELECTROMAGNETICO AUMENTARA DEBIDO A LA ALIMENTACION A 110 VOLTS.</t>
  </si>
  <si>
    <t>TOTAL 2.-</t>
  </si>
  <si>
    <t>FLECHA DE SS416 NVA. DE 1 3/16" X71" MAQUINADA Y RECTIFICADA</t>
  </si>
  <si>
    <t>RECTIFICAR IMPULSORES Y BALANCEAR</t>
  </si>
  <si>
    <t>ANILLAR ADAPTADOR Y 8 TAZONES INTERMEDIOS</t>
  </si>
  <si>
    <t>BUJE DE BCE PARA TAZONES INTERMEDIOS Y ADAPTADOR</t>
  </si>
  <si>
    <t>BUJE SELLADOR DE BRONCE DE 1 3/16"</t>
  </si>
  <si>
    <t>JGO. DE BIRLOS Y TUERCAS DE INOX. PARA ACOPLAR CON MOTOR SUM.</t>
  </si>
  <si>
    <t>DESARMADO,LIMPIEZA, REARMADO Y PINTURA (M.O.)</t>
  </si>
  <si>
    <t>EMBALAJE DE BOMBA</t>
  </si>
  <si>
    <t>REP. BOMBA</t>
  </si>
  <si>
    <t>COMO REFERENCIA EL PRECIO DE ESTE EQUIPO NUEVO ESTA EN.- $ 189 562.1</t>
  </si>
  <si>
    <t>LA REPARACION SALE TOTAL EN.- 51 264.2 PESOS MAS IVA</t>
  </si>
  <si>
    <t>TRASLADOS DE EQUIPOS FRESNITO-GUZMAN-CELAYA</t>
  </si>
  <si>
    <t>CIENTO OCHENTA Y SEIS MIL CIENTO MOVENTA Y NUEVE PESOS 79/100 M.N.</t>
  </si>
  <si>
    <r>
      <rPr>
        <b/>
        <sz val="11"/>
        <rFont val="Arial"/>
        <family val="2"/>
      </rPr>
      <t>Tiempo de entrega del sistema:</t>
    </r>
    <r>
      <rPr>
        <sz val="11"/>
        <rFont val="Arial"/>
        <family val="2"/>
      </rPr>
      <t xml:space="preserve"> De 3 DIAS hábil, salvo previa venta, una vez dado el pago.</t>
    </r>
  </si>
  <si>
    <t>24 DE NOVIEMBRE DEL 2025</t>
  </si>
  <si>
    <t>VALVULA CHECK VERTICAL DE CEDULA 40 DE 3" MCA. NUCLEO ING @ 600 PSI</t>
  </si>
  <si>
    <t xml:space="preserve">                                 DIEZ Y SIETE MIL DOSCIENTOS OCHENTA Y CINCO PESOS 86/100 M.N.</t>
  </si>
  <si>
    <t xml:space="preserve">Empresa: SR. ALFONSO ALVAREZ   </t>
  </si>
  <si>
    <t xml:space="preserve">Atención a: SR. ALFONSO ALVAREZ </t>
  </si>
  <si>
    <t>Nombre Del Predio: EL MIRADOR, ZAPOTILTIC.</t>
  </si>
  <si>
    <t>DES-INSTALACION DE EQUIPO DE BOMBEO HASTA 150 MT. CON AGUA, INCLUYE EQUIPO DE CORTE, DISCOS DE CORTE, TRABAJOS EXTRA.</t>
  </si>
  <si>
    <t>ROSCADO DE TUBERIA DE 6" CED. 40 EN TORNO</t>
  </si>
  <si>
    <t>FLETE DE TUBERIA DE 6", INCLUYE: CARGADA EN CAMPO, TRASLADO A TALLER Y REGRESO A CAMPO PARA SU INSTALACION.</t>
  </si>
  <si>
    <t>INSTALACION DE EQUIPO DE BOMBEO POZO ZAPOTILTIC HASTA 150 MT.</t>
  </si>
  <si>
    <t>LA GARANTIA SOLO APLICA DE BAJAR EL EQUIPO, NO SE VENDIO EQUIPO POR LO QUE NO SE PUEDE OFRECER GARANTIAS.</t>
  </si>
  <si>
    <t>26 DE NOVIEMBRE DEL 2025</t>
  </si>
  <si>
    <t>NO INCLUYE ARRANQUE NI REVISION DE PARAMETROS, YA QUE EL EQUIPO NO FUE ADQUIRIDO.</t>
  </si>
  <si>
    <t>CINCUENTA MIL SEISCIENTOS PESOS 00/100 M.N.</t>
  </si>
  <si>
    <t>LA PRESENTE ES REFERENTE A LOS TRABAJOS YA REALIZADOS</t>
  </si>
  <si>
    <r>
      <rPr>
        <b/>
        <sz val="11"/>
        <rFont val="Arial"/>
        <family val="2"/>
      </rPr>
      <t>Tiempo de entrega del sistema:</t>
    </r>
    <r>
      <rPr>
        <sz val="11"/>
        <rFont val="Arial"/>
        <family val="2"/>
      </rPr>
      <t xml:space="preserve"> ENTREGADO</t>
    </r>
  </si>
  <si>
    <t>28 DE NOVIEMBRE DEL 2025</t>
  </si>
  <si>
    <t>NIPLE CON COPLE</t>
  </si>
  <si>
    <t>ANTICIPO.-</t>
  </si>
  <si>
    <t>CUARENTA Y SIETE MIL SEISCIENTOS NOVENTA Y SEIS PESOS 00/100 M.N.</t>
  </si>
  <si>
    <t>02 DE DICIEMBRE DEL 2025</t>
  </si>
  <si>
    <t>TUBO CED. 40 CON COPLE CONICO DE 6" DE DIAMETRO Y 6.1 MT DE LONG.</t>
  </si>
  <si>
    <t>MT DE CABLE PLANO SUMERGIBLE CAL. 3 X 3/0</t>
  </si>
  <si>
    <t>MANIOBRA DE INSTALACION DE TUBERIA CED. 40 DE 6" DE DIAMETRO</t>
  </si>
  <si>
    <t>04 DE DICIEMBRE DEL 2025</t>
  </si>
  <si>
    <t>APARTARRAYOS POLIMERICOS DE 21 KV CON PROTOCOLO</t>
  </si>
  <si>
    <t xml:space="preserve">                                         CIENTO SESENTA Y NUEVE MIL TREINTA Y CINCO PESOS 78/100 M.N.</t>
  </si>
  <si>
    <r>
      <t>REBOBINABLE, MCA.-</t>
    </r>
    <r>
      <rPr>
        <b/>
        <sz val="12"/>
        <color theme="4" tint="0.39997558519241921"/>
        <rFont val="Arial"/>
        <family val="2"/>
      </rPr>
      <t xml:space="preserve"> SME-USA 8" </t>
    </r>
    <r>
      <rPr>
        <sz val="12"/>
        <rFont val="Arial"/>
        <family val="2"/>
      </rPr>
      <t xml:space="preserve">DE DIAMETRO.  </t>
    </r>
    <r>
      <rPr>
        <b/>
        <sz val="12"/>
        <rFont val="Arial"/>
        <family val="2"/>
      </rPr>
      <t xml:space="preserve">(T.E.- INMEDIATO) </t>
    </r>
  </si>
  <si>
    <t>MOTOR SUM TRIFASICO de 125 Hp. 460 VOLT 60 HZ. 3510 RPM.  EMPUJE.- 50 KN Y ALTA TEMP</t>
  </si>
  <si>
    <t>LIMPIEZA DE POZO CON ADEME 12" INCLUYE: APLICACIÓN DE LIQUIDOS LIMPIADORES DISPERSANTES/DESINCRUSTANTES Y DESINFECTANTES, TRABAJO MECANICO CON CEPILLO DE ALAMBRE, DESAZOLVE, PISTONEADO DE POZO Y SANITIZACION FINAL DEL POZO.</t>
  </si>
  <si>
    <t xml:space="preserve">LIQUID DESCALER MCA COTEY CHEMICAL GARRAFA 19 LTS </t>
  </si>
  <si>
    <t>LIQUIDO DESINFECTANTE MCA ALCO GARRAFA 19 LTS</t>
  </si>
  <si>
    <t>HTH SANITIZANTE GRANULAR AL 97% CONFORM A LA NORMA 2018</t>
  </si>
  <si>
    <t>ANTICIPO 1.-</t>
  </si>
  <si>
    <t>ANTICIPO 2.-</t>
  </si>
  <si>
    <t>TOT ANTICIP</t>
  </si>
  <si>
    <t>SALDO.-</t>
  </si>
  <si>
    <t>Forma de Pago: 100% TRABAJOS REALIZADOS</t>
  </si>
  <si>
    <r>
      <rPr>
        <b/>
        <sz val="11"/>
        <rFont val="Arial"/>
        <family val="2"/>
      </rPr>
      <t>Tiempo de entrega del sistema:</t>
    </r>
    <r>
      <rPr>
        <sz val="11"/>
        <rFont val="Arial"/>
        <family val="2"/>
      </rPr>
      <t xml:space="preserve"> De 1 DIAS hábil, salvo previa venta, una vez dado el pago.</t>
    </r>
  </si>
  <si>
    <t>DES-INSTALACION DE EQUIPO DE BOMBEO DE CARCAMO</t>
  </si>
  <si>
    <t>INSTALACION DE EQUIPO DE BOMBEO DE CARCAMO</t>
  </si>
  <si>
    <t>CANALIZACION Y REP CABLEADO DUCTO</t>
  </si>
  <si>
    <t>REP. CABEZAL PARA LINEAS DE ALIMENTACION.</t>
  </si>
  <si>
    <t>COMO REFERENCIA EL PRECIO DE ESTE EQUIPO NUEVO ESTA EN.- $ 151 541</t>
  </si>
  <si>
    <t>LA REPARACION SALE TOTAL EN.- 20 400 PESOS MAS IVA</t>
  </si>
  <si>
    <t>SETENTA Y DOS MIL TREINTA Y SEIS PESOS 00/100 M.N.</t>
  </si>
  <si>
    <t>05 DE DICIEMBRE DEL 2025</t>
  </si>
  <si>
    <t xml:space="preserve">Empresa: AGRICOLA NARANJITOS  </t>
  </si>
  <si>
    <t>Atención: SR. RUBEN ALCARAZ</t>
  </si>
  <si>
    <t>Domicilio: COLIMA NARANJITOS</t>
  </si>
  <si>
    <t>Nombre del predio: NARANJITOS</t>
  </si>
  <si>
    <t>COLIMA VILLA DE ALVAREZ.</t>
  </si>
  <si>
    <t>12 DE DICIEMBRE DEL 2025</t>
  </si>
  <si>
    <t>MATERIAL PARA EMPATE DE MOTOR INCLUYE: CINTAS AISLANTES SUPER 33 3M, CINTA MASILLA 3M, CONECTORES TOPE TIPO BURNDY, MANGAS TERMOCONTRACTILES</t>
  </si>
  <si>
    <t>ARRANQUE DE EQUIPO, BALANCEO DE LINEAS DE TENSION, PRUEBAS EN VACIO Y EN SISTEMA</t>
  </si>
  <si>
    <t>SOLDADA DE OREJAS PARA PLACA DE CABEZAL</t>
  </si>
  <si>
    <t>CIENTO DIECIOCHO MIL NOVECIENTOS NOVENTA Y OCHO PESOS 60/100 M.N.</t>
  </si>
  <si>
    <r>
      <rPr>
        <b/>
        <sz val="11"/>
        <rFont val="Arial"/>
        <family val="2"/>
      </rPr>
      <t>Tiempo de entrega del sistema:</t>
    </r>
    <r>
      <rPr>
        <sz val="11"/>
        <rFont val="Arial"/>
        <family val="2"/>
      </rPr>
      <t xml:space="preserve"> De 5 dias hábiles de la instalacion salvo previa venta.</t>
    </r>
  </si>
  <si>
    <r>
      <t xml:space="preserve">DES-INSTALACION DE EQUIPO DE BOMBEO 3" INCLUYE: MANIOBRA DE IZAJE, INSTALACION DE TREN DE DESCARGA, EPP ÉRSONAL. </t>
    </r>
    <r>
      <rPr>
        <sz val="12"/>
        <color rgb="FFFF0000"/>
        <rFont val="Arial"/>
        <family val="2"/>
      </rPr>
      <t>( NO INCLUYE EQUIPO DE CORTE Y SOLDADURA EN CASO DE REQUERIRLO)</t>
    </r>
  </si>
  <si>
    <r>
      <t xml:space="preserve">INSTALACION DE EQUIPO DE BOMBEO 3" INCLUYE: MANIOBRA DE IZAJE, INSTALACION DE TREN DE DESCARGA, EPP ÉRSONAL. </t>
    </r>
    <r>
      <rPr>
        <sz val="12"/>
        <color rgb="FFFF0000"/>
        <rFont val="Arial"/>
        <family val="2"/>
      </rPr>
      <t>( NO INCLUYE EQUIPO DE CORTE Y SOLDADURA EN CASO DE REQUERIRLO)</t>
    </r>
  </si>
  <si>
    <r>
      <rPr>
        <b/>
        <sz val="11"/>
        <rFont val="Arial"/>
        <family val="2"/>
      </rPr>
      <t>Forma de Pago: 80</t>
    </r>
    <r>
      <rPr>
        <sz val="11"/>
        <rFont val="Arial"/>
        <family val="2"/>
      </rPr>
      <t>% ANTICIPO 20% AL FINALIZAR OBRA.</t>
    </r>
  </si>
  <si>
    <t>CABEZAL DE 3" BRIDADO - ROSCADO, CON TAPA SANITARIO PARA CABLEADO</t>
  </si>
  <si>
    <t>SUBTOTAL.-</t>
  </si>
  <si>
    <t>CENTRADOR PARA TUBERIA DE NILLAMID PARA TUBERIA DE 3"</t>
  </si>
  <si>
    <t>13 DE DICIEMBRE DEL 2025</t>
  </si>
  <si>
    <t>EL CABLEADO TIENE 2 CALIBRES DE CABLE, VA A SER IMPORANTE EN UN FUTURO</t>
  </si>
  <si>
    <t>PARA CAMBIARLO A UN CALIBRE ADECUADO.</t>
  </si>
  <si>
    <t>MOTOR SUM TRIFASICO de 75 Hp. 460 VOLT 60 HZ. 3510 RPM.  EMPUJE.- 50 KN Y ALTA TEMP</t>
  </si>
  <si>
    <r>
      <t>REBOBINABLE, MCA.-</t>
    </r>
    <r>
      <rPr>
        <b/>
        <sz val="12"/>
        <color theme="4" tint="0.39997558519241921"/>
        <rFont val="Arial"/>
        <family val="2"/>
      </rPr>
      <t xml:space="preserve"> SME-USA 7 3/4" </t>
    </r>
    <r>
      <rPr>
        <sz val="12"/>
        <rFont val="Arial"/>
        <family val="2"/>
      </rPr>
      <t xml:space="preserve">DE DIAMETRO.  </t>
    </r>
    <r>
      <rPr>
        <b/>
        <sz val="12"/>
        <rFont val="Arial"/>
        <family val="2"/>
      </rPr>
      <t xml:space="preserve">(T.E.- INMEDIATO) </t>
    </r>
  </si>
  <si>
    <t>BOMBA SUMERGIBLE 30 LT/SEG MCA.- FRANKLIN EN FUNDICION DE HIERRO.</t>
  </si>
  <si>
    <t>INSTALACION DE EQUIPO DE BOMBEO POZO ATEMAJAC P/MT HASTA 120 MT.</t>
  </si>
  <si>
    <t>MT. CABLE PLANO SUMERGIBLE CAL. 3 X 1/0 A 1 000 VOLTS</t>
  </si>
  <si>
    <t>MT. COLUMNA FLEXIBLE PARA POZOS PROFUNDOS</t>
  </si>
  <si>
    <t>RACORES INOXIDABLE PARA COLUMNA FLEXIBLE</t>
  </si>
  <si>
    <t>CINTILLOS HELLERMAN PARA SUJECION DE CABLE SUMERGIBLE</t>
  </si>
  <si>
    <t>HEBILLAS DE ACERO PARA CINTILLOS DE CABLE</t>
  </si>
  <si>
    <r>
      <rPr>
        <b/>
        <sz val="11"/>
        <rFont val="Arial"/>
        <family val="2"/>
      </rPr>
      <t>Tiempo de entrega del sistema:</t>
    </r>
    <r>
      <rPr>
        <sz val="11"/>
        <rFont val="Arial"/>
        <family val="2"/>
      </rPr>
      <t xml:space="preserve"> De 5 DIAS hábil, salvo previa venta, una vez dado el pago.</t>
    </r>
  </si>
  <si>
    <t>Forma de Pago: 70 % AL CONTRATAR 30% AL AVISO DE ENTREGA</t>
  </si>
  <si>
    <t>MOTOR SUM TRIFASICO de 75 Hp. 460 VOLT 60 HZ. 3510 RPM.  EMPUJE.- 30 KN Y ALTA TEMP</t>
  </si>
  <si>
    <r>
      <t>REBOBINABLE, MCA.-</t>
    </r>
    <r>
      <rPr>
        <b/>
        <sz val="12"/>
        <color theme="4" tint="0.39997558519241921"/>
        <rFont val="Arial"/>
        <family val="2"/>
      </rPr>
      <t xml:space="preserve"> LUBI INDIA 7 3/4" </t>
    </r>
    <r>
      <rPr>
        <sz val="12"/>
        <rFont val="Arial"/>
        <family val="2"/>
      </rPr>
      <t xml:space="preserve">DE DIAMETRO.  </t>
    </r>
    <r>
      <rPr>
        <b/>
        <sz val="12"/>
        <rFont val="Arial"/>
        <family val="2"/>
      </rPr>
      <t xml:space="preserve">(T.E.- INMEDIATO) </t>
    </r>
  </si>
  <si>
    <t>BOMBA SUMERGIBLE 30 LT/SEG MCA.- LUBI ACERO INOXIDABLE.</t>
  </si>
  <si>
    <t>MT. CABLE PLANO SUMERGIBLE CAL. 3 X 2 A 1 000 VOLTS</t>
  </si>
  <si>
    <t>TRAMOS DE TUBERIA DE 5" CON COPLE CONICO DE 6.1 MT. DE LONG.</t>
  </si>
  <si>
    <t xml:space="preserve">Atención a: SR. JORGE </t>
  </si>
  <si>
    <t>Domicilio: ATEMAJAC DE BRIZUELA, JALISCO</t>
  </si>
  <si>
    <t>Nombre Del Predio: AGRICOLA LOS SAUCES</t>
  </si>
  <si>
    <t xml:space="preserve">Empresa: AGRICOLA LOS SAUCES   </t>
  </si>
  <si>
    <t>17 DE DICIEMBRE DEL 2025</t>
  </si>
  <si>
    <t>MOTOR SUM TRIFASICO de 75 Hp. 460 VOLTS 60 HZ. 3510 RPM.  EMPUJE AXIAL.- 40 KN</t>
  </si>
  <si>
    <t>MOTOR SUM TRIFASICO de 75 Hp. 460 VOLTS 60 HZ. 3540 RPM.  EMPUJE AXIAL.- 40 KN</t>
  </si>
  <si>
    <t>CINTILLOS HELLERMAN PARA SUJECION DE CABLE SUMERGIBLE 250 LB, RONDANA PLASTICA</t>
  </si>
  <si>
    <t>CENTRADOR PLASTICO KWIK zip para columna flexible coluflex 4 SECCIONES PARA COLUMNA DE 5"</t>
  </si>
  <si>
    <t>MT. COLUMNA FLEXIBLE PARA POZOS PROFUNDOS 5"</t>
  </si>
  <si>
    <t xml:space="preserve">A ESTE COSTO SOLO HAY QUE AUMENTARLE EL COSTO DE LA MODIFICACION DEL CABEZAL, QUE </t>
  </si>
  <si>
    <t>DEPENDERA DE LAS MODIFICIACIONES A REALIZAR</t>
  </si>
  <si>
    <t>La presente cotización tiene una vigencia de 24 DICIEMBRE 2025</t>
  </si>
  <si>
    <t>18 DE DICIEMBRE DEL 2025</t>
  </si>
  <si>
    <t>BUSHING DE 5" A 6" PARA CABEZAL</t>
  </si>
  <si>
    <t xml:space="preserve">                         POR COTIZAR</t>
  </si>
  <si>
    <r>
      <rPr>
        <b/>
        <sz val="11"/>
        <rFont val="Arial"/>
        <family val="2"/>
      </rPr>
      <t>Tiempo de entrega del sistema:</t>
    </r>
    <r>
      <rPr>
        <sz val="11"/>
        <rFont val="Arial"/>
        <family val="2"/>
      </rPr>
      <t xml:space="preserve"> De 7 DIAS hábil, salvo previa venta, una vez dado el pago.</t>
    </r>
  </si>
  <si>
    <t>MT. COLUMNA FLEXIBLE PARA POZOS PROFUNDOS 4"</t>
  </si>
  <si>
    <t>RACORES INOXIDABLE PARA COLUMNA FLEXIBLE CON FUSIBLE DE HIERRO VACIADO 4"</t>
  </si>
  <si>
    <t>CENTRADOR PLASTICO KWIK zip para columna flexible coluflex 4 SECCIONES PARA COLUMNA DE 4"</t>
  </si>
  <si>
    <t>RACORES INOXIDABLE PARA COLUMNA FLEXIBLE CON FUSIBLE DE HIERRO VACIADO DE 5"</t>
  </si>
  <si>
    <t xml:space="preserve">                                                                  CIENTO CINCUENTA Y SEIS MIL NOVECIENTOS SESENTA Y NUEVE PESOS 34/100 M.N.</t>
  </si>
  <si>
    <r>
      <t xml:space="preserve">REBOBINABLE, MCA.- ALTAMIRA SERIE "X" 6" DE DIAMETRO.  </t>
    </r>
    <r>
      <rPr>
        <b/>
        <sz val="12"/>
        <rFont val="Arial"/>
        <family val="2"/>
      </rPr>
      <t xml:space="preserve">(T.E.- 1 SEMANA) </t>
    </r>
  </si>
  <si>
    <r>
      <t xml:space="preserve">REBOBINABLE, MCA.- ALTAMIRA SERIE "RT" 6" DE DIAMETRO.  </t>
    </r>
    <r>
      <rPr>
        <b/>
        <sz val="12"/>
        <rFont val="Arial"/>
        <family val="2"/>
      </rPr>
      <t xml:space="preserve">(T.E.- 1 SEMANA) </t>
    </r>
  </si>
  <si>
    <r>
      <t xml:space="preserve">REBOBINABLE, MCA.- FRANKLIN ELECTRIC EN CAPSULADO 7 3/4" DE DIAMETRO.  </t>
    </r>
    <r>
      <rPr>
        <b/>
        <sz val="12"/>
        <rFont val="Arial"/>
        <family val="2"/>
      </rPr>
      <t xml:space="preserve">(T.E.- 4 - 6 SEMANAS) </t>
    </r>
  </si>
  <si>
    <r>
      <t xml:space="preserve">BOMBA SUMERGIBLE MCA.- ALTAMIRA. </t>
    </r>
    <r>
      <rPr>
        <b/>
        <sz val="12"/>
        <rFont val="Arial"/>
        <family val="2"/>
      </rPr>
      <t xml:space="preserve"> 30 LT/SEG (T.E.- 6 - 7 DIAS HABIL) </t>
    </r>
  </si>
  <si>
    <t xml:space="preserve">BOMBA SUMERGIBLE 30 LT/SEG MCA.- LUBI ACERO INOXIDABLE. (T.E.- 3 - 4 DIAS HABIL) </t>
  </si>
  <si>
    <t xml:space="preserve">BOMBA SUMERGIBLE 30 LT/SEG MCA.- FRANKLIN EN FUNDICION DE HIERRO.(T.E.- 3-4 DIAS HABIL) </t>
  </si>
  <si>
    <t>REP. MOTOR</t>
  </si>
  <si>
    <t>REBOBINADO, CAMBIO DE CABLES DE ALIMENTACION, SELLO MECANICO.</t>
  </si>
  <si>
    <t>COMO REF. EL PRECIO DE ESTE EQUIPO NUEVO ESTA EN.- $ 137 371 PESOS MAS IVA</t>
  </si>
  <si>
    <t>LA REPARACION SALE TOTAL EN.- 52 662.15 PESOS MAS IVA</t>
  </si>
  <si>
    <r>
      <rPr>
        <b/>
        <sz val="11"/>
        <rFont val="Arial"/>
        <family val="2"/>
      </rPr>
      <t>Tiempo de entrega del sistema:</t>
    </r>
    <r>
      <rPr>
        <sz val="11"/>
        <rFont val="Arial"/>
        <family val="2"/>
      </rPr>
      <t xml:space="preserve"> De 15 DIAS hábil, salvo previa venta, una vez dado el pago.</t>
    </r>
  </si>
  <si>
    <t>SESENTA Y SEIS MIL SETECIENTOS SETENTA Y DOS PESOS 09/100 M.N.</t>
  </si>
  <si>
    <t>19 DE DICIEMBRE DEL 2025</t>
  </si>
  <si>
    <t xml:space="preserve">REBOBINADO DE MOTOR TRIFASICO SUM. DE 100 HP. MCA. SME, INCLUYE: </t>
  </si>
  <si>
    <t>TRASLADOS DE EQUIPOS COLIMA-GUZMAN-CELAYA</t>
  </si>
  <si>
    <t>DES-INSTALACION DE EQUIPO DE BOMBEO HASTA 470 MT. DE 6" DE DIAMETRO CON AYUDA DE GRUA TIPO TRIPIE DE 50 TONELADAS.</t>
  </si>
  <si>
    <t>INSTALACION DE EQUIPO DE BOMBEO HASTA 470 MT. DE 4" DE DIAMETRO CON AYUDA DE GRUA TIPO TRIPIE DE 50 TONELADAS.</t>
  </si>
  <si>
    <t>DES-INSTALACION DE EQUIPO DE BOMBEO HASTA 470 MT. DE 4" DE DIAMETRO CON AYUDA DE GRUA TIPO TRIPIE DE 50 TONELADAS.</t>
  </si>
  <si>
    <t>INSTALACION DE EQUIPO DE BOMBEO HASTA 470 MT. DE 6" DE DIAMETRO CON AYUDA DE GRUA TIPO TRIPIE DE 50 TONELADAS.</t>
  </si>
  <si>
    <t xml:space="preserve">Empresa: SR. MIGUEL ANGEL RAMOS  </t>
  </si>
  <si>
    <t xml:space="preserve">Atención a: SR. MIGUEL ANGEL RAMOS  </t>
  </si>
  <si>
    <t>Domicilio: LOS MAZOS, JALISCO.</t>
  </si>
  <si>
    <t>Nombre Del Predio: ABASTECIMIENTO 1</t>
  </si>
  <si>
    <t>IVA.-</t>
  </si>
  <si>
    <t>TRASLADO REDONDO DE GENERADOR DE 150 KW COLIMA-GUZMAN</t>
  </si>
  <si>
    <t>DIAS DE RENTA DE GENERADOR DE 150 KW</t>
  </si>
  <si>
    <t>SALDO</t>
  </si>
  <si>
    <t>ARREGLO PARA MEDICION DE NIVELES M-19, MANOMETRO, CONEXIONES.</t>
  </si>
  <si>
    <t>20 DE DICIEMBRE DEL 2025</t>
  </si>
  <si>
    <t xml:space="preserve">A ESTE COSTO SOLO HAY QUE AUMENTAR LA MODIFICACION DEL CABEZAL, QUE </t>
  </si>
  <si>
    <t>TASA 8%</t>
  </si>
  <si>
    <t>TASA 16%</t>
  </si>
  <si>
    <t>SIN IVA</t>
  </si>
  <si>
    <t>SUB-TOTAL:</t>
  </si>
  <si>
    <t>AHORRO.-</t>
  </si>
  <si>
    <t>VIDEO GRABACION DE POZO PROFUNDO, INCLUYE TOMA DE VIDEO, REPORTE Y MEMORIA.</t>
  </si>
  <si>
    <t>LIQUIDO LIMPIADOR DE TUBERIA PARA POZOS MCA.- ALCO</t>
  </si>
  <si>
    <t>LIMPIEZA DE POZO PROFUNDO CON AYUDA DE GRUA TIPO TRIPIE CON SISTEMA LEVA, INCLUYE: TRASLADOS, APLICACIÓN DE QUIMICOS, CEPILLADO, DESASOLVE, SANITIZACION FINAL.</t>
  </si>
  <si>
    <t>KG DE HTH AL 80% PARA SANITIZACION CONFORME A NORMA</t>
  </si>
  <si>
    <t>LIQUID DESCALER MCA.- COTEY CHEMICAL. BIDON 20 LT.</t>
  </si>
  <si>
    <t>23 DE DICIEMBRE DEL 2025</t>
  </si>
  <si>
    <t>EN CASO DE SER SIN IVA, TIENE QUE SER RIGUROSO EFECTIVO. NO EN CUENTA FISCAL.</t>
  </si>
  <si>
    <t>REPARACION DE MOTOR SUMERGIBLE MCA.- SME-USA 40 HP TRIFASICO 460V CON ALTO EMPUJE AXIAL NEMA 6. INCLUYE: REBOBINADO, CAMBIO DE MEMBRANA DE COMPENSACION, DESARMADO, LIMPIEZA, REARMADO Y PRUEBAS EN VACIO.</t>
  </si>
  <si>
    <t>REP. BOMBA SUMERGIBLE MCA.- LUBI MODELO.- W30-23. INCLUYE: KIT DE REPARACION, MANO DE OBRA, DESARMADO, ARMADO Y PRUEBAS.</t>
  </si>
  <si>
    <t>MOTOR SUMERGIBLE SME 50 HP TRIFASICO 460V CON ALTO EMPUJE AXIAL NEMA 6</t>
  </si>
  <si>
    <t>BOMBA SUMERGIBLE MCA.- LUBI. PARA 11 LT/SEG. NUEVA</t>
  </si>
  <si>
    <t>CONCEPTO</t>
  </si>
  <si>
    <t>PRECIO UNIT</t>
  </si>
  <si>
    <t>TOTAL</t>
  </si>
  <si>
    <t>CIENTO VEINTE Y OCHO MIL OCHOCIENTOS NOVENTA Y UN PESOS 66/100 M.N.</t>
  </si>
  <si>
    <t>SESENTA Y OCHO MIL QUINIENTOS UN PESOS 48/100 M.N.</t>
  </si>
  <si>
    <t xml:space="preserve">Empresa: ARD   </t>
  </si>
  <si>
    <t>Atención a: SR. PABLO ARREDONDO, LIC. SAUL ARREDONDO</t>
  </si>
  <si>
    <t>Domicilio: PLATRANAR</t>
  </si>
  <si>
    <t>Nombre Del Predio: TEJERIA</t>
  </si>
  <si>
    <r>
      <t xml:space="preserve">REPARACION DE VARIADOR DE FRECUENCIA ABB ACQ580-07-0145A-4+E208+J429 ACQ580-01-145A-4+0J400+P922 N/S 8193302393, INCLUYE: DESINTALACION DE EQUIPO                                                                                                                        REVISION GENERAL, REVISION DE FUENTE DE ALIMENTACION, REVISION DE ETAPA DE POTENCIA, REVISION DE MODULO IGBT, REVISION DE ETAPA DE CONTROL, MANTENIMIENTO GENERAL INSTALACION Y PRUEBAS DE FUNCIONAMIENTO.                                                                                                                                                                                                                                 </t>
    </r>
    <r>
      <rPr>
        <b/>
        <i/>
        <sz val="10"/>
        <color rgb="FFFF0000"/>
        <rFont val="Arial"/>
        <family val="2"/>
      </rPr>
      <t>DIAGNOSTICO: DAÑO EN ETAPA DE POTENCIA, DAÑO DE MODULO DE IGBT</t>
    </r>
    <r>
      <rPr>
        <b/>
        <i/>
        <sz val="10"/>
        <color theme="1"/>
        <rFont val="Arial"/>
        <family val="2"/>
      </rPr>
      <t xml:space="preserve">                            </t>
    </r>
    <r>
      <rPr>
        <b/>
        <i/>
        <sz val="10"/>
        <color theme="4" tint="-0.499984740745262"/>
        <rFont val="Arial"/>
        <family val="2"/>
      </rPr>
      <t>TIEMPO DE ENTREGA DOS SEMANAS HABILES</t>
    </r>
  </si>
  <si>
    <t>FLETE IDA Y VUELTA CIUDAD DE MEXICO</t>
  </si>
  <si>
    <t xml:space="preserve">SETENTA Y CINCO MIL QUNIENTOS OCHENTA PESOS </t>
  </si>
  <si>
    <t xml:space="preserve">La cotización puede variar a falta de material o exceso del mismo. </t>
  </si>
  <si>
    <t>Garantia de 3 meses natural en equipo, dispositivos</t>
  </si>
  <si>
    <r>
      <rPr>
        <b/>
        <sz val="11"/>
        <rFont val="Arial"/>
        <family val="2"/>
      </rPr>
      <t>Tiempo de entrega del sistema:</t>
    </r>
    <r>
      <rPr>
        <sz val="11"/>
        <rFont val="Arial"/>
        <family val="2"/>
      </rPr>
      <t xml:space="preserve"> De 2 semanas hábiles de la instalacion salvo previa venta, una vez dado el pago.</t>
    </r>
  </si>
  <si>
    <t>Forma de Pago: 70% ANTICIPO 20% AL INSTALAR 10% TERMINO DE OBRA</t>
  </si>
  <si>
    <t>Nombre Del Predio: HUAMUCHILERA</t>
  </si>
  <si>
    <t>MANIOBRA DE IZAJE DESINSTALACION DE EQUIPO DE BOMBEO, INCLUYE: MANIOBRA DE IZAJE , ROMPER FUSIBLE COLUMNA CARGADA DE AGUA ALCANCE 150 MTS</t>
  </si>
  <si>
    <t>CONEXIÓN Y EMPATE DE MOTOR INCLUYE: MANGAS TERMOCONTRACTIL, CONECTORES, CINTAS 3M SUPER 33, CINTA MASILLA 3M, RESINA EPOXICA</t>
  </si>
  <si>
    <t>MANIOBRA DE IZAJE INSTALACION DE EQUIPO DE BOMBEO ALCANZE 150 MTS</t>
  </si>
  <si>
    <t>VIDEOGRABACION DE POZO PROFUNDO INCLUYE: VIDEOGRABACION EN MEMORIA, REPORTE POR ESCRITO DE VIDEOGRABACION  CON IMÁGENES, OBSERVACIONES Y SUGERIANCIAS</t>
  </si>
  <si>
    <t>EL IVA SOLO PODEMOS NEGOCIARLO EN LA MANIOBRA DE IZAJE</t>
  </si>
  <si>
    <t xml:space="preserve">TIEMPO DE ENTREGA DE EQUIPOS 3 A 5 DIAS HABILES </t>
  </si>
  <si>
    <r>
      <rPr>
        <b/>
        <sz val="11"/>
        <rFont val="Arial"/>
        <family val="2"/>
      </rPr>
      <t>Tiempo de entrega del sistema:</t>
    </r>
    <r>
      <rPr>
        <sz val="11"/>
        <rFont val="Arial"/>
        <family val="2"/>
      </rPr>
      <t xml:space="preserve"> De 3 a 5 DIAS hábiles de la instalacion salvo previa venta, una vez dado el pago.</t>
    </r>
  </si>
  <si>
    <t xml:space="preserve">TOTAL.- </t>
  </si>
  <si>
    <t>MAQUINADO DE CABEZAL PARA EQUIPO SUMERGIBLE INSTALADO EN POZO, INCLUYE: FLETES, CORTADO DE TUBO, TRABAJOS DE TORNO PARA ROSCAS, SOLDADO, MANO DE OBRA.</t>
  </si>
  <si>
    <t>22 DE ENERO DEL 2026</t>
  </si>
  <si>
    <t>MATERIAL PARA EMPATES DE CABLE SUMERGIBLE</t>
  </si>
  <si>
    <t>NIPLE DE 6" PARA CONECCION DE BOMBA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</si>
</sst>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Red]&quot;$&quot;#,##0.00"/>
    <numFmt numFmtId="165" formatCode="&quot;$&quot;#,##0.00"/>
  </numFmts>
  <fonts count="104" x14ac:knownFonts="1">
    <font>
      <sz val="11"/>
      <color theme="1"/>
      <name val="Aptos Narrow"/>
      <family val="2"/>
      <scheme val="minor"/>
    </font>
    <font>
      <sz val="10"/>
      <name val="Arial"/>
      <family val="2"/>
    </font>
    <font>
      <sz val="11"/>
      <name val="Segoe UI Light"/>
      <family val="2"/>
    </font>
    <font>
      <sz val="11"/>
      <name val="Segoe UI Semibold"/>
      <family val="2"/>
    </font>
    <font>
      <b/>
      <sz val="11"/>
      <name val="Segoe UI Semibold"/>
      <family val="2"/>
    </font>
    <font>
      <b/>
      <sz val="12"/>
      <name val="Segoe UI Semibold"/>
      <family val="2"/>
    </font>
    <font>
      <sz val="12"/>
      <name val="Segoe UI Semibold"/>
      <family val="2"/>
    </font>
    <font>
      <sz val="11"/>
      <name val="Arial"/>
      <family val="2"/>
    </font>
    <font>
      <b/>
      <sz val="10"/>
      <name val="Arial"/>
      <family val="2"/>
    </font>
    <font>
      <b/>
      <sz val="12"/>
      <color theme="0"/>
      <name val="Arial"/>
      <family val="2"/>
    </font>
    <font>
      <sz val="12"/>
      <name val="Arial"/>
      <family val="2"/>
    </font>
    <font>
      <b/>
      <sz val="12"/>
      <name val="Arial"/>
      <family val="2"/>
    </font>
    <font>
      <b/>
      <sz val="10"/>
      <color theme="0"/>
      <name val="Arial"/>
      <family val="2"/>
    </font>
    <font>
      <b/>
      <sz val="11"/>
      <color theme="0"/>
      <name val="Arial"/>
      <family val="2"/>
    </font>
    <font>
      <b/>
      <sz val="14"/>
      <name val="Arial"/>
      <family val="2"/>
    </font>
    <font>
      <b/>
      <sz val="11"/>
      <color indexed="9"/>
      <name val="Arial"/>
      <family val="2"/>
    </font>
    <font>
      <b/>
      <sz val="11"/>
      <name val="Arial"/>
      <family val="2"/>
    </font>
    <font>
      <b/>
      <sz val="10"/>
      <color indexed="9"/>
      <name val="Arial"/>
      <family val="2"/>
    </font>
    <font>
      <sz val="11"/>
      <color theme="0"/>
      <name val="Segoe UI Semibold"/>
      <family val="2"/>
    </font>
    <font>
      <sz val="8"/>
      <name val="Arial"/>
      <family val="2"/>
    </font>
    <font>
      <u/>
      <sz val="10"/>
      <name val="Arial"/>
      <family val="2"/>
    </font>
    <font>
      <sz val="10"/>
      <name val="Segoe UI Semibold"/>
      <family val="2"/>
    </font>
    <font>
      <b/>
      <i/>
      <sz val="12"/>
      <name val="Arial"/>
      <family val="2"/>
    </font>
    <font>
      <b/>
      <sz val="12"/>
      <color rgb="FFFF0000"/>
      <name val="Arial"/>
      <family val="2"/>
    </font>
    <font>
      <i/>
      <sz val="12"/>
      <name val="Arial"/>
      <family val="2"/>
    </font>
    <font>
      <sz val="12"/>
      <color rgb="FFFF0000"/>
      <name val="Arial"/>
      <family val="2"/>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name val="Segoe UI Semibold"/>
      <family val="2"/>
    </font>
    <font>
      <sz val="9"/>
      <name val="Segoe UI Semibold"/>
      <family val="2"/>
    </font>
    <font>
      <sz val="12"/>
      <name val="Segoe UI Light"/>
      <family val="2"/>
    </font>
    <font>
      <sz val="10"/>
      <color theme="0"/>
      <name val="Arial"/>
      <family val="2"/>
    </font>
    <font>
      <b/>
      <i/>
      <sz val="10"/>
      <name val="Arial"/>
      <family val="2"/>
    </font>
    <font>
      <i/>
      <sz val="10"/>
      <name val="Arial"/>
      <family val="2"/>
    </font>
    <font>
      <b/>
      <i/>
      <sz val="10"/>
      <color theme="1"/>
      <name val="Arial"/>
      <family val="2"/>
    </font>
    <font>
      <b/>
      <i/>
      <sz val="10"/>
      <color rgb="FFC00000"/>
      <name val="Arial"/>
      <family val="2"/>
    </font>
    <font>
      <b/>
      <sz val="12"/>
      <color theme="0"/>
      <name val="Aptos Narrow"/>
      <family val="2"/>
      <scheme val="minor"/>
    </font>
    <font>
      <sz val="12"/>
      <color theme="1"/>
      <name val="Aptos Narrow"/>
      <family val="2"/>
      <scheme val="minor"/>
    </font>
    <font>
      <sz val="12"/>
      <name val="Aptos Narrow"/>
      <family val="2"/>
      <scheme val="minor"/>
    </font>
    <font>
      <b/>
      <sz val="12"/>
      <name val="Aptos Narrow"/>
      <family val="2"/>
      <scheme val="minor"/>
    </font>
    <font>
      <b/>
      <sz val="10"/>
      <color theme="0" tint="-4.9989318521683403E-2"/>
      <name val="Arial"/>
      <family val="2"/>
    </font>
    <font>
      <b/>
      <sz val="12"/>
      <color indexed="9"/>
      <name val="Aptos Narrow"/>
      <family val="2"/>
      <scheme val="minor"/>
    </font>
    <font>
      <b/>
      <sz val="14"/>
      <color rgb="FFFF0000"/>
      <name val="Arial"/>
      <family val="2"/>
    </font>
    <font>
      <sz val="10"/>
      <color theme="1"/>
      <name val="Aptos Narrow"/>
      <family val="2"/>
      <scheme val="minor"/>
    </font>
    <font>
      <b/>
      <sz val="11"/>
      <color theme="0" tint="-4.9989318521683403E-2"/>
      <name val="Aptos Narrow"/>
      <family val="2"/>
      <scheme val="minor"/>
    </font>
    <font>
      <sz val="11"/>
      <color theme="0" tint="-4.9989318521683403E-2"/>
      <name val="Aptos Narrow"/>
      <family val="2"/>
      <scheme val="minor"/>
    </font>
    <font>
      <b/>
      <sz val="11"/>
      <name val="Aptos Narrow"/>
      <family val="2"/>
      <scheme val="minor"/>
    </font>
    <font>
      <b/>
      <sz val="10"/>
      <name val="Aptos Narrow"/>
      <family val="2"/>
      <scheme val="minor"/>
    </font>
    <font>
      <b/>
      <sz val="8"/>
      <color theme="0"/>
      <name val="Arial"/>
      <family val="2"/>
    </font>
    <font>
      <sz val="10"/>
      <color theme="0"/>
      <name val="Aptos Narrow"/>
      <family val="2"/>
      <scheme val="minor"/>
    </font>
    <font>
      <b/>
      <sz val="12"/>
      <color theme="0" tint="-4.9989318521683403E-2"/>
      <name val="Arial"/>
      <family val="2"/>
    </font>
    <font>
      <b/>
      <sz val="10"/>
      <color rgb="FFFF0000"/>
      <name val="Arial"/>
      <family val="2"/>
    </font>
    <font>
      <b/>
      <sz val="10"/>
      <color theme="2"/>
      <name val="Arial"/>
      <family val="2"/>
    </font>
    <font>
      <b/>
      <sz val="12"/>
      <color rgb="FF00B0F0"/>
      <name val="Arial"/>
      <family val="2"/>
    </font>
    <font>
      <b/>
      <sz val="11"/>
      <name val="Segoe UI Light"/>
      <family val="2"/>
    </font>
    <font>
      <sz val="12"/>
      <color theme="0"/>
      <name val="Arial"/>
      <family val="2"/>
    </font>
    <font>
      <sz val="8"/>
      <color theme="1"/>
      <name val="Aptos Narrow"/>
      <family val="2"/>
      <scheme val="minor"/>
    </font>
    <font>
      <sz val="12"/>
      <color rgb="FF00B050"/>
      <name val="Arial"/>
      <family val="2"/>
    </font>
    <font>
      <b/>
      <sz val="12"/>
      <color theme="6" tint="0.39997558519241921"/>
      <name val="Arial"/>
      <family val="2"/>
    </font>
    <font>
      <b/>
      <sz val="10"/>
      <color rgb="FF92D050"/>
      <name val="Arial"/>
      <family val="2"/>
    </font>
    <font>
      <sz val="10"/>
      <color theme="1"/>
      <name val="Arial"/>
      <family val="2"/>
    </font>
    <font>
      <b/>
      <sz val="10"/>
      <color rgb="FFFFFF00"/>
      <name val="Arial"/>
      <family val="2"/>
    </font>
    <font>
      <b/>
      <i/>
      <sz val="10"/>
      <color theme="0"/>
      <name val="Arial"/>
      <family val="2"/>
    </font>
    <font>
      <b/>
      <sz val="10"/>
      <color rgb="FF00B050"/>
      <name val="Arial"/>
      <family val="2"/>
    </font>
    <font>
      <sz val="10"/>
      <name val="Aptos Narrow"/>
      <family val="2"/>
      <scheme val="minor"/>
    </font>
    <font>
      <b/>
      <sz val="8"/>
      <color indexed="9"/>
      <name val="Arial"/>
      <family val="2"/>
    </font>
    <font>
      <b/>
      <sz val="8"/>
      <name val="Arial"/>
      <family val="2"/>
    </font>
    <font>
      <b/>
      <sz val="10"/>
      <color rgb="FF00B050"/>
      <name val="Aptos Narrow"/>
      <family val="2"/>
      <scheme val="minor"/>
    </font>
    <font>
      <b/>
      <sz val="14"/>
      <color rgb="FFFFC000"/>
      <name val="Arial"/>
      <family val="2"/>
    </font>
    <font>
      <b/>
      <sz val="10"/>
      <color rgb="FF00B0F0"/>
      <name val="Aptos Narrow"/>
      <family val="2"/>
      <scheme val="minor"/>
    </font>
    <font>
      <sz val="12"/>
      <color rgb="FF000000"/>
      <name val="Aptos Narrow"/>
      <family val="2"/>
      <scheme val="minor"/>
    </font>
    <font>
      <b/>
      <i/>
      <sz val="12"/>
      <color rgb="FFFF0000"/>
      <name val="Arial"/>
      <family val="2"/>
    </font>
    <font>
      <sz val="12"/>
      <color theme="1"/>
      <name val="Arial"/>
      <family val="2"/>
    </font>
    <font>
      <b/>
      <sz val="12"/>
      <color indexed="9"/>
      <name val="Arial"/>
      <family val="2"/>
    </font>
    <font>
      <b/>
      <sz val="10"/>
      <color theme="1"/>
      <name val="Aptos Narrow"/>
      <family val="2"/>
      <scheme val="minor"/>
    </font>
    <font>
      <b/>
      <sz val="14"/>
      <color theme="0"/>
      <name val="Arial"/>
      <family val="2"/>
    </font>
    <font>
      <b/>
      <sz val="12"/>
      <color theme="4" tint="0.39997558519241921"/>
      <name val="Arial"/>
      <family val="2"/>
    </font>
    <font>
      <sz val="10"/>
      <color rgb="FFFFFF00"/>
      <name val="Arial"/>
      <family val="2"/>
    </font>
    <font>
      <b/>
      <sz val="12"/>
      <color theme="5"/>
      <name val="Arial"/>
      <family val="2"/>
    </font>
    <font>
      <sz val="12"/>
      <color theme="5"/>
      <name val="Arial"/>
      <family val="2"/>
    </font>
    <font>
      <u/>
      <sz val="11"/>
      <color theme="10"/>
      <name val="Aptos Narrow"/>
      <family val="2"/>
      <scheme val="minor"/>
    </font>
    <font>
      <b/>
      <sz val="10"/>
      <color theme="1"/>
      <name val="Arial"/>
      <family val="2"/>
    </font>
    <font>
      <sz val="11"/>
      <color theme="7" tint="0.39997558519241921"/>
      <name val="Arial"/>
      <family val="2"/>
    </font>
    <font>
      <b/>
      <sz val="12"/>
      <color rgb="FF00B050"/>
      <name val="Arial"/>
      <family val="2"/>
    </font>
    <font>
      <sz val="12"/>
      <color rgb="FF00B0F0"/>
      <name val="Arial"/>
      <family val="2"/>
    </font>
    <font>
      <sz val="10"/>
      <color rgb="FFFFC000"/>
      <name val="Arial"/>
      <family val="2"/>
    </font>
    <font>
      <b/>
      <sz val="10"/>
      <color theme="7" tint="-0.249977111117893"/>
      <name val="Arial"/>
      <family val="2"/>
    </font>
    <font>
      <b/>
      <sz val="10"/>
      <color rgb="FFFFC000"/>
      <name val="Arial"/>
      <family val="2"/>
    </font>
    <font>
      <b/>
      <sz val="12"/>
      <color rgb="FFFFFF00"/>
      <name val="Arial"/>
      <family val="2"/>
    </font>
    <font>
      <b/>
      <sz val="11"/>
      <color theme="6" tint="0.59999389629810485"/>
      <name val="Arial"/>
      <family val="2"/>
    </font>
    <font>
      <b/>
      <sz val="12"/>
      <color rgb="FFFF0000"/>
      <name val="Calibri"/>
      <family val="2"/>
    </font>
    <font>
      <b/>
      <sz val="11"/>
      <color rgb="FFFF0000"/>
      <name val="Arial"/>
      <family val="2"/>
    </font>
    <font>
      <b/>
      <i/>
      <sz val="12"/>
      <color theme="1"/>
      <name val="Arial"/>
      <family val="2"/>
    </font>
    <font>
      <b/>
      <sz val="11"/>
      <color rgb="FF00B050"/>
      <name val="Arial"/>
      <family val="2"/>
    </font>
    <font>
      <b/>
      <sz val="10"/>
      <color theme="6"/>
      <name val="Arial"/>
      <family val="2"/>
    </font>
    <font>
      <b/>
      <sz val="10"/>
      <color theme="4" tint="0.39997558519241921"/>
      <name val="Arial"/>
      <family val="2"/>
    </font>
    <font>
      <b/>
      <i/>
      <sz val="12"/>
      <color theme="0"/>
      <name val="Arial"/>
      <family val="2"/>
    </font>
    <font>
      <b/>
      <sz val="12"/>
      <color theme="9" tint="-0.249977111117893"/>
      <name val="Arial"/>
      <family val="2"/>
    </font>
    <font>
      <b/>
      <sz val="12"/>
      <color rgb="FF92D050"/>
      <name val="Arial"/>
      <family val="2"/>
    </font>
    <font>
      <b/>
      <i/>
      <sz val="10"/>
      <color rgb="FFFF0000"/>
      <name val="Arial"/>
      <family val="2"/>
    </font>
    <font>
      <b/>
      <i/>
      <sz val="10"/>
      <color theme="4" tint="-0.499984740745262"/>
      <name val="Arial"/>
      <family val="2"/>
    </font>
    <font>
      <b/>
      <sz val="11"/>
      <color rgb="FF92D050"/>
      <name val="Arial"/>
      <family val="2"/>
    </font>
  </fonts>
  <fills count="21">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theme="6" tint="0.59999389629810485"/>
        <bgColor indexed="64"/>
      </patternFill>
    </fill>
    <fill>
      <patternFill patternType="solid">
        <fgColor rgb="FF00FF00"/>
        <bgColor indexed="64"/>
      </patternFill>
    </fill>
    <fill>
      <patternFill patternType="solid">
        <fgColor theme="4"/>
        <bgColor indexed="64"/>
      </patternFill>
    </fill>
    <fill>
      <patternFill patternType="solid">
        <fgColor rgb="FF0C8BF4"/>
        <bgColor indexed="64"/>
      </patternFill>
    </fill>
    <fill>
      <patternFill patternType="solid">
        <fgColor theme="3" tint="0.749992370372631"/>
        <bgColor indexed="64"/>
      </patternFill>
    </fill>
  </fills>
  <borders count="8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9"/>
      </left>
      <right style="thin">
        <color indexed="9"/>
      </right>
      <top/>
      <bottom style="thin">
        <color indexed="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rgb="FFFFC000"/>
      </left>
      <right style="thin">
        <color rgb="FFFFC000"/>
      </right>
      <top style="thin">
        <color rgb="FFFFC000"/>
      </top>
      <bottom style="thin">
        <color rgb="FFFFC000"/>
      </bottom>
      <diagonal/>
    </border>
    <border>
      <left style="thin">
        <color indexed="64"/>
      </left>
      <right/>
      <top/>
      <bottom/>
      <diagonal/>
    </border>
    <border>
      <left style="thin">
        <color rgb="FFFFC000"/>
      </left>
      <right style="thin">
        <color rgb="FFFFC000"/>
      </right>
      <top style="thin">
        <color rgb="FFFFC000"/>
      </top>
      <bottom/>
      <diagonal/>
    </border>
    <border>
      <left style="medium">
        <color rgb="FFFFC000"/>
      </left>
      <right/>
      <top style="medium">
        <color rgb="FFFFC000"/>
      </top>
      <bottom style="medium">
        <color rgb="FFFFC000"/>
      </bottom>
      <diagonal/>
    </border>
    <border>
      <left/>
      <right/>
      <top style="medium">
        <color rgb="FFFFC000"/>
      </top>
      <bottom style="medium">
        <color rgb="FFFFC000"/>
      </bottom>
      <diagonal/>
    </border>
    <border>
      <left/>
      <right style="medium">
        <color rgb="FFFFC000"/>
      </right>
      <top style="medium">
        <color rgb="FFFFC000"/>
      </top>
      <bottom style="medium">
        <color rgb="FFFFC000"/>
      </bottom>
      <diagonal/>
    </border>
    <border>
      <left/>
      <right style="thin">
        <color indexed="9"/>
      </right>
      <top/>
      <bottom style="thin">
        <color indexed="9"/>
      </bottom>
      <diagonal/>
    </border>
    <border>
      <left style="thin">
        <color indexed="9"/>
      </left>
      <right/>
      <top/>
      <bottom/>
      <diagonal/>
    </border>
    <border>
      <left/>
      <right style="thin">
        <color indexed="9"/>
      </right>
      <top/>
      <bottom/>
      <diagonal/>
    </border>
    <border>
      <left style="thin">
        <color indexed="9"/>
      </left>
      <right style="thin">
        <color indexed="9"/>
      </right>
      <top/>
      <bottom/>
      <diagonal/>
    </border>
    <border>
      <left/>
      <right/>
      <top/>
      <bottom style="thin">
        <color indexed="9"/>
      </bottom>
      <diagonal/>
    </border>
    <border>
      <left style="thin">
        <color indexed="64"/>
      </left>
      <right style="thin">
        <color indexed="64"/>
      </right>
      <top style="thin">
        <color indexed="64"/>
      </top>
      <bottom/>
      <diagonal/>
    </border>
    <border>
      <left style="thin">
        <color rgb="FFFFFF00"/>
      </left>
      <right style="thin">
        <color rgb="FFFFFF00"/>
      </right>
      <top style="thin">
        <color rgb="FFFFFF00"/>
      </top>
      <bottom style="thin">
        <color rgb="FFFFFF00"/>
      </bottom>
      <diagonal/>
    </border>
    <border>
      <left/>
      <right style="thin">
        <color rgb="FFFFFF00"/>
      </right>
      <top style="thin">
        <color rgb="FFFFFF00"/>
      </top>
      <bottom style="thin">
        <color rgb="FFFFFF00"/>
      </bottom>
      <diagonal/>
    </border>
    <border>
      <left/>
      <right style="thin">
        <color rgb="FFFFFF00"/>
      </right>
      <top style="thin">
        <color rgb="FFFFFF00"/>
      </top>
      <bottom/>
      <diagonal/>
    </border>
    <border>
      <left style="thin">
        <color rgb="FFFFFF00"/>
      </left>
      <right style="thin">
        <color rgb="FFFFFF00"/>
      </right>
      <top style="thin">
        <color rgb="FFFFFF00"/>
      </top>
      <bottom/>
      <diagonal/>
    </border>
    <border>
      <left style="medium">
        <color rgb="FFFFFF00"/>
      </left>
      <right/>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thin">
        <color rgb="FFFFFF00"/>
      </left>
      <right style="thin">
        <color rgb="FFFFFF00"/>
      </right>
      <top/>
      <bottom style="thin">
        <color rgb="FFFFFF00"/>
      </bottom>
      <diagonal/>
    </border>
    <border>
      <left/>
      <right style="thin">
        <color rgb="FFFFC000"/>
      </right>
      <top style="thin">
        <color rgb="FFFFC000"/>
      </top>
      <bottom style="thin">
        <color rgb="FFFFC000"/>
      </bottom>
      <diagonal/>
    </border>
    <border>
      <left/>
      <right style="thin">
        <color rgb="FFFFC000"/>
      </right>
      <top style="thin">
        <color rgb="FFFFC000"/>
      </top>
      <bottom/>
      <diagonal/>
    </border>
    <border>
      <left style="medium">
        <color rgb="FFFFC000"/>
      </left>
      <right/>
      <top/>
      <bottom/>
      <diagonal/>
    </border>
    <border>
      <left/>
      <right/>
      <top style="medium">
        <color rgb="FFFFC000"/>
      </top>
      <bottom/>
      <diagonal/>
    </border>
    <border>
      <left/>
      <right style="medium">
        <color rgb="FFFFC000"/>
      </right>
      <top style="medium">
        <color rgb="FFFFC000"/>
      </top>
      <bottom/>
      <diagonal/>
    </border>
    <border>
      <left style="thin">
        <color rgb="FFFFFF00"/>
      </left>
      <right style="thin">
        <color rgb="FFFFFF00"/>
      </right>
      <top/>
      <bottom/>
      <diagonal/>
    </border>
    <border>
      <left style="medium">
        <color rgb="FFFFFF00"/>
      </left>
      <right/>
      <top style="medium">
        <color rgb="FFFFFF00"/>
      </top>
      <bottom style="medium">
        <color rgb="FFFFFF00"/>
      </bottom>
      <diagonal/>
    </border>
    <border>
      <left/>
      <right style="medium">
        <color rgb="FFFFC000"/>
      </right>
      <top style="medium">
        <color rgb="FFFFFF00"/>
      </top>
      <bottom style="medium">
        <color rgb="FFFFFF00"/>
      </bottom>
      <diagonal/>
    </border>
    <border>
      <left style="thin">
        <color indexed="64"/>
      </left>
      <right/>
      <top style="thin">
        <color indexed="64"/>
      </top>
      <bottom style="thin">
        <color indexed="64"/>
      </bottom>
      <diagonal/>
    </border>
    <border>
      <left/>
      <right/>
      <top/>
      <bottom style="medium">
        <color rgb="FFFFC000"/>
      </bottom>
      <diagonal/>
    </border>
    <border>
      <left/>
      <right style="medium">
        <color rgb="FFFFC000"/>
      </right>
      <top/>
      <bottom style="medium">
        <color rgb="FFFFC000"/>
      </bottom>
      <diagonal/>
    </border>
    <border>
      <left style="thin">
        <color rgb="FFFFC000"/>
      </left>
      <right style="thin">
        <color rgb="FFFFC000"/>
      </right>
      <top/>
      <bottom style="thin">
        <color rgb="FFFFC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9"/>
      </bottom>
      <diagonal/>
    </border>
    <border>
      <left style="thin">
        <color indexed="64"/>
      </left>
      <right style="thin">
        <color indexed="64"/>
      </right>
      <top/>
      <bottom/>
      <diagonal/>
    </border>
    <border>
      <left style="thin">
        <color indexed="64"/>
      </left>
      <right style="thin">
        <color indexed="64"/>
      </right>
      <top style="thin">
        <color indexed="9"/>
      </top>
      <bottom/>
      <diagonal/>
    </border>
    <border>
      <left/>
      <right/>
      <top style="thin">
        <color indexed="64"/>
      </top>
      <bottom style="thin">
        <color indexed="64"/>
      </bottom>
      <diagonal/>
    </border>
    <border>
      <left style="medium">
        <color rgb="FFFFC000"/>
      </left>
      <right style="thin">
        <color rgb="FFFFFF00"/>
      </right>
      <top style="medium">
        <color rgb="FFFFC000"/>
      </top>
      <bottom style="medium">
        <color rgb="FFFFC000"/>
      </bottom>
      <diagonal/>
    </border>
    <border>
      <left style="thin">
        <color rgb="FFFFC000"/>
      </left>
      <right style="thin">
        <color rgb="FFFFC000"/>
      </right>
      <top style="thin">
        <color rgb="FFFFC000"/>
      </top>
      <bottom style="medium">
        <color rgb="FFFFC000"/>
      </bottom>
      <diagonal/>
    </border>
    <border>
      <left style="thin">
        <color rgb="FFFFC000"/>
      </left>
      <right/>
      <top style="thin">
        <color rgb="FFFFC000"/>
      </top>
      <bottom/>
      <diagonal/>
    </border>
    <border>
      <left/>
      <right/>
      <top style="thin">
        <color rgb="FFFFC000"/>
      </top>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style="thin">
        <color rgb="FFFFFF00"/>
      </left>
      <right style="thin">
        <color rgb="FFFFFF00"/>
      </right>
      <top style="thin">
        <color rgb="FFFFC000"/>
      </top>
      <bottom style="thin">
        <color rgb="FFFFFF00"/>
      </bottom>
      <diagonal/>
    </border>
    <border>
      <left style="thin">
        <color rgb="FFFFFF00"/>
      </left>
      <right/>
      <top/>
      <bottom style="thin">
        <color rgb="FFFFFF00"/>
      </bottom>
      <diagonal/>
    </border>
    <border>
      <left style="medium">
        <color rgb="FFFFC000"/>
      </left>
      <right style="medium">
        <color rgb="FFFFC000"/>
      </right>
      <top style="medium">
        <color rgb="FFFFC000"/>
      </top>
      <bottom style="medium">
        <color rgb="FFFFC000"/>
      </bottom>
      <diagonal/>
    </border>
    <border>
      <left style="thin">
        <color indexed="64"/>
      </left>
      <right/>
      <top/>
      <bottom style="thin">
        <color indexed="64"/>
      </bottom>
      <diagonal/>
    </border>
    <border>
      <left style="thin">
        <color rgb="FFFFC000"/>
      </left>
      <right/>
      <top style="thin">
        <color rgb="FFFFC000"/>
      </top>
      <bottom style="thin">
        <color rgb="FFFFC000"/>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rgb="FFFFFF00"/>
      </bottom>
      <diagonal/>
    </border>
    <border>
      <left style="medium">
        <color indexed="64"/>
      </left>
      <right style="medium">
        <color indexed="64"/>
      </right>
      <top/>
      <bottom style="thin">
        <color indexed="9"/>
      </bottom>
      <diagonal/>
    </border>
    <border>
      <left style="medium">
        <color indexed="64"/>
      </left>
      <right style="medium">
        <color indexed="64"/>
      </right>
      <top style="thin">
        <color indexed="9"/>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rgb="FFFFC000"/>
      </left>
      <right/>
      <top/>
      <bottom style="medium">
        <color rgb="FFFFC000"/>
      </bottom>
      <diagonal/>
    </border>
    <border>
      <left style="medium">
        <color rgb="FFFFC000"/>
      </left>
      <right style="medium">
        <color rgb="FFFFC000"/>
      </right>
      <top/>
      <bottom style="medium">
        <color rgb="FFFFC000"/>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9"/>
      </right>
      <top style="medium">
        <color indexed="64"/>
      </top>
      <bottom style="medium">
        <color indexed="64"/>
      </bottom>
      <diagonal/>
    </border>
    <border>
      <left style="thin">
        <color indexed="9"/>
      </left>
      <right style="medium">
        <color indexed="64"/>
      </right>
      <top style="medium">
        <color indexed="64"/>
      </top>
      <bottom style="medium">
        <color indexed="64"/>
      </bottom>
      <diagonal/>
    </border>
    <border>
      <left style="thin">
        <color rgb="FFFF9900"/>
      </left>
      <right style="thin">
        <color rgb="FFFF9900"/>
      </right>
      <top style="thin">
        <color rgb="FFFF9900"/>
      </top>
      <bottom style="thin">
        <color rgb="FFFF9900"/>
      </bottom>
      <diagonal/>
    </border>
    <border>
      <left style="thin">
        <color rgb="FFFF9900"/>
      </left>
      <right style="thin">
        <color rgb="FFFF9900"/>
      </right>
      <top style="thin">
        <color rgb="FFFF9900"/>
      </top>
      <bottom/>
      <diagonal/>
    </border>
    <border>
      <left style="medium">
        <color rgb="FFFF9900"/>
      </left>
      <right/>
      <top style="medium">
        <color rgb="FFFF9900"/>
      </top>
      <bottom style="medium">
        <color rgb="FFFF9900"/>
      </bottom>
      <diagonal/>
    </border>
    <border>
      <left/>
      <right/>
      <top style="medium">
        <color rgb="FFFF9900"/>
      </top>
      <bottom style="medium">
        <color rgb="FFFF9900"/>
      </bottom>
      <diagonal/>
    </border>
    <border>
      <left/>
      <right style="medium">
        <color rgb="FFFF9900"/>
      </right>
      <top style="medium">
        <color rgb="FFFF9900"/>
      </top>
      <bottom style="medium">
        <color rgb="FFFF9900"/>
      </bottom>
      <diagonal/>
    </border>
    <border>
      <left style="thin">
        <color rgb="FFFFC000"/>
      </left>
      <right/>
      <top/>
      <bottom style="thin">
        <color rgb="FFFFC000"/>
      </bottom>
      <diagonal/>
    </border>
    <border>
      <left/>
      <right/>
      <top style="thin">
        <color rgb="FFFFC000"/>
      </top>
      <bottom style="thin">
        <color rgb="FFFFC000"/>
      </bottom>
      <diagonal/>
    </border>
    <border>
      <left style="medium">
        <color indexed="64"/>
      </left>
      <right/>
      <top/>
      <bottom style="medium">
        <color indexed="64"/>
      </bottom>
      <diagonal/>
    </border>
    <border>
      <left/>
      <right/>
      <top/>
      <bottom style="thin">
        <color rgb="FFFFC000"/>
      </bottom>
      <diagonal/>
    </border>
    <border>
      <left style="thin">
        <color rgb="FFFFC000"/>
      </left>
      <right style="thin">
        <color rgb="FFFFC000"/>
      </right>
      <top/>
      <bottom/>
      <diagonal/>
    </border>
  </borders>
  <cellStyleXfs count="7">
    <xf numFmtId="0" fontId="0" fillId="0" borderId="0"/>
    <xf numFmtId="0" fontId="1" fillId="0" borderId="0"/>
    <xf numFmtId="0" fontId="1" fillId="0" borderId="0"/>
    <xf numFmtId="0" fontId="1" fillId="0" borderId="0"/>
    <xf numFmtId="44" fontId="26" fillId="0" borderId="0" applyFont="0" applyFill="0" applyBorder="0" applyAlignment="0" applyProtection="0"/>
    <xf numFmtId="0" fontId="1" fillId="0" borderId="0"/>
    <xf numFmtId="0" fontId="82" fillId="0" borderId="0" applyNumberFormat="0" applyFill="0" applyBorder="0" applyAlignment="0" applyProtection="0"/>
  </cellStyleXfs>
  <cellXfs count="1147">
    <xf numFmtId="0" fontId="0" fillId="0" borderId="0" xfId="0"/>
    <xf numFmtId="0" fontId="1" fillId="0" borderId="1" xfId="1" applyBorder="1"/>
    <xf numFmtId="164" fontId="1" fillId="0" borderId="1" xfId="1" applyNumberFormat="1" applyBorder="1" applyAlignment="1">
      <alignment horizontal="right"/>
    </xf>
    <xf numFmtId="164" fontId="1" fillId="0" borderId="1" xfId="1" applyNumberFormat="1" applyBorder="1"/>
    <xf numFmtId="0" fontId="3" fillId="0" borderId="1" xfId="1" applyFont="1" applyBorder="1"/>
    <xf numFmtId="0" fontId="4" fillId="0" borderId="1" xfId="1" applyFont="1" applyBorder="1"/>
    <xf numFmtId="164" fontId="3" fillId="0" borderId="1" xfId="1" applyNumberFormat="1" applyFont="1" applyBorder="1"/>
    <xf numFmtId="0" fontId="5" fillId="0" borderId="1" xfId="2" applyFont="1" applyBorder="1"/>
    <xf numFmtId="0" fontId="6" fillId="0" borderId="1" xfId="2" applyFont="1" applyBorder="1"/>
    <xf numFmtId="164" fontId="6" fillId="0" borderId="1" xfId="2" applyNumberFormat="1" applyFont="1" applyBorder="1"/>
    <xf numFmtId="0" fontId="3" fillId="0" borderId="1" xfId="3" applyFont="1" applyBorder="1"/>
    <xf numFmtId="164" fontId="6" fillId="0" borderId="2" xfId="2" applyNumberFormat="1" applyFont="1" applyBorder="1"/>
    <xf numFmtId="0" fontId="4" fillId="0" borderId="1" xfId="2" applyFont="1" applyBorder="1"/>
    <xf numFmtId="0" fontId="3" fillId="0" borderId="3" xfId="2" applyFont="1" applyBorder="1"/>
    <xf numFmtId="164" fontId="3" fillId="2" borderId="0" xfId="2" applyNumberFormat="1" applyFont="1" applyFill="1"/>
    <xf numFmtId="164" fontId="3" fillId="0" borderId="4" xfId="2" applyNumberFormat="1" applyFont="1" applyBorder="1"/>
    <xf numFmtId="0" fontId="4" fillId="0" borderId="5" xfId="2" applyFont="1" applyBorder="1"/>
    <xf numFmtId="0" fontId="7" fillId="0" borderId="1" xfId="1" applyFont="1" applyBorder="1"/>
    <xf numFmtId="0" fontId="8" fillId="3" borderId="6" xfId="1" applyFont="1" applyFill="1" applyBorder="1" applyAlignment="1">
      <alignment horizontal="center"/>
    </xf>
    <xf numFmtId="0" fontId="8" fillId="3" borderId="6" xfId="1" applyFont="1" applyFill="1" applyBorder="1" applyAlignment="1">
      <alignment horizontal="center" vertical="center"/>
    </xf>
    <xf numFmtId="164" fontId="8" fillId="3" borderId="6" xfId="1" applyNumberFormat="1" applyFont="1" applyFill="1" applyBorder="1"/>
    <xf numFmtId="0" fontId="9" fillId="4" borderId="6" xfId="3" applyFont="1" applyFill="1" applyBorder="1" applyAlignment="1">
      <alignment horizontal="center" vertical="center" wrapText="1"/>
    </xf>
    <xf numFmtId="0" fontId="10" fillId="2" borderId="6" xfId="3" applyFont="1" applyFill="1" applyBorder="1" applyAlignment="1">
      <alignment horizontal="center" vertical="center" wrapText="1"/>
    </xf>
    <xf numFmtId="164" fontId="10" fillId="0" borderId="6" xfId="3" applyNumberFormat="1" applyFont="1" applyBorder="1" applyAlignment="1">
      <alignment horizontal="center" vertical="center"/>
    </xf>
    <xf numFmtId="164" fontId="9" fillId="4" borderId="6" xfId="3" applyNumberFormat="1" applyFont="1" applyFill="1" applyBorder="1" applyAlignment="1">
      <alignment horizontal="center" vertical="center"/>
    </xf>
    <xf numFmtId="0" fontId="1" fillId="2" borderId="4" xfId="1" applyFill="1" applyBorder="1"/>
    <xf numFmtId="0" fontId="1" fillId="2" borderId="1" xfId="1" applyFill="1" applyBorder="1"/>
    <xf numFmtId="0" fontId="9" fillId="4" borderId="6" xfId="2" applyFont="1" applyFill="1" applyBorder="1" applyAlignment="1">
      <alignment horizontal="center" vertical="center" wrapText="1"/>
    </xf>
    <xf numFmtId="0" fontId="10" fillId="2" borderId="6" xfId="2" applyFont="1" applyFill="1" applyBorder="1" applyAlignment="1">
      <alignment horizontal="center" vertical="center" wrapText="1"/>
    </xf>
    <xf numFmtId="164" fontId="10" fillId="2" borderId="6" xfId="2" applyNumberFormat="1" applyFont="1" applyFill="1" applyBorder="1" applyAlignment="1">
      <alignment horizontal="center" vertical="center"/>
    </xf>
    <xf numFmtId="164" fontId="9" fillId="4" borderId="6" xfId="2" applyNumberFormat="1" applyFont="1" applyFill="1" applyBorder="1" applyAlignment="1">
      <alignment horizontal="center" vertical="center"/>
    </xf>
    <xf numFmtId="164" fontId="10" fillId="2" borderId="7" xfId="2" applyNumberFormat="1" applyFont="1" applyFill="1" applyBorder="1" applyAlignment="1">
      <alignment horizontal="center" vertical="center"/>
    </xf>
    <xf numFmtId="0" fontId="1" fillId="2" borderId="8" xfId="1" applyFill="1" applyBorder="1"/>
    <xf numFmtId="0" fontId="1" fillId="0" borderId="5" xfId="1" applyBorder="1"/>
    <xf numFmtId="0" fontId="10" fillId="0" borderId="1" xfId="1" applyFont="1" applyBorder="1" applyAlignment="1">
      <alignment horizontal="center"/>
    </xf>
    <xf numFmtId="0" fontId="13" fillId="5" borderId="5" xfId="1" applyFont="1" applyFill="1" applyBorder="1" applyAlignment="1">
      <alignment horizontal="center" vertical="center" wrapText="1"/>
    </xf>
    <xf numFmtId="0" fontId="7" fillId="0" borderId="8" xfId="1" applyFont="1" applyBorder="1" applyAlignment="1">
      <alignment horizontal="center" vertical="center" wrapText="1"/>
    </xf>
    <xf numFmtId="164" fontId="1" fillId="0" borderId="8" xfId="1" applyNumberFormat="1" applyBorder="1"/>
    <xf numFmtId="164" fontId="7" fillId="0" borderId="1" xfId="1" applyNumberFormat="1" applyFont="1" applyBorder="1"/>
    <xf numFmtId="164" fontId="15" fillId="0" borderId="1" xfId="1" applyNumberFormat="1" applyFont="1" applyBorder="1"/>
    <xf numFmtId="0" fontId="13" fillId="5" borderId="1" xfId="1" applyFont="1" applyFill="1" applyBorder="1" applyAlignment="1">
      <alignment horizontal="center" vertical="center" wrapText="1"/>
    </xf>
    <xf numFmtId="164" fontId="17" fillId="0" borderId="1" xfId="1" applyNumberFormat="1" applyFont="1" applyBorder="1"/>
    <xf numFmtId="0" fontId="16" fillId="0" borderId="1" xfId="1" applyFont="1" applyBorder="1"/>
    <xf numFmtId="0" fontId="7" fillId="0" borderId="1" xfId="1" applyFont="1" applyBorder="1" applyAlignment="1">
      <alignment horizontal="left"/>
    </xf>
    <xf numFmtId="0" fontId="3" fillId="0" borderId="1" xfId="1" applyFont="1" applyBorder="1" applyAlignment="1">
      <alignment horizontal="left"/>
    </xf>
    <xf numFmtId="164" fontId="7" fillId="0" borderId="1" xfId="1" applyNumberFormat="1" applyFont="1" applyBorder="1" applyAlignment="1">
      <alignment horizontal="left"/>
    </xf>
    <xf numFmtId="0" fontId="19" fillId="0" borderId="1" xfId="1" applyFont="1" applyBorder="1" applyAlignment="1">
      <alignment horizontal="left"/>
    </xf>
    <xf numFmtId="164" fontId="19" fillId="0" borderId="1" xfId="1" applyNumberFormat="1" applyFont="1" applyBorder="1" applyAlignment="1">
      <alignment horizontal="left"/>
    </xf>
    <xf numFmtId="0" fontId="19" fillId="0" borderId="5" xfId="1" applyFont="1" applyBorder="1" applyAlignment="1">
      <alignment horizontal="left"/>
    </xf>
    <xf numFmtId="164" fontId="19" fillId="0" borderId="4" xfId="1" applyNumberFormat="1" applyFont="1" applyBorder="1" applyAlignment="1">
      <alignment horizontal="left"/>
    </xf>
    <xf numFmtId="0" fontId="20" fillId="0" borderId="1" xfId="1" applyFont="1" applyBorder="1" applyAlignment="1">
      <alignment horizontal="left"/>
    </xf>
    <xf numFmtId="0" fontId="21" fillId="0" borderId="1" xfId="1" applyFont="1" applyBorder="1" applyAlignment="1">
      <alignment horizontal="center"/>
    </xf>
    <xf numFmtId="0" fontId="1" fillId="0" borderId="1" xfId="2" applyBorder="1"/>
    <xf numFmtId="164" fontId="1" fillId="0" borderId="1" xfId="2" applyNumberFormat="1" applyBorder="1" applyAlignment="1">
      <alignment horizontal="right"/>
    </xf>
    <xf numFmtId="164" fontId="1" fillId="0" borderId="1" xfId="2" applyNumberFormat="1" applyBorder="1"/>
    <xf numFmtId="0" fontId="3" fillId="0" borderId="1" xfId="2" applyFont="1" applyBorder="1"/>
    <xf numFmtId="164" fontId="3" fillId="0" borderId="1" xfId="2" applyNumberFormat="1" applyFont="1" applyBorder="1"/>
    <xf numFmtId="0" fontId="4" fillId="0" borderId="1" xfId="3" applyFont="1" applyBorder="1"/>
    <xf numFmtId="164" fontId="3" fillId="0" borderId="1" xfId="3" applyNumberFormat="1" applyFont="1" applyBorder="1"/>
    <xf numFmtId="164" fontId="3" fillId="0" borderId="2" xfId="3" applyNumberFormat="1" applyFont="1" applyBorder="1"/>
    <xf numFmtId="0" fontId="4" fillId="0" borderId="5" xfId="3" applyFont="1" applyBorder="1"/>
    <xf numFmtId="0" fontId="3" fillId="0" borderId="3" xfId="3" applyFont="1" applyBorder="1"/>
    <xf numFmtId="164" fontId="3" fillId="2" borderId="0" xfId="3" applyNumberFormat="1" applyFont="1" applyFill="1"/>
    <xf numFmtId="164" fontId="3" fillId="0" borderId="4" xfId="3" applyNumberFormat="1" applyFont="1" applyBorder="1"/>
    <xf numFmtId="0" fontId="12" fillId="5" borderId="16" xfId="2" applyFont="1" applyFill="1" applyBorder="1" applyAlignment="1">
      <alignment horizontal="center" vertical="center" wrapText="1"/>
    </xf>
    <xf numFmtId="164" fontId="12" fillId="5" borderId="16" xfId="2" applyNumberFormat="1" applyFont="1" applyFill="1" applyBorder="1" applyAlignment="1">
      <alignment horizontal="center" vertical="center" wrapText="1"/>
    </xf>
    <xf numFmtId="0" fontId="3" fillId="0" borderId="4" xfId="2" applyFont="1" applyBorder="1"/>
    <xf numFmtId="0" fontId="1" fillId="4" borderId="16" xfId="2" applyFill="1" applyBorder="1" applyAlignment="1">
      <alignment horizontal="center"/>
    </xf>
    <xf numFmtId="0" fontId="1" fillId="4" borderId="16" xfId="2" applyFill="1" applyBorder="1" applyAlignment="1">
      <alignment horizontal="justify" vertical="center"/>
    </xf>
    <xf numFmtId="164" fontId="1" fillId="4" borderId="16" xfId="2" applyNumberFormat="1" applyFill="1" applyBorder="1"/>
    <xf numFmtId="0" fontId="7" fillId="0" borderId="4" xfId="2" applyFont="1" applyBorder="1"/>
    <xf numFmtId="0" fontId="7" fillId="0" borderId="1" xfId="2" applyFont="1" applyBorder="1"/>
    <xf numFmtId="0" fontId="9" fillId="4" borderId="16" xfId="2" applyFont="1" applyFill="1" applyBorder="1" applyAlignment="1">
      <alignment horizontal="center" vertical="center" wrapText="1"/>
    </xf>
    <xf numFmtId="0" fontId="10" fillId="2" borderId="16" xfId="2" applyFont="1" applyFill="1" applyBorder="1" applyAlignment="1">
      <alignment horizontal="center" vertical="center" wrapText="1"/>
    </xf>
    <xf numFmtId="164" fontId="10" fillId="2" borderId="16" xfId="2" applyNumberFormat="1" applyFont="1" applyFill="1" applyBorder="1" applyAlignment="1">
      <alignment horizontal="center" vertical="center"/>
    </xf>
    <xf numFmtId="164" fontId="9" fillId="4" borderId="16" xfId="2" applyNumberFormat="1" applyFont="1" applyFill="1" applyBorder="1" applyAlignment="1">
      <alignment horizontal="center" vertical="center"/>
    </xf>
    <xf numFmtId="0" fontId="1" fillId="0" borderId="4" xfId="2" applyBorder="1"/>
    <xf numFmtId="0" fontId="9" fillId="4" borderId="16" xfId="0" applyFont="1" applyFill="1" applyBorder="1" applyAlignment="1">
      <alignment horizontal="center" vertical="center" wrapText="1"/>
    </xf>
    <xf numFmtId="0" fontId="22" fillId="2" borderId="16" xfId="0" applyFont="1" applyFill="1" applyBorder="1" applyAlignment="1">
      <alignment horizontal="center" vertical="center" wrapText="1"/>
    </xf>
    <xf numFmtId="164" fontId="24" fillId="2" borderId="16" xfId="0" applyNumberFormat="1" applyFont="1" applyFill="1" applyBorder="1" applyAlignment="1">
      <alignment horizontal="center" vertical="center" wrapText="1"/>
    </xf>
    <xf numFmtId="164" fontId="9" fillId="4" borderId="16" xfId="0" applyNumberFormat="1" applyFont="1" applyFill="1" applyBorder="1" applyAlignment="1">
      <alignment horizontal="center" vertical="center" wrapText="1"/>
    </xf>
    <xf numFmtId="0" fontId="10" fillId="2" borderId="16" xfId="0" applyFont="1" applyFill="1" applyBorder="1" applyAlignment="1">
      <alignment horizontal="center" vertical="center" wrapText="1"/>
    </xf>
    <xf numFmtId="164" fontId="10" fillId="2" borderId="16" xfId="0" applyNumberFormat="1" applyFont="1" applyFill="1" applyBorder="1" applyAlignment="1">
      <alignment horizontal="center" vertical="center"/>
    </xf>
    <xf numFmtId="164" fontId="9" fillId="4" borderId="16" xfId="0" applyNumberFormat="1" applyFont="1" applyFill="1" applyBorder="1" applyAlignment="1">
      <alignment horizontal="center" vertical="center"/>
    </xf>
    <xf numFmtId="0" fontId="9" fillId="4" borderId="16" xfId="1" applyFont="1" applyFill="1" applyBorder="1" applyAlignment="1">
      <alignment horizontal="center" vertical="center" wrapText="1"/>
    </xf>
    <xf numFmtId="0" fontId="10" fillId="2" borderId="16" xfId="1" applyFont="1" applyFill="1" applyBorder="1" applyAlignment="1">
      <alignment horizontal="center" vertical="center" wrapText="1"/>
    </xf>
    <xf numFmtId="164" fontId="10" fillId="2" borderId="16" xfId="1" applyNumberFormat="1" applyFont="1" applyFill="1" applyBorder="1" applyAlignment="1">
      <alignment horizontal="center" vertical="center"/>
    </xf>
    <xf numFmtId="164" fontId="9" fillId="4" borderId="16" xfId="1" applyNumberFormat="1" applyFont="1" applyFill="1" applyBorder="1" applyAlignment="1">
      <alignment horizontal="center" vertical="center"/>
    </xf>
    <xf numFmtId="164" fontId="10" fillId="0" borderId="16" xfId="1" applyNumberFormat="1" applyFont="1" applyBorder="1" applyAlignment="1">
      <alignment horizontal="center" vertical="center"/>
    </xf>
    <xf numFmtId="0" fontId="1" fillId="0" borderId="12" xfId="2" applyBorder="1"/>
    <xf numFmtId="0" fontId="9" fillId="6" borderId="17" xfId="2" applyFont="1" applyFill="1" applyBorder="1" applyAlignment="1">
      <alignment horizontal="center" vertical="center"/>
    </xf>
    <xf numFmtId="164" fontId="11" fillId="2" borderId="16" xfId="2" applyNumberFormat="1" applyFont="1" applyFill="1" applyBorder="1" applyAlignment="1">
      <alignment horizontal="center" vertical="center"/>
    </xf>
    <xf numFmtId="0" fontId="1" fillId="0" borderId="5" xfId="2" applyBorder="1"/>
    <xf numFmtId="0" fontId="11" fillId="0" borderId="16" xfId="2" applyFont="1" applyBorder="1" applyAlignment="1">
      <alignment horizontal="center"/>
    </xf>
    <xf numFmtId="0" fontId="11" fillId="0" borderId="18" xfId="2" applyFont="1" applyBorder="1" applyAlignment="1">
      <alignment horizontal="center"/>
    </xf>
    <xf numFmtId="164" fontId="9" fillId="4" borderId="18" xfId="2" applyNumberFormat="1" applyFont="1" applyFill="1" applyBorder="1" applyAlignment="1">
      <alignment horizontal="center" vertical="center"/>
    </xf>
    <xf numFmtId="0" fontId="1" fillId="2" borderId="1" xfId="2" applyFill="1" applyBorder="1"/>
    <xf numFmtId="0" fontId="13" fillId="5" borderId="8" xfId="3" applyFont="1" applyFill="1" applyBorder="1" applyAlignment="1">
      <alignment horizontal="center" vertical="top" wrapText="1"/>
    </xf>
    <xf numFmtId="0" fontId="1" fillId="0" borderId="22" xfId="2" applyBorder="1"/>
    <xf numFmtId="0" fontId="1" fillId="0" borderId="8" xfId="2" applyBorder="1"/>
    <xf numFmtId="0" fontId="13" fillId="5" borderId="1" xfId="3" applyFont="1" applyFill="1" applyBorder="1" applyAlignment="1">
      <alignment horizontal="center" vertical="top" wrapText="1"/>
    </xf>
    <xf numFmtId="0" fontId="10" fillId="0" borderId="5" xfId="2" applyFont="1" applyBorder="1"/>
    <xf numFmtId="0" fontId="1" fillId="0" borderId="5" xfId="3" applyBorder="1"/>
    <xf numFmtId="0" fontId="13" fillId="5" borderId="1" xfId="3" applyFont="1" applyFill="1" applyBorder="1" applyAlignment="1">
      <alignment horizontal="center" vertical="center" wrapText="1"/>
    </xf>
    <xf numFmtId="164" fontId="1" fillId="0" borderId="4" xfId="3" applyNumberFormat="1" applyBorder="1"/>
    <xf numFmtId="164" fontId="17" fillId="0" borderId="1" xfId="3" applyNumberFormat="1" applyFont="1" applyBorder="1"/>
    <xf numFmtId="0" fontId="10" fillId="0" borderId="1" xfId="3" applyFont="1" applyBorder="1" applyAlignment="1">
      <alignment horizontal="center"/>
    </xf>
    <xf numFmtId="164" fontId="1" fillId="0" borderId="1" xfId="3" applyNumberFormat="1" applyBorder="1"/>
    <xf numFmtId="0" fontId="1" fillId="0" borderId="1" xfId="3" applyBorder="1"/>
    <xf numFmtId="164" fontId="7" fillId="0" borderId="1" xfId="3" applyNumberFormat="1" applyFont="1" applyBorder="1"/>
    <xf numFmtId="164" fontId="15" fillId="0" borderId="1" xfId="3" applyNumberFormat="1" applyFont="1" applyBorder="1"/>
    <xf numFmtId="0" fontId="3" fillId="0" borderId="1" xfId="2" applyFont="1" applyBorder="1" applyAlignment="1">
      <alignment horizontal="left"/>
    </xf>
    <xf numFmtId="164" fontId="19" fillId="0" borderId="1" xfId="2" applyNumberFormat="1" applyFont="1" applyBorder="1" applyAlignment="1">
      <alignment horizontal="left"/>
    </xf>
    <xf numFmtId="164" fontId="19" fillId="0" borderId="4" xfId="2" applyNumberFormat="1" applyFont="1" applyBorder="1" applyAlignment="1">
      <alignment horizontal="left"/>
    </xf>
    <xf numFmtId="0" fontId="21" fillId="0" borderId="1" xfId="2" applyFont="1" applyBorder="1" applyAlignment="1">
      <alignment horizontal="center"/>
    </xf>
    <xf numFmtId="0" fontId="16" fillId="0" borderId="1" xfId="3" applyFont="1" applyBorder="1"/>
    <xf numFmtId="0" fontId="7" fillId="0" borderId="1" xfId="2" applyFont="1" applyBorder="1" applyAlignment="1">
      <alignment horizontal="left"/>
    </xf>
    <xf numFmtId="0" fontId="19" fillId="0" borderId="1" xfId="2" applyFont="1" applyBorder="1" applyAlignment="1">
      <alignment horizontal="left"/>
    </xf>
    <xf numFmtId="164" fontId="7" fillId="0" borderId="1" xfId="2" applyNumberFormat="1" applyFont="1" applyBorder="1" applyAlignment="1">
      <alignment horizontal="left"/>
    </xf>
    <xf numFmtId="0" fontId="19" fillId="0" borderId="5" xfId="2" applyFont="1" applyBorder="1" applyAlignment="1">
      <alignment horizontal="left"/>
    </xf>
    <xf numFmtId="0" fontId="20" fillId="0" borderId="1" xfId="2" applyFont="1" applyBorder="1" applyAlignment="1">
      <alignment horizontal="left"/>
    </xf>
    <xf numFmtId="0" fontId="7" fillId="0" borderId="8" xfId="3" applyFont="1" applyBorder="1" applyAlignment="1">
      <alignment horizontal="center"/>
    </xf>
    <xf numFmtId="0" fontId="16" fillId="0" borderId="8" xfId="3" applyFont="1" applyBorder="1" applyAlignment="1">
      <alignment horizontal="center" vertical="center"/>
    </xf>
    <xf numFmtId="0" fontId="7" fillId="0" borderId="8" xfId="3" applyFont="1" applyBorder="1" applyAlignment="1">
      <alignment horizontal="center" vertical="center"/>
    </xf>
    <xf numFmtId="0" fontId="14" fillId="0" borderId="2" xfId="3" applyFont="1" applyBorder="1" applyAlignment="1">
      <alignment horizontal="center" vertical="center" wrapText="1"/>
    </xf>
    <xf numFmtId="0" fontId="7" fillId="0" borderId="8" xfId="3" applyFont="1" applyBorder="1" applyAlignment="1">
      <alignment horizontal="center" wrapText="1"/>
    </xf>
    <xf numFmtId="0" fontId="7" fillId="0" borderId="1" xfId="3" applyFont="1" applyBorder="1" applyAlignment="1">
      <alignment horizontal="center"/>
    </xf>
    <xf numFmtId="0" fontId="7" fillId="0" borderId="1" xfId="3" applyFont="1" applyBorder="1" applyAlignment="1">
      <alignment horizontal="center" wrapText="1"/>
    </xf>
    <xf numFmtId="0" fontId="18" fillId="5" borderId="1" xfId="3" applyFont="1" applyFill="1" applyBorder="1" applyAlignment="1">
      <alignment horizontal="center" wrapText="1"/>
    </xf>
    <xf numFmtId="0" fontId="1" fillId="0" borderId="1" xfId="1" applyBorder="1" applyAlignment="1">
      <alignment horizontal="center" vertical="center"/>
    </xf>
    <xf numFmtId="0" fontId="7" fillId="0" borderId="12" xfId="1" applyFont="1" applyBorder="1" applyAlignment="1">
      <alignment horizontal="center" vertical="center"/>
    </xf>
    <xf numFmtId="0" fontId="7" fillId="0" borderId="8" xfId="1" applyFont="1" applyBorder="1" applyAlignment="1">
      <alignment horizontal="center" vertical="center"/>
    </xf>
    <xf numFmtId="164" fontId="1" fillId="0" borderId="8" xfId="1" applyNumberFormat="1" applyBorder="1" applyAlignment="1">
      <alignment horizontal="center" vertical="center"/>
    </xf>
    <xf numFmtId="164" fontId="7" fillId="0" borderId="1" xfId="1" applyNumberFormat="1" applyFont="1" applyBorder="1" applyAlignment="1">
      <alignment horizontal="center" vertical="center"/>
    </xf>
    <xf numFmtId="0" fontId="7" fillId="0" borderId="1" xfId="1" applyFont="1" applyBorder="1" applyAlignment="1">
      <alignment horizontal="center" vertical="center"/>
    </xf>
    <xf numFmtId="0" fontId="7" fillId="0" borderId="1" xfId="1" applyFont="1" applyBorder="1" applyAlignment="1">
      <alignment horizontal="center" vertical="center" wrapText="1"/>
    </xf>
    <xf numFmtId="164" fontId="1" fillId="0" borderId="1" xfId="1" applyNumberFormat="1" applyBorder="1" applyAlignment="1">
      <alignment horizontal="center" vertical="center"/>
    </xf>
    <xf numFmtId="0" fontId="30" fillId="0" borderId="1" xfId="3" applyFont="1" applyBorder="1"/>
    <xf numFmtId="0" fontId="31" fillId="0" borderId="1" xfId="3" applyFont="1" applyBorder="1"/>
    <xf numFmtId="164" fontId="31" fillId="0" borderId="1" xfId="3" applyNumberFormat="1" applyFont="1" applyBorder="1"/>
    <xf numFmtId="164" fontId="31" fillId="0" borderId="2" xfId="3" applyNumberFormat="1" applyFont="1" applyBorder="1"/>
    <xf numFmtId="0" fontId="31" fillId="0" borderId="3" xfId="3" applyFont="1" applyBorder="1"/>
    <xf numFmtId="164" fontId="31" fillId="2" borderId="0" xfId="3" applyNumberFormat="1" applyFont="1" applyFill="1"/>
    <xf numFmtId="164" fontId="31" fillId="0" borderId="4" xfId="3" applyNumberFormat="1" applyFont="1" applyBorder="1"/>
    <xf numFmtId="0" fontId="30" fillId="0" borderId="5" xfId="3" applyFont="1" applyBorder="1"/>
    <xf numFmtId="0" fontId="12" fillId="5" borderId="16" xfId="3" applyFont="1" applyFill="1" applyBorder="1" applyAlignment="1">
      <alignment horizontal="center" vertical="center" wrapText="1"/>
    </xf>
    <xf numFmtId="164" fontId="12" fillId="5" borderId="16" xfId="3" applyNumberFormat="1" applyFont="1" applyFill="1" applyBorder="1" applyAlignment="1">
      <alignment horizontal="center" vertical="center" wrapText="1"/>
    </xf>
    <xf numFmtId="0" fontId="1" fillId="0" borderId="4" xfId="1" applyBorder="1"/>
    <xf numFmtId="0" fontId="1" fillId="4" borderId="16" xfId="3" applyFill="1" applyBorder="1" applyAlignment="1">
      <alignment horizontal="center"/>
    </xf>
    <xf numFmtId="0" fontId="1" fillId="4" borderId="16" xfId="3" applyFill="1" applyBorder="1" applyAlignment="1">
      <alignment horizontal="justify" vertical="center"/>
    </xf>
    <xf numFmtId="164" fontId="1" fillId="4" borderId="16" xfId="3" applyNumberFormat="1" applyFill="1" applyBorder="1"/>
    <xf numFmtId="0" fontId="12" fillId="4" borderId="16" xfId="0" applyFont="1" applyFill="1" applyBorder="1" applyAlignment="1">
      <alignment horizontal="center"/>
    </xf>
    <xf numFmtId="0" fontId="1" fillId="2" borderId="16" xfId="0" applyFont="1" applyFill="1" applyBorder="1" applyAlignment="1">
      <alignment horizontal="center" vertical="center"/>
    </xf>
    <xf numFmtId="164" fontId="1" fillId="2" borderId="16" xfId="0" applyNumberFormat="1" applyFont="1" applyFill="1" applyBorder="1" applyAlignment="1">
      <alignment horizontal="center" vertical="center"/>
    </xf>
    <xf numFmtId="164" fontId="12" fillId="4" borderId="16" xfId="0" applyNumberFormat="1" applyFont="1" applyFill="1" applyBorder="1" applyAlignment="1">
      <alignment horizontal="center" vertical="center"/>
    </xf>
    <xf numFmtId="0" fontId="12" fillId="4" borderId="16"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2" fillId="4" borderId="16" xfId="1" applyFont="1" applyFill="1" applyBorder="1" applyAlignment="1">
      <alignment horizontal="center" vertical="center" wrapText="1"/>
    </xf>
    <xf numFmtId="0" fontId="1" fillId="2" borderId="16" xfId="1" applyFill="1" applyBorder="1" applyAlignment="1">
      <alignment horizontal="center" vertical="center" wrapText="1"/>
    </xf>
    <xf numFmtId="164" fontId="1" fillId="0" borderId="16" xfId="1" applyNumberFormat="1" applyBorder="1" applyAlignment="1">
      <alignment horizontal="center" vertical="center"/>
    </xf>
    <xf numFmtId="164" fontId="1" fillId="2" borderId="16" xfId="1" applyNumberFormat="1" applyFill="1" applyBorder="1" applyAlignment="1">
      <alignment horizontal="center" vertical="center"/>
    </xf>
    <xf numFmtId="164" fontId="12" fillId="4" borderId="16" xfId="1" applyNumberFormat="1" applyFont="1" applyFill="1" applyBorder="1" applyAlignment="1">
      <alignment horizontal="center" vertical="center"/>
    </xf>
    <xf numFmtId="0" fontId="12" fillId="4" borderId="16" xfId="3" applyFont="1" applyFill="1" applyBorder="1" applyAlignment="1">
      <alignment horizontal="center" vertical="center" wrapText="1"/>
    </xf>
    <xf numFmtId="0" fontId="1" fillId="2" borderId="16" xfId="3" applyFill="1" applyBorder="1" applyAlignment="1">
      <alignment horizontal="center" vertical="center" wrapText="1"/>
    </xf>
    <xf numFmtId="164" fontId="1" fillId="2" borderId="16" xfId="3" applyNumberFormat="1" applyFill="1" applyBorder="1" applyAlignment="1">
      <alignment horizontal="center" vertical="center"/>
    </xf>
    <xf numFmtId="164" fontId="12" fillId="4" borderId="16" xfId="3" applyNumberFormat="1" applyFont="1" applyFill="1" applyBorder="1" applyAlignment="1">
      <alignment horizontal="center" vertical="center"/>
    </xf>
    <xf numFmtId="0" fontId="1" fillId="0" borderId="12" xfId="1" applyBorder="1"/>
    <xf numFmtId="0" fontId="8" fillId="0" borderId="16" xfId="1" applyFont="1" applyBorder="1" applyAlignment="1">
      <alignment horizontal="center"/>
    </xf>
    <xf numFmtId="164" fontId="12" fillId="4" borderId="16" xfId="1" applyNumberFormat="1" applyFont="1" applyFill="1" applyBorder="1" applyAlignment="1">
      <alignment horizontal="center"/>
    </xf>
    <xf numFmtId="164" fontId="1" fillId="0" borderId="4" xfId="1" applyNumberFormat="1" applyBorder="1"/>
    <xf numFmtId="0" fontId="1" fillId="0" borderId="13" xfId="1" applyBorder="1"/>
    <xf numFmtId="0" fontId="8" fillId="0" borderId="18" xfId="1" applyFont="1" applyBorder="1" applyAlignment="1">
      <alignment horizontal="center"/>
    </xf>
    <xf numFmtId="164" fontId="12" fillId="4" borderId="18" xfId="1" applyNumberFormat="1" applyFont="1" applyFill="1" applyBorder="1" applyAlignment="1">
      <alignment horizontal="center"/>
    </xf>
    <xf numFmtId="0" fontId="13" fillId="5" borderId="8" xfId="1" applyFont="1" applyFill="1" applyBorder="1" applyAlignment="1">
      <alignment horizontal="center" vertical="top" wrapText="1"/>
    </xf>
    <xf numFmtId="164" fontId="1" fillId="0" borderId="22" xfId="1" applyNumberFormat="1" applyBorder="1"/>
    <xf numFmtId="164" fontId="17" fillId="0" borderId="8" xfId="1" applyNumberFormat="1" applyFont="1" applyBorder="1"/>
    <xf numFmtId="0" fontId="1" fillId="0" borderId="5" xfId="1" applyBorder="1" applyAlignment="1">
      <alignment horizontal="center" vertical="center"/>
    </xf>
    <xf numFmtId="0" fontId="14" fillId="0" borderId="2" xfId="1" applyFont="1" applyBorder="1" applyAlignment="1">
      <alignment horizontal="center" vertical="center"/>
    </xf>
    <xf numFmtId="0" fontId="10" fillId="0" borderId="1" xfId="1" applyFont="1" applyBorder="1" applyAlignment="1">
      <alignment horizontal="center" vertical="center"/>
    </xf>
    <xf numFmtId="0" fontId="16" fillId="0" borderId="8" xfId="1" applyFont="1" applyBorder="1" applyAlignment="1">
      <alignment horizontal="center" vertical="center"/>
    </xf>
    <xf numFmtId="0" fontId="7" fillId="0" borderId="8" xfId="3" applyFont="1" applyBorder="1" applyAlignment="1">
      <alignment horizontal="left"/>
    </xf>
    <xf numFmtId="164" fontId="19" fillId="0" borderId="1" xfId="3" applyNumberFormat="1" applyFont="1" applyBorder="1" applyAlignment="1">
      <alignment horizontal="left"/>
    </xf>
    <xf numFmtId="0" fontId="16" fillId="0" borderId="1" xfId="1" applyFont="1" applyBorder="1" applyAlignment="1">
      <alignment horizontal="center" vertical="center"/>
    </xf>
    <xf numFmtId="0" fontId="18" fillId="5" borderId="1" xfId="1" applyFont="1" applyFill="1" applyBorder="1" applyAlignment="1">
      <alignment horizontal="center" vertical="center" wrapText="1"/>
    </xf>
    <xf numFmtId="164" fontId="1" fillId="0" borderId="16" xfId="3" applyNumberFormat="1" applyBorder="1" applyAlignment="1">
      <alignment horizontal="center" vertical="center"/>
    </xf>
    <xf numFmtId="164" fontId="1" fillId="0" borderId="1" xfId="3" applyNumberFormat="1" applyBorder="1" applyAlignment="1">
      <alignment horizontal="right"/>
    </xf>
    <xf numFmtId="0" fontId="3" fillId="0" borderId="4" xfId="3" applyFont="1" applyBorder="1"/>
    <xf numFmtId="0" fontId="7" fillId="0" borderId="4" xfId="3" applyFont="1" applyBorder="1"/>
    <xf numFmtId="0" fontId="7" fillId="0" borderId="1" xfId="3" applyFont="1" applyBorder="1"/>
    <xf numFmtId="0" fontId="1" fillId="0" borderId="4" xfId="3" applyBorder="1"/>
    <xf numFmtId="0" fontId="1" fillId="2" borderId="4" xfId="3" applyFill="1" applyBorder="1"/>
    <xf numFmtId="0" fontId="1" fillId="2" borderId="1" xfId="3" applyFill="1" applyBorder="1"/>
    <xf numFmtId="0" fontId="1" fillId="0" borderId="2" xfId="3" applyBorder="1"/>
    <xf numFmtId="0" fontId="12" fillId="4" borderId="16" xfId="3" applyFont="1" applyFill="1" applyBorder="1" applyAlignment="1">
      <alignment horizontal="center"/>
    </xf>
    <xf numFmtId="0" fontId="1" fillId="2" borderId="16" xfId="3" applyFill="1" applyBorder="1" applyAlignment="1">
      <alignment horizontal="center" vertical="center"/>
    </xf>
    <xf numFmtId="0" fontId="8" fillId="4" borderId="16" xfId="3" applyFont="1" applyFill="1" applyBorder="1" applyAlignment="1">
      <alignment horizontal="center" vertical="center" wrapText="1"/>
    </xf>
    <xf numFmtId="0" fontId="1" fillId="0" borderId="0" xfId="3"/>
    <xf numFmtId="0" fontId="8" fillId="0" borderId="0" xfId="3" applyFont="1" applyAlignment="1">
      <alignment horizontal="right"/>
    </xf>
    <xf numFmtId="0" fontId="1" fillId="0" borderId="23" xfId="3" applyBorder="1"/>
    <xf numFmtId="0" fontId="8" fillId="0" borderId="23" xfId="3" applyFont="1" applyBorder="1" applyAlignment="1">
      <alignment horizontal="right"/>
    </xf>
    <xf numFmtId="0" fontId="8" fillId="0" borderId="24" xfId="3" applyFont="1" applyBorder="1" applyAlignment="1">
      <alignment horizontal="right"/>
    </xf>
    <xf numFmtId="0" fontId="8" fillId="0" borderId="25" xfId="3" applyFont="1" applyBorder="1" applyAlignment="1">
      <alignment horizontal="right"/>
    </xf>
    <xf numFmtId="164" fontId="8" fillId="0" borderId="24" xfId="3" applyNumberFormat="1" applyFont="1" applyBorder="1"/>
    <xf numFmtId="0" fontId="33" fillId="4" borderId="16" xfId="3" applyFont="1" applyFill="1" applyBorder="1" applyAlignment="1">
      <alignment horizontal="center" vertical="center" wrapText="1"/>
    </xf>
    <xf numFmtId="0" fontId="1" fillId="0" borderId="0" xfId="3" applyAlignment="1">
      <alignment horizontal="center" vertical="center" wrapText="1"/>
    </xf>
    <xf numFmtId="164" fontId="1" fillId="0" borderId="0" xfId="3" applyNumberFormat="1" applyAlignment="1">
      <alignment horizontal="right" vertical="center"/>
    </xf>
    <xf numFmtId="0" fontId="1" fillId="2" borderId="0" xfId="3" applyFill="1" applyAlignment="1">
      <alignment horizontal="center" vertical="center" wrapText="1"/>
    </xf>
    <xf numFmtId="164" fontId="1" fillId="2" borderId="0" xfId="3" applyNumberFormat="1" applyFill="1" applyAlignment="1">
      <alignment horizontal="right" vertical="center"/>
    </xf>
    <xf numFmtId="0" fontId="12" fillId="0" borderId="0" xfId="3" applyFont="1" applyAlignment="1">
      <alignment horizontal="center" vertical="center" wrapText="1"/>
    </xf>
    <xf numFmtId="164" fontId="12" fillId="0" borderId="0" xfId="3" applyNumberFormat="1" applyFont="1" applyAlignment="1">
      <alignment horizontal="center" vertical="center"/>
    </xf>
    <xf numFmtId="164" fontId="1" fillId="2" borderId="16" xfId="2" applyNumberFormat="1" applyFill="1" applyBorder="1" applyAlignment="1">
      <alignment horizontal="center" vertical="center"/>
    </xf>
    <xf numFmtId="0" fontId="12" fillId="4" borderId="16" xfId="2" applyFont="1" applyFill="1" applyBorder="1" applyAlignment="1">
      <alignment horizontal="center" vertical="center" wrapText="1"/>
    </xf>
    <xf numFmtId="0" fontId="1" fillId="2" borderId="16" xfId="2" applyFill="1" applyBorder="1" applyAlignment="1">
      <alignment horizontal="center" vertical="center" wrapText="1"/>
    </xf>
    <xf numFmtId="164" fontId="12" fillId="4" borderId="16" xfId="2" applyNumberFormat="1" applyFont="1" applyFill="1" applyBorder="1" applyAlignment="1">
      <alignment horizontal="center" vertical="center"/>
    </xf>
    <xf numFmtId="164" fontId="1" fillId="2" borderId="0" xfId="2" applyNumberFormat="1" applyFill="1" applyAlignment="1">
      <alignment horizontal="right" vertical="center"/>
    </xf>
    <xf numFmtId="164" fontId="1" fillId="4" borderId="0" xfId="3" applyNumberFormat="1" applyFill="1" applyAlignment="1">
      <alignment horizontal="right" vertical="center"/>
    </xf>
    <xf numFmtId="0" fontId="7" fillId="0" borderId="8" xfId="3" applyFont="1" applyBorder="1" applyAlignment="1">
      <alignment horizontal="left" wrapText="1"/>
    </xf>
    <xf numFmtId="0" fontId="7" fillId="0" borderId="1" xfId="3" applyFont="1" applyBorder="1" applyAlignment="1">
      <alignment wrapText="1"/>
    </xf>
    <xf numFmtId="0" fontId="18" fillId="5" borderId="1" xfId="3" applyFont="1" applyFill="1" applyBorder="1" applyAlignment="1">
      <alignment wrapText="1"/>
    </xf>
    <xf numFmtId="0" fontId="3" fillId="0" borderId="1" xfId="3" applyFont="1" applyBorder="1" applyAlignment="1">
      <alignment horizontal="left"/>
    </xf>
    <xf numFmtId="164" fontId="7" fillId="0" borderId="1" xfId="3" applyNumberFormat="1" applyFont="1" applyBorder="1" applyAlignment="1">
      <alignment horizontal="left"/>
    </xf>
    <xf numFmtId="0" fontId="7" fillId="0" borderId="1" xfId="3" applyFont="1" applyBorder="1" applyAlignment="1">
      <alignment horizontal="left"/>
    </xf>
    <xf numFmtId="0" fontId="19" fillId="0" borderId="1" xfId="3" applyFont="1" applyBorder="1" applyAlignment="1">
      <alignment horizontal="left"/>
    </xf>
    <xf numFmtId="164" fontId="19" fillId="0" borderId="4" xfId="3" applyNumberFormat="1" applyFont="1" applyBorder="1" applyAlignment="1">
      <alignment horizontal="left"/>
    </xf>
    <xf numFmtId="0" fontId="21" fillId="0" borderId="1" xfId="3" applyFont="1" applyBorder="1" applyAlignment="1">
      <alignment horizontal="center"/>
    </xf>
    <xf numFmtId="0" fontId="19" fillId="0" borderId="5" xfId="3" applyFont="1" applyBorder="1" applyAlignment="1">
      <alignment horizontal="left"/>
    </xf>
    <xf numFmtId="0" fontId="20" fillId="0" borderId="1" xfId="3" applyFont="1" applyBorder="1" applyAlignment="1">
      <alignment horizontal="left"/>
    </xf>
    <xf numFmtId="0" fontId="5" fillId="0" borderId="1" xfId="3" applyFont="1" applyBorder="1"/>
    <xf numFmtId="0" fontId="6" fillId="0" borderId="1" xfId="3" applyFont="1" applyBorder="1"/>
    <xf numFmtId="164" fontId="6" fillId="0" borderId="1" xfId="3" applyNumberFormat="1" applyFont="1" applyBorder="1"/>
    <xf numFmtId="164" fontId="6" fillId="0" borderId="2" xfId="3" applyNumberFormat="1" applyFont="1" applyBorder="1"/>
    <xf numFmtId="0" fontId="6" fillId="0" borderId="3" xfId="3" applyFont="1" applyBorder="1"/>
    <xf numFmtId="164" fontId="6" fillId="2" borderId="0" xfId="3" applyNumberFormat="1" applyFont="1" applyFill="1"/>
    <xf numFmtId="164" fontId="6" fillId="0" borderId="4" xfId="3" applyNumberFormat="1" applyFont="1" applyBorder="1"/>
    <xf numFmtId="0" fontId="5" fillId="0" borderId="5" xfId="3" applyFont="1" applyBorder="1"/>
    <xf numFmtId="0" fontId="1" fillId="4" borderId="6" xfId="3" applyFill="1" applyBorder="1" applyAlignment="1">
      <alignment horizontal="center"/>
    </xf>
    <xf numFmtId="0" fontId="1" fillId="4" borderId="6" xfId="3" applyFill="1" applyBorder="1" applyAlignment="1">
      <alignment horizontal="justify" vertical="center"/>
    </xf>
    <xf numFmtId="164" fontId="1" fillId="4" borderId="6" xfId="3" applyNumberFormat="1" applyFill="1" applyBorder="1"/>
    <xf numFmtId="0" fontId="34" fillId="4" borderId="6" xfId="0" applyFont="1" applyFill="1" applyBorder="1" applyAlignment="1">
      <alignment horizontal="center" vertical="center" wrapText="1"/>
    </xf>
    <xf numFmtId="0" fontId="35" fillId="2" borderId="6" xfId="0" applyFont="1" applyFill="1" applyBorder="1" applyAlignment="1">
      <alignment horizontal="left" vertical="center" wrapText="1"/>
    </xf>
    <xf numFmtId="164" fontId="35" fillId="2" borderId="6" xfId="0" applyNumberFormat="1" applyFont="1" applyFill="1" applyBorder="1" applyAlignment="1">
      <alignment horizontal="center" vertical="center" wrapText="1"/>
    </xf>
    <xf numFmtId="164" fontId="34" fillId="4" borderId="6" xfId="0" applyNumberFormat="1" applyFont="1" applyFill="1" applyBorder="1" applyAlignment="1">
      <alignment horizontal="center" vertical="center" wrapText="1"/>
    </xf>
    <xf numFmtId="0" fontId="36" fillId="2" borderId="6" xfId="0" applyFont="1" applyFill="1" applyBorder="1" applyAlignment="1">
      <alignment horizontal="left" vertical="center" wrapText="1"/>
    </xf>
    <xf numFmtId="0" fontId="37" fillId="2" borderId="6" xfId="0" applyFont="1" applyFill="1" applyBorder="1" applyAlignment="1">
      <alignment horizontal="left" vertical="center" wrapText="1"/>
    </xf>
    <xf numFmtId="0" fontId="34" fillId="4" borderId="6" xfId="0" applyFont="1" applyFill="1" applyBorder="1" applyAlignment="1">
      <alignment horizontal="center"/>
    </xf>
    <xf numFmtId="0" fontId="35" fillId="4" borderId="6" xfId="0" applyFont="1" applyFill="1" applyBorder="1" applyAlignment="1">
      <alignment horizontal="left" vertical="center"/>
    </xf>
    <xf numFmtId="164" fontId="35" fillId="4" borderId="6" xfId="0" applyNumberFormat="1" applyFont="1" applyFill="1" applyBorder="1" applyAlignment="1">
      <alignment horizontal="center" vertical="center"/>
    </xf>
    <xf numFmtId="164" fontId="34" fillId="4" borderId="6" xfId="0" applyNumberFormat="1" applyFont="1" applyFill="1" applyBorder="1" applyAlignment="1">
      <alignment horizontal="center" vertical="center"/>
    </xf>
    <xf numFmtId="0" fontId="35" fillId="0" borderId="6" xfId="0" applyFont="1" applyBorder="1"/>
    <xf numFmtId="0" fontId="34" fillId="0" borderId="6" xfId="0" applyFont="1" applyBorder="1" applyAlignment="1">
      <alignment horizontal="center" vertical="center"/>
    </xf>
    <xf numFmtId="0" fontId="35" fillId="0" borderId="0" xfId="0" applyFont="1"/>
    <xf numFmtId="0" fontId="34" fillId="0" borderId="27" xfId="0" applyFont="1" applyBorder="1" applyAlignment="1">
      <alignment horizontal="center" vertical="center"/>
    </xf>
    <xf numFmtId="164" fontId="34" fillId="4" borderId="27" xfId="0" applyNumberFormat="1" applyFont="1" applyFill="1" applyBorder="1" applyAlignment="1">
      <alignment horizontal="center" vertical="center"/>
    </xf>
    <xf numFmtId="164" fontId="1" fillId="0" borderId="22" xfId="3" applyNumberFormat="1" applyBorder="1"/>
    <xf numFmtId="164" fontId="17" fillId="0" borderId="8" xfId="3" applyNumberFormat="1" applyFont="1" applyBorder="1"/>
    <xf numFmtId="0" fontId="14" fillId="0" borderId="2" xfId="3" applyFont="1" applyBorder="1" applyAlignment="1">
      <alignment horizontal="left" vertical="center" wrapText="1"/>
    </xf>
    <xf numFmtId="0" fontId="7" fillId="0" borderId="8" xfId="3" applyFont="1" applyBorder="1"/>
    <xf numFmtId="0" fontId="4" fillId="0" borderId="13" xfId="3" applyFont="1" applyBorder="1"/>
    <xf numFmtId="0" fontId="3" fillId="0" borderId="14" xfId="3" applyFont="1" applyBorder="1"/>
    <xf numFmtId="164" fontId="3" fillId="0" borderId="15" xfId="3" applyNumberFormat="1" applyFont="1" applyBorder="1"/>
    <xf numFmtId="0" fontId="12" fillId="5" borderId="28" xfId="3" applyFont="1" applyFill="1" applyBorder="1" applyAlignment="1">
      <alignment horizontal="center" vertical="center" wrapText="1"/>
    </xf>
    <xf numFmtId="164" fontId="12" fillId="5" borderId="28" xfId="3" applyNumberFormat="1" applyFont="1" applyFill="1" applyBorder="1" applyAlignment="1">
      <alignment horizontal="center" vertical="center" wrapText="1"/>
    </xf>
    <xf numFmtId="0" fontId="1" fillId="4" borderId="28" xfId="3" applyFill="1" applyBorder="1" applyAlignment="1">
      <alignment horizontal="center"/>
    </xf>
    <xf numFmtId="0" fontId="1" fillId="4" borderId="28" xfId="3" applyFill="1" applyBorder="1" applyAlignment="1">
      <alignment horizontal="justify" vertical="center"/>
    </xf>
    <xf numFmtId="164" fontId="1" fillId="4" borderId="28" xfId="3" applyNumberFormat="1" applyFill="1" applyBorder="1"/>
    <xf numFmtId="0" fontId="38" fillId="4" borderId="28" xfId="0" applyFont="1" applyFill="1" applyBorder="1" applyAlignment="1">
      <alignment horizontal="center" vertical="center"/>
    </xf>
    <xf numFmtId="0" fontId="39" fillId="0" borderId="28" xfId="0" applyFont="1" applyBorder="1" applyAlignment="1">
      <alignment horizontal="center" vertical="center"/>
    </xf>
    <xf numFmtId="164" fontId="40" fillId="0" borderId="28" xfId="3" applyNumberFormat="1" applyFont="1" applyBorder="1" applyAlignment="1">
      <alignment horizontal="center" vertical="center"/>
    </xf>
    <xf numFmtId="164" fontId="38" fillId="4" borderId="28" xfId="3" applyNumberFormat="1" applyFont="1" applyFill="1" applyBorder="1" applyAlignment="1">
      <alignment horizontal="center" vertical="center"/>
    </xf>
    <xf numFmtId="0" fontId="38" fillId="4" borderId="28" xfId="3" applyFont="1" applyFill="1" applyBorder="1" applyAlignment="1">
      <alignment horizontal="center" vertical="center"/>
    </xf>
    <xf numFmtId="0" fontId="39" fillId="0" borderId="28" xfId="0" applyFont="1" applyBorder="1" applyAlignment="1">
      <alignment horizontal="center"/>
    </xf>
    <xf numFmtId="0" fontId="38" fillId="4" borderId="16" xfId="0" applyFont="1" applyFill="1" applyBorder="1" applyAlignment="1">
      <alignment horizontal="center"/>
    </xf>
    <xf numFmtId="0" fontId="40" fillId="2" borderId="16" xfId="0" applyFont="1" applyFill="1" applyBorder="1" applyAlignment="1">
      <alignment horizontal="center" vertical="center"/>
    </xf>
    <xf numFmtId="164" fontId="40" fillId="2" borderId="16" xfId="0" applyNumberFormat="1" applyFont="1" applyFill="1" applyBorder="1" applyAlignment="1">
      <alignment horizontal="center" vertical="center"/>
    </xf>
    <xf numFmtId="0" fontId="38" fillId="4" borderId="16" xfId="0" applyFont="1" applyFill="1" applyBorder="1" applyAlignment="1">
      <alignment horizontal="center" vertical="center" wrapText="1"/>
    </xf>
    <xf numFmtId="0" fontId="40" fillId="2" borderId="16" xfId="0" applyFont="1" applyFill="1" applyBorder="1" applyAlignment="1">
      <alignment horizontal="center" vertical="center" wrapText="1"/>
    </xf>
    <xf numFmtId="0" fontId="1" fillId="2" borderId="5" xfId="3" applyFill="1" applyBorder="1"/>
    <xf numFmtId="0" fontId="38" fillId="4" borderId="28" xfId="3" applyFont="1" applyFill="1" applyBorder="1" applyAlignment="1">
      <alignment horizontal="center" vertical="center" wrapText="1"/>
    </xf>
    <xf numFmtId="164" fontId="40" fillId="2" borderId="28" xfId="3" applyNumberFormat="1" applyFont="1" applyFill="1" applyBorder="1" applyAlignment="1">
      <alignment horizontal="center" vertical="center"/>
    </xf>
    <xf numFmtId="0" fontId="40" fillId="2" borderId="28" xfId="3" applyFont="1" applyFill="1" applyBorder="1" applyAlignment="1">
      <alignment horizontal="center" vertical="center" wrapText="1"/>
    </xf>
    <xf numFmtId="0" fontId="38" fillId="4" borderId="16" xfId="1" applyFont="1" applyFill="1" applyBorder="1" applyAlignment="1">
      <alignment horizontal="center" vertical="center" wrapText="1"/>
    </xf>
    <xf numFmtId="0" fontId="40" fillId="2" borderId="16" xfId="1" applyFont="1" applyFill="1" applyBorder="1" applyAlignment="1">
      <alignment horizontal="center" vertical="center" wrapText="1"/>
    </xf>
    <xf numFmtId="164" fontId="40" fillId="0" borderId="16" xfId="1" applyNumberFormat="1" applyFont="1" applyBorder="1" applyAlignment="1">
      <alignment horizontal="center" vertical="center"/>
    </xf>
    <xf numFmtId="164" fontId="38" fillId="4" borderId="16" xfId="0" applyNumberFormat="1" applyFont="1" applyFill="1" applyBorder="1" applyAlignment="1">
      <alignment horizontal="center" vertical="center"/>
    </xf>
    <xf numFmtId="164" fontId="40" fillId="2" borderId="16" xfId="1" applyNumberFormat="1" applyFont="1" applyFill="1" applyBorder="1" applyAlignment="1">
      <alignment horizontal="center" vertical="center"/>
    </xf>
    <xf numFmtId="164" fontId="38" fillId="4" borderId="16" xfId="1" applyNumberFormat="1" applyFont="1" applyFill="1" applyBorder="1" applyAlignment="1">
      <alignment horizontal="center" vertical="center"/>
    </xf>
    <xf numFmtId="0" fontId="33" fillId="2" borderId="0" xfId="3" applyFont="1" applyFill="1" applyAlignment="1">
      <alignment horizontal="center" vertical="center" wrapText="1"/>
    </xf>
    <xf numFmtId="164" fontId="41" fillId="2" borderId="28" xfId="3" applyNumberFormat="1" applyFont="1" applyFill="1" applyBorder="1" applyAlignment="1">
      <alignment horizontal="right" vertical="center"/>
    </xf>
    <xf numFmtId="164" fontId="38" fillId="5" borderId="28" xfId="3" applyNumberFormat="1" applyFont="1" applyFill="1" applyBorder="1" applyAlignment="1">
      <alignment horizontal="right" vertical="center"/>
    </xf>
    <xf numFmtId="0" fontId="42" fillId="4" borderId="16" xfId="3" applyFont="1" applyFill="1" applyBorder="1" applyAlignment="1">
      <alignment horizontal="center" vertical="center"/>
    </xf>
    <xf numFmtId="0" fontId="41" fillId="0" borderId="29" xfId="3" applyFont="1" applyBorder="1" applyAlignment="1">
      <alignment horizontal="right"/>
    </xf>
    <xf numFmtId="164" fontId="43" fillId="5" borderId="28" xfId="3" applyNumberFormat="1" applyFont="1" applyFill="1" applyBorder="1"/>
    <xf numFmtId="0" fontId="41" fillId="0" borderId="30" xfId="3" applyFont="1" applyBorder="1" applyAlignment="1">
      <alignment horizontal="right"/>
    </xf>
    <xf numFmtId="164" fontId="43" fillId="5" borderId="31" xfId="3" applyNumberFormat="1" applyFont="1" applyFill="1" applyBorder="1"/>
    <xf numFmtId="0" fontId="14" fillId="0" borderId="25" xfId="3" applyFont="1" applyBorder="1" applyAlignment="1">
      <alignment horizontal="left" vertical="center"/>
    </xf>
    <xf numFmtId="0" fontId="7" fillId="0" borderId="8" xfId="3" applyFont="1" applyBorder="1" applyAlignment="1">
      <alignment horizontal="center" vertical="center" wrapText="1"/>
    </xf>
    <xf numFmtId="0" fontId="7" fillId="0" borderId="1" xfId="3" applyFont="1" applyBorder="1" applyAlignment="1">
      <alignment horizontal="left" vertical="center"/>
    </xf>
    <xf numFmtId="0" fontId="7" fillId="0" borderId="1" xfId="3" applyFont="1" applyBorder="1" applyAlignment="1">
      <alignment horizontal="center" vertical="center" wrapText="1"/>
    </xf>
    <xf numFmtId="0" fontId="7" fillId="0" borderId="8" xfId="3" applyFont="1" applyBorder="1" applyAlignment="1">
      <alignment horizontal="left" vertical="center"/>
    </xf>
    <xf numFmtId="0" fontId="42" fillId="6" borderId="16" xfId="3" applyFont="1" applyFill="1" applyBorder="1" applyAlignment="1">
      <alignment horizontal="center" vertical="center"/>
    </xf>
    <xf numFmtId="0" fontId="35" fillId="2" borderId="6"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7" fillId="2" borderId="6" xfId="0" applyFont="1" applyFill="1" applyBorder="1" applyAlignment="1">
      <alignment horizontal="center" vertical="center" wrapText="1"/>
    </xf>
    <xf numFmtId="0" fontId="14" fillId="0" borderId="2" xfId="3" applyFont="1" applyBorder="1" applyAlignment="1">
      <alignment horizontal="left" vertical="center"/>
    </xf>
    <xf numFmtId="164" fontId="11" fillId="2" borderId="16" xfId="2" applyNumberFormat="1" applyFont="1" applyFill="1" applyBorder="1" applyAlignment="1">
      <alignment horizontal="right" vertical="center"/>
    </xf>
    <xf numFmtId="0" fontId="11" fillId="0" borderId="16" xfId="2" applyFont="1" applyBorder="1" applyAlignment="1">
      <alignment horizontal="right"/>
    </xf>
    <xf numFmtId="0" fontId="11" fillId="0" borderId="18" xfId="2" applyFont="1" applyBorder="1" applyAlignment="1">
      <alignment horizontal="right"/>
    </xf>
    <xf numFmtId="0" fontId="1" fillId="2" borderId="5" xfId="2" applyFill="1" applyBorder="1"/>
    <xf numFmtId="0" fontId="9" fillId="2" borderId="0" xfId="2" applyFont="1" applyFill="1" applyAlignment="1">
      <alignment horizontal="right" vertical="center"/>
    </xf>
    <xf numFmtId="0" fontId="1" fillId="2" borderId="4" xfId="2" applyFill="1" applyBorder="1"/>
    <xf numFmtId="0" fontId="16" fillId="0" borderId="8" xfId="3" applyFont="1" applyBorder="1" applyAlignment="1">
      <alignment horizontal="left"/>
    </xf>
    <xf numFmtId="0" fontId="44" fillId="0" borderId="2" xfId="3" applyFont="1" applyBorder="1" applyAlignment="1">
      <alignment horizontal="left" vertical="center" wrapText="1"/>
    </xf>
    <xf numFmtId="0" fontId="10" fillId="2" borderId="16" xfId="2" applyFont="1" applyFill="1" applyBorder="1" applyAlignment="1">
      <alignment horizontal="center" wrapText="1"/>
    </xf>
    <xf numFmtId="0" fontId="7" fillId="0" borderId="1" xfId="3" applyFont="1" applyBorder="1" applyAlignment="1">
      <alignment horizontal="center" vertical="center"/>
    </xf>
    <xf numFmtId="0" fontId="18" fillId="5" borderId="1" xfId="3" applyFont="1" applyFill="1" applyBorder="1" applyAlignment="1">
      <alignment horizontal="center"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7" borderId="35" xfId="0" applyFill="1" applyBorder="1" applyAlignment="1">
      <alignment horizontal="center" vertical="center"/>
    </xf>
    <xf numFmtId="0" fontId="0" fillId="7" borderId="35" xfId="0" applyFill="1" applyBorder="1" applyAlignment="1">
      <alignment horizontal="center" vertical="center" wrapText="1"/>
    </xf>
    <xf numFmtId="0" fontId="45" fillId="7" borderId="35" xfId="0" applyFont="1" applyFill="1" applyBorder="1" applyAlignment="1">
      <alignment horizontal="center" vertical="center" wrapText="1"/>
    </xf>
    <xf numFmtId="0" fontId="46" fillId="4" borderId="29" xfId="0" applyFont="1" applyFill="1" applyBorder="1" applyAlignment="1">
      <alignment horizontal="center" vertical="center"/>
    </xf>
    <xf numFmtId="0" fontId="46" fillId="4" borderId="28" xfId="0" applyFont="1" applyFill="1" applyBorder="1" applyAlignment="1">
      <alignment horizontal="center" vertical="center"/>
    </xf>
    <xf numFmtId="0" fontId="28" fillId="0" borderId="28" xfId="0" applyFont="1" applyBorder="1" applyAlignment="1">
      <alignment horizontal="center" vertical="center" wrapText="1"/>
    </xf>
    <xf numFmtId="0" fontId="45" fillId="0" borderId="28" xfId="0" applyFont="1" applyBorder="1" applyAlignment="1">
      <alignment horizontal="center" vertical="center" wrapText="1"/>
    </xf>
    <xf numFmtId="44" fontId="47" fillId="8" borderId="29" xfId="4" applyFont="1" applyFill="1" applyBorder="1" applyAlignment="1">
      <alignment horizontal="center" vertical="center"/>
    </xf>
    <xf numFmtId="0" fontId="48" fillId="0" borderId="28" xfId="0" applyFont="1" applyBorder="1" applyAlignment="1">
      <alignment horizontal="center" vertical="center" wrapText="1"/>
    </xf>
    <xf numFmtId="0" fontId="49" fillId="0" borderId="28" xfId="0" applyFont="1" applyBorder="1" applyAlignment="1">
      <alignment horizontal="center" vertical="center" wrapText="1"/>
    </xf>
    <xf numFmtId="44" fontId="46" fillId="8" borderId="29" xfId="4" applyFont="1" applyFill="1" applyBorder="1" applyAlignment="1">
      <alignment horizontal="center" vertical="center"/>
    </xf>
    <xf numFmtId="0" fontId="19" fillId="0" borderId="12" xfId="2" applyFont="1" applyBorder="1"/>
    <xf numFmtId="0" fontId="50" fillId="2" borderId="28" xfId="2" applyFont="1" applyFill="1" applyBorder="1" applyAlignment="1">
      <alignment horizontal="center" vertical="center"/>
    </xf>
    <xf numFmtId="164" fontId="13" fillId="4" borderId="16" xfId="2" applyNumberFormat="1" applyFont="1" applyFill="1" applyBorder="1" applyAlignment="1">
      <alignment horizontal="center" vertical="center"/>
    </xf>
    <xf numFmtId="0" fontId="19" fillId="0" borderId="5" xfId="2" applyFont="1" applyBorder="1"/>
    <xf numFmtId="164" fontId="13" fillId="4" borderId="18" xfId="2" applyNumberFormat="1" applyFont="1" applyFill="1" applyBorder="1" applyAlignment="1">
      <alignment horizontal="center" vertical="center"/>
    </xf>
    <xf numFmtId="0" fontId="19" fillId="0" borderId="13" xfId="2" applyFont="1" applyBorder="1"/>
    <xf numFmtId="0" fontId="13" fillId="4" borderId="39" xfId="2" applyFont="1" applyFill="1" applyBorder="1" applyAlignment="1">
      <alignment horizontal="center" vertical="center"/>
    </xf>
    <xf numFmtId="0" fontId="13" fillId="4" borderId="40" xfId="2" applyFont="1" applyFill="1" applyBorder="1" applyAlignment="1">
      <alignment horizontal="center" vertical="center"/>
    </xf>
    <xf numFmtId="0" fontId="0" fillId="0" borderId="0" xfId="0" applyAlignment="1">
      <alignment horizontal="center" vertical="center" textRotation="90"/>
    </xf>
    <xf numFmtId="0" fontId="0" fillId="2" borderId="0" xfId="0" applyFill="1" applyAlignment="1">
      <alignment horizontal="center" vertical="center" textRotation="90"/>
    </xf>
    <xf numFmtId="0" fontId="10" fillId="2" borderId="0" xfId="3" applyFont="1" applyFill="1" applyAlignment="1">
      <alignment horizontal="center"/>
    </xf>
    <xf numFmtId="0" fontId="18" fillId="2" borderId="0" xfId="3" applyFont="1" applyFill="1" applyAlignment="1">
      <alignment horizontal="center" vertical="center" wrapText="1"/>
    </xf>
    <xf numFmtId="164" fontId="7" fillId="2" borderId="0" xfId="3" applyNumberFormat="1" applyFont="1" applyFill="1"/>
    <xf numFmtId="164" fontId="15" fillId="2" borderId="0" xfId="3" applyNumberFormat="1" applyFont="1" applyFill="1"/>
    <xf numFmtId="0" fontId="0" fillId="0" borderId="28" xfId="0" applyBorder="1" applyAlignment="1">
      <alignment horizontal="center" vertical="center"/>
    </xf>
    <xf numFmtId="0" fontId="0" fillId="0" borderId="41" xfId="0" applyBorder="1" applyAlignment="1">
      <alignment horizontal="center" vertical="center" textRotation="90"/>
    </xf>
    <xf numFmtId="0" fontId="29" fillId="9" borderId="28" xfId="0" applyFont="1" applyFill="1" applyBorder="1" applyAlignment="1">
      <alignment horizontal="center" vertical="center" wrapText="1"/>
    </xf>
    <xf numFmtId="0" fontId="51" fillId="9" borderId="28" xfId="0" applyFont="1" applyFill="1" applyBorder="1" applyAlignment="1">
      <alignment horizontal="center" vertical="center" wrapText="1"/>
    </xf>
    <xf numFmtId="0" fontId="0" fillId="0" borderId="28" xfId="0" applyBorder="1" applyAlignment="1">
      <alignment horizontal="center" vertical="center" wrapText="1"/>
    </xf>
    <xf numFmtId="0" fontId="48" fillId="0" borderId="31" xfId="0" applyFont="1" applyBorder="1" applyAlignment="1">
      <alignment horizontal="center" vertical="center" wrapText="1"/>
    </xf>
    <xf numFmtId="0" fontId="49" fillId="0" borderId="31" xfId="0" applyFont="1" applyBorder="1" applyAlignment="1">
      <alignment horizontal="center" vertical="center" wrapText="1"/>
    </xf>
    <xf numFmtId="164" fontId="13" fillId="4" borderId="36" xfId="2" applyNumberFormat="1" applyFont="1" applyFill="1" applyBorder="1" applyAlignment="1">
      <alignment horizontal="center" vertical="center"/>
    </xf>
    <xf numFmtId="0" fontId="48" fillId="0" borderId="0" xfId="0" applyFont="1" applyAlignment="1">
      <alignment horizontal="center" vertical="center" wrapText="1"/>
    </xf>
    <xf numFmtId="0" fontId="49" fillId="0" borderId="0" xfId="0" applyFont="1" applyAlignment="1">
      <alignment horizontal="center" vertical="center" wrapText="1"/>
    </xf>
    <xf numFmtId="164" fontId="13" fillId="4" borderId="37" xfId="2" applyNumberFormat="1" applyFont="1" applyFill="1" applyBorder="1" applyAlignment="1">
      <alignment horizontal="center" vertical="center"/>
    </xf>
    <xf numFmtId="44" fontId="52" fillId="4" borderId="0" xfId="4" applyFont="1" applyFill="1" applyBorder="1" applyAlignment="1">
      <alignment horizontal="center" vertical="center"/>
    </xf>
    <xf numFmtId="164" fontId="9" fillId="4" borderId="36" xfId="2" applyNumberFormat="1" applyFont="1" applyFill="1" applyBorder="1" applyAlignment="1">
      <alignment horizontal="center" vertical="center"/>
    </xf>
    <xf numFmtId="164" fontId="9" fillId="4" borderId="37" xfId="2" applyNumberFormat="1" applyFont="1" applyFill="1" applyBorder="1" applyAlignment="1">
      <alignment horizontal="center" vertical="center"/>
    </xf>
    <xf numFmtId="0" fontId="13" fillId="4" borderId="42" xfId="2" applyFont="1" applyFill="1" applyBorder="1" applyAlignment="1">
      <alignment horizontal="left" vertical="center"/>
    </xf>
    <xf numFmtId="0" fontId="13" fillId="4" borderId="33" xfId="2" applyFont="1" applyFill="1" applyBorder="1" applyAlignment="1">
      <alignment horizontal="center" vertical="center"/>
    </xf>
    <xf numFmtId="0" fontId="13" fillId="4" borderId="43" xfId="2" applyFont="1" applyFill="1" applyBorder="1" applyAlignment="1">
      <alignment horizontal="center" vertical="center"/>
    </xf>
    <xf numFmtId="0" fontId="0" fillId="4" borderId="34" xfId="0" applyFill="1" applyBorder="1" applyAlignment="1">
      <alignment horizontal="center" vertical="center"/>
    </xf>
    <xf numFmtId="0" fontId="10" fillId="0" borderId="0" xfId="3" applyFont="1" applyAlignment="1">
      <alignment horizontal="center"/>
    </xf>
    <xf numFmtId="0" fontId="18" fillId="0" borderId="0" xfId="3" applyFont="1" applyAlignment="1">
      <alignment horizontal="center" vertical="center" wrapText="1"/>
    </xf>
    <xf numFmtId="164" fontId="7" fillId="0" borderId="0" xfId="3" applyNumberFormat="1" applyFont="1"/>
    <xf numFmtId="164" fontId="15" fillId="0" borderId="0" xfId="3" applyNumberFormat="1" applyFont="1"/>
    <xf numFmtId="0" fontId="0" fillId="7" borderId="28" xfId="0" applyFill="1" applyBorder="1" applyAlignment="1">
      <alignment horizontal="center" vertical="center"/>
    </xf>
    <xf numFmtId="0" fontId="0" fillId="7" borderId="28" xfId="0" applyFill="1" applyBorder="1" applyAlignment="1">
      <alignment horizontal="center" vertical="center" wrapText="1"/>
    </xf>
    <xf numFmtId="0" fontId="45" fillId="7" borderId="28" xfId="0" applyFont="1" applyFill="1" applyBorder="1" applyAlignment="1">
      <alignment horizontal="center" vertical="center" wrapText="1"/>
    </xf>
    <xf numFmtId="0" fontId="13" fillId="4" borderId="38" xfId="2" applyFont="1" applyFill="1" applyBorder="1" applyAlignment="1">
      <alignment horizontal="left" vertical="center"/>
    </xf>
    <xf numFmtId="0" fontId="1" fillId="2" borderId="8" xfId="2" applyFill="1" applyBorder="1"/>
    <xf numFmtId="0" fontId="13" fillId="5" borderId="8" xfId="3" applyFont="1" applyFill="1" applyBorder="1" applyAlignment="1">
      <alignment horizontal="center" vertical="center" wrapText="1"/>
    </xf>
    <xf numFmtId="44" fontId="46" fillId="8" borderId="0" xfId="4" applyFont="1" applyFill="1" applyBorder="1" applyAlignment="1">
      <alignment horizontal="center" vertical="center"/>
    </xf>
    <xf numFmtId="0" fontId="12" fillId="5" borderId="2" xfId="3" applyFont="1" applyFill="1" applyBorder="1" applyAlignment="1">
      <alignment horizontal="center" vertical="center" wrapText="1"/>
    </xf>
    <xf numFmtId="164" fontId="12" fillId="5" borderId="2" xfId="3" applyNumberFormat="1" applyFont="1" applyFill="1" applyBorder="1" applyAlignment="1">
      <alignment horizontal="center" vertical="center" wrapText="1"/>
    </xf>
    <xf numFmtId="0" fontId="27" fillId="4" borderId="0" xfId="0" applyFont="1" applyFill="1" applyAlignment="1">
      <alignment horizontal="center" vertical="center"/>
    </xf>
    <xf numFmtId="0" fontId="0" fillId="0" borderId="6" xfId="0" applyBorder="1" applyAlignment="1">
      <alignment horizontal="center" vertical="center"/>
    </xf>
    <xf numFmtId="164" fontId="1" fillId="0" borderId="6" xfId="3" applyNumberFormat="1" applyBorder="1" applyAlignment="1">
      <alignment horizontal="center" vertical="center"/>
    </xf>
    <xf numFmtId="164" fontId="12" fillId="4" borderId="6" xfId="3" applyNumberFormat="1" applyFont="1" applyFill="1" applyBorder="1" applyAlignment="1">
      <alignment horizontal="center" vertical="center"/>
    </xf>
    <xf numFmtId="0" fontId="12" fillId="4" borderId="44" xfId="3" applyFont="1" applyFill="1" applyBorder="1" applyAlignment="1">
      <alignment horizontal="center" vertical="center"/>
    </xf>
    <xf numFmtId="0" fontId="0" fillId="0" borderId="6" xfId="0" applyBorder="1" applyAlignment="1">
      <alignment horizontal="center"/>
    </xf>
    <xf numFmtId="0" fontId="12" fillId="4" borderId="44" xfId="3" applyFont="1" applyFill="1" applyBorder="1" applyAlignment="1">
      <alignment horizontal="center" vertical="center" wrapText="1"/>
    </xf>
    <xf numFmtId="164" fontId="1" fillId="2" borderId="6" xfId="3" applyNumberFormat="1" applyFill="1" applyBorder="1" applyAlignment="1">
      <alignment horizontal="center" vertical="center"/>
    </xf>
    <xf numFmtId="164" fontId="8" fillId="2" borderId="6" xfId="3" applyNumberFormat="1" applyFont="1" applyFill="1" applyBorder="1" applyAlignment="1">
      <alignment horizontal="right" vertical="center"/>
    </xf>
    <xf numFmtId="0" fontId="1" fillId="0" borderId="5" xfId="3" applyBorder="1" applyAlignment="1">
      <alignment horizontal="center" vertical="center"/>
    </xf>
    <xf numFmtId="0" fontId="8" fillId="0" borderId="6" xfId="3" applyFont="1" applyBorder="1" applyAlignment="1">
      <alignment horizontal="right"/>
    </xf>
    <xf numFmtId="0" fontId="1" fillId="0" borderId="13" xfId="3" applyBorder="1" applyAlignment="1">
      <alignment horizontal="center" vertical="center"/>
    </xf>
    <xf numFmtId="0" fontId="8" fillId="0" borderId="27" xfId="3" applyFont="1" applyBorder="1" applyAlignment="1">
      <alignment horizontal="right"/>
    </xf>
    <xf numFmtId="0" fontId="14" fillId="0" borderId="2" xfId="3" applyFont="1" applyBorder="1" applyAlignment="1">
      <alignment horizontal="center" vertical="center"/>
    </xf>
    <xf numFmtId="164" fontId="1" fillId="0" borderId="4" xfId="3" applyNumberFormat="1" applyBorder="1" applyAlignment="1">
      <alignment horizontal="center" vertical="center"/>
    </xf>
    <xf numFmtId="164" fontId="17" fillId="0" borderId="1" xfId="3" applyNumberFormat="1" applyFont="1" applyBorder="1" applyAlignment="1">
      <alignment horizontal="center" vertical="center"/>
    </xf>
    <xf numFmtId="0" fontId="10" fillId="0" borderId="1" xfId="3" applyFont="1" applyBorder="1" applyAlignment="1">
      <alignment horizontal="center" vertical="center"/>
    </xf>
    <xf numFmtId="164" fontId="1" fillId="0" borderId="1" xfId="3" applyNumberFormat="1" applyBorder="1" applyAlignment="1">
      <alignment horizontal="center" vertical="center"/>
    </xf>
    <xf numFmtId="0" fontId="1" fillId="0" borderId="1" xfId="3" applyBorder="1" applyAlignment="1">
      <alignment horizontal="center" vertical="center"/>
    </xf>
    <xf numFmtId="164" fontId="7" fillId="0" borderId="1" xfId="3" applyNumberFormat="1" applyFont="1" applyBorder="1" applyAlignment="1">
      <alignment horizontal="center" vertical="center"/>
    </xf>
    <xf numFmtId="164" fontId="15" fillId="0" borderId="1" xfId="3" applyNumberFormat="1" applyFont="1" applyBorder="1" applyAlignment="1">
      <alignment horizontal="center" vertical="center"/>
    </xf>
    <xf numFmtId="164" fontId="19" fillId="0" borderId="1" xfId="3" applyNumberFormat="1" applyFont="1" applyBorder="1" applyAlignment="1">
      <alignment horizontal="center" vertical="center"/>
    </xf>
    <xf numFmtId="0" fontId="34" fillId="2" borderId="16" xfId="0" applyFont="1" applyFill="1" applyBorder="1" applyAlignment="1">
      <alignment horizontal="center" vertical="center" wrapText="1"/>
    </xf>
    <xf numFmtId="164" fontId="35" fillId="2" borderId="16" xfId="0" applyNumberFormat="1" applyFont="1" applyFill="1" applyBorder="1" applyAlignment="1">
      <alignment horizontal="center" vertical="center" wrapText="1"/>
    </xf>
    <xf numFmtId="164" fontId="12" fillId="4" borderId="16" xfId="0" applyNumberFormat="1" applyFont="1" applyFill="1" applyBorder="1" applyAlignment="1">
      <alignment horizontal="center" vertical="center" wrapText="1"/>
    </xf>
    <xf numFmtId="0" fontId="34" fillId="4" borderId="16" xfId="0" applyFont="1" applyFill="1" applyBorder="1" applyAlignment="1">
      <alignment horizontal="center"/>
    </xf>
    <xf numFmtId="0" fontId="35" fillId="10" borderId="16" xfId="0" applyFont="1" applyFill="1" applyBorder="1" applyAlignment="1">
      <alignment horizontal="left" vertical="center"/>
    </xf>
    <xf numFmtId="164" fontId="35" fillId="10" borderId="16" xfId="0" applyNumberFormat="1" applyFont="1" applyFill="1" applyBorder="1" applyAlignment="1">
      <alignment horizontal="center" vertical="center"/>
    </xf>
    <xf numFmtId="0" fontId="35" fillId="0" borderId="0" xfId="0" applyFont="1" applyAlignment="1">
      <alignment horizontal="center" vertical="center"/>
    </xf>
    <xf numFmtId="0" fontId="34" fillId="0" borderId="16" xfId="0" applyFont="1" applyBorder="1" applyAlignment="1">
      <alignment horizontal="center" vertical="center"/>
    </xf>
    <xf numFmtId="164" fontId="12" fillId="5" borderId="6" xfId="3" applyNumberFormat="1" applyFont="1" applyFill="1" applyBorder="1" applyAlignment="1">
      <alignment horizontal="center" vertical="center"/>
    </xf>
    <xf numFmtId="164" fontId="17" fillId="5" borderId="6" xfId="3" applyNumberFormat="1" applyFont="1" applyFill="1" applyBorder="1" applyAlignment="1">
      <alignment horizontal="center"/>
    </xf>
    <xf numFmtId="164" fontId="17" fillId="5" borderId="27" xfId="3" applyNumberFormat="1" applyFont="1" applyFill="1" applyBorder="1" applyAlignment="1">
      <alignment horizontal="center"/>
    </xf>
    <xf numFmtId="0" fontId="55" fillId="6" borderId="17" xfId="2" applyFont="1" applyFill="1" applyBorder="1" applyAlignment="1">
      <alignment horizontal="center" vertical="center"/>
    </xf>
    <xf numFmtId="0" fontId="7" fillId="0" borderId="12" xfId="1" applyFont="1" applyBorder="1" applyAlignment="1">
      <alignment horizontal="left" vertical="center"/>
    </xf>
    <xf numFmtId="0" fontId="34" fillId="2" borderId="16" xfId="0" applyFont="1" applyFill="1" applyBorder="1" applyAlignment="1">
      <alignment horizontal="left" vertical="center" wrapText="1"/>
    </xf>
    <xf numFmtId="0" fontId="1" fillId="0" borderId="4" xfId="3" applyBorder="1" applyAlignment="1">
      <alignment horizontal="left"/>
    </xf>
    <xf numFmtId="0" fontId="1" fillId="2" borderId="1" xfId="3" applyFill="1" applyBorder="1" applyAlignment="1">
      <alignment horizontal="left"/>
    </xf>
    <xf numFmtId="0" fontId="1" fillId="0" borderId="1" xfId="3" applyBorder="1" applyAlignment="1">
      <alignment horizontal="left"/>
    </xf>
    <xf numFmtId="0" fontId="16" fillId="0" borderId="2" xfId="3" applyFont="1" applyBorder="1" applyAlignment="1">
      <alignment horizontal="center" vertical="center" wrapText="1"/>
    </xf>
    <xf numFmtId="0" fontId="4" fillId="0" borderId="13" xfId="2" applyFont="1" applyBorder="1"/>
    <xf numFmtId="0" fontId="3" fillId="0" borderId="14" xfId="2" applyFont="1" applyBorder="1"/>
    <xf numFmtId="164" fontId="3" fillId="0" borderId="15" xfId="2" applyNumberFormat="1" applyFont="1" applyBorder="1"/>
    <xf numFmtId="164" fontId="11" fillId="2" borderId="47" xfId="2" applyNumberFormat="1" applyFont="1" applyFill="1" applyBorder="1" applyAlignment="1">
      <alignment horizontal="center" vertical="center"/>
    </xf>
    <xf numFmtId="164" fontId="9" fillId="4" borderId="47" xfId="2" applyNumberFormat="1" applyFont="1" applyFill="1" applyBorder="1" applyAlignment="1">
      <alignment horizontal="center" vertical="center"/>
    </xf>
    <xf numFmtId="0" fontId="8" fillId="3" borderId="16" xfId="1" applyFont="1" applyFill="1" applyBorder="1" applyAlignment="1">
      <alignment horizontal="center"/>
    </xf>
    <xf numFmtId="0" fontId="8" fillId="3" borderId="16" xfId="1" applyFont="1" applyFill="1" applyBorder="1" applyAlignment="1">
      <alignment horizontal="center" vertical="center"/>
    </xf>
    <xf numFmtId="164" fontId="8" fillId="3" borderId="16" xfId="1" applyNumberFormat="1" applyFont="1" applyFill="1" applyBorder="1"/>
    <xf numFmtId="0" fontId="9" fillId="4" borderId="16" xfId="3" applyFont="1" applyFill="1" applyBorder="1" applyAlignment="1">
      <alignment horizontal="center" vertical="center" wrapText="1"/>
    </xf>
    <xf numFmtId="0" fontId="10" fillId="2" borderId="16" xfId="3" applyFont="1" applyFill="1" applyBorder="1" applyAlignment="1">
      <alignment horizontal="center" vertical="center" wrapText="1"/>
    </xf>
    <xf numFmtId="164" fontId="10" fillId="0" borderId="16" xfId="3" applyNumberFormat="1" applyFont="1" applyBorder="1" applyAlignment="1">
      <alignment horizontal="center" vertical="center"/>
    </xf>
    <xf numFmtId="164" fontId="9" fillId="4" borderId="16" xfId="3" applyNumberFormat="1" applyFont="1" applyFill="1" applyBorder="1" applyAlignment="1">
      <alignment horizontal="center" vertical="center"/>
    </xf>
    <xf numFmtId="0" fontId="1" fillId="2" borderId="1" xfId="2" applyFill="1" applyBorder="1" applyAlignment="1">
      <alignment horizontal="center" vertical="center"/>
    </xf>
    <xf numFmtId="0" fontId="10" fillId="0" borderId="5" xfId="2" applyFont="1" applyBorder="1" applyAlignment="1">
      <alignment horizontal="center" vertical="center"/>
    </xf>
    <xf numFmtId="164" fontId="10" fillId="6" borderId="16" xfId="2" applyNumberFormat="1" applyFont="1" applyFill="1" applyBorder="1" applyAlignment="1">
      <alignment horizontal="center" vertical="center"/>
    </xf>
    <xf numFmtId="0" fontId="9" fillId="4" borderId="16" xfId="2" applyFont="1" applyFill="1" applyBorder="1" applyAlignment="1">
      <alignment horizontal="center" vertical="center"/>
    </xf>
    <xf numFmtId="0" fontId="12" fillId="5" borderId="2" xfId="2" applyFont="1" applyFill="1" applyBorder="1" applyAlignment="1">
      <alignment horizontal="center" vertical="center" wrapText="1"/>
    </xf>
    <xf numFmtId="164" fontId="12" fillId="5" borderId="2" xfId="2" applyNumberFormat="1" applyFont="1" applyFill="1" applyBorder="1" applyAlignment="1">
      <alignment horizontal="center" vertical="center" wrapText="1"/>
    </xf>
    <xf numFmtId="0" fontId="1" fillId="4" borderId="6" xfId="2" applyFill="1" applyBorder="1" applyAlignment="1">
      <alignment horizontal="center"/>
    </xf>
    <xf numFmtId="0" fontId="1" fillId="4" borderId="6" xfId="2" applyFill="1" applyBorder="1" applyAlignment="1">
      <alignment horizontal="justify" vertical="center"/>
    </xf>
    <xf numFmtId="164" fontId="1" fillId="4" borderId="6" xfId="2" applyNumberFormat="1" applyFill="1" applyBorder="1"/>
    <xf numFmtId="0" fontId="9" fillId="4" borderId="27" xfId="2" applyFont="1" applyFill="1" applyBorder="1" applyAlignment="1">
      <alignment horizontal="center" vertical="center" wrapText="1"/>
    </xf>
    <xf numFmtId="164" fontId="9" fillId="4" borderId="27" xfId="2" applyNumberFormat="1" applyFont="1" applyFill="1" applyBorder="1" applyAlignment="1">
      <alignment horizontal="center" vertical="center"/>
    </xf>
    <xf numFmtId="0" fontId="9" fillId="4" borderId="48" xfId="2" applyFont="1" applyFill="1" applyBorder="1" applyAlignment="1">
      <alignment horizontal="center" vertical="center" wrapText="1"/>
    </xf>
    <xf numFmtId="0" fontId="10" fillId="2" borderId="27" xfId="2" applyFont="1" applyFill="1" applyBorder="1" applyAlignment="1">
      <alignment horizontal="center" vertical="center" wrapText="1"/>
    </xf>
    <xf numFmtId="164" fontId="10" fillId="2" borderId="27" xfId="2" applyNumberFormat="1" applyFont="1" applyFill="1" applyBorder="1" applyAlignment="1">
      <alignment horizontal="center" vertical="center"/>
    </xf>
    <xf numFmtId="0" fontId="9" fillId="4" borderId="0" xfId="2" applyFont="1" applyFill="1" applyAlignment="1">
      <alignment horizontal="center" vertical="center" wrapText="1"/>
    </xf>
    <xf numFmtId="0" fontId="9" fillId="6" borderId="27" xfId="2" applyFont="1" applyFill="1" applyBorder="1" applyAlignment="1">
      <alignment horizontal="center" vertical="center"/>
    </xf>
    <xf numFmtId="164" fontId="11" fillId="2" borderId="49" xfId="2" applyNumberFormat="1" applyFont="1" applyFill="1" applyBorder="1" applyAlignment="1">
      <alignment horizontal="right" vertical="center"/>
    </xf>
    <xf numFmtId="0" fontId="9" fillId="6" borderId="50" xfId="2" applyFont="1" applyFill="1" applyBorder="1" applyAlignment="1">
      <alignment horizontal="center" vertical="center"/>
    </xf>
    <xf numFmtId="0" fontId="11" fillId="0" borderId="51" xfId="2" applyFont="1" applyBorder="1" applyAlignment="1">
      <alignment horizontal="right"/>
    </xf>
    <xf numFmtId="0" fontId="12" fillId="4" borderId="28" xfId="2" applyFont="1" applyFill="1" applyBorder="1" applyAlignment="1">
      <alignment horizontal="center" vertical="center" wrapText="1"/>
    </xf>
    <xf numFmtId="0" fontId="1" fillId="2" borderId="28" xfId="2" applyFill="1" applyBorder="1" applyAlignment="1">
      <alignment horizontal="center" vertical="center" wrapText="1"/>
    </xf>
    <xf numFmtId="164" fontId="8" fillId="2" borderId="28" xfId="2" applyNumberFormat="1" applyFont="1" applyFill="1" applyBorder="1" applyAlignment="1">
      <alignment horizontal="center" vertical="center"/>
    </xf>
    <xf numFmtId="164" fontId="12" fillId="4" borderId="28" xfId="2" applyNumberFormat="1" applyFont="1" applyFill="1" applyBorder="1" applyAlignment="1">
      <alignment horizontal="center" vertical="center"/>
    </xf>
    <xf numFmtId="0" fontId="33" fillId="2" borderId="28" xfId="3" applyFont="1" applyFill="1" applyBorder="1" applyAlignment="1">
      <alignment horizontal="center" vertical="center" wrapText="1"/>
    </xf>
    <xf numFmtId="0" fontId="1" fillId="2" borderId="28" xfId="1" applyFill="1" applyBorder="1" applyAlignment="1">
      <alignment horizontal="center" vertical="center" wrapText="1"/>
    </xf>
    <xf numFmtId="164" fontId="8" fillId="2" borderId="28" xfId="3" applyNumberFormat="1" applyFont="1" applyFill="1" applyBorder="1" applyAlignment="1">
      <alignment horizontal="center" vertical="center"/>
    </xf>
    <xf numFmtId="164" fontId="12" fillId="5" borderId="28" xfId="3" applyNumberFormat="1" applyFont="1" applyFill="1" applyBorder="1" applyAlignment="1">
      <alignment horizontal="center" vertical="center"/>
    </xf>
    <xf numFmtId="0" fontId="1" fillId="0" borderId="12" xfId="3" applyBorder="1"/>
    <xf numFmtId="0" fontId="1" fillId="0" borderId="12" xfId="3" applyBorder="1" applyAlignment="1">
      <alignment horizontal="center" vertical="center"/>
    </xf>
    <xf numFmtId="0" fontId="8" fillId="0" borderId="28" xfId="3" applyFont="1" applyBorder="1" applyAlignment="1">
      <alignment horizontal="center"/>
    </xf>
    <xf numFmtId="164" fontId="17" fillId="5" borderId="28" xfId="3" applyNumberFormat="1" applyFont="1" applyFill="1" applyBorder="1" applyAlignment="1">
      <alignment horizontal="center"/>
    </xf>
    <xf numFmtId="0" fontId="8" fillId="0" borderId="31" xfId="3" applyFont="1" applyBorder="1" applyAlignment="1">
      <alignment horizontal="center"/>
    </xf>
    <xf numFmtId="164" fontId="17" fillId="5" borderId="31" xfId="3" applyNumberFormat="1" applyFont="1" applyFill="1" applyBorder="1" applyAlignment="1">
      <alignment horizontal="center"/>
    </xf>
    <xf numFmtId="0" fontId="12" fillId="5" borderId="53" xfId="3" applyFont="1" applyFill="1" applyBorder="1" applyAlignment="1">
      <alignment horizontal="center" vertical="center"/>
    </xf>
    <xf numFmtId="0" fontId="12" fillId="5" borderId="20" xfId="3" applyFont="1" applyFill="1" applyBorder="1" applyAlignment="1">
      <alignment horizontal="center" vertical="center"/>
    </xf>
    <xf numFmtId="0" fontId="12" fillId="5" borderId="21" xfId="3" applyFont="1" applyFill="1" applyBorder="1" applyAlignment="1">
      <alignment horizontal="center" vertical="center"/>
    </xf>
    <xf numFmtId="164" fontId="1" fillId="0" borderId="8" xfId="3" applyNumberFormat="1" applyBorder="1"/>
    <xf numFmtId="0" fontId="10" fillId="0" borderId="5" xfId="3" applyFont="1" applyBorder="1" applyAlignment="1">
      <alignment horizontal="center"/>
    </xf>
    <xf numFmtId="0" fontId="16" fillId="0" borderId="5" xfId="3" applyFont="1" applyBorder="1"/>
    <xf numFmtId="164" fontId="7" fillId="0" borderId="4" xfId="3" applyNumberFormat="1" applyFont="1" applyBorder="1"/>
    <xf numFmtId="164" fontId="7" fillId="0" borderId="4" xfId="3" applyNumberFormat="1" applyFont="1" applyBorder="1" applyAlignment="1">
      <alignment horizontal="left"/>
    </xf>
    <xf numFmtId="164" fontId="19" fillId="0" borderId="8" xfId="3" applyNumberFormat="1" applyFont="1" applyBorder="1" applyAlignment="1">
      <alignment horizontal="left"/>
    </xf>
    <xf numFmtId="0" fontId="13" fillId="5" borderId="16" xfId="3" applyFont="1" applyFill="1" applyBorder="1" applyAlignment="1">
      <alignment horizontal="center" vertical="center" wrapText="1"/>
    </xf>
    <xf numFmtId="0" fontId="14" fillId="0" borderId="16" xfId="3" applyFont="1" applyBorder="1" applyAlignment="1">
      <alignment horizontal="center" vertical="center"/>
    </xf>
    <xf numFmtId="0" fontId="7" fillId="0" borderId="16" xfId="3" applyFont="1" applyBorder="1" applyAlignment="1">
      <alignment horizontal="center" vertical="center"/>
    </xf>
    <xf numFmtId="0" fontId="7" fillId="0" borderId="16" xfId="3" applyFont="1" applyBorder="1" applyAlignment="1">
      <alignment horizontal="center" vertical="center" wrapText="1"/>
    </xf>
    <xf numFmtId="0" fontId="16" fillId="0" borderId="16" xfId="3" applyFont="1" applyBorder="1" applyAlignment="1">
      <alignment horizontal="center" vertical="center"/>
    </xf>
    <xf numFmtId="0" fontId="18" fillId="5" borderId="16" xfId="3" applyFont="1" applyFill="1" applyBorder="1" applyAlignment="1">
      <alignment horizontal="center" vertical="center" wrapText="1"/>
    </xf>
    <xf numFmtId="0" fontId="24" fillId="2" borderId="16" xfId="0" applyFont="1" applyFill="1" applyBorder="1" applyAlignment="1">
      <alignment horizontal="center" wrapText="1"/>
    </xf>
    <xf numFmtId="0" fontId="22" fillId="0" borderId="16" xfId="0" applyFont="1" applyBorder="1" applyAlignment="1">
      <alignment horizontal="center" vertical="center"/>
    </xf>
    <xf numFmtId="0" fontId="22" fillId="0" borderId="18" xfId="0" applyFont="1" applyBorder="1" applyAlignment="1">
      <alignment horizontal="center" vertical="center"/>
    </xf>
    <xf numFmtId="164" fontId="9" fillId="4" borderId="18" xfId="0" applyNumberFormat="1" applyFont="1" applyFill="1" applyBorder="1" applyAlignment="1">
      <alignment horizontal="center" vertical="center"/>
    </xf>
    <xf numFmtId="0" fontId="11" fillId="6" borderId="17" xfId="2" applyFont="1" applyFill="1" applyBorder="1" applyAlignment="1">
      <alignment horizontal="center" vertical="center"/>
    </xf>
    <xf numFmtId="0" fontId="11" fillId="6" borderId="17" xfId="2" applyFont="1" applyFill="1" applyBorder="1" applyAlignment="1">
      <alignment horizontal="right" vertical="center"/>
    </xf>
    <xf numFmtId="0" fontId="5" fillId="0" borderId="13" xfId="3" applyFont="1" applyBorder="1"/>
    <xf numFmtId="0" fontId="6" fillId="0" borderId="14" xfId="3" applyFont="1" applyBorder="1"/>
    <xf numFmtId="164" fontId="6" fillId="0" borderId="15" xfId="3" applyNumberFormat="1" applyFont="1" applyBorder="1"/>
    <xf numFmtId="0" fontId="57" fillId="4" borderId="16" xfId="3" applyFont="1" applyFill="1" applyBorder="1" applyAlignment="1">
      <alignment horizontal="center" vertical="center" wrapText="1"/>
    </xf>
    <xf numFmtId="0" fontId="16" fillId="0" borderId="8" xfId="3" applyFont="1" applyBorder="1" applyAlignment="1">
      <alignment horizontal="center"/>
    </xf>
    <xf numFmtId="0" fontId="13" fillId="5" borderId="1" xfId="3" applyFont="1" applyFill="1" applyBorder="1" applyAlignment="1">
      <alignment horizontal="center" wrapText="1"/>
    </xf>
    <xf numFmtId="164" fontId="16" fillId="2" borderId="36" xfId="2" applyNumberFormat="1" applyFont="1" applyFill="1" applyBorder="1" applyAlignment="1">
      <alignment horizontal="right" vertical="center"/>
    </xf>
    <xf numFmtId="0" fontId="16" fillId="0" borderId="36" xfId="2" applyFont="1" applyBorder="1" applyAlignment="1">
      <alignment horizontal="right"/>
    </xf>
    <xf numFmtId="0" fontId="16" fillId="0" borderId="37" xfId="2" applyFont="1" applyBorder="1" applyAlignment="1">
      <alignment horizontal="right"/>
    </xf>
    <xf numFmtId="0" fontId="19" fillId="0" borderId="8" xfId="3" applyFont="1" applyBorder="1" applyAlignment="1">
      <alignment horizontal="center" vertical="center" wrapText="1"/>
    </xf>
    <xf numFmtId="0" fontId="58" fillId="0" borderId="0" xfId="0" applyFont="1" applyAlignment="1">
      <alignment horizontal="center" vertical="center" textRotation="90"/>
    </xf>
    <xf numFmtId="0" fontId="19" fillId="0" borderId="5" xfId="3" applyFont="1" applyBorder="1"/>
    <xf numFmtId="0" fontId="19" fillId="0" borderId="1" xfId="3" applyFont="1" applyBorder="1" applyAlignment="1">
      <alignment horizontal="center"/>
    </xf>
    <xf numFmtId="0" fontId="1" fillId="8" borderId="16" xfId="1" applyFill="1" applyBorder="1" applyAlignment="1">
      <alignment horizontal="center" vertical="center" wrapText="1"/>
    </xf>
    <xf numFmtId="0" fontId="9" fillId="2" borderId="0" xfId="2" applyFont="1" applyFill="1" applyAlignment="1">
      <alignment horizontal="center" vertical="center"/>
    </xf>
    <xf numFmtId="0" fontId="11" fillId="0" borderId="54" xfId="2" applyFont="1" applyBorder="1" applyAlignment="1">
      <alignment horizontal="center"/>
    </xf>
    <xf numFmtId="0" fontId="7" fillId="11" borderId="8" xfId="1" applyFont="1" applyFill="1" applyBorder="1" applyAlignment="1">
      <alignment horizontal="center" vertical="center"/>
    </xf>
    <xf numFmtId="0" fontId="45" fillId="12" borderId="35" xfId="0" applyFont="1" applyFill="1" applyBorder="1" applyAlignment="1">
      <alignment horizontal="center" vertical="center" wrapText="1"/>
    </xf>
    <xf numFmtId="0" fontId="46" fillId="12" borderId="29" xfId="0" applyFont="1" applyFill="1" applyBorder="1" applyAlignment="1">
      <alignment horizontal="center" vertical="center"/>
    </xf>
    <xf numFmtId="0" fontId="46" fillId="12" borderId="0" xfId="0" applyFont="1" applyFill="1" applyAlignment="1">
      <alignment horizontal="center" vertical="center"/>
    </xf>
    <xf numFmtId="164" fontId="0" fillId="0" borderId="0" xfId="0" applyNumberFormat="1"/>
    <xf numFmtId="0" fontId="9" fillId="2" borderId="17" xfId="2" applyFont="1" applyFill="1" applyBorder="1" applyAlignment="1">
      <alignment horizontal="center" vertical="center"/>
    </xf>
    <xf numFmtId="0" fontId="60" fillId="6" borderId="17" xfId="2" applyFont="1" applyFill="1" applyBorder="1" applyAlignment="1">
      <alignment horizontal="center" vertical="center"/>
    </xf>
    <xf numFmtId="0" fontId="1" fillId="0" borderId="1" xfId="2" applyBorder="1" applyAlignment="1">
      <alignment horizontal="center" vertical="center"/>
    </xf>
    <xf numFmtId="0" fontId="60" fillId="2" borderId="17" xfId="2" applyFont="1" applyFill="1" applyBorder="1" applyAlignment="1">
      <alignment horizontal="center" vertical="center"/>
    </xf>
    <xf numFmtId="164" fontId="0" fillId="0" borderId="0" xfId="0" applyNumberFormat="1" applyAlignment="1">
      <alignment horizontal="center" vertical="center"/>
    </xf>
    <xf numFmtId="164" fontId="13" fillId="4" borderId="55" xfId="2" applyNumberFormat="1" applyFont="1" applyFill="1" applyBorder="1" applyAlignment="1">
      <alignment horizontal="center" vertical="center"/>
    </xf>
    <xf numFmtId="164" fontId="27" fillId="13" borderId="6" xfId="0" applyNumberFormat="1" applyFont="1" applyFill="1" applyBorder="1" applyAlignment="1">
      <alignment horizontal="center" vertical="center"/>
    </xf>
    <xf numFmtId="164" fontId="13" fillId="4" borderId="56" xfId="2" applyNumberFormat="1" applyFont="1" applyFill="1" applyBorder="1" applyAlignment="1">
      <alignment horizontal="center" vertical="center"/>
    </xf>
    <xf numFmtId="44" fontId="0" fillId="0" borderId="0" xfId="4" applyFont="1" applyAlignment="1">
      <alignment horizontal="center"/>
    </xf>
    <xf numFmtId="44" fontId="0" fillId="0" borderId="0" xfId="4" applyFont="1"/>
    <xf numFmtId="0" fontId="19" fillId="0" borderId="26" xfId="2" applyFont="1" applyBorder="1"/>
    <xf numFmtId="0" fontId="19" fillId="0" borderId="3" xfId="2" applyFont="1" applyBorder="1"/>
    <xf numFmtId="0" fontId="27" fillId="13" borderId="57" xfId="0" applyFont="1" applyFill="1" applyBorder="1"/>
    <xf numFmtId="0" fontId="27" fillId="13" borderId="57" xfId="0" applyFont="1" applyFill="1" applyBorder="1" applyAlignment="1">
      <alignment horizontal="center" vertical="center"/>
    </xf>
    <xf numFmtId="164" fontId="27" fillId="13" borderId="57" xfId="0" applyNumberFormat="1" applyFont="1" applyFill="1" applyBorder="1"/>
    <xf numFmtId="0" fontId="27" fillId="14" borderId="57" xfId="0" applyFont="1" applyFill="1" applyBorder="1"/>
    <xf numFmtId="164" fontId="27" fillId="14" borderId="57" xfId="0" applyNumberFormat="1" applyFont="1" applyFill="1" applyBorder="1"/>
    <xf numFmtId="164" fontId="17" fillId="0" borderId="5" xfId="3" applyNumberFormat="1" applyFont="1" applyBorder="1"/>
    <xf numFmtId="0" fontId="27" fillId="15" borderId="57" xfId="0" applyFont="1" applyFill="1" applyBorder="1" applyAlignment="1">
      <alignment horizontal="center"/>
    </xf>
    <xf numFmtId="44" fontId="27" fillId="15" borderId="57" xfId="4" applyFont="1" applyFill="1" applyBorder="1" applyAlignment="1">
      <alignment horizontal="center"/>
    </xf>
    <xf numFmtId="0" fontId="27" fillId="14" borderId="0" xfId="0" applyFont="1" applyFill="1" applyAlignment="1">
      <alignment horizontal="center"/>
    </xf>
    <xf numFmtId="164" fontId="27" fillId="14" borderId="0" xfId="4" applyNumberFormat="1" applyFont="1" applyFill="1"/>
    <xf numFmtId="0" fontId="27" fillId="15" borderId="57" xfId="0" applyFont="1" applyFill="1" applyBorder="1" applyAlignment="1">
      <alignment horizontal="left"/>
    </xf>
    <xf numFmtId="0" fontId="27" fillId="14" borderId="57" xfId="0" applyFont="1" applyFill="1" applyBorder="1" applyAlignment="1">
      <alignment horizontal="center"/>
    </xf>
    <xf numFmtId="44" fontId="27" fillId="14" borderId="57" xfId="4" applyFont="1" applyFill="1" applyBorder="1" applyAlignment="1">
      <alignment horizontal="center"/>
    </xf>
    <xf numFmtId="0" fontId="27" fillId="15" borderId="58" xfId="0" applyFont="1" applyFill="1" applyBorder="1" applyAlignment="1">
      <alignment horizontal="center"/>
    </xf>
    <xf numFmtId="0" fontId="10" fillId="0" borderId="4" xfId="3" applyFont="1" applyBorder="1" applyAlignment="1">
      <alignment horizontal="center"/>
    </xf>
    <xf numFmtId="0" fontId="27" fillId="15" borderId="57" xfId="0" applyFont="1" applyFill="1" applyBorder="1" applyAlignment="1">
      <alignment horizontal="center" vertical="center"/>
    </xf>
    <xf numFmtId="44" fontId="27" fillId="15" borderId="57" xfId="4" applyFont="1" applyFill="1" applyBorder="1" applyAlignment="1">
      <alignment horizontal="center" vertical="center"/>
    </xf>
    <xf numFmtId="44" fontId="27" fillId="8" borderId="57" xfId="4" applyFont="1" applyFill="1" applyBorder="1" applyAlignment="1"/>
    <xf numFmtId="0" fontId="9" fillId="14" borderId="17" xfId="2" applyFont="1" applyFill="1" applyBorder="1" applyAlignment="1">
      <alignment horizontal="center" vertical="center"/>
    </xf>
    <xf numFmtId="0" fontId="44" fillId="0" borderId="2" xfId="3" applyFont="1" applyBorder="1" applyAlignment="1">
      <alignment horizontal="center" vertical="center" wrapText="1"/>
    </xf>
    <xf numFmtId="0" fontId="11" fillId="2" borderId="17" xfId="2" applyFont="1" applyFill="1" applyBorder="1" applyAlignment="1">
      <alignment horizontal="center" vertical="center"/>
    </xf>
    <xf numFmtId="0" fontId="4" fillId="0" borderId="0" xfId="3" applyFont="1"/>
    <xf numFmtId="0" fontId="12" fillId="4" borderId="31" xfId="2" applyFont="1" applyFill="1" applyBorder="1" applyAlignment="1">
      <alignment horizontal="center" vertical="center" wrapText="1"/>
    </xf>
    <xf numFmtId="0" fontId="33" fillId="2" borderId="59" xfId="3" applyFont="1" applyFill="1" applyBorder="1" applyAlignment="1">
      <alignment horizontal="center" vertical="center" wrapText="1"/>
    </xf>
    <xf numFmtId="0" fontId="61" fillId="10" borderId="28" xfId="2" applyFont="1" applyFill="1" applyBorder="1" applyAlignment="1">
      <alignment horizontal="center" vertical="center" wrapText="1"/>
    </xf>
    <xf numFmtId="0" fontId="45" fillId="0" borderId="29" xfId="0" applyFont="1" applyBorder="1" applyAlignment="1">
      <alignment horizontal="center" vertical="center" wrapText="1"/>
    </xf>
    <xf numFmtId="0" fontId="33" fillId="2" borderId="35" xfId="3" applyFont="1" applyFill="1" applyBorder="1" applyAlignment="1">
      <alignment horizontal="center" vertical="center" wrapText="1"/>
    </xf>
    <xf numFmtId="164" fontId="12" fillId="8" borderId="16" xfId="2" applyNumberFormat="1" applyFont="1" applyFill="1" applyBorder="1" applyAlignment="1">
      <alignment horizontal="center" vertical="center"/>
    </xf>
    <xf numFmtId="0" fontId="62" fillId="0" borderId="16" xfId="0" applyFont="1" applyBorder="1" applyAlignment="1">
      <alignment horizontal="center" vertical="center" wrapText="1"/>
    </xf>
    <xf numFmtId="44" fontId="12" fillId="8" borderId="16" xfId="4" applyFont="1" applyFill="1" applyBorder="1" applyAlignment="1">
      <alignment horizontal="center" vertical="center"/>
    </xf>
    <xf numFmtId="0" fontId="63" fillId="10" borderId="16" xfId="2" applyFont="1" applyFill="1" applyBorder="1" applyAlignment="1">
      <alignment horizontal="center" vertical="center" wrapText="1"/>
    </xf>
    <xf numFmtId="164" fontId="8" fillId="2" borderId="16" xfId="2" applyNumberFormat="1" applyFont="1" applyFill="1" applyBorder="1" applyAlignment="1">
      <alignment horizontal="center" vertical="center"/>
    </xf>
    <xf numFmtId="0" fontId="1" fillId="2" borderId="60" xfId="1" applyFill="1" applyBorder="1" applyAlignment="1">
      <alignment horizontal="center" vertical="center" wrapText="1"/>
    </xf>
    <xf numFmtId="164" fontId="8" fillId="2" borderId="16" xfId="3" applyNumberFormat="1" applyFont="1" applyFill="1" applyBorder="1" applyAlignment="1">
      <alignment horizontal="center" vertical="center"/>
    </xf>
    <xf numFmtId="164" fontId="12" fillId="5" borderId="16" xfId="3" applyNumberFormat="1" applyFont="1" applyFill="1" applyBorder="1" applyAlignment="1">
      <alignment horizontal="center" vertical="center"/>
    </xf>
    <xf numFmtId="0" fontId="8" fillId="0" borderId="16" xfId="3" applyFont="1" applyBorder="1" applyAlignment="1">
      <alignment horizontal="center"/>
    </xf>
    <xf numFmtId="164" fontId="17" fillId="5" borderId="16" xfId="3" applyNumberFormat="1" applyFont="1" applyFill="1" applyBorder="1" applyAlignment="1">
      <alignment horizontal="center"/>
    </xf>
    <xf numFmtId="0" fontId="12" fillId="5" borderId="61" xfId="3" applyFont="1" applyFill="1" applyBorder="1" applyAlignment="1">
      <alignment horizontal="center" vertical="center"/>
    </xf>
    <xf numFmtId="0" fontId="8" fillId="0" borderId="18" xfId="3" applyFont="1" applyBorder="1" applyAlignment="1">
      <alignment horizontal="center"/>
    </xf>
    <xf numFmtId="164" fontId="17" fillId="5" borderId="18" xfId="3" applyNumberFormat="1" applyFont="1" applyFill="1" applyBorder="1" applyAlignment="1">
      <alignment horizontal="center"/>
    </xf>
    <xf numFmtId="0" fontId="12" fillId="5" borderId="19" xfId="3" applyFont="1" applyFill="1" applyBorder="1" applyAlignment="1">
      <alignment horizontal="center" vertical="center"/>
    </xf>
    <xf numFmtId="164" fontId="6" fillId="0" borderId="0" xfId="3" applyNumberFormat="1" applyFont="1"/>
    <xf numFmtId="0" fontId="35" fillId="0" borderId="7" xfId="0" applyFont="1" applyBorder="1"/>
    <xf numFmtId="0" fontId="35" fillId="4" borderId="16" xfId="0" applyFont="1" applyFill="1" applyBorder="1" applyAlignment="1">
      <alignment horizontal="left" vertical="center"/>
    </xf>
    <xf numFmtId="164" fontId="35" fillId="4" borderId="16" xfId="0" applyNumberFormat="1" applyFont="1" applyFill="1" applyBorder="1" applyAlignment="1">
      <alignment horizontal="center" vertical="center"/>
    </xf>
    <xf numFmtId="0" fontId="35" fillId="0" borderId="62" xfId="0" applyFont="1" applyBorder="1"/>
    <xf numFmtId="0" fontId="34" fillId="0" borderId="18" xfId="0" applyFont="1" applyBorder="1" applyAlignment="1">
      <alignment horizontal="center" vertical="center"/>
    </xf>
    <xf numFmtId="0" fontId="64" fillId="4" borderId="16" xfId="0" applyFont="1" applyFill="1" applyBorder="1" applyAlignment="1">
      <alignment horizontal="center" vertical="center" wrapText="1"/>
    </xf>
    <xf numFmtId="164" fontId="12" fillId="4" borderId="18" xfId="0" applyNumberFormat="1" applyFont="1" applyFill="1" applyBorder="1" applyAlignment="1">
      <alignment horizontal="center" vertical="center"/>
    </xf>
    <xf numFmtId="164" fontId="64" fillId="4" borderId="16" xfId="0" applyNumberFormat="1" applyFont="1" applyFill="1" applyBorder="1" applyAlignment="1">
      <alignment horizontal="center" vertical="center" wrapText="1"/>
    </xf>
    <xf numFmtId="164" fontId="64" fillId="4" borderId="16" xfId="0" applyNumberFormat="1" applyFont="1" applyFill="1" applyBorder="1" applyAlignment="1">
      <alignment horizontal="center" vertical="center"/>
    </xf>
    <xf numFmtId="0" fontId="16" fillId="0" borderId="1" xfId="3" applyFont="1" applyBorder="1" applyAlignment="1">
      <alignment horizontal="center" vertical="center"/>
    </xf>
    <xf numFmtId="0" fontId="19" fillId="0" borderId="1" xfId="3" applyFont="1" applyBorder="1" applyAlignment="1">
      <alignment horizontal="center" vertical="center"/>
    </xf>
    <xf numFmtId="0" fontId="35" fillId="2" borderId="16" xfId="0" applyFont="1" applyFill="1" applyBorder="1" applyAlignment="1">
      <alignment horizontal="center" vertical="center" wrapText="1"/>
    </xf>
    <xf numFmtId="0" fontId="34" fillId="0" borderId="36" xfId="0" applyFont="1" applyBorder="1" applyAlignment="1">
      <alignment horizontal="center" vertical="center"/>
    </xf>
    <xf numFmtId="165" fontId="12" fillId="4" borderId="16" xfId="4" applyNumberFormat="1" applyFont="1" applyFill="1" applyBorder="1" applyAlignment="1">
      <alignment horizontal="center" vertical="center" wrapText="1"/>
    </xf>
    <xf numFmtId="0" fontId="1" fillId="0" borderId="1" xfId="1" applyBorder="1" applyAlignment="1">
      <alignment horizontal="right" vertical="center"/>
    </xf>
    <xf numFmtId="0" fontId="9" fillId="4" borderId="47" xfId="2" applyFont="1" applyFill="1" applyBorder="1" applyAlignment="1">
      <alignment horizontal="center" vertical="center" wrapText="1"/>
    </xf>
    <xf numFmtId="0" fontId="9" fillId="4" borderId="18" xfId="2" applyFont="1" applyFill="1" applyBorder="1" applyAlignment="1">
      <alignment horizontal="center" vertical="center" wrapText="1"/>
    </xf>
    <xf numFmtId="0" fontId="10" fillId="2" borderId="18" xfId="2" applyFont="1" applyFill="1" applyBorder="1" applyAlignment="1">
      <alignment horizontal="center" vertical="center" wrapText="1"/>
    </xf>
    <xf numFmtId="164" fontId="10" fillId="2" borderId="18" xfId="2" applyNumberFormat="1" applyFont="1" applyFill="1" applyBorder="1" applyAlignment="1">
      <alignment horizontal="center" vertical="center"/>
    </xf>
    <xf numFmtId="0" fontId="10" fillId="2" borderId="28" xfId="2" applyFont="1" applyFill="1" applyBorder="1" applyAlignment="1">
      <alignment horizontal="center" vertical="center" wrapText="1"/>
    </xf>
    <xf numFmtId="0" fontId="66" fillId="0" borderId="28" xfId="0" applyFont="1" applyBorder="1" applyAlignment="1">
      <alignment horizontal="center" vertical="center" wrapText="1"/>
    </xf>
    <xf numFmtId="44" fontId="27" fillId="15" borderId="58" xfId="4" applyFont="1" applyFill="1" applyBorder="1" applyAlignment="1">
      <alignment horizontal="center" vertical="center"/>
    </xf>
    <xf numFmtId="44" fontId="27" fillId="15" borderId="57" xfId="4" applyFont="1" applyFill="1" applyBorder="1" applyAlignment="1">
      <alignment vertical="center"/>
    </xf>
    <xf numFmtId="164" fontId="11" fillId="2" borderId="47" xfId="2" applyNumberFormat="1" applyFont="1" applyFill="1" applyBorder="1" applyAlignment="1">
      <alignment horizontal="right" vertical="center"/>
    </xf>
    <xf numFmtId="0" fontId="19" fillId="2" borderId="8" xfId="2" applyFont="1" applyFill="1" applyBorder="1"/>
    <xf numFmtId="0" fontId="50" fillId="5" borderId="8" xfId="3" applyFont="1" applyFill="1" applyBorder="1" applyAlignment="1">
      <alignment horizontal="center" vertical="center" wrapText="1"/>
    </xf>
    <xf numFmtId="0" fontId="58" fillId="0" borderId="0" xfId="0" applyFont="1"/>
    <xf numFmtId="0" fontId="58" fillId="0" borderId="0" xfId="0" applyFont="1" applyAlignment="1">
      <alignment horizontal="center" vertical="center"/>
    </xf>
    <xf numFmtId="0" fontId="19" fillId="0" borderId="8" xfId="3" applyFont="1" applyBorder="1" applyAlignment="1">
      <alignment horizontal="center" vertical="center"/>
    </xf>
    <xf numFmtId="164" fontId="19" fillId="0" borderId="4" xfId="3" applyNumberFormat="1" applyFont="1" applyBorder="1"/>
    <xf numFmtId="164" fontId="67" fillId="0" borderId="1" xfId="3" applyNumberFormat="1" applyFont="1" applyBorder="1"/>
    <xf numFmtId="0" fontId="50" fillId="5" borderId="1" xfId="3" applyFont="1" applyFill="1" applyBorder="1" applyAlignment="1">
      <alignment horizontal="center" vertical="center" wrapText="1"/>
    </xf>
    <xf numFmtId="164" fontId="19" fillId="0" borderId="1" xfId="3" applyNumberFormat="1" applyFont="1" applyBorder="1"/>
    <xf numFmtId="0" fontId="19" fillId="0" borderId="1" xfId="3" applyFont="1" applyBorder="1" applyAlignment="1">
      <alignment horizontal="center" vertical="center" wrapText="1"/>
    </xf>
    <xf numFmtId="0" fontId="19" fillId="0" borderId="1" xfId="3" applyFont="1" applyBorder="1"/>
    <xf numFmtId="0" fontId="68" fillId="0" borderId="8" xfId="3" applyFont="1" applyBorder="1" applyAlignment="1">
      <alignment horizontal="center" vertical="center"/>
    </xf>
    <xf numFmtId="0" fontId="19" fillId="0" borderId="0" xfId="3" applyFont="1" applyAlignment="1">
      <alignment horizontal="center"/>
    </xf>
    <xf numFmtId="0" fontId="19" fillId="0" borderId="0" xfId="3" applyFont="1" applyAlignment="1">
      <alignment horizontal="center" vertical="center"/>
    </xf>
    <xf numFmtId="0" fontId="10" fillId="6" borderId="16" xfId="2" applyFont="1" applyFill="1" applyBorder="1" applyAlignment="1">
      <alignment horizontal="center"/>
    </xf>
    <xf numFmtId="164" fontId="1" fillId="6" borderId="16" xfId="2" applyNumberFormat="1" applyFill="1" applyBorder="1"/>
    <xf numFmtId="0" fontId="9" fillId="4" borderId="16" xfId="2" applyFont="1" applyFill="1" applyBorder="1" applyAlignment="1">
      <alignment horizontal="center"/>
    </xf>
    <xf numFmtId="0" fontId="70" fillId="0" borderId="2" xfId="3" applyFont="1" applyBorder="1" applyAlignment="1">
      <alignment horizontal="center" vertical="center" wrapText="1"/>
    </xf>
    <xf numFmtId="0" fontId="14" fillId="0" borderId="2" xfId="1" applyFont="1" applyBorder="1" applyAlignment="1">
      <alignment horizontal="left" vertical="center"/>
    </xf>
    <xf numFmtId="0" fontId="13" fillId="5" borderId="1" xfId="1" applyFont="1" applyFill="1" applyBorder="1" applyAlignment="1">
      <alignment horizontal="center" vertical="top" wrapText="1"/>
    </xf>
    <xf numFmtId="0" fontId="7" fillId="0" borderId="8" xfId="1" applyFont="1" applyBorder="1"/>
    <xf numFmtId="0" fontId="7" fillId="0" borderId="8" xfId="1" applyFont="1" applyBorder="1" applyAlignment="1">
      <alignment horizontal="left" wrapText="1"/>
    </xf>
    <xf numFmtId="0" fontId="7" fillId="0" borderId="1" xfId="1" applyFont="1" applyBorder="1" applyAlignment="1">
      <alignment wrapText="1"/>
    </xf>
    <xf numFmtId="0" fontId="16" fillId="0" borderId="8" xfId="1" applyFont="1" applyBorder="1" applyAlignment="1">
      <alignment horizontal="left"/>
    </xf>
    <xf numFmtId="0" fontId="7" fillId="0" borderId="8" xfId="1" applyFont="1" applyBorder="1" applyAlignment="1">
      <alignment horizontal="left"/>
    </xf>
    <xf numFmtId="0" fontId="18" fillId="5" borderId="1" xfId="1" applyFont="1" applyFill="1" applyBorder="1" applyAlignment="1">
      <alignment wrapText="1"/>
    </xf>
    <xf numFmtId="0" fontId="1" fillId="2" borderId="6" xfId="3" applyFill="1" applyBorder="1" applyAlignment="1">
      <alignment horizontal="center" vertical="center" wrapText="1"/>
    </xf>
    <xf numFmtId="164" fontId="12" fillId="5" borderId="6" xfId="3" applyNumberFormat="1" applyFont="1" applyFill="1" applyBorder="1" applyAlignment="1">
      <alignment horizontal="right" vertical="center"/>
    </xf>
    <xf numFmtId="164" fontId="17" fillId="5" borderId="6" xfId="3" applyNumberFormat="1" applyFont="1" applyFill="1" applyBorder="1"/>
    <xf numFmtId="164" fontId="17" fillId="5" borderId="27" xfId="3" applyNumberFormat="1" applyFont="1" applyFill="1" applyBorder="1"/>
    <xf numFmtId="0" fontId="71" fillId="11" borderId="31" xfId="0" applyFont="1" applyFill="1" applyBorder="1" applyAlignment="1">
      <alignment horizontal="center" vertical="center" wrapText="1"/>
    </xf>
    <xf numFmtId="0" fontId="71" fillId="11" borderId="0" xfId="0" applyFont="1" applyFill="1" applyAlignment="1">
      <alignment horizontal="center" vertical="center" wrapText="1"/>
    </xf>
    <xf numFmtId="0" fontId="13" fillId="5" borderId="8" xfId="1" applyFont="1" applyFill="1" applyBorder="1" applyAlignment="1">
      <alignment horizontal="center" vertical="center" wrapText="1"/>
    </xf>
    <xf numFmtId="0" fontId="72" fillId="0" borderId="0" xfId="0" applyFont="1" applyAlignment="1">
      <alignment horizontal="center" vertical="center"/>
    </xf>
    <xf numFmtId="0" fontId="11" fillId="0" borderId="6" xfId="1" applyFont="1" applyBorder="1" applyAlignment="1">
      <alignment horizontal="center"/>
    </xf>
    <xf numFmtId="164" fontId="9" fillId="4" borderId="6" xfId="1" applyNumberFormat="1" applyFont="1" applyFill="1" applyBorder="1" applyAlignment="1">
      <alignment horizontal="center"/>
    </xf>
    <xf numFmtId="0" fontId="8" fillId="4" borderId="6" xfId="1" applyFont="1" applyFill="1" applyBorder="1" applyAlignment="1">
      <alignment horizontal="center"/>
    </xf>
    <xf numFmtId="0" fontId="8" fillId="4" borderId="6" xfId="1" applyFont="1" applyFill="1" applyBorder="1" applyAlignment="1">
      <alignment horizontal="center" vertical="center"/>
    </xf>
    <xf numFmtId="164" fontId="8" fillId="4" borderId="6" xfId="1" applyNumberFormat="1" applyFont="1" applyFill="1" applyBorder="1"/>
    <xf numFmtId="164" fontId="9" fillId="4" borderId="63" xfId="2" applyNumberFormat="1" applyFont="1" applyFill="1" applyBorder="1" applyAlignment="1">
      <alignment horizontal="center" vertical="center"/>
    </xf>
    <xf numFmtId="44" fontId="1" fillId="0" borderId="2" xfId="4" applyFont="1" applyBorder="1"/>
    <xf numFmtId="44" fontId="1" fillId="0" borderId="8" xfId="4" applyFont="1" applyBorder="1"/>
    <xf numFmtId="164" fontId="1" fillId="2" borderId="0" xfId="2" applyNumberFormat="1" applyFill="1" applyAlignment="1">
      <alignment horizontal="center" vertical="center"/>
    </xf>
    <xf numFmtId="0" fontId="10" fillId="0" borderId="28" xfId="0" applyFont="1" applyBorder="1" applyAlignment="1">
      <alignment horizontal="center" vertical="center" wrapText="1"/>
    </xf>
    <xf numFmtId="0" fontId="33" fillId="9" borderId="0" xfId="3" applyFont="1" applyFill="1" applyAlignment="1">
      <alignment horizontal="center" vertical="center" wrapText="1"/>
    </xf>
    <xf numFmtId="0" fontId="74" fillId="0" borderId="16" xfId="0" applyFont="1" applyBorder="1" applyAlignment="1">
      <alignment horizontal="center" vertical="center" wrapText="1"/>
    </xf>
    <xf numFmtId="44" fontId="10" fillId="6" borderId="16" xfId="4" applyFont="1" applyFill="1" applyBorder="1" applyAlignment="1">
      <alignment horizontal="center" vertical="center"/>
    </xf>
    <xf numFmtId="164" fontId="10" fillId="6" borderId="18" xfId="2" applyNumberFormat="1" applyFont="1" applyFill="1" applyBorder="1" applyAlignment="1">
      <alignment horizontal="center" vertical="center"/>
    </xf>
    <xf numFmtId="44" fontId="10" fillId="3" borderId="16" xfId="4" applyFont="1" applyFill="1" applyBorder="1" applyAlignment="1">
      <alignment horizontal="left" vertical="center"/>
    </xf>
    <xf numFmtId="164" fontId="9" fillId="3" borderId="16" xfId="2" applyNumberFormat="1" applyFont="1" applyFill="1" applyBorder="1" applyAlignment="1">
      <alignment horizontal="center" vertical="center"/>
    </xf>
    <xf numFmtId="164" fontId="11" fillId="2" borderId="16" xfId="3" applyNumberFormat="1" applyFont="1" applyFill="1" applyBorder="1" applyAlignment="1">
      <alignment horizontal="center" vertical="center"/>
    </xf>
    <xf numFmtId="164" fontId="9" fillId="5" borderId="16" xfId="3" applyNumberFormat="1" applyFont="1" applyFill="1" applyBorder="1" applyAlignment="1">
      <alignment horizontal="center" vertical="center"/>
    </xf>
    <xf numFmtId="0" fontId="11" fillId="0" borderId="16" xfId="3" applyFont="1" applyBorder="1" applyAlignment="1">
      <alignment horizontal="center"/>
    </xf>
    <xf numFmtId="164" fontId="75" fillId="5" borderId="16" xfId="3" applyNumberFormat="1" applyFont="1" applyFill="1" applyBorder="1" applyAlignment="1">
      <alignment horizontal="center"/>
    </xf>
    <xf numFmtId="0" fontId="11" fillId="0" borderId="18" xfId="3" applyFont="1" applyBorder="1" applyAlignment="1">
      <alignment horizontal="center"/>
    </xf>
    <xf numFmtId="164" fontId="75" fillId="5" borderId="18" xfId="3" applyNumberFormat="1" applyFont="1" applyFill="1" applyBorder="1" applyAlignment="1">
      <alignment horizontal="center"/>
    </xf>
    <xf numFmtId="0" fontId="9" fillId="5" borderId="61" xfId="3" applyFont="1" applyFill="1" applyBorder="1" applyAlignment="1">
      <alignment horizontal="center" vertical="center"/>
    </xf>
    <xf numFmtId="0" fontId="12" fillId="4" borderId="35" xfId="2" applyFont="1" applyFill="1" applyBorder="1" applyAlignment="1">
      <alignment horizontal="center" vertical="center" wrapText="1"/>
    </xf>
    <xf numFmtId="0" fontId="76" fillId="3" borderId="0" xfId="0" applyFont="1" applyFill="1" applyAlignment="1">
      <alignment horizontal="center" vertical="center" wrapText="1"/>
    </xf>
    <xf numFmtId="0" fontId="9" fillId="4" borderId="28" xfId="2" applyFont="1" applyFill="1" applyBorder="1" applyAlignment="1">
      <alignment horizontal="center" vertical="center" wrapText="1"/>
    </xf>
    <xf numFmtId="164" fontId="9" fillId="4" borderId="28" xfId="2" applyNumberFormat="1" applyFont="1" applyFill="1" applyBorder="1" applyAlignment="1">
      <alignment horizontal="center" vertical="center"/>
    </xf>
    <xf numFmtId="0" fontId="9" fillId="4" borderId="35" xfId="2" applyFont="1" applyFill="1" applyBorder="1" applyAlignment="1">
      <alignment horizontal="center" vertical="center" wrapText="1"/>
    </xf>
    <xf numFmtId="164" fontId="10" fillId="2" borderId="28" xfId="2" applyNumberFormat="1" applyFont="1" applyFill="1" applyBorder="1" applyAlignment="1">
      <alignment horizontal="center" vertical="center"/>
    </xf>
    <xf numFmtId="164" fontId="11" fillId="2" borderId="28" xfId="3" applyNumberFormat="1" applyFont="1" applyFill="1" applyBorder="1" applyAlignment="1">
      <alignment horizontal="center" vertical="center"/>
    </xf>
    <xf numFmtId="164" fontId="9" fillId="5" borderId="28" xfId="3" applyNumberFormat="1" applyFont="1" applyFill="1" applyBorder="1" applyAlignment="1">
      <alignment horizontal="center" vertical="center"/>
    </xf>
    <xf numFmtId="0" fontId="11" fillId="0" borderId="28" xfId="3" applyFont="1" applyBorder="1" applyAlignment="1">
      <alignment horizontal="center"/>
    </xf>
    <xf numFmtId="164" fontId="75" fillId="5" borderId="28" xfId="3" applyNumberFormat="1" applyFont="1" applyFill="1" applyBorder="1" applyAlignment="1">
      <alignment horizontal="center"/>
    </xf>
    <xf numFmtId="0" fontId="11" fillId="0" borderId="31" xfId="3" applyFont="1" applyBorder="1" applyAlignment="1">
      <alignment horizontal="center"/>
    </xf>
    <xf numFmtId="164" fontId="75" fillId="5" borderId="31" xfId="3" applyNumberFormat="1" applyFont="1" applyFill="1" applyBorder="1" applyAlignment="1">
      <alignment horizontal="center"/>
    </xf>
    <xf numFmtId="0" fontId="19" fillId="0" borderId="2" xfId="3" applyFont="1" applyBorder="1" applyAlignment="1">
      <alignment horizontal="left"/>
    </xf>
    <xf numFmtId="0" fontId="20" fillId="0" borderId="8" xfId="3" applyFont="1" applyBorder="1" applyAlignment="1">
      <alignment horizontal="left"/>
    </xf>
    <xf numFmtId="0" fontId="19" fillId="0" borderId="0" xfId="3" applyFont="1" applyAlignment="1">
      <alignment horizontal="left"/>
    </xf>
    <xf numFmtId="0" fontId="12" fillId="5" borderId="9" xfId="3" applyFont="1" applyFill="1" applyBorder="1" applyAlignment="1">
      <alignment horizontal="center" vertical="center"/>
    </xf>
    <xf numFmtId="0" fontId="77" fillId="5" borderId="53" xfId="3" applyFont="1" applyFill="1" applyBorder="1" applyAlignment="1">
      <alignment horizontal="center" vertical="center"/>
    </xf>
    <xf numFmtId="0" fontId="12" fillId="5" borderId="64" xfId="3" applyFont="1" applyFill="1" applyBorder="1" applyAlignment="1">
      <alignment horizontal="center" vertical="center"/>
    </xf>
    <xf numFmtId="0" fontId="12" fillId="5" borderId="65" xfId="3" applyFont="1" applyFill="1" applyBorder="1" applyAlignment="1">
      <alignment horizontal="center" vertical="center"/>
    </xf>
    <xf numFmtId="0" fontId="42" fillId="9" borderId="0" xfId="1" applyFont="1" applyFill="1" applyAlignment="1">
      <alignment horizontal="center" vertical="center" wrapText="1"/>
    </xf>
    <xf numFmtId="164" fontId="1" fillId="0" borderId="16" xfId="0" applyNumberFormat="1" applyFont="1" applyBorder="1" applyAlignment="1">
      <alignment horizontal="center" vertical="center"/>
    </xf>
    <xf numFmtId="44" fontId="10" fillId="6" borderId="16" xfId="4" applyFont="1" applyFill="1" applyBorder="1" applyAlignment="1">
      <alignment horizontal="left" vertical="center"/>
    </xf>
    <xf numFmtId="0" fontId="10" fillId="2" borderId="0" xfId="2" applyFont="1" applyFill="1" applyAlignment="1">
      <alignment horizontal="center" vertical="center"/>
    </xf>
    <xf numFmtId="0" fontId="74" fillId="11" borderId="16" xfId="0" applyFont="1" applyFill="1" applyBorder="1" applyAlignment="1">
      <alignment horizontal="center" vertical="center" wrapText="1"/>
    </xf>
    <xf numFmtId="44" fontId="10" fillId="11" borderId="16" xfId="4" applyFont="1" applyFill="1" applyBorder="1" applyAlignment="1">
      <alignment horizontal="left" vertical="center"/>
    </xf>
    <xf numFmtId="164" fontId="9" fillId="11" borderId="16" xfId="2" applyNumberFormat="1" applyFont="1" applyFill="1" applyBorder="1" applyAlignment="1">
      <alignment horizontal="center" vertical="center"/>
    </xf>
    <xf numFmtId="0" fontId="78" fillId="11" borderId="16" xfId="2" applyFont="1" applyFill="1" applyBorder="1" applyAlignment="1">
      <alignment horizontal="center" vertical="center" wrapText="1"/>
    </xf>
    <xf numFmtId="0" fontId="14" fillId="0" borderId="2" xfId="3" applyFont="1" applyBorder="1" applyAlignment="1">
      <alignment horizontal="center"/>
    </xf>
    <xf numFmtId="0" fontId="10" fillId="0" borderId="0" xfId="0" applyFont="1" applyAlignment="1">
      <alignment horizontal="center" vertical="center" wrapText="1"/>
    </xf>
    <xf numFmtId="44" fontId="10" fillId="2" borderId="16" xfId="4" applyFont="1" applyFill="1" applyBorder="1" applyAlignment="1">
      <alignment horizontal="left" vertical="center"/>
    </xf>
    <xf numFmtId="44" fontId="1" fillId="0" borderId="1" xfId="3" applyNumberFormat="1" applyBorder="1"/>
    <xf numFmtId="0" fontId="12" fillId="4" borderId="63" xfId="2" applyFont="1" applyFill="1" applyBorder="1" applyAlignment="1">
      <alignment horizontal="center" vertical="center" wrapText="1"/>
    </xf>
    <xf numFmtId="0" fontId="33" fillId="2" borderId="60" xfId="3" applyFont="1" applyFill="1" applyBorder="1" applyAlignment="1">
      <alignment horizontal="center" vertical="center" wrapText="1"/>
    </xf>
    <xf numFmtId="164" fontId="8" fillId="2" borderId="36" xfId="2" applyNumberFormat="1" applyFont="1" applyFill="1" applyBorder="1" applyAlignment="1">
      <alignment horizontal="center" vertical="center"/>
    </xf>
    <xf numFmtId="164" fontId="11" fillId="2" borderId="36" xfId="3" applyNumberFormat="1" applyFont="1" applyFill="1" applyBorder="1" applyAlignment="1">
      <alignment horizontal="center" vertical="center"/>
    </xf>
    <xf numFmtId="0" fontId="11" fillId="0" borderId="36" xfId="3" applyFont="1" applyBorder="1" applyAlignment="1">
      <alignment horizontal="center"/>
    </xf>
    <xf numFmtId="0" fontId="74" fillId="0" borderId="18" xfId="0" applyFont="1" applyBorder="1" applyAlignment="1">
      <alignment horizontal="center" vertical="center" wrapText="1"/>
    </xf>
    <xf numFmtId="0" fontId="1" fillId="0" borderId="23" xfId="3" applyBorder="1" applyAlignment="1">
      <alignment horizontal="center" vertical="center"/>
    </xf>
    <xf numFmtId="0" fontId="79" fillId="16" borderId="66" xfId="1" applyFont="1" applyFill="1" applyBorder="1" applyAlignment="1">
      <alignment horizontal="center" vertical="center" wrapText="1"/>
    </xf>
    <xf numFmtId="0" fontId="79" fillId="16" borderId="67" xfId="3" applyFont="1" applyFill="1" applyBorder="1" applyAlignment="1">
      <alignment horizontal="center" vertical="center"/>
    </xf>
    <xf numFmtId="0" fontId="79" fillId="16" borderId="68" xfId="3" applyFont="1" applyFill="1" applyBorder="1" applyAlignment="1">
      <alignment horizontal="center" vertical="center"/>
    </xf>
    <xf numFmtId="0" fontId="79" fillId="16" borderId="12" xfId="1" applyFont="1" applyFill="1" applyBorder="1" applyAlignment="1">
      <alignment horizontal="center" vertical="center"/>
    </xf>
    <xf numFmtId="0" fontId="63" fillId="10" borderId="6" xfId="0" applyFont="1" applyFill="1" applyBorder="1" applyAlignment="1">
      <alignment horizontal="center"/>
    </xf>
    <xf numFmtId="0" fontId="78" fillId="10" borderId="16" xfId="2" applyFont="1" applyFill="1" applyBorder="1" applyAlignment="1">
      <alignment horizontal="center" vertical="center" wrapText="1"/>
    </xf>
    <xf numFmtId="0" fontId="74" fillId="2" borderId="16" xfId="0" applyFont="1" applyFill="1" applyBorder="1" applyAlignment="1">
      <alignment horizontal="center" vertical="center" wrapText="1"/>
    </xf>
    <xf numFmtId="0" fontId="9" fillId="4" borderId="0" xfId="2" applyFont="1" applyFill="1" applyAlignment="1">
      <alignment horizontal="center" vertical="center"/>
    </xf>
    <xf numFmtId="0" fontId="10" fillId="2" borderId="6" xfId="2" applyFont="1" applyFill="1" applyBorder="1" applyAlignment="1">
      <alignment horizontal="center" vertical="center"/>
    </xf>
    <xf numFmtId="0" fontId="10" fillId="0" borderId="1" xfId="1" applyFont="1" applyBorder="1"/>
    <xf numFmtId="0" fontId="9" fillId="4" borderId="1" xfId="2" applyFont="1" applyFill="1" applyBorder="1" applyAlignment="1">
      <alignment horizontal="center" vertical="center"/>
    </xf>
    <xf numFmtId="164" fontId="9" fillId="4" borderId="44" xfId="2" applyNumberFormat="1" applyFont="1" applyFill="1" applyBorder="1" applyAlignment="1">
      <alignment horizontal="center" vertical="center"/>
    </xf>
    <xf numFmtId="0" fontId="80" fillId="3" borderId="6" xfId="2" applyFont="1" applyFill="1" applyBorder="1" applyAlignment="1">
      <alignment horizontal="center" vertical="center" wrapText="1"/>
    </xf>
    <xf numFmtId="0" fontId="81" fillId="3" borderId="6" xfId="2" applyFont="1" applyFill="1" applyBorder="1" applyAlignment="1">
      <alignment horizontal="center" vertical="center" wrapText="1"/>
    </xf>
    <xf numFmtId="164" fontId="81" fillId="3" borderId="7" xfId="2" applyNumberFormat="1" applyFont="1" applyFill="1" applyBorder="1" applyAlignment="1">
      <alignment horizontal="left" vertical="center"/>
    </xf>
    <xf numFmtId="164" fontId="80" fillId="3" borderId="44" xfId="2" applyNumberFormat="1" applyFont="1" applyFill="1" applyBorder="1" applyAlignment="1">
      <alignment horizontal="center" vertical="center"/>
    </xf>
    <xf numFmtId="0" fontId="9" fillId="4" borderId="6" xfId="1" applyFont="1" applyFill="1" applyBorder="1" applyAlignment="1">
      <alignment horizontal="center" vertical="center" wrapText="1"/>
    </xf>
    <xf numFmtId="0" fontId="10" fillId="2" borderId="6" xfId="1" applyFont="1" applyFill="1" applyBorder="1" applyAlignment="1">
      <alignment horizontal="center" vertical="center" wrapText="1"/>
    </xf>
    <xf numFmtId="164" fontId="10" fillId="0" borderId="6" xfId="1" applyNumberFormat="1" applyFont="1" applyBorder="1" applyAlignment="1">
      <alignment horizontal="center" vertical="center"/>
    </xf>
    <xf numFmtId="164" fontId="9" fillId="4" borderId="6" xfId="1" applyNumberFormat="1" applyFont="1" applyFill="1" applyBorder="1" applyAlignment="1">
      <alignment horizontal="center" vertical="center"/>
    </xf>
    <xf numFmtId="0" fontId="10" fillId="2" borderId="6" xfId="2" applyFont="1" applyFill="1" applyBorder="1" applyAlignment="1">
      <alignment horizontal="center" vertical="top"/>
    </xf>
    <xf numFmtId="164" fontId="10" fillId="0" borderId="6" xfId="2" applyNumberFormat="1" applyFont="1" applyBorder="1" applyAlignment="1">
      <alignment horizontal="center"/>
    </xf>
    <xf numFmtId="164" fontId="9" fillId="4" borderId="7" xfId="2" applyNumberFormat="1" applyFont="1" applyFill="1" applyBorder="1" applyAlignment="1">
      <alignment horizontal="center" vertical="center"/>
    </xf>
    <xf numFmtId="0" fontId="10" fillId="0" borderId="8" xfId="2" applyFont="1" applyBorder="1"/>
    <xf numFmtId="0" fontId="8" fillId="0" borderId="12" xfId="3" applyFont="1" applyBorder="1" applyAlignment="1">
      <alignment horizontal="center" vertical="center"/>
    </xf>
    <xf numFmtId="0" fontId="11" fillId="0" borderId="23" xfId="2" applyFont="1" applyBorder="1" applyAlignment="1">
      <alignment horizontal="right"/>
    </xf>
    <xf numFmtId="0" fontId="8" fillId="0" borderId="13" xfId="3" applyFont="1" applyBorder="1" applyAlignment="1">
      <alignment horizontal="center" vertical="center"/>
    </xf>
    <xf numFmtId="0" fontId="11" fillId="0" borderId="13" xfId="2" applyFont="1" applyBorder="1" applyAlignment="1">
      <alignment horizontal="right"/>
    </xf>
    <xf numFmtId="0" fontId="10" fillId="0" borderId="13" xfId="2" applyFont="1" applyBorder="1"/>
    <xf numFmtId="0" fontId="13" fillId="5" borderId="70" xfId="3" applyFont="1" applyFill="1" applyBorder="1" applyAlignment="1">
      <alignment horizontal="center" vertical="top" wrapText="1"/>
    </xf>
    <xf numFmtId="0" fontId="7" fillId="0" borderId="25" xfId="3" applyFont="1" applyBorder="1"/>
    <xf numFmtId="0" fontId="13" fillId="5" borderId="70" xfId="3" applyFont="1" applyFill="1" applyBorder="1" applyAlignment="1">
      <alignment horizontal="center" vertical="center" wrapText="1"/>
    </xf>
    <xf numFmtId="0" fontId="7" fillId="0" borderId="25" xfId="3" applyFont="1" applyBorder="1" applyAlignment="1">
      <alignment horizontal="left" wrapText="1"/>
    </xf>
    <xf numFmtId="0" fontId="7" fillId="0" borderId="2" xfId="3" applyFont="1" applyBorder="1" applyAlignment="1">
      <alignment wrapText="1"/>
    </xf>
    <xf numFmtId="0" fontId="7" fillId="0" borderId="25" xfId="3" applyFont="1" applyBorder="1" applyAlignment="1">
      <alignment horizontal="left"/>
    </xf>
    <xf numFmtId="0" fontId="18" fillId="5" borderId="70" xfId="3" applyFont="1" applyFill="1" applyBorder="1" applyAlignment="1">
      <alignment wrapText="1"/>
    </xf>
    <xf numFmtId="0" fontId="3" fillId="0" borderId="8" xfId="2" applyFont="1" applyBorder="1" applyAlignment="1">
      <alignment horizontal="left"/>
    </xf>
    <xf numFmtId="0" fontId="10" fillId="2" borderId="6" xfId="2" applyFont="1" applyFill="1" applyBorder="1" applyAlignment="1">
      <alignment horizontal="justify" vertical="center"/>
    </xf>
    <xf numFmtId="0" fontId="1" fillId="0" borderId="5" xfId="3" applyBorder="1" applyAlignment="1">
      <alignment horizontal="center"/>
    </xf>
    <xf numFmtId="0" fontId="14" fillId="0" borderId="25" xfId="3" applyFont="1" applyBorder="1" applyAlignment="1">
      <alignment horizontal="center" vertical="center"/>
    </xf>
    <xf numFmtId="0" fontId="7" fillId="0" borderId="25" xfId="3" applyFont="1" applyBorder="1" applyAlignment="1">
      <alignment horizontal="center"/>
    </xf>
    <xf numFmtId="0" fontId="7" fillId="0" borderId="25" xfId="3" applyFont="1" applyBorder="1" applyAlignment="1">
      <alignment horizontal="center" wrapText="1"/>
    </xf>
    <xf numFmtId="0" fontId="7" fillId="0" borderId="2" xfId="3" applyFont="1" applyBorder="1" applyAlignment="1">
      <alignment horizontal="center" wrapText="1"/>
    </xf>
    <xf numFmtId="0" fontId="16" fillId="0" borderId="5" xfId="3" applyFont="1" applyBorder="1" applyAlignment="1">
      <alignment horizontal="center"/>
    </xf>
    <xf numFmtId="0" fontId="18" fillId="5" borderId="70" xfId="3" applyFont="1" applyFill="1" applyBorder="1" applyAlignment="1">
      <alignment horizontal="center" wrapText="1"/>
    </xf>
    <xf numFmtId="0" fontId="74" fillId="0" borderId="0" xfId="0" applyFont="1" applyAlignment="1">
      <alignment horizontal="center" vertical="center" wrapText="1"/>
    </xf>
    <xf numFmtId="0" fontId="9" fillId="2" borderId="0" xfId="2" applyFont="1" applyFill="1" applyAlignment="1">
      <alignment horizontal="center" vertical="center" wrapText="1"/>
    </xf>
    <xf numFmtId="0" fontId="11" fillId="0" borderId="0" xfId="3" applyFont="1" applyAlignment="1">
      <alignment horizontal="center"/>
    </xf>
    <xf numFmtId="164" fontId="75" fillId="5" borderId="0" xfId="3" applyNumberFormat="1" applyFont="1" applyFill="1" applyAlignment="1">
      <alignment horizontal="center"/>
    </xf>
    <xf numFmtId="164" fontId="55" fillId="3" borderId="11" xfId="3" applyNumberFormat="1" applyFont="1" applyFill="1" applyBorder="1" applyAlignment="1">
      <alignment horizontal="center"/>
    </xf>
    <xf numFmtId="0" fontId="55" fillId="3" borderId="9" xfId="0" applyFont="1" applyFill="1" applyBorder="1" applyAlignment="1">
      <alignment horizontal="center" vertical="center" wrapText="1"/>
    </xf>
    <xf numFmtId="164" fontId="55" fillId="3" borderId="10" xfId="3" applyNumberFormat="1" applyFont="1" applyFill="1" applyBorder="1" applyAlignment="1">
      <alignment horizontal="center"/>
    </xf>
    <xf numFmtId="164" fontId="9" fillId="2" borderId="0" xfId="2" applyNumberFormat="1" applyFont="1" applyFill="1" applyAlignment="1">
      <alignment horizontal="center" vertical="center"/>
    </xf>
    <xf numFmtId="0" fontId="1" fillId="0" borderId="22" xfId="3" applyBorder="1"/>
    <xf numFmtId="0" fontId="55" fillId="15" borderId="9" xfId="0" applyFont="1" applyFill="1" applyBorder="1" applyAlignment="1">
      <alignment horizontal="right" vertical="center" wrapText="1"/>
    </xf>
    <xf numFmtId="164" fontId="55" fillId="15" borderId="11" xfId="4" applyNumberFormat="1" applyFont="1" applyFill="1" applyBorder="1" applyAlignment="1">
      <alignment horizontal="center" vertical="center"/>
    </xf>
    <xf numFmtId="44" fontId="1" fillId="2" borderId="16" xfId="4" applyFont="1" applyFill="1" applyBorder="1" applyAlignment="1">
      <alignment horizontal="left" vertical="center"/>
    </xf>
    <xf numFmtId="0" fontId="10" fillId="0" borderId="5" xfId="3" applyFont="1" applyBorder="1" applyAlignment="1">
      <alignment horizontal="center" vertical="center"/>
    </xf>
    <xf numFmtId="0" fontId="7" fillId="0" borderId="25" xfId="3" applyFont="1" applyBorder="1" applyAlignment="1">
      <alignment horizontal="center" vertical="center"/>
    </xf>
    <xf numFmtId="0" fontId="7" fillId="0" borderId="25" xfId="3" applyFont="1" applyBorder="1" applyAlignment="1">
      <alignment horizontal="center" vertical="center" wrapText="1"/>
    </xf>
    <xf numFmtId="0" fontId="7" fillId="0" borderId="2" xfId="3" applyFont="1" applyBorder="1" applyAlignment="1">
      <alignment horizontal="center" vertical="center" wrapText="1"/>
    </xf>
    <xf numFmtId="0" fontId="16" fillId="0" borderId="5" xfId="3" applyFont="1" applyBorder="1" applyAlignment="1">
      <alignment horizontal="center" vertical="center"/>
    </xf>
    <xf numFmtId="0" fontId="18" fillId="5" borderId="70" xfId="3" applyFont="1" applyFill="1" applyBorder="1" applyAlignment="1">
      <alignment horizontal="center" vertical="center" wrapText="1"/>
    </xf>
    <xf numFmtId="0" fontId="0" fillId="7" borderId="6" xfId="0" applyFill="1" applyBorder="1" applyAlignment="1">
      <alignment horizontal="center" vertical="center"/>
    </xf>
    <xf numFmtId="0" fontId="0" fillId="7" borderId="6" xfId="0" applyFill="1" applyBorder="1" applyAlignment="1">
      <alignment horizontal="left" vertical="center" wrapText="1"/>
    </xf>
    <xf numFmtId="0" fontId="0" fillId="7" borderId="6" xfId="0" applyFill="1" applyBorder="1" applyAlignment="1">
      <alignment horizontal="center"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right" vertical="center" wrapText="1"/>
    </xf>
    <xf numFmtId="0" fontId="48" fillId="0" borderId="6" xfId="0" applyFont="1" applyBorder="1" applyAlignment="1">
      <alignment horizontal="center" vertical="center" wrapText="1"/>
    </xf>
    <xf numFmtId="0" fontId="48" fillId="0" borderId="6" xfId="0" applyFont="1" applyBorder="1" applyAlignment="1">
      <alignment horizontal="left" vertical="center" wrapText="1"/>
    </xf>
    <xf numFmtId="0" fontId="29" fillId="9" borderId="6" xfId="0" applyFont="1" applyFill="1" applyBorder="1" applyAlignment="1">
      <alignment horizontal="center" vertical="center" wrapText="1"/>
    </xf>
    <xf numFmtId="0" fontId="29" fillId="9" borderId="6" xfId="0" applyFont="1" applyFill="1" applyBorder="1" applyAlignment="1">
      <alignment horizontal="left" vertical="center" wrapText="1"/>
    </xf>
    <xf numFmtId="0" fontId="4" fillId="0" borderId="5" xfId="1" applyFont="1" applyBorder="1"/>
    <xf numFmtId="0" fontId="3" fillId="0" borderId="3" xfId="1" applyFont="1" applyBorder="1"/>
    <xf numFmtId="164" fontId="3" fillId="2" borderId="0" xfId="1" applyNumberFormat="1" applyFont="1" applyFill="1"/>
    <xf numFmtId="164" fontId="3" fillId="0" borderId="4" xfId="1" applyNumberFormat="1" applyFont="1" applyBorder="1"/>
    <xf numFmtId="0" fontId="12" fillId="5" borderId="16" xfId="1" applyFont="1" applyFill="1" applyBorder="1" applyAlignment="1">
      <alignment horizontal="center" vertical="center" wrapText="1"/>
    </xf>
    <xf numFmtId="164" fontId="12" fillId="5" borderId="16" xfId="1" applyNumberFormat="1" applyFont="1" applyFill="1" applyBorder="1" applyAlignment="1">
      <alignment horizontal="center" vertical="center" wrapText="1"/>
    </xf>
    <xf numFmtId="0" fontId="1" fillId="0" borderId="22" xfId="1" applyBorder="1"/>
    <xf numFmtId="0" fontId="1" fillId="0" borderId="24" xfId="1" applyBorder="1"/>
    <xf numFmtId="164" fontId="1" fillId="2" borderId="0" xfId="1" applyNumberFormat="1" applyFill="1" applyAlignment="1">
      <alignment horizontal="center" vertical="center"/>
    </xf>
    <xf numFmtId="164" fontId="1" fillId="0" borderId="24" xfId="1" applyNumberFormat="1" applyBorder="1"/>
    <xf numFmtId="164" fontId="17" fillId="0" borderId="25" xfId="1" applyNumberFormat="1" applyFont="1" applyBorder="1"/>
    <xf numFmtId="164" fontId="1" fillId="17" borderId="16" xfId="1" applyNumberFormat="1" applyFill="1" applyBorder="1" applyAlignment="1">
      <alignment horizontal="center" vertical="center"/>
    </xf>
    <xf numFmtId="164" fontId="83" fillId="4" borderId="16" xfId="1" applyNumberFormat="1" applyFont="1" applyFill="1" applyBorder="1" applyAlignment="1">
      <alignment horizontal="center" vertical="center"/>
    </xf>
    <xf numFmtId="0" fontId="1" fillId="0" borderId="8" xfId="1" applyBorder="1"/>
    <xf numFmtId="0" fontId="14" fillId="0" borderId="13" xfId="1" applyFont="1" applyBorder="1" applyAlignment="1">
      <alignment horizontal="center" vertical="center"/>
    </xf>
    <xf numFmtId="0" fontId="9" fillId="5" borderId="53" xfId="3" applyFont="1" applyFill="1" applyBorder="1" applyAlignment="1">
      <alignment horizontal="center" vertical="center"/>
    </xf>
    <xf numFmtId="0" fontId="84" fillId="8" borderId="8" xfId="3" applyFont="1" applyFill="1" applyBorder="1" applyAlignment="1">
      <alignment horizontal="center" vertical="center" wrapText="1"/>
    </xf>
    <xf numFmtId="44" fontId="27" fillId="15" borderId="29" xfId="4" applyFont="1" applyFill="1" applyBorder="1" applyAlignment="1">
      <alignment horizontal="center" vertical="center"/>
    </xf>
    <xf numFmtId="0" fontId="79" fillId="2" borderId="12" xfId="1" applyFont="1" applyFill="1" applyBorder="1" applyAlignment="1">
      <alignment horizontal="center" vertical="center"/>
    </xf>
    <xf numFmtId="0" fontId="79" fillId="2" borderId="0" xfId="3" applyFont="1" applyFill="1" applyAlignment="1">
      <alignment horizontal="center" vertical="center"/>
    </xf>
    <xf numFmtId="0" fontId="1" fillId="0" borderId="0" xfId="3" applyAlignment="1">
      <alignment horizontal="center" vertical="center"/>
    </xf>
    <xf numFmtId="164" fontId="17" fillId="5" borderId="0" xfId="3" applyNumberFormat="1" applyFont="1" applyFill="1"/>
    <xf numFmtId="0" fontId="1" fillId="2" borderId="12" xfId="3" applyFill="1" applyBorder="1"/>
    <xf numFmtId="164" fontId="10" fillId="6" borderId="37" xfId="2" applyNumberFormat="1" applyFont="1" applyFill="1" applyBorder="1" applyAlignment="1">
      <alignment horizontal="center" vertical="center"/>
    </xf>
    <xf numFmtId="0" fontId="12" fillId="5" borderId="71" xfId="3" applyFont="1" applyFill="1" applyBorder="1" applyAlignment="1">
      <alignment horizontal="center" vertical="center"/>
    </xf>
    <xf numFmtId="0" fontId="12" fillId="5" borderId="46" xfId="3" applyFont="1" applyFill="1" applyBorder="1" applyAlignment="1">
      <alignment horizontal="center" vertical="center"/>
    </xf>
    <xf numFmtId="44" fontId="75" fillId="5" borderId="18" xfId="4" applyFont="1" applyFill="1" applyBorder="1" applyAlignment="1">
      <alignment horizontal="center"/>
    </xf>
    <xf numFmtId="0" fontId="9" fillId="4" borderId="16" xfId="3" applyFont="1" applyFill="1" applyBorder="1" applyAlignment="1">
      <alignment horizontal="center"/>
    </xf>
    <xf numFmtId="0" fontId="10" fillId="2" borderId="16" xfId="3" applyFont="1" applyFill="1" applyBorder="1" applyAlignment="1">
      <alignment horizontal="center" vertical="center"/>
    </xf>
    <xf numFmtId="0" fontId="10" fillId="2" borderId="16" xfId="3" applyFont="1" applyFill="1" applyBorder="1" applyAlignment="1">
      <alignment horizontal="justify" vertical="center"/>
    </xf>
    <xf numFmtId="164" fontId="10" fillId="2" borderId="16" xfId="3" applyNumberFormat="1" applyFont="1" applyFill="1" applyBorder="1" applyAlignment="1">
      <alignment horizontal="center" vertical="center"/>
    </xf>
    <xf numFmtId="44" fontId="10" fillId="2" borderId="16" xfId="4" applyFont="1" applyFill="1" applyBorder="1" applyAlignment="1">
      <alignment horizontal="center" vertical="center"/>
    </xf>
    <xf numFmtId="164" fontId="9" fillId="4" borderId="16" xfId="2" applyNumberFormat="1" applyFont="1" applyFill="1" applyBorder="1" applyAlignment="1">
      <alignment vertical="center"/>
    </xf>
    <xf numFmtId="44" fontId="86" fillId="3" borderId="16" xfId="4" applyFont="1" applyFill="1" applyBorder="1" applyAlignment="1">
      <alignment vertical="center"/>
    </xf>
    <xf numFmtId="164" fontId="55" fillId="3" borderId="16" xfId="2" applyNumberFormat="1" applyFont="1" applyFill="1" applyBorder="1" applyAlignment="1">
      <alignment vertical="center"/>
    </xf>
    <xf numFmtId="0" fontId="79" fillId="2" borderId="66" xfId="1" applyFont="1" applyFill="1" applyBorder="1" applyAlignment="1">
      <alignment horizontal="center" vertical="center" wrapText="1"/>
    </xf>
    <xf numFmtId="0" fontId="79" fillId="2" borderId="67" xfId="3" applyFont="1" applyFill="1" applyBorder="1" applyAlignment="1">
      <alignment horizontal="center" vertical="center"/>
    </xf>
    <xf numFmtId="0" fontId="79" fillId="2" borderId="68" xfId="3" applyFont="1" applyFill="1" applyBorder="1" applyAlignment="1">
      <alignment horizontal="center" vertical="center"/>
    </xf>
    <xf numFmtId="44" fontId="74" fillId="2" borderId="16" xfId="4" applyFont="1" applyFill="1" applyBorder="1" applyAlignment="1">
      <alignment vertical="center"/>
    </xf>
    <xf numFmtId="44" fontId="9" fillId="4" borderId="16" xfId="4" applyFont="1" applyFill="1" applyBorder="1" applyAlignment="1">
      <alignment horizontal="center" vertical="center"/>
    </xf>
    <xf numFmtId="0" fontId="11" fillId="0" borderId="37" xfId="3" applyFont="1" applyBorder="1" applyAlignment="1">
      <alignment horizontal="center"/>
    </xf>
    <xf numFmtId="0" fontId="10" fillId="2" borderId="18" xfId="1" applyFont="1" applyFill="1" applyBorder="1" applyAlignment="1">
      <alignment horizontal="center" vertical="center" wrapText="1"/>
    </xf>
    <xf numFmtId="0" fontId="9" fillId="5" borderId="72" xfId="3" applyFont="1" applyFill="1" applyBorder="1" applyAlignment="1">
      <alignment horizontal="center" vertical="center"/>
    </xf>
    <xf numFmtId="0" fontId="63" fillId="10" borderId="16" xfId="3" applyFont="1" applyFill="1" applyBorder="1" applyAlignment="1">
      <alignment horizontal="center" vertical="center"/>
    </xf>
    <xf numFmtId="0" fontId="9" fillId="4" borderId="16" xfId="3" applyFont="1" applyFill="1" applyBorder="1" applyAlignment="1">
      <alignment horizontal="center" vertical="center"/>
    </xf>
    <xf numFmtId="0" fontId="63" fillId="10" borderId="0" xfId="3" applyFont="1" applyFill="1" applyAlignment="1">
      <alignment horizontal="center" vertical="center"/>
    </xf>
    <xf numFmtId="0" fontId="87" fillId="3" borderId="68" xfId="3" applyFont="1" applyFill="1" applyBorder="1" applyAlignment="1">
      <alignment horizontal="center" vertical="center"/>
    </xf>
    <xf numFmtId="0" fontId="88" fillId="3" borderId="66" xfId="1" applyFont="1" applyFill="1" applyBorder="1" applyAlignment="1">
      <alignment horizontal="center" vertical="center" wrapText="1"/>
    </xf>
    <xf numFmtId="0" fontId="88" fillId="3" borderId="67" xfId="3" applyFont="1" applyFill="1" applyBorder="1" applyAlignment="1">
      <alignment horizontal="center" vertical="center"/>
    </xf>
    <xf numFmtId="0" fontId="63" fillId="2" borderId="16" xfId="3" applyFont="1" applyFill="1" applyBorder="1" applyAlignment="1">
      <alignment horizontal="center" vertical="center"/>
    </xf>
    <xf numFmtId="0" fontId="27" fillId="4" borderId="16" xfId="0" applyFont="1" applyFill="1" applyBorder="1" applyAlignment="1">
      <alignment horizontal="center" vertical="center"/>
    </xf>
    <xf numFmtId="0" fontId="0" fillId="0" borderId="16" xfId="0" applyBorder="1" applyAlignment="1">
      <alignment horizontal="center" vertical="center"/>
    </xf>
    <xf numFmtId="0" fontId="12" fillId="4" borderId="16" xfId="3" applyFont="1" applyFill="1" applyBorder="1" applyAlignment="1">
      <alignment horizontal="center" vertical="center"/>
    </xf>
    <xf numFmtId="0" fontId="0" fillId="0" borderId="16" xfId="0" applyBorder="1" applyAlignment="1">
      <alignment horizontal="center"/>
    </xf>
    <xf numFmtId="0" fontId="1" fillId="0" borderId="4" xfId="3" applyBorder="1" applyAlignment="1">
      <alignment horizontal="center" vertical="center"/>
    </xf>
    <xf numFmtId="0" fontId="8" fillId="0" borderId="16" xfId="3" applyFont="1" applyBorder="1" applyAlignment="1">
      <alignment horizontal="right"/>
    </xf>
    <xf numFmtId="164" fontId="17" fillId="5" borderId="16" xfId="3" applyNumberFormat="1" applyFont="1" applyFill="1" applyBorder="1"/>
    <xf numFmtId="0" fontId="8" fillId="0" borderId="18" xfId="3" applyFont="1" applyBorder="1" applyAlignment="1">
      <alignment horizontal="right"/>
    </xf>
    <xf numFmtId="164" fontId="17" fillId="5" borderId="18" xfId="3" applyNumberFormat="1" applyFont="1" applyFill="1" applyBorder="1"/>
    <xf numFmtId="164" fontId="1" fillId="0" borderId="22" xfId="3" applyNumberFormat="1" applyBorder="1" applyAlignment="1">
      <alignment horizontal="center" vertical="center"/>
    </xf>
    <xf numFmtId="164" fontId="17" fillId="0" borderId="8" xfId="3" applyNumberFormat="1" applyFont="1" applyBorder="1" applyAlignment="1">
      <alignment horizontal="center" vertical="center"/>
    </xf>
    <xf numFmtId="164" fontId="8" fillId="2" borderId="47" xfId="3" applyNumberFormat="1" applyFont="1" applyFill="1" applyBorder="1" applyAlignment="1">
      <alignment horizontal="right" vertical="center"/>
    </xf>
    <xf numFmtId="164" fontId="12" fillId="5" borderId="47" xfId="3" applyNumberFormat="1" applyFont="1" applyFill="1" applyBorder="1" applyAlignment="1">
      <alignment horizontal="right" vertical="center"/>
    </xf>
    <xf numFmtId="0" fontId="89" fillId="0" borderId="2" xfId="3" applyFont="1" applyBorder="1" applyAlignment="1">
      <alignment horizontal="center" vertical="center" wrapText="1"/>
    </xf>
    <xf numFmtId="0" fontId="88" fillId="3" borderId="16" xfId="1" applyFont="1" applyFill="1" applyBorder="1" applyAlignment="1">
      <alignment horizontal="center" vertical="center" wrapText="1"/>
    </xf>
    <xf numFmtId="0" fontId="88" fillId="3" borderId="16" xfId="3" applyFont="1" applyFill="1" applyBorder="1" applyAlignment="1">
      <alignment horizontal="center" vertical="center"/>
    </xf>
    <xf numFmtId="0" fontId="87" fillId="3" borderId="16" xfId="3" applyFont="1" applyFill="1" applyBorder="1" applyAlignment="1">
      <alignment horizontal="center" vertical="center"/>
    </xf>
    <xf numFmtId="44" fontId="10" fillId="2" borderId="16" xfId="2" applyNumberFormat="1" applyFont="1" applyFill="1" applyBorder="1" applyAlignment="1">
      <alignment horizontal="center" vertical="center"/>
    </xf>
    <xf numFmtId="44" fontId="9" fillId="4" borderId="16" xfId="2" applyNumberFormat="1" applyFont="1" applyFill="1" applyBorder="1" applyAlignment="1">
      <alignment horizontal="center" vertical="center"/>
    </xf>
    <xf numFmtId="44" fontId="10" fillId="2" borderId="16" xfId="0" applyNumberFormat="1" applyFont="1" applyFill="1" applyBorder="1" applyAlignment="1">
      <alignment horizontal="center" vertical="center"/>
    </xf>
    <xf numFmtId="44" fontId="9" fillId="4" borderId="16" xfId="0" applyNumberFormat="1" applyFont="1" applyFill="1" applyBorder="1" applyAlignment="1">
      <alignment horizontal="center" vertical="center"/>
    </xf>
    <xf numFmtId="0" fontId="9" fillId="15" borderId="17" xfId="2" applyFont="1" applyFill="1" applyBorder="1" applyAlignment="1">
      <alignment horizontal="center" vertical="center"/>
    </xf>
    <xf numFmtId="0" fontId="90" fillId="16" borderId="17" xfId="2" applyFont="1" applyFill="1" applyBorder="1" applyAlignment="1">
      <alignment horizontal="center" vertical="center"/>
    </xf>
    <xf numFmtId="164" fontId="10" fillId="0" borderId="36" xfId="3" applyNumberFormat="1" applyFont="1" applyBorder="1" applyAlignment="1">
      <alignment horizontal="center" vertical="center"/>
    </xf>
    <xf numFmtId="0" fontId="9" fillId="4" borderId="18" xfId="3" applyFont="1" applyFill="1" applyBorder="1" applyAlignment="1">
      <alignment horizontal="center"/>
    </xf>
    <xf numFmtId="0" fontId="10" fillId="2" borderId="16" xfId="3" applyFont="1" applyFill="1" applyBorder="1" applyAlignment="1">
      <alignment wrapText="1"/>
    </xf>
    <xf numFmtId="164" fontId="1" fillId="2" borderId="36" xfId="3" applyNumberFormat="1" applyFill="1" applyBorder="1"/>
    <xf numFmtId="0" fontId="10" fillId="2" borderId="18" xfId="3" applyFont="1" applyFill="1" applyBorder="1" applyAlignment="1">
      <alignment horizontal="center" vertical="center"/>
    </xf>
    <xf numFmtId="0" fontId="10" fillId="2" borderId="16" xfId="3" applyFont="1" applyFill="1" applyBorder="1" applyAlignment="1">
      <alignment horizontal="center" wrapText="1"/>
    </xf>
    <xf numFmtId="0" fontId="10" fillId="2" borderId="0" xfId="2" applyFont="1" applyFill="1" applyAlignment="1">
      <alignment horizontal="center" vertical="center" wrapText="1"/>
    </xf>
    <xf numFmtId="0" fontId="14" fillId="0" borderId="13" xfId="3" applyFont="1" applyBorder="1" applyAlignment="1">
      <alignment horizontal="center" vertical="center" wrapText="1"/>
    </xf>
    <xf numFmtId="0" fontId="1" fillId="0" borderId="24" xfId="2" applyBorder="1"/>
    <xf numFmtId="0" fontId="1" fillId="0" borderId="25" xfId="2" applyBorder="1"/>
    <xf numFmtId="164" fontId="14" fillId="2" borderId="16" xfId="2" applyNumberFormat="1" applyFont="1" applyFill="1" applyBorder="1" applyAlignment="1">
      <alignment horizontal="center" vertical="center"/>
    </xf>
    <xf numFmtId="0" fontId="1" fillId="2" borderId="22" xfId="2" applyFill="1" applyBorder="1"/>
    <xf numFmtId="0" fontId="1" fillId="0" borderId="2" xfId="2" applyBorder="1"/>
    <xf numFmtId="0" fontId="14" fillId="0" borderId="18" xfId="2" applyFont="1" applyBorder="1" applyAlignment="1">
      <alignment horizontal="center" vertical="center"/>
    </xf>
    <xf numFmtId="0" fontId="16" fillId="0" borderId="8" xfId="3" applyFont="1" applyBorder="1" applyAlignment="1">
      <alignment horizontal="left" vertical="center"/>
    </xf>
    <xf numFmtId="0" fontId="34" fillId="0" borderId="1" xfId="3" applyFont="1" applyBorder="1"/>
    <xf numFmtId="0" fontId="92" fillId="0" borderId="0" xfId="0" applyFont="1" applyAlignment="1">
      <alignment horizontal="justify" vertical="center"/>
    </xf>
    <xf numFmtId="0" fontId="22" fillId="4" borderId="6" xfId="0" applyFont="1" applyFill="1" applyBorder="1" applyAlignment="1">
      <alignment horizontal="center" vertical="center" wrapText="1"/>
    </xf>
    <xf numFmtId="0" fontId="22" fillId="2" borderId="6" xfId="0" applyFont="1" applyFill="1" applyBorder="1" applyAlignment="1">
      <alignment horizontal="center" vertical="center" wrapText="1"/>
    </xf>
    <xf numFmtId="164" fontId="24" fillId="2" borderId="27" xfId="0" applyNumberFormat="1" applyFont="1" applyFill="1" applyBorder="1" applyAlignment="1">
      <alignment horizontal="center" vertical="center" wrapText="1"/>
    </xf>
    <xf numFmtId="164" fontId="22" fillId="4" borderId="27" xfId="0" applyNumberFormat="1" applyFont="1" applyFill="1" applyBorder="1" applyAlignment="1">
      <alignment horizontal="center" vertical="center" wrapText="1"/>
    </xf>
    <xf numFmtId="0" fontId="22" fillId="4" borderId="6" xfId="0" applyFont="1" applyFill="1" applyBorder="1" applyAlignment="1">
      <alignment horizontal="center"/>
    </xf>
    <xf numFmtId="0" fontId="24" fillId="10" borderId="6" xfId="0" applyFont="1" applyFill="1" applyBorder="1" applyAlignment="1">
      <alignment horizontal="left" vertical="center"/>
    </xf>
    <xf numFmtId="164" fontId="24" fillId="10" borderId="27" xfId="0" applyNumberFormat="1" applyFont="1" applyFill="1" applyBorder="1" applyAlignment="1">
      <alignment horizontal="center" vertical="center"/>
    </xf>
    <xf numFmtId="164" fontId="22" fillId="4" borderId="27" xfId="0" applyNumberFormat="1" applyFont="1" applyFill="1" applyBorder="1" applyAlignment="1">
      <alignment horizontal="center" vertical="center"/>
    </xf>
    <xf numFmtId="0" fontId="24" fillId="0" borderId="0" xfId="0" applyFont="1"/>
    <xf numFmtId="0" fontId="22" fillId="0" borderId="73" xfId="0" applyFont="1" applyBorder="1" applyAlignment="1">
      <alignment horizontal="center" vertical="center"/>
    </xf>
    <xf numFmtId="0" fontId="22" fillId="0" borderId="50" xfId="0" applyFont="1" applyBorder="1" applyAlignment="1">
      <alignment horizontal="center" vertical="center"/>
    </xf>
    <xf numFmtId="164" fontId="22" fillId="4" borderId="50" xfId="0" applyNumberFormat="1" applyFont="1" applyFill="1" applyBorder="1" applyAlignment="1">
      <alignment horizontal="center" vertical="center"/>
    </xf>
    <xf numFmtId="0" fontId="24" fillId="0" borderId="0" xfId="0" applyFont="1" applyAlignment="1">
      <alignment horizontal="center" vertical="center"/>
    </xf>
    <xf numFmtId="0" fontId="22" fillId="0" borderId="74" xfId="0" applyFont="1" applyBorder="1" applyAlignment="1">
      <alignment horizontal="center" vertical="center"/>
    </xf>
    <xf numFmtId="164" fontId="22" fillId="4" borderId="75" xfId="0" applyNumberFormat="1" applyFont="1" applyFill="1" applyBorder="1" applyAlignment="1">
      <alignment horizontal="center" vertical="center"/>
    </xf>
    <xf numFmtId="0" fontId="10" fillId="0" borderId="5" xfId="3" applyFont="1" applyBorder="1"/>
    <xf numFmtId="0" fontId="93" fillId="0" borderId="8" xfId="3" applyFont="1" applyBorder="1" applyAlignment="1">
      <alignment horizontal="center" vertical="center" wrapText="1"/>
    </xf>
    <xf numFmtId="0" fontId="7" fillId="0" borderId="1" xfId="3" applyFont="1" applyBorder="1" applyAlignment="1">
      <alignment horizontal="center" vertical="top" wrapText="1"/>
    </xf>
    <xf numFmtId="0" fontId="94" fillId="2" borderId="16" xfId="0" applyFont="1" applyFill="1" applyBorder="1" applyAlignment="1">
      <alignment horizontal="center" vertical="center" wrapText="1"/>
    </xf>
    <xf numFmtId="0" fontId="1" fillId="6" borderId="5" xfId="3" applyFill="1" applyBorder="1"/>
    <xf numFmtId="0" fontId="1" fillId="6" borderId="4" xfId="2" applyFill="1" applyBorder="1"/>
    <xf numFmtId="0" fontId="95" fillId="6" borderId="8" xfId="3" applyFont="1" applyFill="1" applyBorder="1" applyAlignment="1">
      <alignment horizontal="center" vertical="center" wrapText="1"/>
    </xf>
    <xf numFmtId="164" fontId="1" fillId="0" borderId="15" xfId="1" applyNumberFormat="1" applyBorder="1"/>
    <xf numFmtId="164" fontId="1" fillId="0" borderId="2" xfId="3" applyNumberFormat="1" applyBorder="1"/>
    <xf numFmtId="164" fontId="15" fillId="0" borderId="8" xfId="3" applyNumberFormat="1" applyFont="1" applyBorder="1"/>
    <xf numFmtId="164" fontId="78" fillId="11" borderId="16" xfId="1" applyNumberFormat="1" applyFont="1" applyFill="1" applyBorder="1" applyAlignment="1">
      <alignment horizontal="center" vertical="center"/>
    </xf>
    <xf numFmtId="164" fontId="78" fillId="11" borderId="16" xfId="3" applyNumberFormat="1" applyFont="1" applyFill="1" applyBorder="1" applyAlignment="1">
      <alignment horizontal="center" vertical="center"/>
    </xf>
    <xf numFmtId="0" fontId="22" fillId="0" borderId="17" xfId="0" applyFont="1" applyBorder="1" applyAlignment="1">
      <alignment horizontal="center" vertical="center"/>
    </xf>
    <xf numFmtId="0" fontId="22" fillId="4" borderId="16" xfId="0" applyFont="1" applyFill="1" applyBorder="1" applyAlignment="1">
      <alignment horizontal="center"/>
    </xf>
    <xf numFmtId="0" fontId="24" fillId="10" borderId="16" xfId="0" applyFont="1" applyFill="1" applyBorder="1" applyAlignment="1">
      <alignment horizontal="left" vertical="center"/>
    </xf>
    <xf numFmtId="164" fontId="24" fillId="10" borderId="16" xfId="0" applyNumberFormat="1" applyFont="1" applyFill="1" applyBorder="1" applyAlignment="1">
      <alignment horizontal="center" vertical="center"/>
    </xf>
    <xf numFmtId="164" fontId="98" fillId="4" borderId="50" xfId="0" applyNumberFormat="1" applyFont="1" applyFill="1" applyBorder="1" applyAlignment="1">
      <alignment horizontal="center" vertical="center"/>
    </xf>
    <xf numFmtId="164" fontId="98" fillId="4" borderId="75" xfId="0" applyNumberFormat="1" applyFont="1" applyFill="1" applyBorder="1" applyAlignment="1">
      <alignment horizontal="center" vertical="center"/>
    </xf>
    <xf numFmtId="0" fontId="9" fillId="4" borderId="9" xfId="3" applyFont="1" applyFill="1" applyBorder="1" applyAlignment="1">
      <alignment horizontal="center" vertical="center"/>
    </xf>
    <xf numFmtId="0" fontId="9" fillId="4" borderId="65" xfId="3" applyFont="1" applyFill="1" applyBorder="1" applyAlignment="1">
      <alignment horizontal="center" vertical="center"/>
    </xf>
    <xf numFmtId="0" fontId="9" fillId="4" borderId="64" xfId="3" applyFont="1" applyFill="1" applyBorder="1" applyAlignment="1">
      <alignment horizontal="center" vertical="center"/>
    </xf>
    <xf numFmtId="0" fontId="12" fillId="4" borderId="0" xfId="3" applyFont="1" applyFill="1" applyAlignment="1">
      <alignment horizontal="center" vertical="center" wrapText="1"/>
    </xf>
    <xf numFmtId="164" fontId="1" fillId="0" borderId="0" xfId="3" applyNumberFormat="1" applyAlignment="1">
      <alignment horizontal="center" vertical="center"/>
    </xf>
    <xf numFmtId="164" fontId="12" fillId="4" borderId="0" xfId="3" applyNumberFormat="1" applyFont="1" applyFill="1" applyAlignment="1">
      <alignment horizontal="center" vertical="center"/>
    </xf>
    <xf numFmtId="0" fontId="12" fillId="4" borderId="0" xfId="1" applyFont="1" applyFill="1" applyAlignment="1">
      <alignment horizontal="center" vertical="center" wrapText="1"/>
    </xf>
    <xf numFmtId="164" fontId="1" fillId="0" borderId="0" xfId="1" applyNumberFormat="1" applyAlignment="1">
      <alignment horizontal="center" vertical="center"/>
    </xf>
    <xf numFmtId="164" fontId="12" fillId="4" borderId="0" xfId="1" applyNumberFormat="1" applyFont="1" applyFill="1" applyAlignment="1">
      <alignment horizontal="center" vertical="center"/>
    </xf>
    <xf numFmtId="0" fontId="97" fillId="11" borderId="0" xfId="1" applyFont="1" applyFill="1" applyAlignment="1">
      <alignment horizontal="center" vertical="center" wrapText="1"/>
    </xf>
    <xf numFmtId="0" fontId="9" fillId="4" borderId="18" xfId="0" applyFont="1" applyFill="1" applyBorder="1" applyAlignment="1">
      <alignment horizontal="center" vertical="center" wrapText="1"/>
    </xf>
    <xf numFmtId="0" fontId="10" fillId="2" borderId="18" xfId="0" applyFont="1" applyFill="1" applyBorder="1" applyAlignment="1">
      <alignment horizontal="center" vertical="center" wrapText="1"/>
    </xf>
    <xf numFmtId="164" fontId="24" fillId="2" borderId="18" xfId="0" applyNumberFormat="1" applyFont="1" applyFill="1" applyBorder="1" applyAlignment="1">
      <alignment horizontal="center" vertical="center" wrapText="1"/>
    </xf>
    <xf numFmtId="164" fontId="9" fillId="4" borderId="18" xfId="0" applyNumberFormat="1" applyFont="1" applyFill="1" applyBorder="1" applyAlignment="1">
      <alignment horizontal="center" vertical="center" wrapText="1"/>
    </xf>
    <xf numFmtId="0" fontId="9" fillId="4" borderId="47" xfId="0" applyFont="1" applyFill="1" applyBorder="1" applyAlignment="1">
      <alignment horizontal="center" vertical="center" wrapText="1"/>
    </xf>
    <xf numFmtId="0" fontId="10" fillId="2" borderId="47" xfId="0" applyFont="1" applyFill="1" applyBorder="1" applyAlignment="1">
      <alignment horizontal="center" vertical="center" wrapText="1"/>
    </xf>
    <xf numFmtId="164" fontId="24" fillId="2" borderId="47" xfId="0" applyNumberFormat="1" applyFont="1" applyFill="1" applyBorder="1" applyAlignment="1">
      <alignment horizontal="center" vertical="center" wrapText="1"/>
    </xf>
    <xf numFmtId="164" fontId="9" fillId="4" borderId="47" xfId="0" applyNumberFormat="1" applyFont="1" applyFill="1" applyBorder="1" applyAlignment="1">
      <alignment horizontal="center" vertical="center" wrapText="1"/>
    </xf>
    <xf numFmtId="0" fontId="10" fillId="0" borderId="16" xfId="0" applyFont="1" applyBorder="1" applyAlignment="1">
      <alignment horizontal="center"/>
    </xf>
    <xf numFmtId="44" fontId="10" fillId="0" borderId="16" xfId="4" applyFont="1" applyBorder="1" applyAlignment="1">
      <alignment horizontal="center"/>
    </xf>
    <xf numFmtId="44" fontId="74" fillId="0" borderId="16" xfId="4" applyFont="1" applyBorder="1" applyAlignment="1">
      <alignment horizontal="center"/>
    </xf>
    <xf numFmtId="44" fontId="9" fillId="4" borderId="16" xfId="4" applyFont="1" applyFill="1" applyBorder="1" applyAlignment="1">
      <alignment horizontal="center"/>
    </xf>
    <xf numFmtId="0" fontId="9" fillId="4" borderId="16" xfId="0" applyFont="1" applyFill="1" applyBorder="1" applyAlignment="1">
      <alignment horizontal="center"/>
    </xf>
    <xf numFmtId="0" fontId="9" fillId="8" borderId="18" xfId="0" applyFont="1" applyFill="1" applyBorder="1" applyAlignment="1">
      <alignment horizontal="center" vertical="center" wrapText="1"/>
    </xf>
    <xf numFmtId="0" fontId="9" fillId="4" borderId="47" xfId="0" applyFont="1" applyFill="1" applyBorder="1" applyAlignment="1">
      <alignment horizontal="center"/>
    </xf>
    <xf numFmtId="0" fontId="10" fillId="0" borderId="47" xfId="0" applyFont="1" applyBorder="1" applyAlignment="1">
      <alignment horizontal="center"/>
    </xf>
    <xf numFmtId="44" fontId="74" fillId="0" borderId="47" xfId="4" applyFont="1" applyBorder="1" applyAlignment="1">
      <alignment horizontal="center"/>
    </xf>
    <xf numFmtId="0" fontId="98" fillId="8" borderId="0" xfId="0" applyFont="1" applyFill="1" applyAlignment="1">
      <alignment horizontal="center"/>
    </xf>
    <xf numFmtId="164" fontId="98" fillId="4" borderId="16" xfId="0" applyNumberFormat="1" applyFont="1" applyFill="1" applyBorder="1" applyAlignment="1">
      <alignment horizontal="center" vertical="center"/>
    </xf>
    <xf numFmtId="0" fontId="92" fillId="0" borderId="0" xfId="0" applyFont="1" applyAlignment="1">
      <alignment horizontal="center" vertical="center"/>
    </xf>
    <xf numFmtId="0" fontId="13" fillId="5" borderId="12" xfId="3" applyFont="1" applyFill="1" applyBorder="1" applyAlignment="1">
      <alignment horizontal="center" vertical="center" wrapText="1"/>
    </xf>
    <xf numFmtId="0" fontId="9" fillId="4" borderId="16" xfId="0" applyFont="1" applyFill="1" applyBorder="1" applyAlignment="1">
      <alignment horizontal="center" vertical="center"/>
    </xf>
    <xf numFmtId="0" fontId="74" fillId="0" borderId="16" xfId="0" applyFont="1" applyBorder="1" applyAlignment="1">
      <alignment horizontal="center" vertical="center"/>
    </xf>
    <xf numFmtId="0" fontId="74" fillId="0" borderId="16" xfId="0" applyFont="1" applyBorder="1" applyAlignment="1">
      <alignment horizontal="center"/>
    </xf>
    <xf numFmtId="0" fontId="22" fillId="2" borderId="16" xfId="0" applyFont="1" applyFill="1" applyBorder="1" applyAlignment="1">
      <alignment horizontal="center"/>
    </xf>
    <xf numFmtId="0" fontId="98" fillId="2" borderId="0" xfId="0" applyFont="1" applyFill="1" applyAlignment="1">
      <alignment horizontal="center"/>
    </xf>
    <xf numFmtId="0" fontId="24" fillId="2" borderId="0" xfId="0" applyFont="1" applyFill="1"/>
    <xf numFmtId="0" fontId="10" fillId="2" borderId="16" xfId="0" applyFont="1" applyFill="1" applyBorder="1" applyAlignment="1">
      <alignment horizontal="center" vertical="center"/>
    </xf>
    <xf numFmtId="0" fontId="13" fillId="5" borderId="5" xfId="3" applyFont="1" applyFill="1" applyBorder="1" applyAlignment="1">
      <alignment horizontal="center" vertical="top" wrapText="1"/>
    </xf>
    <xf numFmtId="164" fontId="1" fillId="0" borderId="24" xfId="3" applyNumberFormat="1" applyBorder="1"/>
    <xf numFmtId="164" fontId="17" fillId="0" borderId="25" xfId="3" applyNumberFormat="1" applyFont="1" applyBorder="1"/>
    <xf numFmtId="164" fontId="9" fillId="12" borderId="6" xfId="3" applyNumberFormat="1" applyFont="1" applyFill="1" applyBorder="1" applyAlignment="1">
      <alignment horizontal="center" vertical="center"/>
    </xf>
    <xf numFmtId="164" fontId="9" fillId="15" borderId="8" xfId="3" applyNumberFormat="1" applyFont="1" applyFill="1" applyBorder="1"/>
    <xf numFmtId="0" fontId="7" fillId="0" borderId="12" xfId="3" applyFont="1" applyBorder="1" applyAlignment="1">
      <alignment horizontal="center"/>
    </xf>
    <xf numFmtId="164" fontId="17" fillId="0" borderId="2" xfId="3" applyNumberFormat="1" applyFont="1" applyBorder="1"/>
    <xf numFmtId="164" fontId="77" fillId="14" borderId="76" xfId="3" applyNumberFormat="1" applyFont="1" applyFill="1" applyBorder="1" applyAlignment="1">
      <alignment horizontal="center" vertical="center"/>
    </xf>
    <xf numFmtId="164" fontId="77" fillId="14" borderId="77" xfId="3" applyNumberFormat="1" applyFont="1" applyFill="1" applyBorder="1" applyAlignment="1">
      <alignment horizontal="center" vertical="center"/>
    </xf>
    <xf numFmtId="164" fontId="9" fillId="15" borderId="8" xfId="3" applyNumberFormat="1" applyFont="1" applyFill="1" applyBorder="1" applyAlignment="1">
      <alignment horizontal="center"/>
    </xf>
    <xf numFmtId="164" fontId="7" fillId="0" borderId="1" xfId="3" applyNumberFormat="1" applyFont="1" applyBorder="1" applyAlignment="1">
      <alignment vertical="center"/>
    </xf>
    <xf numFmtId="0" fontId="1" fillId="0" borderId="1" xfId="3" applyBorder="1" applyAlignment="1">
      <alignment vertical="center"/>
    </xf>
    <xf numFmtId="0" fontId="9" fillId="4" borderId="6" xfId="0" applyFont="1" applyFill="1" applyBorder="1" applyAlignment="1">
      <alignment horizontal="center" vertical="center" wrapText="1"/>
    </xf>
    <xf numFmtId="164" fontId="24" fillId="2" borderId="6" xfId="0" applyNumberFormat="1" applyFont="1" applyFill="1" applyBorder="1" applyAlignment="1">
      <alignment horizontal="center" vertical="center" wrapText="1"/>
    </xf>
    <xf numFmtId="164" fontId="9" fillId="4" borderId="6" xfId="0" applyNumberFormat="1" applyFont="1" applyFill="1" applyBorder="1" applyAlignment="1">
      <alignment horizontal="center" vertical="center" wrapText="1"/>
    </xf>
    <xf numFmtId="0" fontId="22" fillId="0" borderId="6" xfId="0" applyFont="1" applyBorder="1" applyAlignment="1">
      <alignment horizontal="center" vertical="center"/>
    </xf>
    <xf numFmtId="164" fontId="9" fillId="4" borderId="6" xfId="0" applyNumberFormat="1" applyFont="1" applyFill="1" applyBorder="1" applyAlignment="1">
      <alignment horizontal="center" vertical="center"/>
    </xf>
    <xf numFmtId="0" fontId="22" fillId="0" borderId="27" xfId="0" applyFont="1" applyBorder="1" applyAlignment="1">
      <alignment horizontal="center" vertical="center"/>
    </xf>
    <xf numFmtId="164" fontId="9" fillId="4" borderId="27" xfId="0" applyNumberFormat="1" applyFont="1" applyFill="1" applyBorder="1" applyAlignment="1">
      <alignment horizontal="center" vertical="center"/>
    </xf>
    <xf numFmtId="0" fontId="24" fillId="4" borderId="6" xfId="0" applyFont="1" applyFill="1" applyBorder="1" applyAlignment="1">
      <alignment horizontal="left" vertical="center"/>
    </xf>
    <xf numFmtId="164" fontId="24" fillId="4" borderId="6" xfId="0" applyNumberFormat="1" applyFont="1" applyFill="1" applyBorder="1" applyAlignment="1">
      <alignment horizontal="center" vertical="center"/>
    </xf>
    <xf numFmtId="0" fontId="24" fillId="0" borderId="6" xfId="0" applyFont="1" applyBorder="1"/>
    <xf numFmtId="0" fontId="10" fillId="2" borderId="6" xfId="0" applyFont="1" applyFill="1" applyBorder="1" applyAlignment="1">
      <alignment horizontal="center" vertical="center" wrapText="1"/>
    </xf>
    <xf numFmtId="164" fontId="1" fillId="0" borderId="15" xfId="3" applyNumberFormat="1" applyBorder="1"/>
    <xf numFmtId="164" fontId="9" fillId="10" borderId="76" xfId="3" applyNumberFormat="1" applyFont="1" applyFill="1" applyBorder="1" applyAlignment="1">
      <alignment horizontal="center" vertical="center"/>
    </xf>
    <xf numFmtId="164" fontId="9" fillId="10" borderId="77" xfId="3" applyNumberFormat="1" applyFont="1" applyFill="1" applyBorder="1" applyAlignment="1">
      <alignment horizontal="center" vertical="center"/>
    </xf>
    <xf numFmtId="0" fontId="14" fillId="0" borderId="13" xfId="3" applyFont="1" applyBorder="1" applyAlignment="1">
      <alignment horizontal="center" vertical="center"/>
    </xf>
    <xf numFmtId="0" fontId="1" fillId="4" borderId="78" xfId="3" applyFill="1" applyBorder="1" applyAlignment="1">
      <alignment horizontal="center"/>
    </xf>
    <xf numFmtId="0" fontId="1" fillId="4" borderId="78" xfId="3" applyFill="1" applyBorder="1" applyAlignment="1">
      <alignment horizontal="justify" vertical="center"/>
    </xf>
    <xf numFmtId="164" fontId="1" fillId="4" borderId="78" xfId="3" applyNumberFormat="1" applyFill="1" applyBorder="1"/>
    <xf numFmtId="0" fontId="9" fillId="4" borderId="78" xfId="0" applyFont="1" applyFill="1" applyBorder="1" applyAlignment="1">
      <alignment horizontal="center" vertical="center" wrapText="1"/>
    </xf>
    <xf numFmtId="0" fontId="10" fillId="2" borderId="78" xfId="0" applyFont="1" applyFill="1" applyBorder="1" applyAlignment="1">
      <alignment horizontal="center" vertical="center" wrapText="1"/>
    </xf>
    <xf numFmtId="164" fontId="24" fillId="2" borderId="78" xfId="0" applyNumberFormat="1" applyFont="1" applyFill="1" applyBorder="1" applyAlignment="1">
      <alignment horizontal="center" vertical="center" wrapText="1"/>
    </xf>
    <xf numFmtId="164" fontId="9" fillId="4" borderId="78" xfId="0" applyNumberFormat="1" applyFont="1" applyFill="1" applyBorder="1" applyAlignment="1">
      <alignment horizontal="center" vertical="center" wrapText="1"/>
    </xf>
    <xf numFmtId="0" fontId="9" fillId="4" borderId="78" xfId="2" applyFont="1" applyFill="1" applyBorder="1" applyAlignment="1">
      <alignment horizontal="center" vertical="center" wrapText="1"/>
    </xf>
    <xf numFmtId="0" fontId="74" fillId="0" borderId="78" xfId="0" applyFont="1" applyBorder="1" applyAlignment="1">
      <alignment horizontal="center" vertical="center" wrapText="1"/>
    </xf>
    <xf numFmtId="44" fontId="10" fillId="6" borderId="78" xfId="4" applyFont="1" applyFill="1" applyBorder="1" applyAlignment="1">
      <alignment horizontal="center" vertical="center"/>
    </xf>
    <xf numFmtId="44" fontId="9" fillId="4" borderId="78" xfId="4" applyFont="1" applyFill="1" applyBorder="1" applyAlignment="1">
      <alignment horizontal="center" vertical="center"/>
    </xf>
    <xf numFmtId="0" fontId="10" fillId="2" borderId="44" xfId="0" applyFont="1" applyFill="1" applyBorder="1" applyAlignment="1">
      <alignment horizontal="center" vertical="center" wrapText="1"/>
    </xf>
    <xf numFmtId="164" fontId="9" fillId="4" borderId="78" xfId="4" applyNumberFormat="1" applyFont="1" applyFill="1" applyBorder="1" applyAlignment="1">
      <alignment horizontal="center" vertical="center"/>
    </xf>
    <xf numFmtId="0" fontId="22" fillId="0" borderId="78" xfId="0" applyFont="1" applyBorder="1" applyAlignment="1">
      <alignment horizontal="center" vertical="center"/>
    </xf>
    <xf numFmtId="164" fontId="9" fillId="4" borderId="78" xfId="0" applyNumberFormat="1" applyFont="1" applyFill="1" applyBorder="1" applyAlignment="1">
      <alignment horizontal="center" vertical="center"/>
    </xf>
    <xf numFmtId="0" fontId="9" fillId="4" borderId="27" xfId="0" applyFont="1" applyFill="1" applyBorder="1" applyAlignment="1">
      <alignment horizontal="center" vertical="center" wrapText="1"/>
    </xf>
    <xf numFmtId="0" fontId="10" fillId="2" borderId="73" xfId="0" applyFont="1" applyFill="1" applyBorder="1" applyAlignment="1">
      <alignment horizontal="center" vertical="center" wrapText="1"/>
    </xf>
    <xf numFmtId="0" fontId="22" fillId="0" borderId="79" xfId="0" applyFont="1" applyBorder="1" applyAlignment="1">
      <alignment horizontal="center" vertical="center"/>
    </xf>
    <xf numFmtId="164" fontId="9" fillId="4" borderId="79" xfId="0" applyNumberFormat="1" applyFont="1" applyFill="1" applyBorder="1" applyAlignment="1">
      <alignment horizontal="center" vertical="center"/>
    </xf>
    <xf numFmtId="0" fontId="24" fillId="0" borderId="7" xfId="0" applyFont="1" applyBorder="1"/>
    <xf numFmtId="0" fontId="22" fillId="4" borderId="78" xfId="0" applyFont="1" applyFill="1" applyBorder="1" applyAlignment="1">
      <alignment horizontal="center"/>
    </xf>
    <xf numFmtId="164" fontId="24" fillId="4" borderId="78" xfId="0" applyNumberFormat="1" applyFont="1" applyFill="1" applyBorder="1" applyAlignment="1">
      <alignment horizontal="center" vertical="center"/>
    </xf>
    <xf numFmtId="0" fontId="98" fillId="3" borderId="78" xfId="0" applyFont="1" applyFill="1" applyBorder="1" applyAlignment="1">
      <alignment horizontal="center" vertical="center"/>
    </xf>
    <xf numFmtId="0" fontId="98" fillId="3" borderId="17" xfId="0" applyFont="1" applyFill="1" applyBorder="1" applyAlignment="1">
      <alignment horizontal="center"/>
    </xf>
    <xf numFmtId="44" fontId="74" fillId="0" borderId="83" xfId="4" applyFont="1" applyBorder="1" applyAlignment="1">
      <alignment horizontal="center"/>
    </xf>
    <xf numFmtId="164" fontId="24" fillId="2" borderId="83" xfId="0" applyNumberFormat="1" applyFont="1" applyFill="1" applyBorder="1" applyAlignment="1">
      <alignment horizontal="center" vertical="center" wrapText="1"/>
    </xf>
    <xf numFmtId="0" fontId="98" fillId="18" borderId="0" xfId="0" applyFont="1" applyFill="1" applyAlignment="1">
      <alignment horizontal="center"/>
    </xf>
    <xf numFmtId="0" fontId="93" fillId="18" borderId="8" xfId="3" applyFont="1" applyFill="1" applyBorder="1" applyAlignment="1">
      <alignment horizontal="center"/>
    </xf>
    <xf numFmtId="0" fontId="9" fillId="4" borderId="0" xfId="0" applyFont="1" applyFill="1" applyAlignment="1">
      <alignment horizontal="center" vertical="center" wrapText="1"/>
    </xf>
    <xf numFmtId="0" fontId="10" fillId="2" borderId="0" xfId="0" applyFont="1" applyFill="1" applyAlignment="1">
      <alignment horizontal="center" vertical="center" wrapText="1"/>
    </xf>
    <xf numFmtId="164" fontId="24" fillId="2" borderId="0" xfId="0" applyNumberFormat="1" applyFont="1" applyFill="1" applyAlignment="1">
      <alignment horizontal="center" vertical="center" wrapText="1"/>
    </xf>
    <xf numFmtId="164" fontId="9" fillId="4" borderId="0" xfId="0" applyNumberFormat="1" applyFont="1" applyFill="1" applyAlignment="1">
      <alignment horizontal="center" vertical="center" wrapText="1"/>
    </xf>
    <xf numFmtId="164" fontId="99" fillId="15" borderId="76" xfId="3" applyNumberFormat="1" applyFont="1" applyFill="1" applyBorder="1" applyAlignment="1">
      <alignment horizontal="center" vertical="center"/>
    </xf>
    <xf numFmtId="164" fontId="99" fillId="15" borderId="77" xfId="3" applyNumberFormat="1" applyFont="1" applyFill="1" applyBorder="1" applyAlignment="1">
      <alignment horizontal="center" vertical="center"/>
    </xf>
    <xf numFmtId="0" fontId="22" fillId="2" borderId="0" xfId="0" applyFont="1" applyFill="1" applyAlignment="1">
      <alignment horizontal="center"/>
    </xf>
    <xf numFmtId="0" fontId="22" fillId="2" borderId="63" xfId="0" applyFont="1" applyFill="1" applyBorder="1" applyAlignment="1">
      <alignment horizontal="center"/>
    </xf>
    <xf numFmtId="0" fontId="22" fillId="0" borderId="36" xfId="0" applyFont="1" applyBorder="1" applyAlignment="1">
      <alignment horizontal="center" vertical="center"/>
    </xf>
    <xf numFmtId="0" fontId="24" fillId="10" borderId="18" xfId="0" applyFont="1" applyFill="1" applyBorder="1" applyAlignment="1">
      <alignment horizontal="left" vertical="center"/>
    </xf>
    <xf numFmtId="0" fontId="98" fillId="18" borderId="16" xfId="0" applyFont="1" applyFill="1" applyBorder="1" applyAlignment="1">
      <alignment horizontal="center"/>
    </xf>
    <xf numFmtId="0" fontId="9" fillId="4" borderId="47" xfId="3" applyFont="1" applyFill="1" applyBorder="1" applyAlignment="1">
      <alignment horizontal="center" vertical="center" wrapText="1"/>
    </xf>
    <xf numFmtId="0" fontId="10" fillId="2" borderId="47" xfId="3" applyFont="1" applyFill="1" applyBorder="1" applyAlignment="1">
      <alignment horizontal="center" vertical="center" wrapText="1"/>
    </xf>
    <xf numFmtId="164" fontId="10" fillId="2" borderId="83" xfId="3" applyNumberFormat="1" applyFont="1" applyFill="1" applyBorder="1" applyAlignment="1">
      <alignment horizontal="center" vertical="center"/>
    </xf>
    <xf numFmtId="0" fontId="77" fillId="4" borderId="16" xfId="3" applyFont="1" applyFill="1" applyBorder="1" applyAlignment="1">
      <alignment horizontal="center" vertical="center"/>
    </xf>
    <xf numFmtId="164" fontId="9" fillId="4" borderId="0" xfId="1" applyNumberFormat="1" applyFont="1" applyFill="1" applyAlignment="1">
      <alignment horizontal="center" vertical="center"/>
    </xf>
    <xf numFmtId="0" fontId="77" fillId="10" borderId="47" xfId="3" applyFont="1" applyFill="1" applyBorder="1" applyAlignment="1">
      <alignment horizontal="center" vertical="center" wrapText="1"/>
    </xf>
    <xf numFmtId="164" fontId="9" fillId="10" borderId="16" xfId="1" applyNumberFormat="1" applyFont="1" applyFill="1" applyBorder="1" applyAlignment="1">
      <alignment horizontal="center" vertical="center"/>
    </xf>
    <xf numFmtId="164" fontId="98" fillId="10" borderId="16" xfId="0" applyNumberFormat="1" applyFont="1" applyFill="1" applyBorder="1" applyAlignment="1">
      <alignment horizontal="center" vertical="center" wrapText="1"/>
    </xf>
    <xf numFmtId="0" fontId="1" fillId="0" borderId="15" xfId="3" applyBorder="1"/>
    <xf numFmtId="0" fontId="77" fillId="10" borderId="16" xfId="3" applyFont="1" applyFill="1" applyBorder="1"/>
    <xf numFmtId="164" fontId="77" fillId="10" borderId="16" xfId="3" applyNumberFormat="1" applyFont="1" applyFill="1" applyBorder="1"/>
    <xf numFmtId="0" fontId="13" fillId="5" borderId="5" xfId="3" applyFont="1" applyFill="1" applyBorder="1" applyAlignment="1">
      <alignment horizontal="center" vertical="center" wrapText="1"/>
    </xf>
    <xf numFmtId="164" fontId="7" fillId="0" borderId="8" xfId="3" applyNumberFormat="1" applyFont="1" applyBorder="1"/>
    <xf numFmtId="164" fontId="12" fillId="14" borderId="16" xfId="3" applyNumberFormat="1" applyFont="1" applyFill="1" applyBorder="1" applyAlignment="1">
      <alignment horizontal="center"/>
    </xf>
    <xf numFmtId="0" fontId="9" fillId="4" borderId="84" xfId="1" applyFont="1" applyFill="1" applyBorder="1" applyAlignment="1">
      <alignment horizontal="center" vertical="center" wrapText="1"/>
    </xf>
    <xf numFmtId="0" fontId="10" fillId="2" borderId="36" xfId="1" applyFont="1" applyFill="1" applyBorder="1" applyAlignment="1">
      <alignment horizontal="center" vertical="center" wrapText="1"/>
    </xf>
    <xf numFmtId="0" fontId="100" fillId="19" borderId="0" xfId="0" applyFont="1" applyFill="1" applyAlignment="1">
      <alignment horizontal="center" vertical="center" wrapText="1"/>
    </xf>
    <xf numFmtId="0" fontId="7" fillId="0" borderId="12" xfId="3" applyFont="1" applyBorder="1" applyAlignment="1">
      <alignment horizontal="center" vertical="center"/>
    </xf>
    <xf numFmtId="164" fontId="60" fillId="11" borderId="16" xfId="3" applyNumberFormat="1" applyFont="1" applyFill="1" applyBorder="1" applyAlignment="1">
      <alignment horizontal="center" vertical="center"/>
    </xf>
    <xf numFmtId="0" fontId="9" fillId="2" borderId="0" xfId="0" applyFont="1" applyFill="1" applyAlignment="1">
      <alignment horizontal="center" vertical="center" wrapText="1"/>
    </xf>
    <xf numFmtId="164" fontId="9" fillId="4" borderId="16" xfId="3" applyNumberFormat="1" applyFont="1" applyFill="1" applyBorder="1" applyAlignment="1">
      <alignment horizontal="center"/>
    </xf>
    <xf numFmtId="164" fontId="35" fillId="2" borderId="27" xfId="0" applyNumberFormat="1" applyFont="1" applyFill="1" applyBorder="1" applyAlignment="1">
      <alignment horizontal="center" vertical="center" wrapText="1"/>
    </xf>
    <xf numFmtId="164" fontId="34" fillId="4" borderId="27" xfId="0" applyNumberFormat="1" applyFont="1" applyFill="1" applyBorder="1" applyAlignment="1">
      <alignment horizontal="center" vertical="center" wrapText="1"/>
    </xf>
    <xf numFmtId="0" fontId="34" fillId="2" borderId="6" xfId="0" applyFont="1" applyFill="1" applyBorder="1" applyAlignment="1">
      <alignment horizontal="center" vertical="center" wrapText="1"/>
    </xf>
    <xf numFmtId="0" fontId="35" fillId="10" borderId="6" xfId="0" applyFont="1" applyFill="1" applyBorder="1" applyAlignment="1">
      <alignment horizontal="left" vertical="center"/>
    </xf>
    <xf numFmtId="164" fontId="35" fillId="10" borderId="27" xfId="0" applyNumberFormat="1" applyFont="1" applyFill="1" applyBorder="1" applyAlignment="1">
      <alignment horizontal="center" vertical="center"/>
    </xf>
    <xf numFmtId="0" fontId="44" fillId="0" borderId="2" xfId="3" applyFont="1" applyBorder="1" applyAlignment="1">
      <alignment horizontal="left" vertical="center"/>
    </xf>
    <xf numFmtId="0" fontId="34" fillId="0" borderId="73" xfId="0" applyFont="1" applyBorder="1" applyAlignment="1">
      <alignment horizontal="center" vertical="center"/>
    </xf>
    <xf numFmtId="164" fontId="90" fillId="10" borderId="16" xfId="3" applyNumberFormat="1" applyFont="1" applyFill="1" applyBorder="1" applyAlignment="1">
      <alignment horizontal="center" vertical="center"/>
    </xf>
    <xf numFmtId="0" fontId="22" fillId="4" borderId="0" xfId="0" applyFont="1" applyFill="1" applyAlignment="1">
      <alignment horizontal="center" vertical="center" wrapText="1"/>
    </xf>
    <xf numFmtId="0" fontId="22" fillId="2" borderId="0" xfId="0" applyFont="1" applyFill="1" applyAlignment="1">
      <alignment horizontal="center" vertical="center" wrapText="1"/>
    </xf>
    <xf numFmtId="164" fontId="22" fillId="4" borderId="0" xfId="0" applyNumberFormat="1" applyFont="1" applyFill="1" applyAlignment="1">
      <alignment horizontal="center" vertical="center" wrapText="1"/>
    </xf>
    <xf numFmtId="164" fontId="24" fillId="2" borderId="86" xfId="0" applyNumberFormat="1" applyFont="1" applyFill="1" applyBorder="1" applyAlignment="1">
      <alignment horizontal="center" vertical="center" wrapText="1"/>
    </xf>
    <xf numFmtId="0" fontId="9" fillId="4" borderId="87" xfId="0" applyFont="1" applyFill="1" applyBorder="1" applyAlignment="1">
      <alignment horizontal="center" vertical="center" wrapText="1"/>
    </xf>
    <xf numFmtId="0" fontId="10" fillId="2" borderId="87" xfId="0" applyFont="1" applyFill="1" applyBorder="1" applyAlignment="1">
      <alignment horizontal="center" vertical="center" wrapText="1"/>
    </xf>
    <xf numFmtId="164" fontId="10" fillId="2" borderId="36" xfId="3" applyNumberFormat="1" applyFont="1" applyFill="1" applyBorder="1" applyAlignment="1">
      <alignment horizontal="center" vertical="center"/>
    </xf>
    <xf numFmtId="0" fontId="7" fillId="0" borderId="5" xfId="3" applyFont="1" applyBorder="1" applyAlignment="1">
      <alignment horizontal="center" vertical="top" wrapText="1"/>
    </xf>
    <xf numFmtId="0" fontId="7" fillId="0" borderId="5" xfId="3" applyFont="1" applyBorder="1" applyAlignment="1">
      <alignment horizontal="center" wrapText="1"/>
    </xf>
    <xf numFmtId="164" fontId="7" fillId="0" borderId="25" xfId="3" applyNumberFormat="1" applyFont="1" applyBorder="1"/>
    <xf numFmtId="164" fontId="15" fillId="0" borderId="25" xfId="3" applyNumberFormat="1" applyFont="1" applyBorder="1"/>
    <xf numFmtId="44" fontId="15" fillId="13" borderId="16" xfId="4" applyFont="1" applyFill="1" applyBorder="1" applyAlignment="1">
      <alignment horizontal="center"/>
    </xf>
    <xf numFmtId="44" fontId="7" fillId="13" borderId="16" xfId="4" applyFont="1" applyFill="1" applyBorder="1" applyAlignment="1">
      <alignment horizontal="center"/>
    </xf>
    <xf numFmtId="44" fontId="17" fillId="13" borderId="16" xfId="4" applyFont="1" applyFill="1" applyBorder="1" applyAlignment="1">
      <alignment horizontal="center"/>
    </xf>
    <xf numFmtId="164" fontId="103" fillId="13" borderId="16" xfId="4" applyNumberFormat="1" applyFont="1" applyFill="1" applyBorder="1" applyAlignment="1">
      <alignment horizontal="center"/>
    </xf>
    <xf numFmtId="164" fontId="7" fillId="20" borderId="16" xfId="3" applyNumberFormat="1" applyFont="1" applyFill="1" applyBorder="1" applyAlignment="1">
      <alignment horizontal="center"/>
    </xf>
    <xf numFmtId="164" fontId="1" fillId="20" borderId="16" xfId="3" applyNumberFormat="1" applyFill="1" applyBorder="1" applyAlignment="1">
      <alignment horizontal="center"/>
    </xf>
    <xf numFmtId="0" fontId="2" fillId="0" borderId="1" xfId="1" applyFont="1" applyBorder="1" applyAlignment="1">
      <alignment horizontal="right"/>
    </xf>
    <xf numFmtId="0" fontId="9" fillId="4" borderId="19" xfId="2" applyFont="1" applyFill="1" applyBorder="1" applyAlignment="1">
      <alignment horizontal="center" vertical="center"/>
    </xf>
    <xf numFmtId="0" fontId="9" fillId="4" borderId="20" xfId="2" applyFont="1" applyFill="1" applyBorder="1" applyAlignment="1">
      <alignment horizontal="center" vertical="center"/>
    </xf>
    <xf numFmtId="0" fontId="9" fillId="4" borderId="21" xfId="2" applyFont="1" applyFill="1" applyBorder="1" applyAlignment="1">
      <alignment horizontal="center" vertical="center"/>
    </xf>
    <xf numFmtId="0" fontId="2" fillId="0" borderId="1" xfId="2" applyFont="1" applyBorder="1" applyAlignment="1">
      <alignment horizontal="right"/>
    </xf>
    <xf numFmtId="0" fontId="2" fillId="0" borderId="13" xfId="3" applyFont="1" applyBorder="1" applyAlignment="1">
      <alignment horizontal="center" vertical="center"/>
    </xf>
    <xf numFmtId="0" fontId="2" fillId="0" borderId="14" xfId="3" applyFont="1" applyBorder="1" applyAlignment="1">
      <alignment horizontal="center" vertical="center"/>
    </xf>
    <xf numFmtId="0" fontId="2" fillId="0" borderId="0" xfId="3" applyFont="1" applyAlignment="1">
      <alignment horizontal="center" vertical="center"/>
    </xf>
    <xf numFmtId="0" fontId="2" fillId="0" borderId="15" xfId="3" applyFont="1" applyBorder="1" applyAlignment="1">
      <alignment horizontal="center" vertical="center"/>
    </xf>
    <xf numFmtId="0" fontId="32" fillId="0" borderId="13" xfId="2" applyFont="1" applyBorder="1" applyAlignment="1">
      <alignment horizontal="justify" vertical="center"/>
    </xf>
    <xf numFmtId="0" fontId="32" fillId="0" borderId="14" xfId="2" applyFont="1" applyBorder="1" applyAlignment="1">
      <alignment horizontal="justify" vertical="center"/>
    </xf>
    <xf numFmtId="0" fontId="32" fillId="0" borderId="0" xfId="2" applyFont="1" applyAlignment="1">
      <alignment horizontal="justify" vertical="center"/>
    </xf>
    <xf numFmtId="0" fontId="32" fillId="0" borderId="15" xfId="2" applyFont="1" applyBorder="1" applyAlignment="1">
      <alignment horizontal="justify" vertical="center"/>
    </xf>
    <xf numFmtId="0" fontId="12" fillId="4" borderId="19" xfId="1" applyFont="1" applyFill="1" applyBorder="1" applyAlignment="1">
      <alignment horizontal="center" vertical="center"/>
    </xf>
    <xf numFmtId="0" fontId="12" fillId="4" borderId="20" xfId="1" applyFont="1" applyFill="1" applyBorder="1" applyAlignment="1">
      <alignment horizontal="center" vertical="center"/>
    </xf>
    <xf numFmtId="0" fontId="12" fillId="4" borderId="21" xfId="1" applyFont="1" applyFill="1" applyBorder="1" applyAlignment="1">
      <alignment horizontal="center" vertical="center"/>
    </xf>
    <xf numFmtId="0" fontId="2" fillId="0" borderId="1" xfId="3" applyFont="1" applyBorder="1" applyAlignment="1">
      <alignment horizontal="right"/>
    </xf>
    <xf numFmtId="0" fontId="8" fillId="0" borderId="0" xfId="3" applyFont="1" applyAlignment="1">
      <alignment horizontal="right"/>
    </xf>
    <xf numFmtId="0" fontId="32" fillId="0" borderId="5" xfId="5" applyFont="1" applyBorder="1" applyAlignment="1">
      <alignment horizontal="justify" vertical="center"/>
    </xf>
    <xf numFmtId="0" fontId="32" fillId="0" borderId="3" xfId="5" applyFont="1" applyBorder="1" applyAlignment="1">
      <alignment horizontal="justify" vertical="center"/>
    </xf>
    <xf numFmtId="0" fontId="32" fillId="0" borderId="26" xfId="5" applyFont="1" applyBorder="1" applyAlignment="1">
      <alignment horizontal="justify" vertical="center"/>
    </xf>
    <xf numFmtId="0" fontId="32" fillId="0" borderId="4" xfId="5" applyFont="1" applyBorder="1" applyAlignment="1">
      <alignment horizontal="justify" vertical="center"/>
    </xf>
    <xf numFmtId="0" fontId="8" fillId="4" borderId="9" xfId="3" applyFont="1" applyFill="1" applyBorder="1" applyAlignment="1">
      <alignment horizontal="right"/>
    </xf>
    <xf numFmtId="0" fontId="8" fillId="4" borderId="10" xfId="3" applyFont="1" applyFill="1" applyBorder="1" applyAlignment="1">
      <alignment horizontal="right"/>
    </xf>
    <xf numFmtId="0" fontId="8" fillId="4" borderId="11" xfId="3" applyFont="1" applyFill="1" applyBorder="1" applyAlignment="1">
      <alignment horizontal="right"/>
    </xf>
    <xf numFmtId="0" fontId="12" fillId="5" borderId="32" xfId="3" applyFont="1" applyFill="1" applyBorder="1" applyAlignment="1">
      <alignment horizontal="center" vertical="center"/>
    </xf>
    <xf numFmtId="0" fontId="12" fillId="5" borderId="33" xfId="3" applyFont="1" applyFill="1" applyBorder="1" applyAlignment="1">
      <alignment horizontal="center" vertical="center"/>
    </xf>
    <xf numFmtId="0" fontId="12" fillId="5" borderId="34" xfId="3" applyFont="1" applyFill="1" applyBorder="1" applyAlignment="1">
      <alignment horizontal="center" vertical="center"/>
    </xf>
    <xf numFmtId="0" fontId="12" fillId="5" borderId="9" xfId="3" applyFont="1" applyFill="1" applyBorder="1" applyAlignment="1">
      <alignment horizontal="center" vertical="center"/>
    </xf>
    <xf numFmtId="0" fontId="12" fillId="5" borderId="10" xfId="3" applyFont="1" applyFill="1" applyBorder="1" applyAlignment="1">
      <alignment horizontal="center" vertical="center"/>
    </xf>
    <xf numFmtId="0" fontId="12" fillId="5" borderId="11" xfId="3" applyFont="1" applyFill="1" applyBorder="1" applyAlignment="1">
      <alignment horizontal="center" vertical="center"/>
    </xf>
    <xf numFmtId="0" fontId="32" fillId="0" borderId="13" xfId="5" applyFont="1" applyBorder="1" applyAlignment="1">
      <alignment horizontal="justify" vertical="center"/>
    </xf>
    <xf numFmtId="0" fontId="32" fillId="0" borderId="14" xfId="5" applyFont="1" applyBorder="1" applyAlignment="1">
      <alignment horizontal="justify" vertical="center"/>
    </xf>
    <xf numFmtId="0" fontId="32" fillId="0" borderId="0" xfId="5" applyFont="1" applyAlignment="1">
      <alignment horizontal="justify" vertical="center"/>
    </xf>
    <xf numFmtId="0" fontId="32" fillId="0" borderId="15" xfId="5" applyFont="1" applyBorder="1" applyAlignment="1">
      <alignment horizontal="justify" vertical="center"/>
    </xf>
    <xf numFmtId="0" fontId="54" fillId="4" borderId="19" xfId="3" applyFont="1" applyFill="1" applyBorder="1" applyAlignment="1">
      <alignment horizontal="right" vertical="center"/>
    </xf>
    <xf numFmtId="0" fontId="54" fillId="4" borderId="45" xfId="3" applyFont="1" applyFill="1" applyBorder="1" applyAlignment="1">
      <alignment horizontal="right" vertical="center"/>
    </xf>
    <xf numFmtId="0" fontId="54" fillId="4" borderId="46" xfId="3" applyFont="1" applyFill="1" applyBorder="1" applyAlignment="1">
      <alignment horizontal="right" vertical="center"/>
    </xf>
    <xf numFmtId="0" fontId="56" fillId="0" borderId="13" xfId="3" applyFont="1" applyBorder="1" applyAlignment="1">
      <alignment horizontal="justify" vertical="center"/>
    </xf>
    <xf numFmtId="0" fontId="56" fillId="0" borderId="14" xfId="3" applyFont="1" applyBorder="1" applyAlignment="1">
      <alignment horizontal="justify" vertical="center"/>
    </xf>
    <xf numFmtId="0" fontId="56" fillId="0" borderId="0" xfId="3" applyFont="1" applyAlignment="1">
      <alignment horizontal="justify" vertical="center"/>
    </xf>
    <xf numFmtId="0" fontId="56" fillId="0" borderId="15" xfId="3" applyFont="1" applyBorder="1" applyAlignment="1">
      <alignment horizontal="justify" vertical="center"/>
    </xf>
    <xf numFmtId="0" fontId="9" fillId="4" borderId="19" xfId="3" applyFont="1" applyFill="1" applyBorder="1" applyAlignment="1">
      <alignment horizontal="center" vertical="center"/>
    </xf>
    <xf numFmtId="0" fontId="11" fillId="4" borderId="20" xfId="3" applyFont="1" applyFill="1" applyBorder="1" applyAlignment="1">
      <alignment horizontal="center" vertical="center"/>
    </xf>
    <xf numFmtId="0" fontId="11" fillId="4" borderId="21" xfId="3" applyFont="1" applyFill="1" applyBorder="1" applyAlignment="1">
      <alignment horizontal="center" vertical="center"/>
    </xf>
    <xf numFmtId="0" fontId="2" fillId="0" borderId="5" xfId="3" applyFont="1" applyBorder="1" applyAlignment="1">
      <alignment horizontal="center" vertical="center"/>
    </xf>
    <xf numFmtId="0" fontId="2" fillId="0" borderId="3" xfId="3" applyFont="1" applyBorder="1" applyAlignment="1">
      <alignment horizontal="center" vertical="center"/>
    </xf>
    <xf numFmtId="0" fontId="2" fillId="0" borderId="26" xfId="3" applyFont="1" applyBorder="1" applyAlignment="1">
      <alignment horizontal="center" vertical="center"/>
    </xf>
    <xf numFmtId="0" fontId="2" fillId="0" borderId="4" xfId="3" applyFont="1" applyBorder="1" applyAlignment="1">
      <alignment horizontal="center" vertical="center"/>
    </xf>
    <xf numFmtId="0" fontId="9" fillId="4" borderId="44" xfId="2" applyFont="1" applyFill="1" applyBorder="1" applyAlignment="1">
      <alignment horizontal="right" vertical="center"/>
    </xf>
    <xf numFmtId="0" fontId="9" fillId="4" borderId="52" xfId="2" applyFont="1" applyFill="1" applyBorder="1" applyAlignment="1">
      <alignment horizontal="right" vertical="center"/>
    </xf>
    <xf numFmtId="0" fontId="9" fillId="4" borderId="48" xfId="2" applyFont="1" applyFill="1" applyBorder="1" applyAlignment="1">
      <alignment horizontal="right" vertical="center"/>
    </xf>
    <xf numFmtId="0" fontId="54" fillId="4" borderId="19" xfId="3" applyFont="1" applyFill="1" applyBorder="1" applyAlignment="1">
      <alignment horizontal="center" vertical="center"/>
    </xf>
    <xf numFmtId="0" fontId="54" fillId="4" borderId="45" xfId="3" applyFont="1" applyFill="1" applyBorder="1" applyAlignment="1">
      <alignment horizontal="center" vertical="center"/>
    </xf>
    <xf numFmtId="0" fontId="54" fillId="4" borderId="46" xfId="3" applyFont="1" applyFill="1" applyBorder="1" applyAlignment="1">
      <alignment horizontal="center" vertical="center"/>
    </xf>
    <xf numFmtId="0" fontId="12" fillId="4" borderId="19" xfId="3" applyFont="1" applyFill="1" applyBorder="1" applyAlignment="1">
      <alignment horizontal="center" vertical="center"/>
    </xf>
    <xf numFmtId="0" fontId="12" fillId="4" borderId="45" xfId="3" applyFont="1" applyFill="1" applyBorder="1" applyAlignment="1">
      <alignment horizontal="center" vertical="center"/>
    </xf>
    <xf numFmtId="0" fontId="12" fillId="4" borderId="46" xfId="3" applyFont="1" applyFill="1" applyBorder="1" applyAlignment="1">
      <alignment horizontal="center" vertical="center"/>
    </xf>
    <xf numFmtId="0" fontId="12" fillId="4" borderId="20" xfId="3" applyFont="1" applyFill="1" applyBorder="1" applyAlignment="1">
      <alignment horizontal="center" vertical="center"/>
    </xf>
    <xf numFmtId="0" fontId="12" fillId="4" borderId="21" xfId="3" applyFont="1" applyFill="1" applyBorder="1" applyAlignment="1">
      <alignment horizontal="center" vertical="center"/>
    </xf>
    <xf numFmtId="0" fontId="9" fillId="4" borderId="20" xfId="3" applyFont="1" applyFill="1" applyBorder="1" applyAlignment="1">
      <alignment horizontal="center" vertical="center"/>
    </xf>
    <xf numFmtId="0" fontId="9" fillId="4" borderId="21" xfId="3" applyFont="1" applyFill="1" applyBorder="1" applyAlignment="1">
      <alignment horizontal="center" vertical="center"/>
    </xf>
    <xf numFmtId="0" fontId="9" fillId="4" borderId="45" xfId="2" applyFont="1" applyFill="1" applyBorder="1" applyAlignment="1">
      <alignment horizontal="center" vertical="center"/>
    </xf>
    <xf numFmtId="0" fontId="9" fillId="4" borderId="46" xfId="2" applyFont="1" applyFill="1" applyBorder="1" applyAlignment="1">
      <alignment horizontal="center" vertical="center"/>
    </xf>
    <xf numFmtId="0" fontId="0" fillId="0" borderId="28" xfId="0" applyBorder="1" applyAlignment="1">
      <alignment horizontal="center" vertical="center" textRotation="90"/>
    </xf>
    <xf numFmtId="0" fontId="0" fillId="0" borderId="28" xfId="0" applyBorder="1" applyAlignment="1">
      <alignment horizontal="center" vertical="center" wrapText="1"/>
    </xf>
    <xf numFmtId="0" fontId="9" fillId="4" borderId="19" xfId="2" applyFont="1" applyFill="1" applyBorder="1" applyAlignment="1">
      <alignment horizontal="right" vertical="center"/>
    </xf>
    <xf numFmtId="0" fontId="9" fillId="4" borderId="20" xfId="2" applyFont="1" applyFill="1" applyBorder="1" applyAlignment="1">
      <alignment horizontal="right" vertical="center"/>
    </xf>
    <xf numFmtId="0" fontId="9" fillId="4" borderId="21" xfId="2" applyFont="1" applyFill="1" applyBorder="1" applyAlignment="1">
      <alignment horizontal="right" vertical="center"/>
    </xf>
    <xf numFmtId="0" fontId="12" fillId="4" borderId="9" xfId="1" applyFont="1" applyFill="1" applyBorder="1" applyAlignment="1">
      <alignment horizontal="center" vertical="center"/>
    </xf>
    <xf numFmtId="0" fontId="12" fillId="4" borderId="10" xfId="1" applyFont="1" applyFill="1" applyBorder="1" applyAlignment="1">
      <alignment horizontal="center" vertical="center"/>
    </xf>
    <xf numFmtId="0" fontId="12" fillId="4" borderId="11" xfId="1" applyFont="1" applyFill="1" applyBorder="1" applyAlignment="1">
      <alignment horizontal="center" vertical="center"/>
    </xf>
    <xf numFmtId="0" fontId="8" fillId="4" borderId="9" xfId="3" applyFont="1" applyFill="1" applyBorder="1" applyAlignment="1">
      <alignment horizontal="center" vertical="center"/>
    </xf>
    <xf numFmtId="0" fontId="8" fillId="4" borderId="10" xfId="3" applyFont="1" applyFill="1" applyBorder="1" applyAlignment="1">
      <alignment horizontal="center" vertical="center"/>
    </xf>
    <xf numFmtId="0" fontId="8" fillId="4" borderId="11" xfId="3" applyFont="1" applyFill="1" applyBorder="1" applyAlignment="1">
      <alignment horizontal="center" vertical="center"/>
    </xf>
    <xf numFmtId="0" fontId="32" fillId="0" borderId="5" xfId="2" applyFont="1" applyBorder="1" applyAlignment="1">
      <alignment horizontal="justify" vertical="center"/>
    </xf>
    <xf numFmtId="0" fontId="32" fillId="0" borderId="3" xfId="2" applyFont="1" applyBorder="1" applyAlignment="1">
      <alignment horizontal="justify" vertical="center"/>
    </xf>
    <xf numFmtId="0" fontId="32" fillId="0" borderId="26" xfId="2" applyFont="1" applyBorder="1" applyAlignment="1">
      <alignment horizontal="justify" vertical="center"/>
    </xf>
    <xf numFmtId="0" fontId="32" fillId="0" borderId="4" xfId="2" applyFont="1" applyBorder="1" applyAlignment="1">
      <alignment horizontal="justify" vertical="center"/>
    </xf>
    <xf numFmtId="0" fontId="9" fillId="4" borderId="69" xfId="2" applyFont="1" applyFill="1" applyBorder="1" applyAlignment="1">
      <alignment horizontal="center" vertical="center"/>
    </xf>
    <xf numFmtId="0" fontId="9" fillId="4" borderId="10" xfId="2" applyFont="1" applyFill="1" applyBorder="1" applyAlignment="1">
      <alignment horizontal="center" vertical="center"/>
    </xf>
    <xf numFmtId="0" fontId="9" fillId="4" borderId="11" xfId="2" applyFont="1" applyFill="1" applyBorder="1" applyAlignment="1">
      <alignment horizontal="center" vertical="center"/>
    </xf>
    <xf numFmtId="0" fontId="0" fillId="0" borderId="6" xfId="0" applyBorder="1" applyAlignment="1">
      <alignment horizontal="center" vertical="center" textRotation="90"/>
    </xf>
    <xf numFmtId="0" fontId="0" fillId="0" borderId="6" xfId="0" applyBorder="1" applyAlignment="1">
      <alignment horizontal="center" vertical="center" wrapText="1"/>
    </xf>
    <xf numFmtId="0" fontId="0" fillId="0" borderId="6" xfId="0" applyBorder="1" applyAlignment="1">
      <alignment horizontal="center" vertical="center"/>
    </xf>
    <xf numFmtId="0" fontId="82" fillId="0" borderId="6" xfId="6" applyBorder="1" applyAlignment="1">
      <alignment horizontal="center" vertical="center" textRotation="90" wrapText="1"/>
    </xf>
    <xf numFmtId="0" fontId="0" fillId="0" borderId="6" xfId="0" applyBorder="1" applyAlignment="1">
      <alignment horizontal="center" vertical="center" textRotation="90" wrapText="1"/>
    </xf>
    <xf numFmtId="0" fontId="0" fillId="0" borderId="27" xfId="0" applyBorder="1" applyAlignment="1">
      <alignment horizontal="center" vertical="center" textRotation="90"/>
    </xf>
    <xf numFmtId="0" fontId="0" fillId="0" borderId="50" xfId="0" applyBorder="1" applyAlignment="1">
      <alignment horizontal="center" vertical="center" textRotation="90"/>
    </xf>
    <xf numFmtId="0" fontId="0" fillId="0" borderId="7" xfId="0" applyBorder="1" applyAlignment="1">
      <alignment horizontal="center" vertical="center" textRotation="90"/>
    </xf>
    <xf numFmtId="0" fontId="82" fillId="0" borderId="6" xfId="6" applyBorder="1" applyAlignment="1">
      <alignment horizontal="center" vertical="center" textRotation="90"/>
    </xf>
    <xf numFmtId="0" fontId="2" fillId="0" borderId="13" xfId="1" applyFont="1" applyBorder="1" applyAlignment="1">
      <alignment horizontal="justify" vertical="center"/>
    </xf>
    <xf numFmtId="0" fontId="2" fillId="0" borderId="14" xfId="1" applyFont="1" applyBorder="1" applyAlignment="1">
      <alignment horizontal="justify" vertical="center"/>
    </xf>
    <xf numFmtId="0" fontId="2" fillId="0" borderId="0" xfId="1" applyFont="1" applyAlignment="1">
      <alignment horizontal="justify" vertical="center"/>
    </xf>
    <xf numFmtId="0" fontId="2" fillId="0" borderId="15" xfId="1" applyFont="1" applyBorder="1" applyAlignment="1">
      <alignment horizontal="justify" vertical="center"/>
    </xf>
    <xf numFmtId="0" fontId="9" fillId="4" borderId="45" xfId="3" applyFont="1" applyFill="1" applyBorder="1" applyAlignment="1">
      <alignment horizontal="center" vertical="center"/>
    </xf>
    <xf numFmtId="0" fontId="9" fillId="4" borderId="46" xfId="3" applyFont="1" applyFill="1" applyBorder="1" applyAlignment="1">
      <alignment horizontal="center" vertical="center"/>
    </xf>
    <xf numFmtId="0" fontId="28" fillId="0" borderId="28" xfId="0" applyFont="1" applyBorder="1" applyAlignment="1">
      <alignment horizontal="center" vertical="center" wrapText="1"/>
    </xf>
    <xf numFmtId="0" fontId="12" fillId="5" borderId="16" xfId="3" applyFont="1" applyFill="1" applyBorder="1" applyAlignment="1">
      <alignment horizontal="center" vertical="center"/>
    </xf>
    <xf numFmtId="0" fontId="0" fillId="0" borderId="29" xfId="0" applyBorder="1" applyAlignment="1">
      <alignment horizontal="center" vertical="center" textRotation="90"/>
    </xf>
    <xf numFmtId="0" fontId="13" fillId="4" borderId="38" xfId="2" applyFont="1" applyFill="1" applyBorder="1" applyAlignment="1">
      <alignment horizontal="center" vertical="center"/>
    </xf>
    <xf numFmtId="0" fontId="13" fillId="4" borderId="39" xfId="2" applyFont="1" applyFill="1" applyBorder="1" applyAlignment="1">
      <alignment horizontal="center" vertical="center"/>
    </xf>
    <xf numFmtId="0" fontId="13" fillId="4" borderId="40" xfId="2" applyFont="1" applyFill="1" applyBorder="1" applyAlignment="1">
      <alignment horizontal="center" vertical="center"/>
    </xf>
    <xf numFmtId="0" fontId="0" fillId="0" borderId="31" xfId="0" applyBorder="1" applyAlignment="1">
      <alignment horizontal="center" vertical="center" textRotation="90"/>
    </xf>
    <xf numFmtId="0" fontId="0" fillId="0" borderId="41" xfId="0" applyBorder="1" applyAlignment="1">
      <alignment horizontal="center" vertical="center" textRotation="90"/>
    </xf>
    <xf numFmtId="0" fontId="0" fillId="0" borderId="35" xfId="0" applyBorder="1" applyAlignment="1">
      <alignment horizontal="center" vertical="center" textRotation="90"/>
    </xf>
    <xf numFmtId="0" fontId="0" fillId="0" borderId="31"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28" xfId="0" applyBorder="1" applyAlignment="1">
      <alignment horizontal="center" vertical="center" textRotation="90" wrapText="1"/>
    </xf>
    <xf numFmtId="0" fontId="9" fillId="4" borderId="16" xfId="2" applyFont="1" applyFill="1" applyBorder="1" applyAlignment="1">
      <alignment horizontal="center" vertical="center"/>
    </xf>
    <xf numFmtId="0" fontId="11" fillId="4" borderId="9" xfId="3" applyFont="1" applyFill="1" applyBorder="1" applyAlignment="1">
      <alignment horizontal="center" vertical="center"/>
    </xf>
    <xf numFmtId="0" fontId="11" fillId="4" borderId="65" xfId="3" applyFont="1" applyFill="1" applyBorder="1" applyAlignment="1">
      <alignment horizontal="center" vertical="center"/>
    </xf>
    <xf numFmtId="0" fontId="11" fillId="4" borderId="64" xfId="3" applyFont="1" applyFill="1" applyBorder="1" applyAlignment="1">
      <alignment horizontal="center" vertical="center"/>
    </xf>
    <xf numFmtId="0" fontId="9" fillId="4" borderId="9" xfId="3" applyFont="1" applyFill="1" applyBorder="1" applyAlignment="1">
      <alignment horizontal="center" vertical="center"/>
    </xf>
    <xf numFmtId="0" fontId="9" fillId="4" borderId="65" xfId="3" applyFont="1" applyFill="1" applyBorder="1" applyAlignment="1">
      <alignment horizontal="center" vertical="center"/>
    </xf>
    <xf numFmtId="0" fontId="9" fillId="4" borderId="64" xfId="3" applyFont="1" applyFill="1" applyBorder="1" applyAlignment="1">
      <alignment horizontal="center" vertical="center"/>
    </xf>
    <xf numFmtId="0" fontId="9" fillId="4" borderId="10" xfId="3" applyFont="1" applyFill="1" applyBorder="1" applyAlignment="1">
      <alignment horizontal="center" vertical="center"/>
    </xf>
    <xf numFmtId="0" fontId="9" fillId="4" borderId="11" xfId="3" applyFont="1" applyFill="1" applyBorder="1" applyAlignment="1">
      <alignment horizontal="center" vertical="center"/>
    </xf>
    <xf numFmtId="0" fontId="9" fillId="4" borderId="80" xfId="3" applyFont="1" applyFill="1" applyBorder="1" applyAlignment="1">
      <alignment horizontal="center" vertical="center"/>
    </xf>
    <xf numFmtId="0" fontId="9" fillId="4" borderId="81" xfId="3" applyFont="1" applyFill="1" applyBorder="1" applyAlignment="1">
      <alignment horizontal="center" vertical="center"/>
    </xf>
    <xf numFmtId="0" fontId="9" fillId="4" borderId="82" xfId="3" applyFont="1" applyFill="1" applyBorder="1" applyAlignment="1">
      <alignment horizontal="center" vertical="center"/>
    </xf>
    <xf numFmtId="0" fontId="8" fillId="4" borderId="85" xfId="3" applyFont="1" applyFill="1" applyBorder="1" applyAlignment="1">
      <alignment horizontal="right"/>
    </xf>
    <xf numFmtId="0" fontId="8" fillId="4" borderId="65" xfId="3" applyFont="1" applyFill="1" applyBorder="1" applyAlignment="1">
      <alignment horizontal="right"/>
    </xf>
    <xf numFmtId="0" fontId="8" fillId="4" borderId="64" xfId="3" applyFont="1" applyFill="1" applyBorder="1" applyAlignment="1">
      <alignment horizontal="right"/>
    </xf>
  </cellXfs>
  <cellStyles count="7">
    <cellStyle name="Hipervínculo" xfId="6" builtinId="8"/>
    <cellStyle name="Moneda" xfId="4" builtinId="4"/>
    <cellStyle name="Normal" xfId="0" builtinId="0"/>
    <cellStyle name="Normal 2" xfId="2" xr:uid="{1DEC840A-D343-40F0-9294-73A33954A55E}"/>
    <cellStyle name="Normal 3" xfId="3" xr:uid="{E33C187C-6521-4041-BFBF-1F3F43378FBB}"/>
    <cellStyle name="Normal 4" xfId="5" xr:uid="{37D5543F-C993-4386-9962-0EBF264BE2C5}"/>
    <cellStyle name="Normal 6" xfId="1" xr:uid="{F1C7F306-E26C-4A19-9122-31D3B3D8CB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theme" Target="theme/theme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styles" Target="styles.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sharedStrings" Target="sharedString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microsoft.com/office/2017/10/relationships/person" Target="persons/person.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calcChain" Target="calcChain.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403D5FDD-5355-412B-8AB7-57A33F0C80B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387A2B34-AACC-4582-AEBE-35ABEB990F0E}"/>
            </a:ext>
          </a:extLst>
        </xdr:cNvPr>
        <xdr:cNvSpPr txBox="1">
          <a:spLocks noChangeArrowheads="1"/>
        </xdr:cNvSpPr>
      </xdr:nvSpPr>
      <xdr:spPr bwMode="auto">
        <a:xfrm>
          <a:off x="3086100" y="323850"/>
          <a:ext cx="3657600" cy="1362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A26967C8-330A-44ED-9AFE-67DC840CD5BF}"/>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46B9AD04-09B2-4AA1-965B-9281BD8C1376}"/>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C3F8F61-2CCB-42FD-B64D-BF5DF7B77EA1}"/>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FB325908-F8F6-4ACF-A96B-D7B94FBDFFFC}"/>
            </a:ext>
          </a:extLst>
        </xdr:cNvPr>
        <xdr:cNvSpPr txBox="1">
          <a:spLocks noChangeArrowheads="1"/>
        </xdr:cNvSpPr>
      </xdr:nvSpPr>
      <xdr:spPr bwMode="auto">
        <a:xfrm>
          <a:off x="3743325" y="200025"/>
          <a:ext cx="479107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8818909-4EB2-4B50-AB58-7011A48FB470}"/>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803FA001-5D7F-4F65-A185-E902B9B4453D}"/>
            </a:ext>
          </a:extLst>
        </xdr:cNvPr>
        <xdr:cNvSpPr txBox="1">
          <a:spLocks noChangeArrowheads="1"/>
        </xdr:cNvSpPr>
      </xdr:nvSpPr>
      <xdr:spPr bwMode="auto">
        <a:xfrm>
          <a:off x="3743325" y="200025"/>
          <a:ext cx="479107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D58FB13-3FA3-45A2-AC0A-76BBFCA9FE8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23CEB77C-40A7-4033-B99B-E0F3842D12D4}"/>
            </a:ext>
          </a:extLst>
        </xdr:cNvPr>
        <xdr:cNvSpPr txBox="1">
          <a:spLocks noChangeArrowheads="1"/>
        </xdr:cNvSpPr>
      </xdr:nvSpPr>
      <xdr:spPr bwMode="auto">
        <a:xfrm>
          <a:off x="3657186" y="513522"/>
          <a:ext cx="3281984" cy="10610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B8B8BB83-FD4A-4D4C-895D-A7CCC3A9B4A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571E47C1-9918-4A4D-8F65-708295D1C8C9}"/>
            </a:ext>
          </a:extLst>
        </xdr:cNvPr>
        <xdr:cNvSpPr txBox="1">
          <a:spLocks noChangeArrowheads="1"/>
        </xdr:cNvSpPr>
      </xdr:nvSpPr>
      <xdr:spPr bwMode="auto">
        <a:xfrm>
          <a:off x="3657186" y="513522"/>
          <a:ext cx="3882059" cy="10610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2339D9A4-38CA-4868-9AF2-2A61E2F00E83}"/>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C140E7D1-EC88-4048-B310-2A0A42E75237}"/>
            </a:ext>
          </a:extLst>
        </xdr:cNvPr>
        <xdr:cNvSpPr txBox="1">
          <a:spLocks noChangeArrowheads="1"/>
        </xdr:cNvSpPr>
      </xdr:nvSpPr>
      <xdr:spPr bwMode="auto">
        <a:xfrm>
          <a:off x="4057650" y="352426"/>
          <a:ext cx="4038600" cy="1485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E088CFDB-E3B2-4600-BE4D-918AC3469F88}"/>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3362325</xdr:colOff>
      <xdr:row>0</xdr:row>
      <xdr:rowOff>409575</xdr:rowOff>
    </xdr:from>
    <xdr:to>
      <xdr:col>3</xdr:col>
      <xdr:colOff>304800</xdr:colOff>
      <xdr:row>4</xdr:row>
      <xdr:rowOff>171450</xdr:rowOff>
    </xdr:to>
    <xdr:sp macro="" textlink="">
      <xdr:nvSpPr>
        <xdr:cNvPr id="3" name="Text Box 2">
          <a:extLst>
            <a:ext uri="{FF2B5EF4-FFF2-40B4-BE49-F238E27FC236}">
              <a16:creationId xmlns:a16="http://schemas.microsoft.com/office/drawing/2014/main" id="{BB12F7F9-00D3-43F0-B4AC-C0B22D5203C5}"/>
            </a:ext>
          </a:extLst>
        </xdr:cNvPr>
        <xdr:cNvSpPr txBox="1">
          <a:spLocks noChangeArrowheads="1"/>
        </xdr:cNvSpPr>
      </xdr:nvSpPr>
      <xdr:spPr bwMode="auto">
        <a:xfrm>
          <a:off x="3762375" y="409575"/>
          <a:ext cx="3933825" cy="1228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228600</xdr:colOff>
      <xdr:row>0</xdr:row>
      <xdr:rowOff>104776</xdr:rowOff>
    </xdr:from>
    <xdr:ext cx="1638300" cy="771524"/>
    <xdr:pic>
      <xdr:nvPicPr>
        <xdr:cNvPr id="2" name="image1.png">
          <a:extLst>
            <a:ext uri="{FF2B5EF4-FFF2-40B4-BE49-F238E27FC236}">
              <a16:creationId xmlns:a16="http://schemas.microsoft.com/office/drawing/2014/main" id="{9EBDDF66-DE0B-41FF-B239-6AB0D99DBE48}"/>
            </a:ext>
          </a:extLst>
        </xdr:cNvPr>
        <xdr:cNvPicPr preferRelativeResize="0"/>
      </xdr:nvPicPr>
      <xdr:blipFill>
        <a:blip xmlns:r="http://schemas.openxmlformats.org/officeDocument/2006/relationships" r:embed="rId1" cstate="print"/>
        <a:stretch>
          <a:fillRect/>
        </a:stretch>
      </xdr:blipFill>
      <xdr:spPr>
        <a:xfrm>
          <a:off x="228600" y="104776"/>
          <a:ext cx="1638300" cy="771524"/>
        </a:xfrm>
        <a:prstGeom prst="rect">
          <a:avLst/>
        </a:prstGeom>
        <a:noFill/>
      </xdr:spPr>
    </xdr:pic>
    <xdr:clientData fLocksWithSheet="0"/>
  </xdr:oneCellAnchor>
  <xdr:twoCellAnchor>
    <xdr:from>
      <xdr:col>1</xdr:col>
      <xdr:colOff>2247900</xdr:colOff>
      <xdr:row>0</xdr:row>
      <xdr:rowOff>76200</xdr:rowOff>
    </xdr:from>
    <xdr:to>
      <xdr:col>3</xdr:col>
      <xdr:colOff>447675</xdr:colOff>
      <xdr:row>1</xdr:row>
      <xdr:rowOff>0</xdr:rowOff>
    </xdr:to>
    <xdr:sp macro="" textlink="">
      <xdr:nvSpPr>
        <xdr:cNvPr id="3" name="Text Box 2">
          <a:extLst>
            <a:ext uri="{FF2B5EF4-FFF2-40B4-BE49-F238E27FC236}">
              <a16:creationId xmlns:a16="http://schemas.microsoft.com/office/drawing/2014/main" id="{A0A07FC7-783C-4056-B55D-52DD6AF1CD39}"/>
            </a:ext>
          </a:extLst>
        </xdr:cNvPr>
        <xdr:cNvSpPr txBox="1">
          <a:spLocks noChangeArrowheads="1"/>
        </xdr:cNvSpPr>
      </xdr:nvSpPr>
      <xdr:spPr bwMode="auto">
        <a:xfrm>
          <a:off x="2676525" y="76200"/>
          <a:ext cx="3467100" cy="952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228600</xdr:colOff>
      <xdr:row>0</xdr:row>
      <xdr:rowOff>104776</xdr:rowOff>
    </xdr:from>
    <xdr:ext cx="1638300" cy="771524"/>
    <xdr:pic>
      <xdr:nvPicPr>
        <xdr:cNvPr id="2" name="image1.png">
          <a:extLst>
            <a:ext uri="{FF2B5EF4-FFF2-40B4-BE49-F238E27FC236}">
              <a16:creationId xmlns:a16="http://schemas.microsoft.com/office/drawing/2014/main" id="{AA4C7EDA-D10B-4E4B-9A75-A25D89806BEE}"/>
            </a:ext>
          </a:extLst>
        </xdr:cNvPr>
        <xdr:cNvPicPr preferRelativeResize="0"/>
      </xdr:nvPicPr>
      <xdr:blipFill>
        <a:blip xmlns:r="http://schemas.openxmlformats.org/officeDocument/2006/relationships" r:embed="rId1" cstate="print"/>
        <a:stretch>
          <a:fillRect/>
        </a:stretch>
      </xdr:blipFill>
      <xdr:spPr>
        <a:xfrm>
          <a:off x="228600" y="104776"/>
          <a:ext cx="1638300" cy="771524"/>
        </a:xfrm>
        <a:prstGeom prst="rect">
          <a:avLst/>
        </a:prstGeom>
        <a:noFill/>
      </xdr:spPr>
    </xdr:pic>
    <xdr:clientData fLocksWithSheet="0"/>
  </xdr:oneCellAnchor>
  <xdr:twoCellAnchor>
    <xdr:from>
      <xdr:col>1</xdr:col>
      <xdr:colOff>2247900</xdr:colOff>
      <xdr:row>0</xdr:row>
      <xdr:rowOff>76200</xdr:rowOff>
    </xdr:from>
    <xdr:to>
      <xdr:col>3</xdr:col>
      <xdr:colOff>447675</xdr:colOff>
      <xdr:row>1</xdr:row>
      <xdr:rowOff>0</xdr:rowOff>
    </xdr:to>
    <xdr:sp macro="" textlink="">
      <xdr:nvSpPr>
        <xdr:cNvPr id="3" name="Text Box 2">
          <a:extLst>
            <a:ext uri="{FF2B5EF4-FFF2-40B4-BE49-F238E27FC236}">
              <a16:creationId xmlns:a16="http://schemas.microsoft.com/office/drawing/2014/main" id="{597BAB2B-C425-480C-94FE-9269AD7954E7}"/>
            </a:ext>
          </a:extLst>
        </xdr:cNvPr>
        <xdr:cNvSpPr txBox="1">
          <a:spLocks noChangeArrowheads="1"/>
        </xdr:cNvSpPr>
      </xdr:nvSpPr>
      <xdr:spPr bwMode="auto">
        <a:xfrm>
          <a:off x="2676525" y="76200"/>
          <a:ext cx="3467100" cy="952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B1F61D5B-6CB7-4064-A088-7A000EDB64E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6AA8F26-A43A-4170-9090-A379852AEB1B}"/>
            </a:ext>
          </a:extLst>
        </xdr:cNvPr>
        <xdr:cNvSpPr txBox="1">
          <a:spLocks noChangeArrowheads="1"/>
        </xdr:cNvSpPr>
      </xdr:nvSpPr>
      <xdr:spPr bwMode="auto">
        <a:xfrm>
          <a:off x="3657186" y="513522"/>
          <a:ext cx="3882059" cy="10610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36B3D184-CC23-4A83-9076-A64BF7E1E37D}"/>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055CFC9D-76C4-4431-BCCE-618F68FF46DD}"/>
            </a:ext>
          </a:extLst>
        </xdr:cNvPr>
        <xdr:cNvSpPr txBox="1">
          <a:spLocks noChangeArrowheads="1"/>
        </xdr:cNvSpPr>
      </xdr:nvSpPr>
      <xdr:spPr bwMode="auto">
        <a:xfrm>
          <a:off x="3067050" y="1247775"/>
          <a:ext cx="3933825" cy="1228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068919C-0FB2-4CC8-822B-51728124A8A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F0E28352-CC81-413F-9B93-46F9A3893C20}"/>
            </a:ext>
          </a:extLst>
        </xdr:cNvPr>
        <xdr:cNvSpPr txBox="1">
          <a:spLocks noChangeArrowheads="1"/>
        </xdr:cNvSpPr>
      </xdr:nvSpPr>
      <xdr:spPr bwMode="auto">
        <a:xfrm>
          <a:off x="3657186" y="513522"/>
          <a:ext cx="3882059" cy="10610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DE0CB76-098C-4D83-8EFA-392C4403CC8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A278F957-C629-4914-AE3B-587E71143928}"/>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C8C519E2-7E71-43AB-957D-C50C60F0B2A2}"/>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2C48D86B-F5A9-4AE9-92DD-3E12DDA05649}"/>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18FA37C-5FC8-41D6-806D-130D790D8EF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19BE7155-EC4B-4DC8-BD62-2A4D389EDAB7}"/>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274AD434-EC32-4943-8BEE-C8E31E68CED6}"/>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30EFB1B7-D1D9-43B4-BDF2-430D9B65989D}"/>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E7A43437-5B7A-4A8A-882C-55CD2469F10C}"/>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685800</xdr:colOff>
      <xdr:row>6</xdr:row>
      <xdr:rowOff>57150</xdr:rowOff>
    </xdr:to>
    <xdr:sp macro="" textlink="">
      <xdr:nvSpPr>
        <xdr:cNvPr id="3" name="Text Box 2">
          <a:extLst>
            <a:ext uri="{FF2B5EF4-FFF2-40B4-BE49-F238E27FC236}">
              <a16:creationId xmlns:a16="http://schemas.microsoft.com/office/drawing/2014/main" id="{0C6239EA-0B3F-4CEB-84A7-1C0D310DA85D}"/>
            </a:ext>
          </a:extLst>
        </xdr:cNvPr>
        <xdr:cNvSpPr txBox="1">
          <a:spLocks noChangeArrowheads="1"/>
        </xdr:cNvSpPr>
      </xdr:nvSpPr>
      <xdr:spPr bwMode="auto">
        <a:xfrm>
          <a:off x="3743325" y="200025"/>
          <a:ext cx="4619625" cy="1743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6C956FB8-6604-4147-8813-F42ABB7A62D9}"/>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24F12838-084C-4F66-B350-8BAD24C32356}"/>
            </a:ext>
          </a:extLst>
        </xdr:cNvPr>
        <xdr:cNvSpPr txBox="1">
          <a:spLocks noChangeArrowheads="1"/>
        </xdr:cNvSpPr>
      </xdr:nvSpPr>
      <xdr:spPr bwMode="auto">
        <a:xfrm>
          <a:off x="3200401" y="76200"/>
          <a:ext cx="30098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ECC9297-DE14-421E-B292-E0D6E337D49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00680BF6-0761-4E6A-9469-0240CAB0BE70}"/>
            </a:ext>
          </a:extLst>
        </xdr:cNvPr>
        <xdr:cNvSpPr txBox="1">
          <a:spLocks noChangeArrowheads="1"/>
        </xdr:cNvSpPr>
      </xdr:nvSpPr>
      <xdr:spPr bwMode="auto">
        <a:xfrm>
          <a:off x="3086100" y="323850"/>
          <a:ext cx="3657600" cy="1362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56ED8B0D-5F09-4A3E-BBA7-7278D7479B3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F0AE6809-49E2-4EF9-B3ED-6D183FD8433B}"/>
            </a:ext>
          </a:extLst>
        </xdr:cNvPr>
        <xdr:cNvSpPr txBox="1">
          <a:spLocks noChangeArrowheads="1"/>
        </xdr:cNvSpPr>
      </xdr:nvSpPr>
      <xdr:spPr bwMode="auto">
        <a:xfrm>
          <a:off x="3743325" y="200025"/>
          <a:ext cx="4581525" cy="17778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0BDAF7E-F732-4DCB-9EC5-D36B276CE983}"/>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49DB03A8-1E2C-499B-BF39-587AFC530274}"/>
            </a:ext>
          </a:extLst>
        </xdr:cNvPr>
        <xdr:cNvSpPr txBox="1">
          <a:spLocks noChangeArrowheads="1"/>
        </xdr:cNvSpPr>
      </xdr:nvSpPr>
      <xdr:spPr bwMode="auto">
        <a:xfrm>
          <a:off x="3238500" y="476250"/>
          <a:ext cx="3823336" cy="10991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EEB6FE8-6AFD-48D0-BFF9-B056FEFB4FE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9D07763F-DFBD-46F6-9F90-E8F2E8849076}"/>
            </a:ext>
          </a:extLst>
        </xdr:cNvPr>
        <xdr:cNvSpPr txBox="1">
          <a:spLocks noChangeArrowheads="1"/>
        </xdr:cNvSpPr>
      </xdr:nvSpPr>
      <xdr:spPr bwMode="auto">
        <a:xfrm>
          <a:off x="3143250" y="323850"/>
          <a:ext cx="456628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FD49E5EC-48D5-4F23-A117-22F298EAA34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80B2DAC1-A89A-414B-87C5-40376539520D}"/>
            </a:ext>
          </a:extLst>
        </xdr:cNvPr>
        <xdr:cNvSpPr txBox="1">
          <a:spLocks noChangeArrowheads="1"/>
        </xdr:cNvSpPr>
      </xdr:nvSpPr>
      <xdr:spPr bwMode="auto">
        <a:xfrm>
          <a:off x="3143250" y="323850"/>
          <a:ext cx="41243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53326F0-D795-4487-B6B8-4BD2A31EA08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25A724A0-1B67-4BF7-8FB6-1988B05E2AEB}"/>
            </a:ext>
          </a:extLst>
        </xdr:cNvPr>
        <xdr:cNvSpPr txBox="1">
          <a:spLocks noChangeArrowheads="1"/>
        </xdr:cNvSpPr>
      </xdr:nvSpPr>
      <xdr:spPr bwMode="auto">
        <a:xfrm>
          <a:off x="3143250" y="323850"/>
          <a:ext cx="41243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7B0C6172-EDF4-4FA2-ACA3-53551C1975C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063EBE12-E276-4731-B83E-8F139D5794FD}"/>
            </a:ext>
          </a:extLst>
        </xdr:cNvPr>
        <xdr:cNvSpPr txBox="1">
          <a:spLocks noChangeArrowheads="1"/>
        </xdr:cNvSpPr>
      </xdr:nvSpPr>
      <xdr:spPr bwMode="auto">
        <a:xfrm>
          <a:off x="4069080" y="352426"/>
          <a:ext cx="42538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37EE64C7-A7BB-4A30-9A96-D4AE5B0D42C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8E761D9B-6166-4D02-A477-DD66BA463EB7}"/>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B246276-30CC-4021-A78A-F1FE2D08FC0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4C1D7C5B-D4B2-4101-8625-34A3FC3885C5}"/>
            </a:ext>
          </a:extLst>
        </xdr:cNvPr>
        <xdr:cNvSpPr txBox="1">
          <a:spLocks noChangeArrowheads="1"/>
        </xdr:cNvSpPr>
      </xdr:nvSpPr>
      <xdr:spPr bwMode="auto">
        <a:xfrm>
          <a:off x="3800475" y="200025"/>
          <a:ext cx="56178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14AE5D9B-2D2E-4264-BDD9-48728DC17DEE}"/>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21EE39A8-4858-4CE7-B460-B192857471D5}"/>
            </a:ext>
          </a:extLst>
        </xdr:cNvPr>
        <xdr:cNvSpPr txBox="1">
          <a:spLocks noChangeArrowheads="1"/>
        </xdr:cNvSpPr>
      </xdr:nvSpPr>
      <xdr:spPr bwMode="auto">
        <a:xfrm>
          <a:off x="3373755" y="457200"/>
          <a:ext cx="34118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6D9539C2-AF48-45D8-AE8C-72AB079D681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6D61C37C-26EA-4CC3-9B35-16890C778A24}"/>
            </a:ext>
          </a:extLst>
        </xdr:cNvPr>
        <xdr:cNvSpPr txBox="1">
          <a:spLocks noChangeArrowheads="1"/>
        </xdr:cNvSpPr>
      </xdr:nvSpPr>
      <xdr:spPr bwMode="auto">
        <a:xfrm>
          <a:off x="3800475" y="200025"/>
          <a:ext cx="56178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0EC1841-B4A5-4298-B5C3-0DDFBD6597B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53D45B38-7888-4A35-A906-847453FB0FDF}"/>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2.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82D1F3C4-651A-4BF3-A97E-6B7874311445}"/>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C4DA4C6A-08AB-4E6C-BB36-1E9A373A0240}"/>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0D19CDF-4B3B-43D2-8702-D447EDFB48A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6D39CFF7-4378-4C1D-AF5B-D913564E9E07}"/>
            </a:ext>
          </a:extLst>
        </xdr:cNvPr>
        <xdr:cNvSpPr txBox="1">
          <a:spLocks noChangeArrowheads="1"/>
        </xdr:cNvSpPr>
      </xdr:nvSpPr>
      <xdr:spPr bwMode="auto">
        <a:xfrm>
          <a:off x="4069080" y="352426"/>
          <a:ext cx="42538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5301B71-CD05-4126-AC03-E53B75D8367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9B846A43-4AAB-494D-ADEF-2C78CE9FE34F}"/>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6CEAF53-96C9-4897-BDF0-6B4C145EB8D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2466975</xdr:colOff>
      <xdr:row>2</xdr:row>
      <xdr:rowOff>76200</xdr:rowOff>
    </xdr:from>
    <xdr:to>
      <xdr:col>2</xdr:col>
      <xdr:colOff>533401</xdr:colOff>
      <xdr:row>9</xdr:row>
      <xdr:rowOff>57150</xdr:rowOff>
    </xdr:to>
    <xdr:sp macro="" textlink="">
      <xdr:nvSpPr>
        <xdr:cNvPr id="3" name="Text Box 2">
          <a:extLst>
            <a:ext uri="{FF2B5EF4-FFF2-40B4-BE49-F238E27FC236}">
              <a16:creationId xmlns:a16="http://schemas.microsoft.com/office/drawing/2014/main" id="{77224627-7637-4771-BAE5-BC8E6941AA69}"/>
            </a:ext>
          </a:extLst>
        </xdr:cNvPr>
        <xdr:cNvSpPr txBox="1">
          <a:spLocks noChangeArrowheads="1"/>
        </xdr:cNvSpPr>
      </xdr:nvSpPr>
      <xdr:spPr bwMode="auto">
        <a:xfrm>
          <a:off x="2924175" y="1219200"/>
          <a:ext cx="5084446" cy="14363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2687765-698C-4799-B1FA-486B0B15DBF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DD7A880A-6C14-453D-B389-7D0E80D4BC41}"/>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8B410E9-6D14-4D4C-9F0E-849C816F4C4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9EDC474F-97FC-46EC-8F46-B6B740B53C07}"/>
            </a:ext>
          </a:extLst>
        </xdr:cNvPr>
        <xdr:cNvSpPr txBox="1">
          <a:spLocks noChangeArrowheads="1"/>
        </xdr:cNvSpPr>
      </xdr:nvSpPr>
      <xdr:spPr bwMode="auto">
        <a:xfrm>
          <a:off x="3800475" y="200025"/>
          <a:ext cx="56178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C1684DE-8F7E-4F2B-8262-2D60FB58F17D}"/>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56D3EF0-A3C0-4B7E-87BA-A4A764FB5028}"/>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3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224383A-56A8-412F-881B-1EF3264F20F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C9AB13E0-C7B5-4D78-96DE-B6B4999B270B}"/>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C47D2FB-424F-462C-9C71-15470C11B62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E7963616-8791-46F6-8262-8C933F33E4D3}"/>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0471DD2-9C6D-4F2A-805C-22A8CA8563E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3729C41D-AB77-4C6C-A5F8-209677660134}"/>
            </a:ext>
          </a:extLst>
        </xdr:cNvPr>
        <xdr:cNvSpPr txBox="1">
          <a:spLocks noChangeArrowheads="1"/>
        </xdr:cNvSpPr>
      </xdr:nvSpPr>
      <xdr:spPr bwMode="auto">
        <a:xfrm>
          <a:off x="3143250" y="323850"/>
          <a:ext cx="448246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7125C09-FFAC-427F-966C-5836B67E72E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111715C9-0C1C-4F37-9AA5-74D2B646C0BF}"/>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3.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2E3F589-077F-41F1-A4F0-7C24ABC28A2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66A6247D-9DAE-4413-98C8-2771C1EC8D2E}"/>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8141D96-BF15-4695-A551-36810DFC9BF9}"/>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3830955</xdr:colOff>
      <xdr:row>0</xdr:row>
      <xdr:rowOff>588645</xdr:rowOff>
    </xdr:from>
    <xdr:to>
      <xdr:col>3</xdr:col>
      <xdr:colOff>45720</xdr:colOff>
      <xdr:row>5</xdr:row>
      <xdr:rowOff>15240</xdr:rowOff>
    </xdr:to>
    <xdr:sp macro="" textlink="">
      <xdr:nvSpPr>
        <xdr:cNvPr id="3" name="Text Box 2">
          <a:extLst>
            <a:ext uri="{FF2B5EF4-FFF2-40B4-BE49-F238E27FC236}">
              <a16:creationId xmlns:a16="http://schemas.microsoft.com/office/drawing/2014/main" id="{A51FED6E-9A4E-4DE7-9BB0-DD73BD5735CE}"/>
            </a:ext>
          </a:extLst>
        </xdr:cNvPr>
        <xdr:cNvSpPr txBox="1">
          <a:spLocks noChangeArrowheads="1"/>
        </xdr:cNvSpPr>
      </xdr:nvSpPr>
      <xdr:spPr bwMode="auto">
        <a:xfrm>
          <a:off x="4242435" y="588645"/>
          <a:ext cx="4787265" cy="111061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9AF00A4-D6A7-448A-80DE-3BD5D50D539F}"/>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3830955</xdr:colOff>
      <xdr:row>0</xdr:row>
      <xdr:rowOff>588645</xdr:rowOff>
    </xdr:from>
    <xdr:to>
      <xdr:col>3</xdr:col>
      <xdr:colOff>45720</xdr:colOff>
      <xdr:row>5</xdr:row>
      <xdr:rowOff>15240</xdr:rowOff>
    </xdr:to>
    <xdr:sp macro="" textlink="">
      <xdr:nvSpPr>
        <xdr:cNvPr id="3" name="Text Box 2">
          <a:extLst>
            <a:ext uri="{FF2B5EF4-FFF2-40B4-BE49-F238E27FC236}">
              <a16:creationId xmlns:a16="http://schemas.microsoft.com/office/drawing/2014/main" id="{F13E368B-67CE-40BB-9167-8959AE0475D5}"/>
            </a:ext>
          </a:extLst>
        </xdr:cNvPr>
        <xdr:cNvSpPr txBox="1">
          <a:spLocks noChangeArrowheads="1"/>
        </xdr:cNvSpPr>
      </xdr:nvSpPr>
      <xdr:spPr bwMode="auto">
        <a:xfrm>
          <a:off x="4242435" y="588645"/>
          <a:ext cx="4787265" cy="111061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A9B7697-3D0D-4AE5-A5F7-1FF5E555396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10FCCED4-C04B-43BA-BBA6-43DF025F542A}"/>
            </a:ext>
          </a:extLst>
        </xdr:cNvPr>
        <xdr:cNvSpPr txBox="1">
          <a:spLocks noChangeArrowheads="1"/>
        </xdr:cNvSpPr>
      </xdr:nvSpPr>
      <xdr:spPr bwMode="auto">
        <a:xfrm>
          <a:off x="3192780" y="476250"/>
          <a:ext cx="3084196" cy="10991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3FCA0EE-1198-4F06-B354-BA802C5A876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9BF66F1D-DFCB-4A0F-9B0B-F07458F74CD5}"/>
            </a:ext>
          </a:extLst>
        </xdr:cNvPr>
        <xdr:cNvSpPr txBox="1">
          <a:spLocks noChangeArrowheads="1"/>
        </xdr:cNvSpPr>
      </xdr:nvSpPr>
      <xdr:spPr bwMode="auto">
        <a:xfrm>
          <a:off x="3192780" y="476250"/>
          <a:ext cx="3084196" cy="10991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62D8A4A1-66B3-42A1-9724-7173D46EF61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C5399EF1-41C6-4D7F-A5B1-7249989C082C}"/>
            </a:ext>
          </a:extLst>
        </xdr:cNvPr>
        <xdr:cNvSpPr txBox="1">
          <a:spLocks noChangeArrowheads="1"/>
        </xdr:cNvSpPr>
      </xdr:nvSpPr>
      <xdr:spPr bwMode="auto">
        <a:xfrm>
          <a:off x="3800475" y="200025"/>
          <a:ext cx="56178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4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D72611E-94B8-408A-9AF8-3076582B6CF6}"/>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5DD1D1EE-11AF-453B-8E4E-3B68EAAA4D2B}"/>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B8C7717-569B-438B-906A-AD1CC5EDD69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467B39D5-44B9-4512-A3DC-78A11BF85E55}"/>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359ACDEA-357C-4C74-9851-5E31325FC71E}"/>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669BD9B4-0AA1-40CC-97FA-8048E9A891A9}"/>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C50A8716-1528-45CC-89C5-CAFDA7C8811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6F73B32D-EE7E-44EA-AA40-CD846111C4DC}"/>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ACC915E-C639-4361-80E2-7CEA3491EE4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E53A6754-EAA4-42C9-A6F9-D6226E8DF656}"/>
            </a:ext>
          </a:extLst>
        </xdr:cNvPr>
        <xdr:cNvSpPr txBox="1">
          <a:spLocks noChangeArrowheads="1"/>
        </xdr:cNvSpPr>
      </xdr:nvSpPr>
      <xdr:spPr bwMode="auto">
        <a:xfrm>
          <a:off x="3181350" y="476250"/>
          <a:ext cx="2933701" cy="1095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9E1C920-25AD-49DA-86FF-86C36AFD25B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F5F0A80D-6D7B-42D6-80A1-EDFA49F802D4}"/>
            </a:ext>
          </a:extLst>
        </xdr:cNvPr>
        <xdr:cNvSpPr txBox="1">
          <a:spLocks noChangeArrowheads="1"/>
        </xdr:cNvSpPr>
      </xdr:nvSpPr>
      <xdr:spPr bwMode="auto">
        <a:xfrm>
          <a:off x="3657186" y="513522"/>
          <a:ext cx="1824659" cy="10610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53FC666C-6CBD-4B94-BC9D-C7EE10A85B7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00C4ADE-6DE3-43CA-BC4C-4E0F9D8A0F0A}"/>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CAC13A7-C446-4F90-89EB-EB9D8466044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DC1C50A5-DEF1-4119-BDA8-FD2AC1C36EBA}"/>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E0F28FE-F875-40B6-A39C-47CDE03D4669}"/>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3D965FAA-A151-467C-B316-0B69D7D847C6}"/>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DE7A033A-CB33-4FB3-BA5F-E9CFF64B870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11C932D-36AB-4AE6-82DF-EA7721DCAA6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5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651168B-E85F-45C8-BB44-C60BD1F5862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0D5C53DD-E4C2-4A3D-B5A9-081A00FC68A0}"/>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8B92D63-34C1-4BE2-A097-E0C7CCB37D7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7091696A-7EFD-4D97-B6F3-A11A1D3F10BA}"/>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47755C75-E1A6-423F-9B62-04715B1C558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D4B5280E-7931-4BCE-B51F-D6866870ACC1}"/>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8E11095-8F30-430E-AEF8-7FFCEAEB144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7D582C16-A6DD-48EC-8C19-780EFDD4507F}"/>
            </a:ext>
          </a:extLst>
        </xdr:cNvPr>
        <xdr:cNvSpPr txBox="1">
          <a:spLocks noChangeArrowheads="1"/>
        </xdr:cNvSpPr>
      </xdr:nvSpPr>
      <xdr:spPr bwMode="auto">
        <a:xfrm>
          <a:off x="3335655" y="457200"/>
          <a:ext cx="307657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75D7E392-7B56-4267-BFB5-FDFE17AE181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7CF8632E-95B8-4341-A416-B14D785D40F8}"/>
            </a:ext>
          </a:extLst>
        </xdr:cNvPr>
        <xdr:cNvSpPr txBox="1">
          <a:spLocks noChangeArrowheads="1"/>
        </xdr:cNvSpPr>
      </xdr:nvSpPr>
      <xdr:spPr bwMode="auto">
        <a:xfrm>
          <a:off x="3335655" y="457200"/>
          <a:ext cx="338899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2F5B5BE-23E3-476B-97BC-B75276770A0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242542ED-D104-42E8-AB15-526F74C8C930}"/>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7B7D5181-9A64-4AC5-BC12-2DAF9668C38C}"/>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9AFC46F1-6D4F-425D-A8A9-B64B1003FFB7}"/>
            </a:ext>
          </a:extLst>
        </xdr:cNvPr>
        <xdr:cNvSpPr txBox="1">
          <a:spLocks noChangeArrowheads="1"/>
        </xdr:cNvSpPr>
      </xdr:nvSpPr>
      <xdr:spPr bwMode="auto">
        <a:xfrm>
          <a:off x="1569720" y="470535"/>
          <a:ext cx="457200" cy="1154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CE1EB383-A19A-4E6A-A193-E53D597756E8}"/>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2804160</xdr:colOff>
      <xdr:row>0</xdr:row>
      <xdr:rowOff>257175</xdr:rowOff>
    </xdr:from>
    <xdr:to>
      <xdr:col>4</xdr:col>
      <xdr:colOff>525780</xdr:colOff>
      <xdr:row>4</xdr:row>
      <xdr:rowOff>55245</xdr:rowOff>
    </xdr:to>
    <xdr:sp macro="" textlink="">
      <xdr:nvSpPr>
        <xdr:cNvPr id="3" name="Text Box 2">
          <a:extLst>
            <a:ext uri="{FF2B5EF4-FFF2-40B4-BE49-F238E27FC236}">
              <a16:creationId xmlns:a16="http://schemas.microsoft.com/office/drawing/2014/main" id="{E8C8662E-6DA4-407C-8274-75AD63A58851}"/>
            </a:ext>
          </a:extLst>
        </xdr:cNvPr>
        <xdr:cNvSpPr txBox="1">
          <a:spLocks noChangeArrowheads="1"/>
        </xdr:cNvSpPr>
      </xdr:nvSpPr>
      <xdr:spPr bwMode="auto">
        <a:xfrm>
          <a:off x="3215640" y="257175"/>
          <a:ext cx="466344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4890413A-7242-4704-987E-DE43C5339EDE}"/>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2C93C12C-B322-4E9D-B5F4-98418B9C57CD}"/>
            </a:ext>
          </a:extLst>
        </xdr:cNvPr>
        <xdr:cNvSpPr txBox="1">
          <a:spLocks noChangeArrowheads="1"/>
        </xdr:cNvSpPr>
      </xdr:nvSpPr>
      <xdr:spPr bwMode="auto">
        <a:xfrm>
          <a:off x="3078480" y="1247775"/>
          <a:ext cx="286512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07E36DC-D19A-475D-A8E8-1E799E0B6F9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43A7EE4-6F3F-4254-A64F-B348D502AEA3}"/>
            </a:ext>
          </a:extLst>
        </xdr:cNvPr>
        <xdr:cNvSpPr txBox="1">
          <a:spLocks noChangeArrowheads="1"/>
        </xdr:cNvSpPr>
      </xdr:nvSpPr>
      <xdr:spPr bwMode="auto">
        <a:xfrm>
          <a:off x="3800475" y="200025"/>
          <a:ext cx="56178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6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466D1523-79C8-4D98-89BF-3489D769F74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960A7EB6-A644-48C1-90A2-EDCDCF18EFA3}"/>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4079943-AB60-4C87-B559-A6B7B9378266}"/>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8C519A09-D3A1-4524-B0FF-40BC51C8B72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325630B1-BFD6-45AE-A8F6-33752F5B030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DD89628B-8D6C-47ED-A9E7-7834128C608A}"/>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3A1F8A8-1BED-4799-89D8-9F71648C929A}"/>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2590800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FF37E3C4-A06E-4410-8DEF-D7B3172F5BA7}"/>
            </a:ext>
          </a:extLst>
        </xdr:cNvPr>
        <xdr:cNvSpPr txBox="1">
          <a:spLocks noChangeArrowheads="1"/>
        </xdr:cNvSpPr>
      </xdr:nvSpPr>
      <xdr:spPr bwMode="auto">
        <a:xfrm>
          <a:off x="3002280" y="352426"/>
          <a:ext cx="43681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3.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8ED0300-826E-42D5-85A7-902A0D41A83C}"/>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FFEA551-6CFE-46BF-8F3C-066E2FD6AAB1}"/>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3BC2BFB-4A03-4B25-9322-3C4B4B50314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D1707081-D15C-4028-946D-B31F7B4DC2C2}"/>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F4CD48C-8B2C-4279-B4E1-268265099A8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A124668D-6E32-42F3-9DE6-6FBB1602CB22}"/>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B1BCC75C-3770-4D27-8519-ACD49D9681F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24CD0270-E17A-437B-9670-CD9E63FCA268}"/>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97EB3251-B347-468B-9D6C-E67108476A1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39AB73C8-8073-4F51-BB60-F73A2BA58A76}"/>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487C8799-6481-4E94-B111-CDC16BACFE8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5994043A-0659-4D94-9034-D277D2C69FE8}"/>
            </a:ext>
          </a:extLst>
        </xdr:cNvPr>
        <xdr:cNvSpPr txBox="1">
          <a:spLocks noChangeArrowheads="1"/>
        </xdr:cNvSpPr>
      </xdr:nvSpPr>
      <xdr:spPr bwMode="auto">
        <a:xfrm>
          <a:off x="3192780" y="476250"/>
          <a:ext cx="3084196" cy="10991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7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C4BEB1B5-74DF-41DA-89A7-D9202134587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B734399-F830-4AE4-9EA4-2285FD7F8316}"/>
            </a:ext>
          </a:extLst>
        </xdr:cNvPr>
        <xdr:cNvSpPr txBox="1">
          <a:spLocks noChangeArrowheads="1"/>
        </xdr:cNvSpPr>
      </xdr:nvSpPr>
      <xdr:spPr bwMode="auto">
        <a:xfrm>
          <a:off x="3668616" y="513522"/>
          <a:ext cx="28209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0.xml><?xml version="1.0" encoding="utf-8"?>
<xdr:wsDr xmlns:xdr="http://schemas.openxmlformats.org/drawingml/2006/spreadsheetDrawing" xmlns:a="http://schemas.openxmlformats.org/drawingml/2006/main">
  <xdr:oneCellAnchor>
    <xdr:from>
      <xdr:col>1</xdr:col>
      <xdr:colOff>28575</xdr:colOff>
      <xdr:row>1</xdr:row>
      <xdr:rowOff>142875</xdr:rowOff>
    </xdr:from>
    <xdr:ext cx="1304925" cy="857250"/>
    <xdr:pic>
      <xdr:nvPicPr>
        <xdr:cNvPr id="6" name="image1.png">
          <a:extLst>
            <a:ext uri="{FF2B5EF4-FFF2-40B4-BE49-F238E27FC236}">
              <a16:creationId xmlns:a16="http://schemas.microsoft.com/office/drawing/2014/main" id="{AAEFE463-6F7D-4A4A-BFD4-A6E40CF0D9D3}"/>
            </a:ext>
          </a:extLst>
        </xdr:cNvPr>
        <xdr:cNvPicPr preferRelativeResize="0"/>
      </xdr:nvPicPr>
      <xdr:blipFill>
        <a:blip xmlns:r="http://schemas.openxmlformats.org/officeDocument/2006/relationships" r:embed="rId1" cstate="print"/>
        <a:stretch>
          <a:fillRect/>
        </a:stretch>
      </xdr:blipFill>
      <xdr:spPr>
        <a:xfrm>
          <a:off x="531495" y="20457795"/>
          <a:ext cx="1304925" cy="857250"/>
        </a:xfrm>
        <a:prstGeom prst="rect">
          <a:avLst/>
        </a:prstGeom>
        <a:noFill/>
      </xdr:spPr>
    </xdr:pic>
    <xdr:clientData fLocksWithSheet="0"/>
  </xdr:oneCellAnchor>
  <xdr:twoCellAnchor>
    <xdr:from>
      <xdr:col>2</xdr:col>
      <xdr:colOff>2009775</xdr:colOff>
      <xdr:row>1</xdr:row>
      <xdr:rowOff>9526</xdr:rowOff>
    </xdr:from>
    <xdr:to>
      <xdr:col>4</xdr:col>
      <xdr:colOff>828675</xdr:colOff>
      <xdr:row>6</xdr:row>
      <xdr:rowOff>0</xdr:rowOff>
    </xdr:to>
    <xdr:sp macro="" textlink="">
      <xdr:nvSpPr>
        <xdr:cNvPr id="7" name="CuadroTexto 6">
          <a:extLst>
            <a:ext uri="{FF2B5EF4-FFF2-40B4-BE49-F238E27FC236}">
              <a16:creationId xmlns:a16="http://schemas.microsoft.com/office/drawing/2014/main" id="{E06EE830-EF58-4F93-B1D6-B6957A3558BF}"/>
            </a:ext>
          </a:extLst>
        </xdr:cNvPr>
        <xdr:cNvSpPr txBox="1"/>
      </xdr:nvSpPr>
      <xdr:spPr>
        <a:xfrm>
          <a:off x="3015615" y="20324446"/>
          <a:ext cx="5295900"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0</xdr:col>
      <xdr:colOff>386715</xdr:colOff>
      <xdr:row>38</xdr:row>
      <xdr:rowOff>127635</xdr:rowOff>
    </xdr:from>
    <xdr:ext cx="1304925" cy="857250"/>
    <xdr:pic>
      <xdr:nvPicPr>
        <xdr:cNvPr id="8" name="image1.png">
          <a:extLst>
            <a:ext uri="{FF2B5EF4-FFF2-40B4-BE49-F238E27FC236}">
              <a16:creationId xmlns:a16="http://schemas.microsoft.com/office/drawing/2014/main" id="{62379855-C57F-4C47-B04B-EED4EE8F41CC}"/>
            </a:ext>
          </a:extLst>
        </xdr:cNvPr>
        <xdr:cNvPicPr preferRelativeResize="0"/>
      </xdr:nvPicPr>
      <xdr:blipFill>
        <a:blip xmlns:r="http://schemas.openxmlformats.org/officeDocument/2006/relationships" r:embed="rId1" cstate="print"/>
        <a:stretch>
          <a:fillRect/>
        </a:stretch>
      </xdr:blipFill>
      <xdr:spPr>
        <a:xfrm>
          <a:off x="386715" y="10239375"/>
          <a:ext cx="1304925" cy="857250"/>
        </a:xfrm>
        <a:prstGeom prst="rect">
          <a:avLst/>
        </a:prstGeom>
        <a:noFill/>
      </xdr:spPr>
    </xdr:pic>
    <xdr:clientData fLocksWithSheet="0"/>
  </xdr:oneCellAnchor>
  <xdr:twoCellAnchor>
    <xdr:from>
      <xdr:col>2</xdr:col>
      <xdr:colOff>2009775</xdr:colOff>
      <xdr:row>38</xdr:row>
      <xdr:rowOff>68580</xdr:rowOff>
    </xdr:from>
    <xdr:to>
      <xdr:col>4</xdr:col>
      <xdr:colOff>828675</xdr:colOff>
      <xdr:row>43</xdr:row>
      <xdr:rowOff>114300</xdr:rowOff>
    </xdr:to>
    <xdr:sp macro="" textlink="">
      <xdr:nvSpPr>
        <xdr:cNvPr id="9" name="CuadroTexto 8">
          <a:extLst>
            <a:ext uri="{FF2B5EF4-FFF2-40B4-BE49-F238E27FC236}">
              <a16:creationId xmlns:a16="http://schemas.microsoft.com/office/drawing/2014/main" id="{964DE77A-6430-4CF2-987E-73A852D59419}"/>
            </a:ext>
          </a:extLst>
        </xdr:cNvPr>
        <xdr:cNvSpPr txBox="1"/>
      </xdr:nvSpPr>
      <xdr:spPr>
        <a:xfrm>
          <a:off x="3015615" y="10180320"/>
          <a:ext cx="52959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0</xdr:col>
      <xdr:colOff>386715</xdr:colOff>
      <xdr:row>76</xdr:row>
      <xdr:rowOff>127635</xdr:rowOff>
    </xdr:from>
    <xdr:ext cx="1304925" cy="857250"/>
    <xdr:pic>
      <xdr:nvPicPr>
        <xdr:cNvPr id="2" name="image1.png">
          <a:extLst>
            <a:ext uri="{FF2B5EF4-FFF2-40B4-BE49-F238E27FC236}">
              <a16:creationId xmlns:a16="http://schemas.microsoft.com/office/drawing/2014/main" id="{FC76B93F-873F-4821-B930-388D5969FE6E}"/>
            </a:ext>
          </a:extLst>
        </xdr:cNvPr>
        <xdr:cNvPicPr preferRelativeResize="0"/>
      </xdr:nvPicPr>
      <xdr:blipFill>
        <a:blip xmlns:r="http://schemas.openxmlformats.org/officeDocument/2006/relationships" r:embed="rId1" cstate="print"/>
        <a:stretch>
          <a:fillRect/>
        </a:stretch>
      </xdr:blipFill>
      <xdr:spPr>
        <a:xfrm>
          <a:off x="386715" y="10239375"/>
          <a:ext cx="1304925" cy="857250"/>
        </a:xfrm>
        <a:prstGeom prst="rect">
          <a:avLst/>
        </a:prstGeom>
        <a:noFill/>
      </xdr:spPr>
    </xdr:pic>
    <xdr:clientData fLocksWithSheet="0"/>
  </xdr:oneCellAnchor>
  <xdr:twoCellAnchor>
    <xdr:from>
      <xdr:col>2</xdr:col>
      <xdr:colOff>2009775</xdr:colOff>
      <xdr:row>76</xdr:row>
      <xdr:rowOff>68580</xdr:rowOff>
    </xdr:from>
    <xdr:to>
      <xdr:col>4</xdr:col>
      <xdr:colOff>828675</xdr:colOff>
      <xdr:row>81</xdr:row>
      <xdr:rowOff>114300</xdr:rowOff>
    </xdr:to>
    <xdr:sp macro="" textlink="">
      <xdr:nvSpPr>
        <xdr:cNvPr id="3" name="CuadroTexto 2">
          <a:extLst>
            <a:ext uri="{FF2B5EF4-FFF2-40B4-BE49-F238E27FC236}">
              <a16:creationId xmlns:a16="http://schemas.microsoft.com/office/drawing/2014/main" id="{FC6167D2-0ACB-4318-856A-D3CA9F4BA36F}"/>
            </a:ext>
          </a:extLst>
        </xdr:cNvPr>
        <xdr:cNvSpPr txBox="1"/>
      </xdr:nvSpPr>
      <xdr:spPr>
        <a:xfrm>
          <a:off x="3015615" y="10180320"/>
          <a:ext cx="52959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0</xdr:col>
      <xdr:colOff>386715</xdr:colOff>
      <xdr:row>115</xdr:row>
      <xdr:rowOff>127635</xdr:rowOff>
    </xdr:from>
    <xdr:ext cx="1304925" cy="857250"/>
    <xdr:pic>
      <xdr:nvPicPr>
        <xdr:cNvPr id="4" name="image1.png">
          <a:extLst>
            <a:ext uri="{FF2B5EF4-FFF2-40B4-BE49-F238E27FC236}">
              <a16:creationId xmlns:a16="http://schemas.microsoft.com/office/drawing/2014/main" id="{B70FCE7A-0987-4C2D-A29B-0E4CFD4750D4}"/>
            </a:ext>
          </a:extLst>
        </xdr:cNvPr>
        <xdr:cNvPicPr preferRelativeResize="0"/>
      </xdr:nvPicPr>
      <xdr:blipFill>
        <a:blip xmlns:r="http://schemas.openxmlformats.org/officeDocument/2006/relationships" r:embed="rId1" cstate="print"/>
        <a:stretch>
          <a:fillRect/>
        </a:stretch>
      </xdr:blipFill>
      <xdr:spPr>
        <a:xfrm>
          <a:off x="386715" y="20320635"/>
          <a:ext cx="1304925" cy="857250"/>
        </a:xfrm>
        <a:prstGeom prst="rect">
          <a:avLst/>
        </a:prstGeom>
        <a:noFill/>
      </xdr:spPr>
    </xdr:pic>
    <xdr:clientData fLocksWithSheet="0"/>
  </xdr:oneCellAnchor>
  <xdr:twoCellAnchor>
    <xdr:from>
      <xdr:col>2</xdr:col>
      <xdr:colOff>2009775</xdr:colOff>
      <xdr:row>115</xdr:row>
      <xdr:rowOff>68580</xdr:rowOff>
    </xdr:from>
    <xdr:to>
      <xdr:col>4</xdr:col>
      <xdr:colOff>828675</xdr:colOff>
      <xdr:row>120</xdr:row>
      <xdr:rowOff>114300</xdr:rowOff>
    </xdr:to>
    <xdr:sp macro="" textlink="">
      <xdr:nvSpPr>
        <xdr:cNvPr id="5" name="CuadroTexto 4">
          <a:extLst>
            <a:ext uri="{FF2B5EF4-FFF2-40B4-BE49-F238E27FC236}">
              <a16:creationId xmlns:a16="http://schemas.microsoft.com/office/drawing/2014/main" id="{245094AB-E382-47A9-A44C-FD288806E56D}"/>
            </a:ext>
          </a:extLst>
        </xdr:cNvPr>
        <xdr:cNvSpPr txBox="1"/>
      </xdr:nvSpPr>
      <xdr:spPr>
        <a:xfrm>
          <a:off x="3015615" y="20261580"/>
          <a:ext cx="52959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0</xdr:col>
      <xdr:colOff>386715</xdr:colOff>
      <xdr:row>153</xdr:row>
      <xdr:rowOff>127635</xdr:rowOff>
    </xdr:from>
    <xdr:ext cx="1304925" cy="857250"/>
    <xdr:pic>
      <xdr:nvPicPr>
        <xdr:cNvPr id="10" name="image1.png">
          <a:extLst>
            <a:ext uri="{FF2B5EF4-FFF2-40B4-BE49-F238E27FC236}">
              <a16:creationId xmlns:a16="http://schemas.microsoft.com/office/drawing/2014/main" id="{1E9C4781-A298-4D3D-890C-537252A2325C}"/>
            </a:ext>
          </a:extLst>
        </xdr:cNvPr>
        <xdr:cNvPicPr preferRelativeResize="0"/>
      </xdr:nvPicPr>
      <xdr:blipFill>
        <a:blip xmlns:r="http://schemas.openxmlformats.org/officeDocument/2006/relationships" r:embed="rId1" cstate="print"/>
        <a:stretch>
          <a:fillRect/>
        </a:stretch>
      </xdr:blipFill>
      <xdr:spPr>
        <a:xfrm>
          <a:off x="386715" y="30409515"/>
          <a:ext cx="1304925" cy="857250"/>
        </a:xfrm>
        <a:prstGeom prst="rect">
          <a:avLst/>
        </a:prstGeom>
        <a:noFill/>
      </xdr:spPr>
    </xdr:pic>
    <xdr:clientData fLocksWithSheet="0"/>
  </xdr:oneCellAnchor>
  <xdr:twoCellAnchor>
    <xdr:from>
      <xdr:col>2</xdr:col>
      <xdr:colOff>2009775</xdr:colOff>
      <xdr:row>153</xdr:row>
      <xdr:rowOff>68580</xdr:rowOff>
    </xdr:from>
    <xdr:to>
      <xdr:col>4</xdr:col>
      <xdr:colOff>828675</xdr:colOff>
      <xdr:row>158</xdr:row>
      <xdr:rowOff>114300</xdr:rowOff>
    </xdr:to>
    <xdr:sp macro="" textlink="">
      <xdr:nvSpPr>
        <xdr:cNvPr id="11" name="CuadroTexto 10">
          <a:extLst>
            <a:ext uri="{FF2B5EF4-FFF2-40B4-BE49-F238E27FC236}">
              <a16:creationId xmlns:a16="http://schemas.microsoft.com/office/drawing/2014/main" id="{320513D2-F5CF-4A1F-857D-D7F1B5A4DC3A}"/>
            </a:ext>
          </a:extLst>
        </xdr:cNvPr>
        <xdr:cNvSpPr txBox="1"/>
      </xdr:nvSpPr>
      <xdr:spPr>
        <a:xfrm>
          <a:off x="3015615" y="30350460"/>
          <a:ext cx="52959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8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FCB145B-8AC5-4537-9F09-236EE0EF8BED}"/>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613FDC7-FF6D-4D51-A47B-FDDC22008DF6}"/>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B45A799-C68E-4955-BAE0-F27FB39BF5C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AD737E9F-9A25-4893-8114-98BDFCCC95E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3.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0C24BBB-9185-4A1E-B923-CD8B9814E4F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CD0A1A73-5D5A-4C12-B931-6E4389ACB45C}"/>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E59A8E0A-54A6-472F-93E3-7A172E50BA2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3DC9AAC7-D0A9-4014-ABC7-8168551801C8}"/>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BF732C9-5C34-4979-B80D-8F0961D17B9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21334B75-FB1A-438F-AC32-C31B2D8DDCF1}"/>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6126C95-759C-47F7-82FC-81F9CB01BF3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7D6520BE-7E57-425B-969F-9DC136AF99FC}"/>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24436F93-6592-4524-8391-267AF5657BC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648E911A-ED70-46A2-A96E-368F094F874B}"/>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951AA1D5-7343-477A-AE14-CA7DA945F89B}"/>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344B7821-DC56-45B4-B816-181537643A38}"/>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8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A19C25B-5116-450A-8ECC-6E745C0C7F6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A9037E06-81EC-43B9-BC38-D6D660A6C163}"/>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C16428AB-A1B9-4496-B9AE-E94380019D02}"/>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4093D086-4732-4B22-96AE-69DDC5F2DDA6}"/>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E465866-D1FC-45D7-8BD8-1C87FBDF56A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3505200</xdr:colOff>
      <xdr:row>0</xdr:row>
      <xdr:rowOff>466725</xdr:rowOff>
    </xdr:from>
    <xdr:to>
      <xdr:col>2</xdr:col>
      <xdr:colOff>405434</xdr:colOff>
      <xdr:row>4</xdr:row>
      <xdr:rowOff>171450</xdr:rowOff>
    </xdr:to>
    <xdr:sp macro="" textlink="">
      <xdr:nvSpPr>
        <xdr:cNvPr id="3" name="Text Box 2">
          <a:extLst>
            <a:ext uri="{FF2B5EF4-FFF2-40B4-BE49-F238E27FC236}">
              <a16:creationId xmlns:a16="http://schemas.microsoft.com/office/drawing/2014/main" id="{A285E867-FC75-4A26-A86A-680791F973E3}"/>
            </a:ext>
          </a:extLst>
        </xdr:cNvPr>
        <xdr:cNvSpPr txBox="1">
          <a:spLocks noChangeArrowheads="1"/>
        </xdr:cNvSpPr>
      </xdr:nvSpPr>
      <xdr:spPr bwMode="auto">
        <a:xfrm>
          <a:off x="3916680" y="466725"/>
          <a:ext cx="4078274" cy="11753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215A56C2-8E90-4803-8B45-D627C0BA143E}"/>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6F5FF8B-10F4-45A9-A4B5-6D446121FA7A}"/>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D564317-CB2A-40E3-BA92-18F303B1CF8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3505200</xdr:colOff>
      <xdr:row>0</xdr:row>
      <xdr:rowOff>466725</xdr:rowOff>
    </xdr:from>
    <xdr:to>
      <xdr:col>2</xdr:col>
      <xdr:colOff>405434</xdr:colOff>
      <xdr:row>4</xdr:row>
      <xdr:rowOff>171450</xdr:rowOff>
    </xdr:to>
    <xdr:sp macro="" textlink="">
      <xdr:nvSpPr>
        <xdr:cNvPr id="3" name="Text Box 2">
          <a:extLst>
            <a:ext uri="{FF2B5EF4-FFF2-40B4-BE49-F238E27FC236}">
              <a16:creationId xmlns:a16="http://schemas.microsoft.com/office/drawing/2014/main" id="{27109D73-5481-4F98-BD29-156FD30BA9A2}"/>
            </a:ext>
          </a:extLst>
        </xdr:cNvPr>
        <xdr:cNvSpPr txBox="1">
          <a:spLocks noChangeArrowheads="1"/>
        </xdr:cNvSpPr>
      </xdr:nvSpPr>
      <xdr:spPr bwMode="auto">
        <a:xfrm>
          <a:off x="3916680" y="466725"/>
          <a:ext cx="4078274" cy="11753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4.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CDA41EDA-FB2B-4CC8-A791-722126EE16D0}"/>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17C46CDB-AA89-40B9-ADDC-CDFC3EA30658}"/>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5.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0D7B0FCB-35A8-496F-AD9F-0B8557442985}"/>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26169C29-59C8-44AA-8006-7068DE8E235F}"/>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6.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E83EECF3-E2E6-40D5-A2ED-75C98E4A4122}"/>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3348345E-6472-4035-AD00-FDA433AECFCD}"/>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32617AE5-71DF-4F4B-96CA-0A4CA712D322}"/>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CE775F18-7F77-410E-BF48-EBA60BB087DD}"/>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37B5E9C-94C6-49F2-B6E9-C68562DCFEEE}"/>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AC9C739C-7A23-4A4C-B05F-7D6CC8E1DAA5}"/>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9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0143A3D-DF7F-4F45-9E86-6B7BA444FC5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4E412E07-9AE7-470E-92A0-0997FC5A0F13}"/>
            </a:ext>
          </a:extLst>
        </xdr:cNvPr>
        <xdr:cNvSpPr txBox="1">
          <a:spLocks noChangeArrowheads="1"/>
        </xdr:cNvSpPr>
      </xdr:nvSpPr>
      <xdr:spPr bwMode="auto">
        <a:xfrm>
          <a:off x="4069080" y="352426"/>
          <a:ext cx="42538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4C0CACED-C49E-457E-9EDC-9F310C0A7CD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25568A1-6394-407D-A8C0-1B93F2973BF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D6808A25-FD8C-4929-8CED-7BAA3114B81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E4D79779-20E0-48BB-9446-CE601B86D198}"/>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09E81C9-90A5-4AAC-A583-AA156FBFC557}"/>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E62355BE-AF7D-44DD-851B-D9F8F4720520}"/>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18A858A-C801-49EA-A155-C201C3F45A76}"/>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2781300</xdr:colOff>
      <xdr:row>0</xdr:row>
      <xdr:rowOff>476250</xdr:rowOff>
    </xdr:from>
    <xdr:to>
      <xdr:col>3</xdr:col>
      <xdr:colOff>333376</xdr:colOff>
      <xdr:row>4</xdr:row>
      <xdr:rowOff>104775</xdr:rowOff>
    </xdr:to>
    <xdr:sp macro="" textlink="">
      <xdr:nvSpPr>
        <xdr:cNvPr id="3" name="Text Box 2">
          <a:extLst>
            <a:ext uri="{FF2B5EF4-FFF2-40B4-BE49-F238E27FC236}">
              <a16:creationId xmlns:a16="http://schemas.microsoft.com/office/drawing/2014/main" id="{51B87FF6-AD8A-4726-A8D7-ECF3BC8E85EE}"/>
            </a:ext>
          </a:extLst>
        </xdr:cNvPr>
        <xdr:cNvSpPr txBox="1">
          <a:spLocks noChangeArrowheads="1"/>
        </xdr:cNvSpPr>
      </xdr:nvSpPr>
      <xdr:spPr bwMode="auto">
        <a:xfrm>
          <a:off x="3192780" y="476250"/>
          <a:ext cx="3084196" cy="10991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2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7167296E-68D9-44C9-A9FA-EF7E21E6B6B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2637183</xdr:colOff>
      <xdr:row>0</xdr:row>
      <xdr:rowOff>513522</xdr:rowOff>
    </xdr:from>
    <xdr:to>
      <xdr:col>4</xdr:col>
      <xdr:colOff>39756</xdr:colOff>
      <xdr:row>4</xdr:row>
      <xdr:rowOff>107674</xdr:rowOff>
    </xdr:to>
    <xdr:sp macro="" textlink="">
      <xdr:nvSpPr>
        <xdr:cNvPr id="3" name="Text Box 2">
          <a:extLst>
            <a:ext uri="{FF2B5EF4-FFF2-40B4-BE49-F238E27FC236}">
              <a16:creationId xmlns:a16="http://schemas.microsoft.com/office/drawing/2014/main" id="{418BD48E-3B58-478D-BA4F-F7CEC2248EB9}"/>
            </a:ext>
          </a:extLst>
        </xdr:cNvPr>
        <xdr:cNvSpPr txBox="1">
          <a:spLocks noChangeArrowheads="1"/>
        </xdr:cNvSpPr>
      </xdr:nvSpPr>
      <xdr:spPr bwMode="auto">
        <a:xfrm>
          <a:off x="3048000" y="513522"/>
          <a:ext cx="4247321" cy="105851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678694E-50D5-40D7-BC15-E7E87E094DD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DC73E20A-62F6-4FA9-99E2-8A7970D7AC03}"/>
            </a:ext>
          </a:extLst>
        </xdr:cNvPr>
        <xdr:cNvSpPr txBox="1">
          <a:spLocks noChangeArrowheads="1"/>
        </xdr:cNvSpPr>
      </xdr:nvSpPr>
      <xdr:spPr bwMode="auto">
        <a:xfrm>
          <a:off x="3097530" y="323850"/>
          <a:ext cx="398716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23780CF4-EBB7-428A-B382-BD24E9BD0AD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74C534D0-AA44-4095-8841-F8222FB2F535}"/>
            </a:ext>
          </a:extLst>
        </xdr:cNvPr>
        <xdr:cNvSpPr txBox="1">
          <a:spLocks noChangeArrowheads="1"/>
        </xdr:cNvSpPr>
      </xdr:nvSpPr>
      <xdr:spPr bwMode="auto">
        <a:xfrm>
          <a:off x="3097530" y="323850"/>
          <a:ext cx="398716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C3C9E9E-372A-4179-AB10-7FEAB81D07E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15DF0644-B194-422F-A0AC-243BE4C8CA1E}"/>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08.xml><?xml version="1.0" encoding="utf-8"?>
<xdr:wsDr xmlns:xdr="http://schemas.openxmlformats.org/drawingml/2006/spreadsheetDrawing" xmlns:a="http://schemas.openxmlformats.org/drawingml/2006/main">
  <xdr:oneCellAnchor>
    <xdr:from>
      <xdr:col>1</xdr:col>
      <xdr:colOff>95250</xdr:colOff>
      <xdr:row>0</xdr:row>
      <xdr:rowOff>0</xdr:rowOff>
    </xdr:from>
    <xdr:ext cx="1304925" cy="857250"/>
    <xdr:pic>
      <xdr:nvPicPr>
        <xdr:cNvPr id="2" name="image1.png">
          <a:extLst>
            <a:ext uri="{FF2B5EF4-FFF2-40B4-BE49-F238E27FC236}">
              <a16:creationId xmlns:a16="http://schemas.microsoft.com/office/drawing/2014/main" id="{2C62E083-602E-47E5-B1C3-79F25F720496}"/>
            </a:ext>
          </a:extLst>
        </xdr:cNvPr>
        <xdr:cNvPicPr preferRelativeResize="0"/>
      </xdr:nvPicPr>
      <xdr:blipFill>
        <a:blip xmlns:r="http://schemas.openxmlformats.org/officeDocument/2006/relationships" r:embed="rId1" cstate="print"/>
        <a:stretch>
          <a:fillRect/>
        </a:stretch>
      </xdr:blipFill>
      <xdr:spPr>
        <a:xfrm>
          <a:off x="598170" y="66675"/>
          <a:ext cx="1304925" cy="857250"/>
        </a:xfrm>
        <a:prstGeom prst="rect">
          <a:avLst/>
        </a:prstGeom>
        <a:noFill/>
      </xdr:spPr>
    </xdr:pic>
    <xdr:clientData fLocksWithSheet="0"/>
  </xdr:oneCellAnchor>
  <xdr:oneCellAnchor>
    <xdr:from>
      <xdr:col>1</xdr:col>
      <xdr:colOff>95250</xdr:colOff>
      <xdr:row>0</xdr:row>
      <xdr:rowOff>0</xdr:rowOff>
    </xdr:from>
    <xdr:ext cx="1304925" cy="857250"/>
    <xdr:pic>
      <xdr:nvPicPr>
        <xdr:cNvPr id="4" name="image1.png">
          <a:extLst>
            <a:ext uri="{FF2B5EF4-FFF2-40B4-BE49-F238E27FC236}">
              <a16:creationId xmlns:a16="http://schemas.microsoft.com/office/drawing/2014/main" id="{0C8263D3-16E3-48CA-B9B1-13A440A162A5}"/>
            </a:ext>
          </a:extLst>
        </xdr:cNvPr>
        <xdr:cNvPicPr preferRelativeResize="0"/>
      </xdr:nvPicPr>
      <xdr:blipFill>
        <a:blip xmlns:r="http://schemas.openxmlformats.org/officeDocument/2006/relationships" r:embed="rId1" cstate="print"/>
        <a:stretch>
          <a:fillRect/>
        </a:stretch>
      </xdr:blipFill>
      <xdr:spPr>
        <a:xfrm>
          <a:off x="598170" y="10064115"/>
          <a:ext cx="1304925" cy="857250"/>
        </a:xfrm>
        <a:prstGeom prst="rect">
          <a:avLst/>
        </a:prstGeom>
        <a:noFill/>
      </xdr:spPr>
    </xdr:pic>
    <xdr:clientData fLocksWithSheet="0"/>
  </xdr:oneCellAnchor>
  <xdr:oneCellAnchor>
    <xdr:from>
      <xdr:col>1</xdr:col>
      <xdr:colOff>95250</xdr:colOff>
      <xdr:row>0</xdr:row>
      <xdr:rowOff>0</xdr:rowOff>
    </xdr:from>
    <xdr:ext cx="1304925" cy="828675"/>
    <xdr:pic>
      <xdr:nvPicPr>
        <xdr:cNvPr id="6" name="image1.png">
          <a:extLst>
            <a:ext uri="{FF2B5EF4-FFF2-40B4-BE49-F238E27FC236}">
              <a16:creationId xmlns:a16="http://schemas.microsoft.com/office/drawing/2014/main" id="{BB8DDFF3-7BCA-4802-AA17-74678D87AEA9}"/>
            </a:ext>
          </a:extLst>
        </xdr:cNvPr>
        <xdr:cNvPicPr preferRelativeResize="0"/>
      </xdr:nvPicPr>
      <xdr:blipFill>
        <a:blip xmlns:r="http://schemas.openxmlformats.org/officeDocument/2006/relationships" r:embed="rId1" cstate="print"/>
        <a:stretch>
          <a:fillRect/>
        </a:stretch>
      </xdr:blipFill>
      <xdr:spPr>
        <a:xfrm>
          <a:off x="598170" y="20442555"/>
          <a:ext cx="1304925" cy="828675"/>
        </a:xfrm>
        <a:prstGeom prst="rect">
          <a:avLst/>
        </a:prstGeom>
        <a:noFill/>
      </xdr:spPr>
    </xdr:pic>
    <xdr:clientData fLocksWithSheet="0"/>
  </xdr:oneCellAnchor>
  <xdr:oneCellAnchor>
    <xdr:from>
      <xdr:col>1</xdr:col>
      <xdr:colOff>95250</xdr:colOff>
      <xdr:row>0</xdr:row>
      <xdr:rowOff>0</xdr:rowOff>
    </xdr:from>
    <xdr:ext cx="1304925" cy="857250"/>
    <xdr:pic>
      <xdr:nvPicPr>
        <xdr:cNvPr id="8" name="image1.png">
          <a:extLst>
            <a:ext uri="{FF2B5EF4-FFF2-40B4-BE49-F238E27FC236}">
              <a16:creationId xmlns:a16="http://schemas.microsoft.com/office/drawing/2014/main" id="{DAEEF79D-9A21-45D5-BC6F-B0A7A23FC9FB}"/>
            </a:ext>
          </a:extLst>
        </xdr:cNvPr>
        <xdr:cNvPicPr preferRelativeResize="0"/>
      </xdr:nvPicPr>
      <xdr:blipFill>
        <a:blip xmlns:r="http://schemas.openxmlformats.org/officeDocument/2006/relationships" r:embed="rId1" cstate="print"/>
        <a:stretch>
          <a:fillRect/>
        </a:stretch>
      </xdr:blipFill>
      <xdr:spPr>
        <a:xfrm>
          <a:off x="598170" y="30104715"/>
          <a:ext cx="1304925" cy="857250"/>
        </a:xfrm>
        <a:prstGeom prst="rect">
          <a:avLst/>
        </a:prstGeom>
        <a:noFill/>
      </xdr:spPr>
    </xdr:pic>
    <xdr:clientData fLocksWithSheet="0"/>
  </xdr:oneCellAnchor>
  <xdr:twoCellAnchor>
    <xdr:from>
      <xdr:col>2</xdr:col>
      <xdr:colOff>2209799</xdr:colOff>
      <xdr:row>2</xdr:row>
      <xdr:rowOff>9526</xdr:rowOff>
    </xdr:from>
    <xdr:to>
      <xdr:col>4</xdr:col>
      <xdr:colOff>828674</xdr:colOff>
      <xdr:row>6</xdr:row>
      <xdr:rowOff>57150</xdr:rowOff>
    </xdr:to>
    <xdr:sp macro="" textlink="">
      <xdr:nvSpPr>
        <xdr:cNvPr id="11" name="CuadroTexto 10">
          <a:extLst>
            <a:ext uri="{FF2B5EF4-FFF2-40B4-BE49-F238E27FC236}">
              <a16:creationId xmlns:a16="http://schemas.microsoft.com/office/drawing/2014/main" id="{2D1E87D1-0987-4632-83EF-6ED9BDCBA4AE}"/>
            </a:ext>
          </a:extLst>
        </xdr:cNvPr>
        <xdr:cNvSpPr txBox="1"/>
      </xdr:nvSpPr>
      <xdr:spPr>
        <a:xfrm>
          <a:off x="3215639" y="40159306"/>
          <a:ext cx="5095875" cy="779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44</xdr:row>
      <xdr:rowOff>0</xdr:rowOff>
    </xdr:from>
    <xdr:ext cx="1304925" cy="857250"/>
    <xdr:pic>
      <xdr:nvPicPr>
        <xdr:cNvPr id="12" name="image1.png">
          <a:extLst>
            <a:ext uri="{FF2B5EF4-FFF2-40B4-BE49-F238E27FC236}">
              <a16:creationId xmlns:a16="http://schemas.microsoft.com/office/drawing/2014/main" id="{2FA661BA-287D-444C-857D-2C5EE7FE069C}"/>
            </a:ext>
          </a:extLst>
        </xdr:cNvPr>
        <xdr:cNvPicPr preferRelativeResize="0"/>
      </xdr:nvPicPr>
      <xdr:blipFill>
        <a:blip xmlns:r="http://schemas.openxmlformats.org/officeDocument/2006/relationships" r:embed="rId1" cstate="print"/>
        <a:stretch>
          <a:fillRect/>
        </a:stretch>
      </xdr:blipFill>
      <xdr:spPr>
        <a:xfrm>
          <a:off x="598170" y="50000535"/>
          <a:ext cx="1304925" cy="857250"/>
        </a:xfrm>
        <a:prstGeom prst="rect">
          <a:avLst/>
        </a:prstGeom>
        <a:noFill/>
      </xdr:spPr>
    </xdr:pic>
    <xdr:clientData fLocksWithSheet="0"/>
  </xdr:oneCellAnchor>
  <xdr:oneCellAnchor>
    <xdr:from>
      <xdr:col>1</xdr:col>
      <xdr:colOff>95250</xdr:colOff>
      <xdr:row>44</xdr:row>
      <xdr:rowOff>0</xdr:rowOff>
    </xdr:from>
    <xdr:ext cx="1304925" cy="857250"/>
    <xdr:pic>
      <xdr:nvPicPr>
        <xdr:cNvPr id="14" name="image1.png">
          <a:extLst>
            <a:ext uri="{FF2B5EF4-FFF2-40B4-BE49-F238E27FC236}">
              <a16:creationId xmlns:a16="http://schemas.microsoft.com/office/drawing/2014/main" id="{01DCCA88-5D70-46B3-B3E1-CA56EBF9965B}"/>
            </a:ext>
          </a:extLst>
        </xdr:cNvPr>
        <xdr:cNvPicPr preferRelativeResize="0"/>
      </xdr:nvPicPr>
      <xdr:blipFill>
        <a:blip xmlns:r="http://schemas.openxmlformats.org/officeDocument/2006/relationships" r:embed="rId1" cstate="print"/>
        <a:stretch>
          <a:fillRect/>
        </a:stretch>
      </xdr:blipFill>
      <xdr:spPr>
        <a:xfrm>
          <a:off x="598170" y="59776995"/>
          <a:ext cx="1304925" cy="857250"/>
        </a:xfrm>
        <a:prstGeom prst="rect">
          <a:avLst/>
        </a:prstGeom>
        <a:noFill/>
      </xdr:spPr>
    </xdr:pic>
    <xdr:clientData fLocksWithSheet="0"/>
  </xdr:oneCellAnchor>
  <xdr:twoCellAnchor>
    <xdr:from>
      <xdr:col>2</xdr:col>
      <xdr:colOff>2009775</xdr:colOff>
      <xdr:row>44</xdr:row>
      <xdr:rowOff>9526</xdr:rowOff>
    </xdr:from>
    <xdr:to>
      <xdr:col>4</xdr:col>
      <xdr:colOff>828675</xdr:colOff>
      <xdr:row>49</xdr:row>
      <xdr:rowOff>114300</xdr:rowOff>
    </xdr:to>
    <xdr:sp macro="" textlink="">
      <xdr:nvSpPr>
        <xdr:cNvPr id="17" name="CuadroTexto 16">
          <a:extLst>
            <a:ext uri="{FF2B5EF4-FFF2-40B4-BE49-F238E27FC236}">
              <a16:creationId xmlns:a16="http://schemas.microsoft.com/office/drawing/2014/main" id="{5A0E03F9-EE2D-4595-B9C4-C8FDF8863A45}"/>
            </a:ext>
          </a:extLst>
        </xdr:cNvPr>
        <xdr:cNvSpPr txBox="1"/>
      </xdr:nvSpPr>
      <xdr:spPr>
        <a:xfrm>
          <a:off x="3015615" y="69823966"/>
          <a:ext cx="5295900" cy="1110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09.xml><?xml version="1.0" encoding="utf-8"?>
<xdr:wsDr xmlns:xdr="http://schemas.openxmlformats.org/drawingml/2006/spreadsheetDrawing" xmlns:a="http://schemas.openxmlformats.org/drawingml/2006/main">
  <xdr:oneCellAnchor>
    <xdr:from>
      <xdr:col>1</xdr:col>
      <xdr:colOff>95250</xdr:colOff>
      <xdr:row>0</xdr:row>
      <xdr:rowOff>0</xdr:rowOff>
    </xdr:from>
    <xdr:ext cx="1304925" cy="857250"/>
    <xdr:pic>
      <xdr:nvPicPr>
        <xdr:cNvPr id="2" name="image1.png">
          <a:extLst>
            <a:ext uri="{FF2B5EF4-FFF2-40B4-BE49-F238E27FC236}">
              <a16:creationId xmlns:a16="http://schemas.microsoft.com/office/drawing/2014/main" id="{F0410B8A-D063-41D1-8C05-721A2FF87F78}"/>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oneCellAnchor>
    <xdr:from>
      <xdr:col>1</xdr:col>
      <xdr:colOff>95250</xdr:colOff>
      <xdr:row>0</xdr:row>
      <xdr:rowOff>0</xdr:rowOff>
    </xdr:from>
    <xdr:ext cx="1304925" cy="857250"/>
    <xdr:pic>
      <xdr:nvPicPr>
        <xdr:cNvPr id="3" name="image1.png">
          <a:extLst>
            <a:ext uri="{FF2B5EF4-FFF2-40B4-BE49-F238E27FC236}">
              <a16:creationId xmlns:a16="http://schemas.microsoft.com/office/drawing/2014/main" id="{01F45A29-5D3C-4836-AE24-E735F4F96418}"/>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oneCellAnchor>
    <xdr:from>
      <xdr:col>1</xdr:col>
      <xdr:colOff>95250</xdr:colOff>
      <xdr:row>0</xdr:row>
      <xdr:rowOff>0</xdr:rowOff>
    </xdr:from>
    <xdr:ext cx="1304925" cy="828675"/>
    <xdr:pic>
      <xdr:nvPicPr>
        <xdr:cNvPr id="4" name="image1.png">
          <a:extLst>
            <a:ext uri="{FF2B5EF4-FFF2-40B4-BE49-F238E27FC236}">
              <a16:creationId xmlns:a16="http://schemas.microsoft.com/office/drawing/2014/main" id="{7985CE20-E350-4480-B05A-9FD7BD306660}"/>
            </a:ext>
          </a:extLst>
        </xdr:cNvPr>
        <xdr:cNvPicPr preferRelativeResize="0"/>
      </xdr:nvPicPr>
      <xdr:blipFill>
        <a:blip xmlns:r="http://schemas.openxmlformats.org/officeDocument/2006/relationships" r:embed="rId1" cstate="print"/>
        <a:stretch>
          <a:fillRect/>
        </a:stretch>
      </xdr:blipFill>
      <xdr:spPr>
        <a:xfrm>
          <a:off x="598170" y="0"/>
          <a:ext cx="1304925" cy="828675"/>
        </a:xfrm>
        <a:prstGeom prst="rect">
          <a:avLst/>
        </a:prstGeom>
        <a:noFill/>
      </xdr:spPr>
    </xdr:pic>
    <xdr:clientData fLocksWithSheet="0"/>
  </xdr:oneCellAnchor>
  <xdr:oneCellAnchor>
    <xdr:from>
      <xdr:col>1</xdr:col>
      <xdr:colOff>95250</xdr:colOff>
      <xdr:row>0</xdr:row>
      <xdr:rowOff>0</xdr:rowOff>
    </xdr:from>
    <xdr:ext cx="1304925" cy="857250"/>
    <xdr:pic>
      <xdr:nvPicPr>
        <xdr:cNvPr id="5" name="image1.png">
          <a:extLst>
            <a:ext uri="{FF2B5EF4-FFF2-40B4-BE49-F238E27FC236}">
              <a16:creationId xmlns:a16="http://schemas.microsoft.com/office/drawing/2014/main" id="{812B3E37-EEDC-49DA-935E-29A983B15BF5}"/>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twoCellAnchor>
    <xdr:from>
      <xdr:col>2</xdr:col>
      <xdr:colOff>2209799</xdr:colOff>
      <xdr:row>2</xdr:row>
      <xdr:rowOff>9526</xdr:rowOff>
    </xdr:from>
    <xdr:to>
      <xdr:col>4</xdr:col>
      <xdr:colOff>828674</xdr:colOff>
      <xdr:row>6</xdr:row>
      <xdr:rowOff>57150</xdr:rowOff>
    </xdr:to>
    <xdr:sp macro="" textlink="">
      <xdr:nvSpPr>
        <xdr:cNvPr id="6" name="CuadroTexto 5">
          <a:extLst>
            <a:ext uri="{FF2B5EF4-FFF2-40B4-BE49-F238E27FC236}">
              <a16:creationId xmlns:a16="http://schemas.microsoft.com/office/drawing/2014/main" id="{EF48C9C8-F3B6-455C-8B32-397D24119D24}"/>
            </a:ext>
          </a:extLst>
        </xdr:cNvPr>
        <xdr:cNvSpPr txBox="1"/>
      </xdr:nvSpPr>
      <xdr:spPr>
        <a:xfrm>
          <a:off x="3215639" y="405766"/>
          <a:ext cx="5095875" cy="779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44</xdr:row>
      <xdr:rowOff>0</xdr:rowOff>
    </xdr:from>
    <xdr:ext cx="1304925" cy="857250"/>
    <xdr:pic>
      <xdr:nvPicPr>
        <xdr:cNvPr id="7" name="image1.png">
          <a:extLst>
            <a:ext uri="{FF2B5EF4-FFF2-40B4-BE49-F238E27FC236}">
              <a16:creationId xmlns:a16="http://schemas.microsoft.com/office/drawing/2014/main" id="{4E4899BE-4DCD-435A-A6BF-4A3BA19AC0EA}"/>
            </a:ext>
          </a:extLst>
        </xdr:cNvPr>
        <xdr:cNvPicPr preferRelativeResize="0"/>
      </xdr:nvPicPr>
      <xdr:blipFill>
        <a:blip xmlns:r="http://schemas.openxmlformats.org/officeDocument/2006/relationships" r:embed="rId1" cstate="print"/>
        <a:stretch>
          <a:fillRect/>
        </a:stretch>
      </xdr:blipFill>
      <xdr:spPr>
        <a:xfrm>
          <a:off x="598170" y="10180320"/>
          <a:ext cx="1304925" cy="857250"/>
        </a:xfrm>
        <a:prstGeom prst="rect">
          <a:avLst/>
        </a:prstGeom>
        <a:noFill/>
      </xdr:spPr>
    </xdr:pic>
    <xdr:clientData fLocksWithSheet="0"/>
  </xdr:oneCellAnchor>
  <xdr:oneCellAnchor>
    <xdr:from>
      <xdr:col>1</xdr:col>
      <xdr:colOff>95250</xdr:colOff>
      <xdr:row>44</xdr:row>
      <xdr:rowOff>0</xdr:rowOff>
    </xdr:from>
    <xdr:ext cx="1304925" cy="857250"/>
    <xdr:pic>
      <xdr:nvPicPr>
        <xdr:cNvPr id="8" name="image1.png">
          <a:extLst>
            <a:ext uri="{FF2B5EF4-FFF2-40B4-BE49-F238E27FC236}">
              <a16:creationId xmlns:a16="http://schemas.microsoft.com/office/drawing/2014/main" id="{C9E35BCC-01FC-4F49-BB94-7507066CF178}"/>
            </a:ext>
          </a:extLst>
        </xdr:cNvPr>
        <xdr:cNvPicPr preferRelativeResize="0"/>
      </xdr:nvPicPr>
      <xdr:blipFill>
        <a:blip xmlns:r="http://schemas.openxmlformats.org/officeDocument/2006/relationships" r:embed="rId1" cstate="print"/>
        <a:stretch>
          <a:fillRect/>
        </a:stretch>
      </xdr:blipFill>
      <xdr:spPr>
        <a:xfrm>
          <a:off x="598170" y="10180320"/>
          <a:ext cx="1304925" cy="857250"/>
        </a:xfrm>
        <a:prstGeom prst="rect">
          <a:avLst/>
        </a:prstGeom>
        <a:noFill/>
      </xdr:spPr>
    </xdr:pic>
    <xdr:clientData fLocksWithSheet="0"/>
  </xdr:oneCellAnchor>
  <xdr:twoCellAnchor>
    <xdr:from>
      <xdr:col>2</xdr:col>
      <xdr:colOff>2009775</xdr:colOff>
      <xdr:row>44</xdr:row>
      <xdr:rowOff>9526</xdr:rowOff>
    </xdr:from>
    <xdr:to>
      <xdr:col>4</xdr:col>
      <xdr:colOff>828675</xdr:colOff>
      <xdr:row>49</xdr:row>
      <xdr:rowOff>114300</xdr:rowOff>
    </xdr:to>
    <xdr:sp macro="" textlink="">
      <xdr:nvSpPr>
        <xdr:cNvPr id="9" name="CuadroTexto 8">
          <a:extLst>
            <a:ext uri="{FF2B5EF4-FFF2-40B4-BE49-F238E27FC236}">
              <a16:creationId xmlns:a16="http://schemas.microsoft.com/office/drawing/2014/main" id="{A8A9B875-ABBC-4997-AFD3-495F2EE25365}"/>
            </a:ext>
          </a:extLst>
        </xdr:cNvPr>
        <xdr:cNvSpPr txBox="1"/>
      </xdr:nvSpPr>
      <xdr:spPr>
        <a:xfrm>
          <a:off x="3015615" y="10189846"/>
          <a:ext cx="5295900" cy="1110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10.xml><?xml version="1.0" encoding="utf-8"?>
<xdr:wsDr xmlns:xdr="http://schemas.openxmlformats.org/drawingml/2006/spreadsheetDrawing" xmlns:a="http://schemas.openxmlformats.org/drawingml/2006/main">
  <xdr:oneCellAnchor>
    <xdr:from>
      <xdr:col>1</xdr:col>
      <xdr:colOff>95250</xdr:colOff>
      <xdr:row>0</xdr:row>
      <xdr:rowOff>0</xdr:rowOff>
    </xdr:from>
    <xdr:ext cx="1304925" cy="857250"/>
    <xdr:pic>
      <xdr:nvPicPr>
        <xdr:cNvPr id="2" name="image1.png">
          <a:extLst>
            <a:ext uri="{FF2B5EF4-FFF2-40B4-BE49-F238E27FC236}">
              <a16:creationId xmlns:a16="http://schemas.microsoft.com/office/drawing/2014/main" id="{891762F2-43EE-4896-B5E2-CB53FAE6FDAF}"/>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oneCellAnchor>
    <xdr:from>
      <xdr:col>1</xdr:col>
      <xdr:colOff>95250</xdr:colOff>
      <xdr:row>0</xdr:row>
      <xdr:rowOff>0</xdr:rowOff>
    </xdr:from>
    <xdr:ext cx="1304925" cy="857250"/>
    <xdr:pic>
      <xdr:nvPicPr>
        <xdr:cNvPr id="3" name="image1.png">
          <a:extLst>
            <a:ext uri="{FF2B5EF4-FFF2-40B4-BE49-F238E27FC236}">
              <a16:creationId xmlns:a16="http://schemas.microsoft.com/office/drawing/2014/main" id="{D1EA5548-DF45-44B0-A9F2-3B05E229AF43}"/>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oneCellAnchor>
    <xdr:from>
      <xdr:col>1</xdr:col>
      <xdr:colOff>95250</xdr:colOff>
      <xdr:row>0</xdr:row>
      <xdr:rowOff>0</xdr:rowOff>
    </xdr:from>
    <xdr:ext cx="1304925" cy="828675"/>
    <xdr:pic>
      <xdr:nvPicPr>
        <xdr:cNvPr id="4" name="image1.png">
          <a:extLst>
            <a:ext uri="{FF2B5EF4-FFF2-40B4-BE49-F238E27FC236}">
              <a16:creationId xmlns:a16="http://schemas.microsoft.com/office/drawing/2014/main" id="{D5868282-07E9-4511-AB2C-4F3D5F5A29D3}"/>
            </a:ext>
          </a:extLst>
        </xdr:cNvPr>
        <xdr:cNvPicPr preferRelativeResize="0"/>
      </xdr:nvPicPr>
      <xdr:blipFill>
        <a:blip xmlns:r="http://schemas.openxmlformats.org/officeDocument/2006/relationships" r:embed="rId1" cstate="print"/>
        <a:stretch>
          <a:fillRect/>
        </a:stretch>
      </xdr:blipFill>
      <xdr:spPr>
        <a:xfrm>
          <a:off x="598170" y="0"/>
          <a:ext cx="1304925" cy="828675"/>
        </a:xfrm>
        <a:prstGeom prst="rect">
          <a:avLst/>
        </a:prstGeom>
        <a:noFill/>
      </xdr:spPr>
    </xdr:pic>
    <xdr:clientData fLocksWithSheet="0"/>
  </xdr:oneCellAnchor>
  <xdr:oneCellAnchor>
    <xdr:from>
      <xdr:col>1</xdr:col>
      <xdr:colOff>95250</xdr:colOff>
      <xdr:row>0</xdr:row>
      <xdr:rowOff>0</xdr:rowOff>
    </xdr:from>
    <xdr:ext cx="1304925" cy="857250"/>
    <xdr:pic>
      <xdr:nvPicPr>
        <xdr:cNvPr id="5" name="image1.png">
          <a:extLst>
            <a:ext uri="{FF2B5EF4-FFF2-40B4-BE49-F238E27FC236}">
              <a16:creationId xmlns:a16="http://schemas.microsoft.com/office/drawing/2014/main" id="{1E372A4C-705A-43A6-A980-69473D1C3E01}"/>
            </a:ext>
          </a:extLst>
        </xdr:cNvPr>
        <xdr:cNvPicPr preferRelativeResize="0"/>
      </xdr:nvPicPr>
      <xdr:blipFill>
        <a:blip xmlns:r="http://schemas.openxmlformats.org/officeDocument/2006/relationships" r:embed="rId1" cstate="print"/>
        <a:stretch>
          <a:fillRect/>
        </a:stretch>
      </xdr:blipFill>
      <xdr:spPr>
        <a:xfrm>
          <a:off x="598170" y="0"/>
          <a:ext cx="1304925" cy="857250"/>
        </a:xfrm>
        <a:prstGeom prst="rect">
          <a:avLst/>
        </a:prstGeom>
        <a:noFill/>
      </xdr:spPr>
    </xdr:pic>
    <xdr:clientData fLocksWithSheet="0"/>
  </xdr:oneCellAnchor>
  <xdr:twoCellAnchor>
    <xdr:from>
      <xdr:col>2</xdr:col>
      <xdr:colOff>2209799</xdr:colOff>
      <xdr:row>2</xdr:row>
      <xdr:rowOff>9526</xdr:rowOff>
    </xdr:from>
    <xdr:to>
      <xdr:col>4</xdr:col>
      <xdr:colOff>828674</xdr:colOff>
      <xdr:row>6</xdr:row>
      <xdr:rowOff>57150</xdr:rowOff>
    </xdr:to>
    <xdr:sp macro="" textlink="">
      <xdr:nvSpPr>
        <xdr:cNvPr id="6" name="CuadroTexto 5">
          <a:extLst>
            <a:ext uri="{FF2B5EF4-FFF2-40B4-BE49-F238E27FC236}">
              <a16:creationId xmlns:a16="http://schemas.microsoft.com/office/drawing/2014/main" id="{E13D9B5A-79FC-4DBC-85FA-4CA95775C891}"/>
            </a:ext>
          </a:extLst>
        </xdr:cNvPr>
        <xdr:cNvSpPr txBox="1"/>
      </xdr:nvSpPr>
      <xdr:spPr>
        <a:xfrm>
          <a:off x="3215639" y="405766"/>
          <a:ext cx="5095875" cy="779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44</xdr:row>
      <xdr:rowOff>0</xdr:rowOff>
    </xdr:from>
    <xdr:ext cx="1304925" cy="857250"/>
    <xdr:pic>
      <xdr:nvPicPr>
        <xdr:cNvPr id="7" name="image1.png">
          <a:extLst>
            <a:ext uri="{FF2B5EF4-FFF2-40B4-BE49-F238E27FC236}">
              <a16:creationId xmlns:a16="http://schemas.microsoft.com/office/drawing/2014/main" id="{52DB42DA-7DA9-4DB8-8E4A-0E72B7A9DFB6}"/>
            </a:ext>
          </a:extLst>
        </xdr:cNvPr>
        <xdr:cNvPicPr preferRelativeResize="0"/>
      </xdr:nvPicPr>
      <xdr:blipFill>
        <a:blip xmlns:r="http://schemas.openxmlformats.org/officeDocument/2006/relationships" r:embed="rId1" cstate="print"/>
        <a:stretch>
          <a:fillRect/>
        </a:stretch>
      </xdr:blipFill>
      <xdr:spPr>
        <a:xfrm>
          <a:off x="598170" y="10180320"/>
          <a:ext cx="1304925" cy="857250"/>
        </a:xfrm>
        <a:prstGeom prst="rect">
          <a:avLst/>
        </a:prstGeom>
        <a:noFill/>
      </xdr:spPr>
    </xdr:pic>
    <xdr:clientData fLocksWithSheet="0"/>
  </xdr:oneCellAnchor>
  <xdr:oneCellAnchor>
    <xdr:from>
      <xdr:col>1</xdr:col>
      <xdr:colOff>95250</xdr:colOff>
      <xdr:row>44</xdr:row>
      <xdr:rowOff>0</xdr:rowOff>
    </xdr:from>
    <xdr:ext cx="1304925" cy="857250"/>
    <xdr:pic>
      <xdr:nvPicPr>
        <xdr:cNvPr id="8" name="image1.png">
          <a:extLst>
            <a:ext uri="{FF2B5EF4-FFF2-40B4-BE49-F238E27FC236}">
              <a16:creationId xmlns:a16="http://schemas.microsoft.com/office/drawing/2014/main" id="{BD627E7C-3247-4FE5-B2DF-9D256B022C40}"/>
            </a:ext>
          </a:extLst>
        </xdr:cNvPr>
        <xdr:cNvPicPr preferRelativeResize="0"/>
      </xdr:nvPicPr>
      <xdr:blipFill>
        <a:blip xmlns:r="http://schemas.openxmlformats.org/officeDocument/2006/relationships" r:embed="rId1" cstate="print"/>
        <a:stretch>
          <a:fillRect/>
        </a:stretch>
      </xdr:blipFill>
      <xdr:spPr>
        <a:xfrm>
          <a:off x="598170" y="10180320"/>
          <a:ext cx="1304925" cy="857250"/>
        </a:xfrm>
        <a:prstGeom prst="rect">
          <a:avLst/>
        </a:prstGeom>
        <a:noFill/>
      </xdr:spPr>
    </xdr:pic>
    <xdr:clientData fLocksWithSheet="0"/>
  </xdr:oneCellAnchor>
  <xdr:twoCellAnchor>
    <xdr:from>
      <xdr:col>2</xdr:col>
      <xdr:colOff>2009775</xdr:colOff>
      <xdr:row>44</xdr:row>
      <xdr:rowOff>9526</xdr:rowOff>
    </xdr:from>
    <xdr:to>
      <xdr:col>4</xdr:col>
      <xdr:colOff>828675</xdr:colOff>
      <xdr:row>49</xdr:row>
      <xdr:rowOff>114300</xdr:rowOff>
    </xdr:to>
    <xdr:sp macro="" textlink="">
      <xdr:nvSpPr>
        <xdr:cNvPr id="9" name="CuadroTexto 8">
          <a:extLst>
            <a:ext uri="{FF2B5EF4-FFF2-40B4-BE49-F238E27FC236}">
              <a16:creationId xmlns:a16="http://schemas.microsoft.com/office/drawing/2014/main" id="{F94187FF-176A-450B-8E17-8ED3E876ED40}"/>
            </a:ext>
          </a:extLst>
        </xdr:cNvPr>
        <xdr:cNvSpPr txBox="1"/>
      </xdr:nvSpPr>
      <xdr:spPr>
        <a:xfrm>
          <a:off x="3015615" y="10189846"/>
          <a:ext cx="5295900" cy="1110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11.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AB3B34FE-4DD0-4AF9-BD91-6D97E2D8133A}"/>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6CF39CD9-BABB-4597-8593-2E65276F4BA4}"/>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1CD456AD-5669-4DE3-8D62-CF70EBA35F3E}"/>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25CE6D65-8604-47D0-B7AD-4D34E4A2A7DE}"/>
            </a:ext>
          </a:extLst>
        </xdr:cNvPr>
        <xdr:cNvSpPr txBox="1">
          <a:spLocks noChangeArrowheads="1"/>
        </xdr:cNvSpPr>
      </xdr:nvSpPr>
      <xdr:spPr bwMode="auto">
        <a:xfrm>
          <a:off x="3335655" y="457200"/>
          <a:ext cx="338899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6A5324F-AA5D-40D8-8204-1124D083F9D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CC340103-67F3-4511-A948-6DC093DD1B2A}"/>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355FBB2-BB77-4811-B60D-2188610C7ED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6FD30AF3-E43F-468D-8771-199AE63DDDE3}"/>
            </a:ext>
          </a:extLst>
        </xdr:cNvPr>
        <xdr:cNvSpPr txBox="1">
          <a:spLocks noChangeArrowheads="1"/>
        </xdr:cNvSpPr>
      </xdr:nvSpPr>
      <xdr:spPr bwMode="auto">
        <a:xfrm>
          <a:off x="3335655" y="457200"/>
          <a:ext cx="28784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8C631D9-2899-44D3-9D8F-DE52AD7A0CE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792480</xdr:colOff>
      <xdr:row>5</xdr:row>
      <xdr:rowOff>9525</xdr:rowOff>
    </xdr:to>
    <xdr:sp macro="" textlink="">
      <xdr:nvSpPr>
        <xdr:cNvPr id="3" name="Text Box 2">
          <a:extLst>
            <a:ext uri="{FF2B5EF4-FFF2-40B4-BE49-F238E27FC236}">
              <a16:creationId xmlns:a16="http://schemas.microsoft.com/office/drawing/2014/main" id="{FE86E31B-DB58-4048-85CA-468A9928BE23}"/>
            </a:ext>
          </a:extLst>
        </xdr:cNvPr>
        <xdr:cNvSpPr txBox="1">
          <a:spLocks noChangeArrowheads="1"/>
        </xdr:cNvSpPr>
      </xdr:nvSpPr>
      <xdr:spPr bwMode="auto">
        <a:xfrm>
          <a:off x="3335655" y="457200"/>
          <a:ext cx="345376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59940C30-BA7D-4838-8267-9D3EA977B2A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F3A5AB80-7777-40B3-A8E1-4718646B4531}"/>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C481B1C4-3CE5-4F19-94EC-13C59F9A6EE0}"/>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EF60CB77-E44D-40E6-97C2-ACC5DD7F015E}"/>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7BDE09A-4CD1-4B51-87D0-A530CE59979C}"/>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EA43ADDA-434D-4949-9FE1-65AF35A97E02}"/>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1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5DDFA56-906F-494C-B6B2-404CAE3D3A1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AEEC24D0-6A6A-4970-820A-9DB0D908797B}"/>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3C256E08-CD5C-4B1A-8ABD-68268C573592}"/>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063DB44E-A62D-4B4C-8A9B-065A94995FF3}"/>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4FFE2A83-DA28-4764-BA3A-0FF137A1AB57}"/>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799EF5BA-9946-4922-9D4A-2509DCA7DB29}"/>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35E58F6-DE39-45F0-98FB-FB4486BA182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EFCDAACA-F391-461D-B7A6-0B2B6C91B4EB}"/>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E20CDC8-1220-4944-A64B-D9A985A15EC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D07F05C5-FF2A-4ECB-BB6D-986CBFFC98F8}"/>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4.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9A23DE9F-C893-4BED-9557-FC3CC536B65E}"/>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2C39A782-E951-47BB-9736-67ADDF9ED43E}"/>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5.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3AA61D75-A0AB-4986-85A1-748264A790AD}"/>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EBC840CA-B4AE-44F1-8401-6DAEAFA76AA8}"/>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6.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7DBAA9B6-2494-4CF0-B136-0A95D008616B}"/>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F4A1A30F-02A6-40B5-A638-5D4A7046078A}"/>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7.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E7FBC2F1-9F4A-46B6-AA35-FFFEAAA47448}"/>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BA3ECDAA-FDFF-4394-9EB7-62442060C4F7}"/>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E5B87BB-49EB-46C7-BF7F-6DF63C716F1D}"/>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C275D50F-3022-4266-8F41-18FD69321F0B}"/>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2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536134A-6AE1-4BE7-9375-ECEC86B7A92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E12B30B-D83F-44F5-B70A-7759660B8915}"/>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79A4AD23-FBE4-465D-A692-E4C0A982EC89}"/>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C846DDA7-C069-4914-BE60-69621D3E002E}"/>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5BEF7A3-0717-4529-96A0-A970AEAD227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2969895</xdr:colOff>
      <xdr:row>0</xdr:row>
      <xdr:rowOff>594361</xdr:rowOff>
    </xdr:from>
    <xdr:to>
      <xdr:col>3</xdr:col>
      <xdr:colOff>293370</xdr:colOff>
      <xdr:row>3</xdr:row>
      <xdr:rowOff>175261</xdr:rowOff>
    </xdr:to>
    <xdr:sp macro="" textlink="">
      <xdr:nvSpPr>
        <xdr:cNvPr id="3" name="Text Box 2">
          <a:extLst>
            <a:ext uri="{FF2B5EF4-FFF2-40B4-BE49-F238E27FC236}">
              <a16:creationId xmlns:a16="http://schemas.microsoft.com/office/drawing/2014/main" id="{12A2081D-4E13-4894-94FC-B2B972409188}"/>
            </a:ext>
          </a:extLst>
        </xdr:cNvPr>
        <xdr:cNvSpPr txBox="1">
          <a:spLocks noChangeArrowheads="1"/>
        </xdr:cNvSpPr>
      </xdr:nvSpPr>
      <xdr:spPr bwMode="auto">
        <a:xfrm>
          <a:off x="3343275" y="594361"/>
          <a:ext cx="4265295" cy="838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2DB6DB6F-FE2E-4AEA-8CD8-868B819A3F9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2969895</xdr:colOff>
      <xdr:row>0</xdr:row>
      <xdr:rowOff>594361</xdr:rowOff>
    </xdr:from>
    <xdr:to>
      <xdr:col>3</xdr:col>
      <xdr:colOff>293370</xdr:colOff>
      <xdr:row>3</xdr:row>
      <xdr:rowOff>175261</xdr:rowOff>
    </xdr:to>
    <xdr:sp macro="" textlink="">
      <xdr:nvSpPr>
        <xdr:cNvPr id="3" name="Text Box 2">
          <a:extLst>
            <a:ext uri="{FF2B5EF4-FFF2-40B4-BE49-F238E27FC236}">
              <a16:creationId xmlns:a16="http://schemas.microsoft.com/office/drawing/2014/main" id="{0FBC5C05-0DEA-4EB3-B707-40796EA3DF97}"/>
            </a:ext>
          </a:extLst>
        </xdr:cNvPr>
        <xdr:cNvSpPr txBox="1">
          <a:spLocks noChangeArrowheads="1"/>
        </xdr:cNvSpPr>
      </xdr:nvSpPr>
      <xdr:spPr bwMode="auto">
        <a:xfrm>
          <a:off x="3343275" y="594361"/>
          <a:ext cx="4265295" cy="838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F024608E-8716-4EEA-81D3-E91B2584598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C15A9CBB-6283-4E20-B463-E35D85E35939}"/>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B2599CAF-C3D0-4D2B-A80C-5152F1B23963}"/>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DB4A2B7A-B598-4CA8-B0A9-2F71A7B5FE9A}"/>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5DD07B3-E009-45C6-85E1-6545137C0C7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6865DD98-8F4F-4A32-939F-4D6CD38865A6}"/>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DE4FA8C-DA25-4ED0-800D-BB1ACB7A3C6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5B2C9AA6-4917-4085-8B4F-B47EDD192F17}"/>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7.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FC077A54-5084-4351-A2E6-2F76DDF83602}"/>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A73B3968-4504-42B8-BC75-04D4B3A01852}"/>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BA54982-4197-4A8E-A421-328D44308937}"/>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AD1368E7-A861-4010-A6AA-E5964EB3C19A}"/>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3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5918031-6C7E-4C0A-BD1C-FD86CC36E96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49F14AEB-22EB-495C-A212-5550CDE58F53}"/>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EBCC088-39B6-4BB7-915D-D243CF939B1D}"/>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80A61B4B-893F-45B9-A301-15705C99BF17}"/>
            </a:ext>
          </a:extLst>
        </xdr:cNvPr>
        <xdr:cNvSpPr txBox="1">
          <a:spLocks noChangeArrowheads="1"/>
        </xdr:cNvSpPr>
      </xdr:nvSpPr>
      <xdr:spPr bwMode="auto">
        <a:xfrm>
          <a:off x="3754755" y="200025"/>
          <a:ext cx="53892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A28482C8-E7E0-4EFA-BD0C-29319149009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39AD7BF0-8222-4ED2-BD0A-955597BF7B92}"/>
            </a:ext>
          </a:extLst>
        </xdr:cNvPr>
        <xdr:cNvSpPr txBox="1">
          <a:spLocks noChangeArrowheads="1"/>
        </xdr:cNvSpPr>
      </xdr:nvSpPr>
      <xdr:spPr bwMode="auto">
        <a:xfrm>
          <a:off x="3754755" y="200025"/>
          <a:ext cx="53892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2.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B268F0DD-51EF-4E52-8A3C-2478360D806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51551AC2-861C-47E8-AAD6-B48247C6DA74}"/>
            </a:ext>
          </a:extLst>
        </xdr:cNvPr>
        <xdr:cNvSpPr txBox="1">
          <a:spLocks noChangeArrowheads="1"/>
        </xdr:cNvSpPr>
      </xdr:nvSpPr>
      <xdr:spPr bwMode="auto">
        <a:xfrm>
          <a:off x="3754755" y="200025"/>
          <a:ext cx="53892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ACF3E6E-21AE-4FD4-A8B5-A9D14267BF8A}"/>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293ACC3E-E97A-4A0C-A523-4818088FDFA2}"/>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9E2E61F9-AB35-4626-902A-E68517BECAC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32484055-5810-4D9E-BACF-9666D328FCA0}"/>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EF6B34A-63CA-46FD-9575-52CA49EE2DD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749C9F6B-027F-4739-A92C-41F87EB0C958}"/>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EE20D3A-E4EE-4017-98F2-045497E8670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67195BA2-745A-4678-87AE-1423018E834F}"/>
            </a:ext>
          </a:extLst>
        </xdr:cNvPr>
        <xdr:cNvSpPr txBox="1">
          <a:spLocks noChangeArrowheads="1"/>
        </xdr:cNvSpPr>
      </xdr:nvSpPr>
      <xdr:spPr bwMode="auto">
        <a:xfrm>
          <a:off x="4069080" y="352426"/>
          <a:ext cx="42538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522A8B3-0475-4EB3-9C0C-B25F6041E75A}"/>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B6B30137-657E-47EA-86CA-13EF71CC6DAD}"/>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75E1BCD-ABE3-47C1-86F6-E0F558D124A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9072D23C-1C04-4678-81ED-325A05DB6751}"/>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4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A94AA07-A6B0-428A-B632-2190B8B27E3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3314701</xdr:colOff>
      <xdr:row>0</xdr:row>
      <xdr:rowOff>335281</xdr:rowOff>
    </xdr:from>
    <xdr:to>
      <xdr:col>4</xdr:col>
      <xdr:colOff>381001</xdr:colOff>
      <xdr:row>4</xdr:row>
      <xdr:rowOff>30481</xdr:rowOff>
    </xdr:to>
    <xdr:sp macro="" textlink="">
      <xdr:nvSpPr>
        <xdr:cNvPr id="3" name="Text Box 2">
          <a:extLst>
            <a:ext uri="{FF2B5EF4-FFF2-40B4-BE49-F238E27FC236}">
              <a16:creationId xmlns:a16="http://schemas.microsoft.com/office/drawing/2014/main" id="{88FB7FCD-842D-4A0E-9A63-3E820CF3B508}"/>
            </a:ext>
          </a:extLst>
        </xdr:cNvPr>
        <xdr:cNvSpPr txBox="1">
          <a:spLocks noChangeArrowheads="1"/>
        </xdr:cNvSpPr>
      </xdr:nvSpPr>
      <xdr:spPr bwMode="auto">
        <a:xfrm>
          <a:off x="3688081" y="335281"/>
          <a:ext cx="3604260" cy="11658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C7D8521-E8D9-4FA7-AEA7-03F7289E365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3314701</xdr:colOff>
      <xdr:row>0</xdr:row>
      <xdr:rowOff>335281</xdr:rowOff>
    </xdr:from>
    <xdr:to>
      <xdr:col>4</xdr:col>
      <xdr:colOff>381001</xdr:colOff>
      <xdr:row>4</xdr:row>
      <xdr:rowOff>30481</xdr:rowOff>
    </xdr:to>
    <xdr:sp macro="" textlink="">
      <xdr:nvSpPr>
        <xdr:cNvPr id="3" name="Text Box 2">
          <a:extLst>
            <a:ext uri="{FF2B5EF4-FFF2-40B4-BE49-F238E27FC236}">
              <a16:creationId xmlns:a16="http://schemas.microsoft.com/office/drawing/2014/main" id="{9351113D-0217-4C62-86B0-8387F1A2C6D2}"/>
            </a:ext>
          </a:extLst>
        </xdr:cNvPr>
        <xdr:cNvSpPr txBox="1">
          <a:spLocks noChangeArrowheads="1"/>
        </xdr:cNvSpPr>
      </xdr:nvSpPr>
      <xdr:spPr bwMode="auto">
        <a:xfrm>
          <a:off x="3688081" y="335281"/>
          <a:ext cx="3604260" cy="11658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1.xml><?xml version="1.0" encoding="utf-8"?>
<xdr:wsDr xmlns:xdr="http://schemas.openxmlformats.org/drawingml/2006/spreadsheetDrawing" xmlns:a="http://schemas.openxmlformats.org/drawingml/2006/main">
  <xdr:oneCellAnchor>
    <xdr:from>
      <xdr:col>1</xdr:col>
      <xdr:colOff>104775</xdr:colOff>
      <xdr:row>0</xdr:row>
      <xdr:rowOff>76200</xdr:rowOff>
    </xdr:from>
    <xdr:ext cx="2400300" cy="1638300"/>
    <xdr:pic>
      <xdr:nvPicPr>
        <xdr:cNvPr id="2" name="image1.png">
          <a:extLst>
            <a:ext uri="{FF2B5EF4-FFF2-40B4-BE49-F238E27FC236}">
              <a16:creationId xmlns:a16="http://schemas.microsoft.com/office/drawing/2014/main" id="{CAB5AD70-7B05-4BCC-B4CF-B3FACBDDCB5C}"/>
            </a:ext>
          </a:extLst>
        </xdr:cNvPr>
        <xdr:cNvPicPr preferRelativeResize="0"/>
      </xdr:nvPicPr>
      <xdr:blipFill>
        <a:blip xmlns:r="http://schemas.openxmlformats.org/officeDocument/2006/relationships" r:embed="rId1" cstate="print"/>
        <a:stretch>
          <a:fillRect/>
        </a:stretch>
      </xdr:blipFill>
      <xdr:spPr>
        <a:xfrm>
          <a:off x="516255" y="76200"/>
          <a:ext cx="2400300" cy="1638300"/>
        </a:xfrm>
        <a:prstGeom prst="rect">
          <a:avLst/>
        </a:prstGeom>
        <a:noFill/>
      </xdr:spPr>
    </xdr:pic>
    <xdr:clientData fLocksWithSheet="0"/>
  </xdr:oneCellAnchor>
  <xdr:twoCellAnchor>
    <xdr:from>
      <xdr:col>1</xdr:col>
      <xdr:colOff>3409950</xdr:colOff>
      <xdr:row>0</xdr:row>
      <xdr:rowOff>485775</xdr:rowOff>
    </xdr:from>
    <xdr:to>
      <xdr:col>2</xdr:col>
      <xdr:colOff>657226</xdr:colOff>
      <xdr:row>4</xdr:row>
      <xdr:rowOff>152400</xdr:rowOff>
    </xdr:to>
    <xdr:sp macro="" textlink="">
      <xdr:nvSpPr>
        <xdr:cNvPr id="3" name="Text Box 2">
          <a:extLst>
            <a:ext uri="{FF2B5EF4-FFF2-40B4-BE49-F238E27FC236}">
              <a16:creationId xmlns:a16="http://schemas.microsoft.com/office/drawing/2014/main" id="{90F2B3B0-8943-4A8F-B66E-FD904B57B5BD}"/>
            </a:ext>
          </a:extLst>
        </xdr:cNvPr>
        <xdr:cNvSpPr txBox="1">
          <a:spLocks noChangeArrowheads="1"/>
        </xdr:cNvSpPr>
      </xdr:nvSpPr>
      <xdr:spPr bwMode="auto">
        <a:xfrm>
          <a:off x="3821430" y="485775"/>
          <a:ext cx="2977516" cy="11372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2.xml><?xml version="1.0" encoding="utf-8"?>
<xdr:wsDr xmlns:xdr="http://schemas.openxmlformats.org/drawingml/2006/spreadsheetDrawing" xmlns:a="http://schemas.openxmlformats.org/drawingml/2006/main">
  <xdr:oneCellAnchor>
    <xdr:from>
      <xdr:col>0</xdr:col>
      <xdr:colOff>1</xdr:colOff>
      <xdr:row>0</xdr:row>
      <xdr:rowOff>0</xdr:rowOff>
    </xdr:from>
    <xdr:ext cx="1524000" cy="907774"/>
    <xdr:pic>
      <xdr:nvPicPr>
        <xdr:cNvPr id="2" name="image1.png">
          <a:extLst>
            <a:ext uri="{FF2B5EF4-FFF2-40B4-BE49-F238E27FC236}">
              <a16:creationId xmlns:a16="http://schemas.microsoft.com/office/drawing/2014/main" id="{2EFF7D62-191D-4430-9E65-06626049CA0E}"/>
            </a:ext>
          </a:extLst>
        </xdr:cNvPr>
        <xdr:cNvPicPr preferRelativeResize="0"/>
      </xdr:nvPicPr>
      <xdr:blipFill>
        <a:blip xmlns:r="http://schemas.openxmlformats.org/officeDocument/2006/relationships" r:embed="rId1" cstate="print"/>
        <a:stretch>
          <a:fillRect/>
        </a:stretch>
      </xdr:blipFill>
      <xdr:spPr>
        <a:xfrm>
          <a:off x="1" y="0"/>
          <a:ext cx="1524000" cy="907774"/>
        </a:xfrm>
        <a:prstGeom prst="rect">
          <a:avLst/>
        </a:prstGeom>
        <a:noFill/>
      </xdr:spPr>
    </xdr:pic>
    <xdr:clientData fLocksWithSheet="0"/>
  </xdr:oneCellAnchor>
  <xdr:twoCellAnchor>
    <xdr:from>
      <xdr:col>2</xdr:col>
      <xdr:colOff>1080052</xdr:colOff>
      <xdr:row>0</xdr:row>
      <xdr:rowOff>19878</xdr:rowOff>
    </xdr:from>
    <xdr:to>
      <xdr:col>2</xdr:col>
      <xdr:colOff>4684312</xdr:colOff>
      <xdr:row>6</xdr:row>
      <xdr:rowOff>46051</xdr:rowOff>
    </xdr:to>
    <xdr:sp macro="" textlink="">
      <xdr:nvSpPr>
        <xdr:cNvPr id="3" name="Text Box 2">
          <a:extLst>
            <a:ext uri="{FF2B5EF4-FFF2-40B4-BE49-F238E27FC236}">
              <a16:creationId xmlns:a16="http://schemas.microsoft.com/office/drawing/2014/main" id="{5CCAD69A-32A2-499D-92E6-9A37F20A5B0C}"/>
            </a:ext>
          </a:extLst>
        </xdr:cNvPr>
        <xdr:cNvSpPr txBox="1">
          <a:spLocks noChangeArrowheads="1"/>
        </xdr:cNvSpPr>
      </xdr:nvSpPr>
      <xdr:spPr bwMode="auto">
        <a:xfrm>
          <a:off x="2087217" y="19878"/>
          <a:ext cx="3604260" cy="11658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7471DC0B-6B19-4E87-B9E9-062DE93DCA47}"/>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9B4081C8-10A3-410B-98AE-616E5BAA32BB}"/>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7A7DFECB-6C70-41A9-B09B-FB4724A5B16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C694FF8-EE42-4C5A-841E-2A6044DCBB29}"/>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171316D7-FD01-460B-8148-A9B198F6F7FD}"/>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DDB7D3E-0C83-4F3F-A169-8B956DDE944E}"/>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3BDA70C7-16E5-4C3B-977B-B62D115E05E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84961F2D-C36B-4127-9512-6FB8DDC263AF}"/>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B3936D83-7FB9-4F2D-99FB-231B0F09C7E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093AF7F9-F7A1-4103-A85F-B373A870546D}"/>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2F8A965-287B-4523-A2BC-23EF9D2ABA7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B2118F15-B9E9-46A2-9FEF-BD8D7546FB1D}"/>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5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22D024E-DDFA-44F3-A946-255F911171CE}"/>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CCB20FB2-9ACB-4DC3-B226-D26FF71E3FA7}"/>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67FBD78-2ED2-4393-80A3-A0FA2083E42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3314701</xdr:colOff>
      <xdr:row>0</xdr:row>
      <xdr:rowOff>335281</xdr:rowOff>
    </xdr:from>
    <xdr:to>
      <xdr:col>4</xdr:col>
      <xdr:colOff>381001</xdr:colOff>
      <xdr:row>4</xdr:row>
      <xdr:rowOff>30481</xdr:rowOff>
    </xdr:to>
    <xdr:sp macro="" textlink="">
      <xdr:nvSpPr>
        <xdr:cNvPr id="3" name="Text Box 2">
          <a:extLst>
            <a:ext uri="{FF2B5EF4-FFF2-40B4-BE49-F238E27FC236}">
              <a16:creationId xmlns:a16="http://schemas.microsoft.com/office/drawing/2014/main" id="{F9BB39BC-FB3A-48C5-8ABB-7CDA25255195}"/>
            </a:ext>
          </a:extLst>
        </xdr:cNvPr>
        <xdr:cNvSpPr txBox="1">
          <a:spLocks noChangeArrowheads="1"/>
        </xdr:cNvSpPr>
      </xdr:nvSpPr>
      <xdr:spPr bwMode="auto">
        <a:xfrm>
          <a:off x="3688081" y="335281"/>
          <a:ext cx="4198620" cy="11658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3464164-0427-42C0-9D2F-18D581968D5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3314701</xdr:colOff>
      <xdr:row>0</xdr:row>
      <xdr:rowOff>335281</xdr:rowOff>
    </xdr:from>
    <xdr:to>
      <xdr:col>4</xdr:col>
      <xdr:colOff>381001</xdr:colOff>
      <xdr:row>4</xdr:row>
      <xdr:rowOff>30481</xdr:rowOff>
    </xdr:to>
    <xdr:sp macro="" textlink="">
      <xdr:nvSpPr>
        <xdr:cNvPr id="3" name="Text Box 2">
          <a:extLst>
            <a:ext uri="{FF2B5EF4-FFF2-40B4-BE49-F238E27FC236}">
              <a16:creationId xmlns:a16="http://schemas.microsoft.com/office/drawing/2014/main" id="{B168E058-36C7-454B-BA40-70B766A9C5F0}"/>
            </a:ext>
          </a:extLst>
        </xdr:cNvPr>
        <xdr:cNvSpPr txBox="1">
          <a:spLocks noChangeArrowheads="1"/>
        </xdr:cNvSpPr>
      </xdr:nvSpPr>
      <xdr:spPr bwMode="auto">
        <a:xfrm>
          <a:off x="3688081" y="335281"/>
          <a:ext cx="3604260" cy="11658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D117DFC-4DDA-4AEF-ADD1-59783A0D64C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B00DFC7F-FF56-4878-A1A0-27051E6DF16F}"/>
            </a:ext>
          </a:extLst>
        </xdr:cNvPr>
        <xdr:cNvSpPr txBox="1">
          <a:spLocks noChangeArrowheads="1"/>
        </xdr:cNvSpPr>
      </xdr:nvSpPr>
      <xdr:spPr bwMode="auto">
        <a:xfrm>
          <a:off x="3358515" y="609601"/>
          <a:ext cx="413575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34A218D-3E36-420D-AA9C-1030E6693B5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FD184CA1-354C-4797-9293-BE4811319559}"/>
            </a:ext>
          </a:extLst>
        </xdr:cNvPr>
        <xdr:cNvSpPr txBox="1">
          <a:spLocks noChangeArrowheads="1"/>
        </xdr:cNvSpPr>
      </xdr:nvSpPr>
      <xdr:spPr bwMode="auto">
        <a:xfrm>
          <a:off x="3335655" y="457200"/>
          <a:ext cx="41357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142F52F5-F48A-467D-85D5-268857B9406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9F81C2AB-222B-4113-A2A0-90AACC0A9A84}"/>
            </a:ext>
          </a:extLst>
        </xdr:cNvPr>
        <xdr:cNvSpPr txBox="1">
          <a:spLocks noChangeArrowheads="1"/>
        </xdr:cNvSpPr>
      </xdr:nvSpPr>
      <xdr:spPr bwMode="auto">
        <a:xfrm>
          <a:off x="3358515" y="609601"/>
          <a:ext cx="413575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D7BD0B2-B75A-47A4-A6DA-8B2633C6A7D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4CD8F284-E3EC-44DC-B3F7-B014729A2194}"/>
            </a:ext>
          </a:extLst>
        </xdr:cNvPr>
        <xdr:cNvSpPr txBox="1">
          <a:spLocks noChangeArrowheads="1"/>
        </xdr:cNvSpPr>
      </xdr:nvSpPr>
      <xdr:spPr bwMode="auto">
        <a:xfrm>
          <a:off x="3358515" y="609601"/>
          <a:ext cx="413575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CF97715E-D3F5-4A0B-BC4B-4F792C50788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2985135</xdr:colOff>
      <xdr:row>0</xdr:row>
      <xdr:rowOff>609601</xdr:rowOff>
    </xdr:from>
    <xdr:to>
      <xdr:col>3</xdr:col>
      <xdr:colOff>308610</xdr:colOff>
      <xdr:row>3</xdr:row>
      <xdr:rowOff>121921</xdr:rowOff>
    </xdr:to>
    <xdr:sp macro="" textlink="">
      <xdr:nvSpPr>
        <xdr:cNvPr id="3" name="Text Box 2">
          <a:extLst>
            <a:ext uri="{FF2B5EF4-FFF2-40B4-BE49-F238E27FC236}">
              <a16:creationId xmlns:a16="http://schemas.microsoft.com/office/drawing/2014/main" id="{0E9814C8-8FB5-4D27-93F3-58DA8ABA4822}"/>
            </a:ext>
          </a:extLst>
        </xdr:cNvPr>
        <xdr:cNvSpPr txBox="1">
          <a:spLocks noChangeArrowheads="1"/>
        </xdr:cNvSpPr>
      </xdr:nvSpPr>
      <xdr:spPr bwMode="auto">
        <a:xfrm>
          <a:off x="3358515" y="609601"/>
          <a:ext cx="3625215" cy="7696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0DC9E13A-3503-4604-8C67-FB88EB90078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A6481F52-E6C6-4718-ADB4-FBF75F83DA36}"/>
            </a:ext>
          </a:extLst>
        </xdr:cNvPr>
        <xdr:cNvSpPr txBox="1">
          <a:spLocks noChangeArrowheads="1"/>
        </xdr:cNvSpPr>
      </xdr:nvSpPr>
      <xdr:spPr bwMode="auto">
        <a:xfrm>
          <a:off x="3668616" y="513522"/>
          <a:ext cx="196753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C10DB4E-3B71-4EFD-9F9D-25FF9CDA84E3}"/>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840661AB-B0C4-4E06-87B2-A0831AFEB89F}"/>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6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271A1F31-A59C-4337-8CC5-AC32ED820107}"/>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4FF14AE4-0599-4164-A74D-19BA09675A32}"/>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D64B40A-CD3A-435E-B2C6-480DA9FF7067}"/>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6239CB1B-31FD-41F7-A0C2-AED8B15122FF}"/>
            </a:ext>
          </a:extLst>
        </xdr:cNvPr>
        <xdr:cNvSpPr txBox="1">
          <a:spLocks noChangeArrowheads="1"/>
        </xdr:cNvSpPr>
      </xdr:nvSpPr>
      <xdr:spPr bwMode="auto">
        <a:xfrm>
          <a:off x="3335655" y="457200"/>
          <a:ext cx="465391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1.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2BC5E76B-4434-49C0-A9CA-4358C2840420}"/>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6C460466-5DBB-48D9-993E-75E630D0B5F5}"/>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2.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9BA4C215-A5B1-4DD9-9A76-944CEF7E2C50}"/>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43C911BA-2C5A-4C0D-B0CE-23B39882C31B}"/>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3.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C0F4343A-40CE-49BA-983D-AFFA7DF94234}"/>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24433F6B-713E-4EBF-A308-32DD14F80C98}"/>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4.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14CD2171-7F76-4320-ABB0-00F79CA06AAF}"/>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1EDFD4A9-46F0-48C8-9108-146E87EB44A4}"/>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5.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E5E1F66E-F9FC-4951-B140-900DE7F12F62}"/>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3A006C40-BDB6-4865-904E-B75DBAE0AA8A}"/>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6.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61C67E6-3723-4D9A-B9DD-B7A2127F5FD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3932BFF2-CA3B-4D60-8AD2-11D8A3227A22}"/>
            </a:ext>
          </a:extLst>
        </xdr:cNvPr>
        <xdr:cNvSpPr txBox="1">
          <a:spLocks noChangeArrowheads="1"/>
        </xdr:cNvSpPr>
      </xdr:nvSpPr>
      <xdr:spPr bwMode="auto">
        <a:xfrm>
          <a:off x="3335655" y="457200"/>
          <a:ext cx="28784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7E8CE0E-60DC-4711-A052-B50985C70AE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C757E963-EBD3-43A4-8984-F7EBC7AD4FE6}"/>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7A32C7D-F145-4126-BC75-D4ADFEAA0C8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19D4E6BD-F884-4363-A0A9-150D885803BB}"/>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7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237A9D1A-DD95-4BA0-A884-6462BF9CC851}"/>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BF091197-78AA-45DD-824F-6C78E3CA91B9}"/>
            </a:ext>
          </a:extLst>
        </xdr:cNvPr>
        <xdr:cNvSpPr txBox="1">
          <a:spLocks noChangeArrowheads="1"/>
        </xdr:cNvSpPr>
      </xdr:nvSpPr>
      <xdr:spPr bwMode="auto">
        <a:xfrm>
          <a:off x="3754755" y="200025"/>
          <a:ext cx="478726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79384B8-3CD5-46DD-AEB3-2E9999F842AF}"/>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3343275</xdr:colOff>
      <xdr:row>0</xdr:row>
      <xdr:rowOff>200025</xdr:rowOff>
    </xdr:from>
    <xdr:to>
      <xdr:col>2</xdr:col>
      <xdr:colOff>647700</xdr:colOff>
      <xdr:row>6</xdr:row>
      <xdr:rowOff>91937</xdr:rowOff>
    </xdr:to>
    <xdr:sp macro="" textlink="">
      <xdr:nvSpPr>
        <xdr:cNvPr id="3" name="Text Box 2">
          <a:extLst>
            <a:ext uri="{FF2B5EF4-FFF2-40B4-BE49-F238E27FC236}">
              <a16:creationId xmlns:a16="http://schemas.microsoft.com/office/drawing/2014/main" id="{D2A3CF4A-B186-441F-82D8-DAD5588A3875}"/>
            </a:ext>
          </a:extLst>
        </xdr:cNvPr>
        <xdr:cNvSpPr txBox="1">
          <a:spLocks noChangeArrowheads="1"/>
        </xdr:cNvSpPr>
      </xdr:nvSpPr>
      <xdr:spPr bwMode="auto">
        <a:xfrm>
          <a:off x="3754755" y="200025"/>
          <a:ext cx="5389245" cy="1789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19E9198-E5DB-41D8-9D2B-36C4DC6A334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59D684F-C996-4692-9590-6D3ED9229C90}"/>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1A34A1AA-781C-4CC5-9825-C8C98F73CB49}"/>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3078480</xdr:colOff>
      <xdr:row>0</xdr:row>
      <xdr:rowOff>470535</xdr:rowOff>
    </xdr:from>
    <xdr:to>
      <xdr:col>3</xdr:col>
      <xdr:colOff>0</xdr:colOff>
      <xdr:row>5</xdr:row>
      <xdr:rowOff>55245</xdr:rowOff>
    </xdr:to>
    <xdr:sp macro="" textlink="">
      <xdr:nvSpPr>
        <xdr:cNvPr id="3" name="Text Box 2">
          <a:extLst>
            <a:ext uri="{FF2B5EF4-FFF2-40B4-BE49-F238E27FC236}">
              <a16:creationId xmlns:a16="http://schemas.microsoft.com/office/drawing/2014/main" id="{7B1A3D6E-3258-45D6-9962-AC237AFB3E5B}"/>
            </a:ext>
          </a:extLst>
        </xdr:cNvPr>
        <xdr:cNvSpPr txBox="1">
          <a:spLocks noChangeArrowheads="1"/>
        </xdr:cNvSpPr>
      </xdr:nvSpPr>
      <xdr:spPr bwMode="auto">
        <a:xfrm>
          <a:off x="3489960" y="47053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55BC4A0E-7BAD-4E50-A0FC-C62125B6BA4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E95215F3-3279-476A-86F6-9AE166AEAA10}"/>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E7BC8DF7-7B68-4D92-BC1F-A16F0D4A2118}"/>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477108D5-5DDF-4222-A0D4-C17D9F611484}"/>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5.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D9CF7C7-A023-4348-B378-5CA4DF108150}"/>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D5E8385F-ACA3-4E97-9DC5-B923F49AADFA}"/>
            </a:ext>
          </a:extLst>
        </xdr:cNvPr>
        <xdr:cNvSpPr txBox="1">
          <a:spLocks noChangeArrowheads="1"/>
        </xdr:cNvSpPr>
      </xdr:nvSpPr>
      <xdr:spPr bwMode="auto">
        <a:xfrm>
          <a:off x="3335655" y="457200"/>
          <a:ext cx="36328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6.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AC86139F-C8AD-4798-9E83-B9545B7C9CD2}"/>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A9960094-DAA7-43C3-B511-D30C70197A03}"/>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7.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0825288-77F2-4FD4-ABE2-71FD44B5AF3B}"/>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73670154-60D7-43D9-8AD0-61F9A039A62F}"/>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EBB7EB76-2679-4E4D-BAF0-D02612D2953A}"/>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F81504D1-22E8-4643-B8CD-4E886971B163}"/>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8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0E5A89F4-3820-40BE-97BA-C2332793F31E}"/>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A166E129-79CE-4A3C-AA78-489660E08962}"/>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D836C01-300A-4357-A3AC-0F647BC9C403}"/>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1232F797-4DE1-402B-8C59-6C364680D8D0}"/>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6F6C35D-4F69-4741-BA1C-46DDAC0BBBB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A5F8E591-D11A-4D40-85C9-ECA2E5162FC4}"/>
            </a:ext>
          </a:extLst>
        </xdr:cNvPr>
        <xdr:cNvSpPr txBox="1">
          <a:spLocks noChangeArrowheads="1"/>
        </xdr:cNvSpPr>
      </xdr:nvSpPr>
      <xdr:spPr bwMode="auto">
        <a:xfrm>
          <a:off x="3097530" y="323850"/>
          <a:ext cx="362140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3E9420F-86E0-4D9F-AABB-0E7719C7991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BF95DA9F-8CE2-451E-9739-68ECA54BE3D2}"/>
            </a:ext>
          </a:extLst>
        </xdr:cNvPr>
        <xdr:cNvSpPr txBox="1">
          <a:spLocks noChangeArrowheads="1"/>
        </xdr:cNvSpPr>
      </xdr:nvSpPr>
      <xdr:spPr bwMode="auto">
        <a:xfrm>
          <a:off x="3335655" y="457200"/>
          <a:ext cx="4326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D8084DA-CC9B-47E9-827E-355FDC15CFE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E925EB72-70A0-41A9-AD64-68FF7087AB77}"/>
            </a:ext>
          </a:extLst>
        </xdr:cNvPr>
        <xdr:cNvSpPr txBox="1">
          <a:spLocks noChangeArrowheads="1"/>
        </xdr:cNvSpPr>
      </xdr:nvSpPr>
      <xdr:spPr bwMode="auto">
        <a:xfrm>
          <a:off x="3335655" y="457200"/>
          <a:ext cx="35947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A0D9690-8223-4EED-97A8-3FCF70A7D182}"/>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12FA3CA5-56BD-4F8D-9546-CA4DD1D3D0C6}"/>
            </a:ext>
          </a:extLst>
        </xdr:cNvPr>
        <xdr:cNvSpPr txBox="1">
          <a:spLocks noChangeArrowheads="1"/>
        </xdr:cNvSpPr>
      </xdr:nvSpPr>
      <xdr:spPr bwMode="auto">
        <a:xfrm>
          <a:off x="3335655" y="457200"/>
          <a:ext cx="35947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195.xml><?xml version="1.0" encoding="utf-8"?>
<xdr:wsDr xmlns:xdr="http://schemas.openxmlformats.org/drawingml/2006/spreadsheetDrawing" xmlns:a="http://schemas.openxmlformats.org/drawingml/2006/main">
  <xdr:oneCellAnchor>
    <xdr:from>
      <xdr:col>1</xdr:col>
      <xdr:colOff>95250</xdr:colOff>
      <xdr:row>0</xdr:row>
      <xdr:rowOff>66675</xdr:rowOff>
    </xdr:from>
    <xdr:ext cx="1304925" cy="857250"/>
    <xdr:pic>
      <xdr:nvPicPr>
        <xdr:cNvPr id="2" name="image1.png">
          <a:extLst>
            <a:ext uri="{FF2B5EF4-FFF2-40B4-BE49-F238E27FC236}">
              <a16:creationId xmlns:a16="http://schemas.microsoft.com/office/drawing/2014/main" id="{6DD58CA1-B157-4BBD-B602-164E9E9BD44A}"/>
            </a:ext>
          </a:extLst>
        </xdr:cNvPr>
        <xdr:cNvPicPr preferRelativeResize="0"/>
      </xdr:nvPicPr>
      <xdr:blipFill>
        <a:blip xmlns:r="http://schemas.openxmlformats.org/officeDocument/2006/relationships" r:embed="rId1" cstate="print"/>
        <a:stretch>
          <a:fillRect/>
        </a:stretch>
      </xdr:blipFill>
      <xdr:spPr>
        <a:xfrm>
          <a:off x="598170" y="66675"/>
          <a:ext cx="1304925" cy="857250"/>
        </a:xfrm>
        <a:prstGeom prst="rect">
          <a:avLst/>
        </a:prstGeom>
        <a:noFill/>
      </xdr:spPr>
    </xdr:pic>
    <xdr:clientData fLocksWithSheet="0"/>
  </xdr:oneCellAnchor>
  <xdr:twoCellAnchor>
    <xdr:from>
      <xdr:col>2</xdr:col>
      <xdr:colOff>2009775</xdr:colOff>
      <xdr:row>0</xdr:row>
      <xdr:rowOff>123826</xdr:rowOff>
    </xdr:from>
    <xdr:to>
      <xdr:col>4</xdr:col>
      <xdr:colOff>828675</xdr:colOff>
      <xdr:row>6</xdr:row>
      <xdr:rowOff>38100</xdr:rowOff>
    </xdr:to>
    <xdr:sp macro="" textlink="">
      <xdr:nvSpPr>
        <xdr:cNvPr id="3" name="CuadroTexto 2">
          <a:extLst>
            <a:ext uri="{FF2B5EF4-FFF2-40B4-BE49-F238E27FC236}">
              <a16:creationId xmlns:a16="http://schemas.microsoft.com/office/drawing/2014/main" id="{D88B8E57-D05C-4A7B-80B3-E734CA677F55}"/>
            </a:ext>
          </a:extLst>
        </xdr:cNvPr>
        <xdr:cNvSpPr txBox="1"/>
      </xdr:nvSpPr>
      <xdr:spPr>
        <a:xfrm>
          <a:off x="3015615" y="123826"/>
          <a:ext cx="5295900" cy="1042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52</xdr:row>
      <xdr:rowOff>66675</xdr:rowOff>
    </xdr:from>
    <xdr:ext cx="1304925" cy="857250"/>
    <xdr:pic>
      <xdr:nvPicPr>
        <xdr:cNvPr id="14" name="image1.png">
          <a:extLst>
            <a:ext uri="{FF2B5EF4-FFF2-40B4-BE49-F238E27FC236}">
              <a16:creationId xmlns:a16="http://schemas.microsoft.com/office/drawing/2014/main" id="{BE9CBB58-F636-4DD7-A153-862315830F60}"/>
            </a:ext>
          </a:extLst>
        </xdr:cNvPr>
        <xdr:cNvPicPr preferRelativeResize="0"/>
      </xdr:nvPicPr>
      <xdr:blipFill>
        <a:blip xmlns:r="http://schemas.openxmlformats.org/officeDocument/2006/relationships" r:embed="rId1" cstate="print"/>
        <a:stretch>
          <a:fillRect/>
        </a:stretch>
      </xdr:blipFill>
      <xdr:spPr>
        <a:xfrm>
          <a:off x="598170" y="59776995"/>
          <a:ext cx="1304925" cy="857250"/>
        </a:xfrm>
        <a:prstGeom prst="rect">
          <a:avLst/>
        </a:prstGeom>
        <a:noFill/>
      </xdr:spPr>
    </xdr:pic>
    <xdr:clientData fLocksWithSheet="0"/>
  </xdr:oneCellAnchor>
  <xdr:twoCellAnchor>
    <xdr:from>
      <xdr:col>2</xdr:col>
      <xdr:colOff>2009775</xdr:colOff>
      <xdr:row>54</xdr:row>
      <xdr:rowOff>9526</xdr:rowOff>
    </xdr:from>
    <xdr:to>
      <xdr:col>4</xdr:col>
      <xdr:colOff>828675</xdr:colOff>
      <xdr:row>59</xdr:row>
      <xdr:rowOff>114300</xdr:rowOff>
    </xdr:to>
    <xdr:sp macro="" textlink="">
      <xdr:nvSpPr>
        <xdr:cNvPr id="15" name="CuadroTexto 14">
          <a:extLst>
            <a:ext uri="{FF2B5EF4-FFF2-40B4-BE49-F238E27FC236}">
              <a16:creationId xmlns:a16="http://schemas.microsoft.com/office/drawing/2014/main" id="{203B7A12-66B3-4300-817F-48503D3D2449}"/>
            </a:ext>
          </a:extLst>
        </xdr:cNvPr>
        <xdr:cNvSpPr txBox="1"/>
      </xdr:nvSpPr>
      <xdr:spPr>
        <a:xfrm>
          <a:off x="3015615" y="60085606"/>
          <a:ext cx="5295900" cy="1080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28575</xdr:colOff>
      <xdr:row>95</xdr:row>
      <xdr:rowOff>142875</xdr:rowOff>
    </xdr:from>
    <xdr:ext cx="1304925" cy="857250"/>
    <xdr:pic>
      <xdr:nvPicPr>
        <xdr:cNvPr id="18" name="image1.png">
          <a:extLst>
            <a:ext uri="{FF2B5EF4-FFF2-40B4-BE49-F238E27FC236}">
              <a16:creationId xmlns:a16="http://schemas.microsoft.com/office/drawing/2014/main" id="{F93E128B-AD68-4448-811D-1DBD71921FCF}"/>
            </a:ext>
          </a:extLst>
        </xdr:cNvPr>
        <xdr:cNvPicPr preferRelativeResize="0"/>
      </xdr:nvPicPr>
      <xdr:blipFill>
        <a:blip xmlns:r="http://schemas.openxmlformats.org/officeDocument/2006/relationships" r:embed="rId1" cstate="print"/>
        <a:stretch>
          <a:fillRect/>
        </a:stretch>
      </xdr:blipFill>
      <xdr:spPr>
        <a:xfrm>
          <a:off x="531495" y="80130015"/>
          <a:ext cx="1304925" cy="857250"/>
        </a:xfrm>
        <a:prstGeom prst="rect">
          <a:avLst/>
        </a:prstGeom>
        <a:noFill/>
      </xdr:spPr>
    </xdr:pic>
    <xdr:clientData fLocksWithSheet="0"/>
  </xdr:oneCellAnchor>
  <xdr:twoCellAnchor>
    <xdr:from>
      <xdr:col>2</xdr:col>
      <xdr:colOff>2009775</xdr:colOff>
      <xdr:row>95</xdr:row>
      <xdr:rowOff>9526</xdr:rowOff>
    </xdr:from>
    <xdr:to>
      <xdr:col>4</xdr:col>
      <xdr:colOff>828675</xdr:colOff>
      <xdr:row>100</xdr:row>
      <xdr:rowOff>114300</xdr:rowOff>
    </xdr:to>
    <xdr:sp macro="" textlink="">
      <xdr:nvSpPr>
        <xdr:cNvPr id="19" name="CuadroTexto 18">
          <a:extLst>
            <a:ext uri="{FF2B5EF4-FFF2-40B4-BE49-F238E27FC236}">
              <a16:creationId xmlns:a16="http://schemas.microsoft.com/office/drawing/2014/main" id="{21961CA7-D5EB-4D89-ADA8-C7B820BDCD20}"/>
            </a:ext>
          </a:extLst>
        </xdr:cNvPr>
        <xdr:cNvSpPr txBox="1"/>
      </xdr:nvSpPr>
      <xdr:spPr>
        <a:xfrm>
          <a:off x="3015615" y="79996666"/>
          <a:ext cx="5295900"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8</xdr:col>
      <xdr:colOff>95250</xdr:colOff>
      <xdr:row>52</xdr:row>
      <xdr:rowOff>66675</xdr:rowOff>
    </xdr:from>
    <xdr:ext cx="1304925" cy="857250"/>
    <xdr:pic>
      <xdr:nvPicPr>
        <xdr:cNvPr id="4" name="image1.png">
          <a:extLst>
            <a:ext uri="{FF2B5EF4-FFF2-40B4-BE49-F238E27FC236}">
              <a16:creationId xmlns:a16="http://schemas.microsoft.com/office/drawing/2014/main" id="{0387016D-E706-4AFD-8686-DA6FADBE1962}"/>
            </a:ext>
          </a:extLst>
        </xdr:cNvPr>
        <xdr:cNvPicPr preferRelativeResize="0"/>
      </xdr:nvPicPr>
      <xdr:blipFill>
        <a:blip xmlns:r="http://schemas.openxmlformats.org/officeDocument/2006/relationships" r:embed="rId1" cstate="print"/>
        <a:stretch>
          <a:fillRect/>
        </a:stretch>
      </xdr:blipFill>
      <xdr:spPr>
        <a:xfrm>
          <a:off x="598170" y="11130915"/>
          <a:ext cx="1304925" cy="857250"/>
        </a:xfrm>
        <a:prstGeom prst="rect">
          <a:avLst/>
        </a:prstGeom>
        <a:noFill/>
      </xdr:spPr>
    </xdr:pic>
    <xdr:clientData fLocksWithSheet="0"/>
  </xdr:oneCellAnchor>
  <xdr:twoCellAnchor>
    <xdr:from>
      <xdr:col>9</xdr:col>
      <xdr:colOff>2009775</xdr:colOff>
      <xdr:row>54</xdr:row>
      <xdr:rowOff>9526</xdr:rowOff>
    </xdr:from>
    <xdr:to>
      <xdr:col>11</xdr:col>
      <xdr:colOff>828675</xdr:colOff>
      <xdr:row>59</xdr:row>
      <xdr:rowOff>114300</xdr:rowOff>
    </xdr:to>
    <xdr:sp macro="" textlink="">
      <xdr:nvSpPr>
        <xdr:cNvPr id="5" name="CuadroTexto 4">
          <a:extLst>
            <a:ext uri="{FF2B5EF4-FFF2-40B4-BE49-F238E27FC236}">
              <a16:creationId xmlns:a16="http://schemas.microsoft.com/office/drawing/2014/main" id="{EDB1413D-730B-44AE-9038-E07A9A0764B2}"/>
            </a:ext>
          </a:extLst>
        </xdr:cNvPr>
        <xdr:cNvSpPr txBox="1"/>
      </xdr:nvSpPr>
      <xdr:spPr>
        <a:xfrm>
          <a:off x="3015615" y="11439526"/>
          <a:ext cx="5295900" cy="1080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8</xdr:col>
      <xdr:colOff>28575</xdr:colOff>
      <xdr:row>95</xdr:row>
      <xdr:rowOff>142875</xdr:rowOff>
    </xdr:from>
    <xdr:ext cx="1304925" cy="857250"/>
    <xdr:pic>
      <xdr:nvPicPr>
        <xdr:cNvPr id="6" name="image1.png">
          <a:extLst>
            <a:ext uri="{FF2B5EF4-FFF2-40B4-BE49-F238E27FC236}">
              <a16:creationId xmlns:a16="http://schemas.microsoft.com/office/drawing/2014/main" id="{5EAB9BF3-FB90-49C5-9F00-B77327BBB92A}"/>
            </a:ext>
          </a:extLst>
        </xdr:cNvPr>
        <xdr:cNvPicPr preferRelativeResize="0"/>
      </xdr:nvPicPr>
      <xdr:blipFill>
        <a:blip xmlns:r="http://schemas.openxmlformats.org/officeDocument/2006/relationships" r:embed="rId1" cstate="print"/>
        <a:stretch>
          <a:fillRect/>
        </a:stretch>
      </xdr:blipFill>
      <xdr:spPr>
        <a:xfrm>
          <a:off x="531495" y="22378035"/>
          <a:ext cx="1304925" cy="857250"/>
        </a:xfrm>
        <a:prstGeom prst="rect">
          <a:avLst/>
        </a:prstGeom>
        <a:noFill/>
      </xdr:spPr>
    </xdr:pic>
    <xdr:clientData fLocksWithSheet="0"/>
  </xdr:oneCellAnchor>
  <xdr:twoCellAnchor>
    <xdr:from>
      <xdr:col>9</xdr:col>
      <xdr:colOff>2009775</xdr:colOff>
      <xdr:row>95</xdr:row>
      <xdr:rowOff>9526</xdr:rowOff>
    </xdr:from>
    <xdr:to>
      <xdr:col>11</xdr:col>
      <xdr:colOff>828675</xdr:colOff>
      <xdr:row>100</xdr:row>
      <xdr:rowOff>114300</xdr:rowOff>
    </xdr:to>
    <xdr:sp macro="" textlink="">
      <xdr:nvSpPr>
        <xdr:cNvPr id="7" name="CuadroTexto 6">
          <a:extLst>
            <a:ext uri="{FF2B5EF4-FFF2-40B4-BE49-F238E27FC236}">
              <a16:creationId xmlns:a16="http://schemas.microsoft.com/office/drawing/2014/main" id="{EBAE95E0-01B5-4C7D-B448-BEC3A9B618AC}"/>
            </a:ext>
          </a:extLst>
        </xdr:cNvPr>
        <xdr:cNvSpPr txBox="1"/>
      </xdr:nvSpPr>
      <xdr:spPr>
        <a:xfrm>
          <a:off x="3015615" y="22244686"/>
          <a:ext cx="5295900"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96.xml><?xml version="1.0" encoding="utf-8"?>
<xdr:wsDr xmlns:xdr="http://schemas.openxmlformats.org/drawingml/2006/spreadsheetDrawing" xmlns:a="http://schemas.openxmlformats.org/drawingml/2006/main">
  <xdr:oneCellAnchor>
    <xdr:from>
      <xdr:col>1</xdr:col>
      <xdr:colOff>95250</xdr:colOff>
      <xdr:row>0</xdr:row>
      <xdr:rowOff>66675</xdr:rowOff>
    </xdr:from>
    <xdr:ext cx="1304925" cy="857250"/>
    <xdr:pic>
      <xdr:nvPicPr>
        <xdr:cNvPr id="2" name="image1.png">
          <a:extLst>
            <a:ext uri="{FF2B5EF4-FFF2-40B4-BE49-F238E27FC236}">
              <a16:creationId xmlns:a16="http://schemas.microsoft.com/office/drawing/2014/main" id="{DAC1F6AF-FF0F-45D5-87EA-EDF1EC5EAE49}"/>
            </a:ext>
          </a:extLst>
        </xdr:cNvPr>
        <xdr:cNvPicPr preferRelativeResize="0"/>
      </xdr:nvPicPr>
      <xdr:blipFill>
        <a:blip xmlns:r="http://schemas.openxmlformats.org/officeDocument/2006/relationships" r:embed="rId1" cstate="print"/>
        <a:stretch>
          <a:fillRect/>
        </a:stretch>
      </xdr:blipFill>
      <xdr:spPr>
        <a:xfrm>
          <a:off x="598170" y="66675"/>
          <a:ext cx="1304925" cy="857250"/>
        </a:xfrm>
        <a:prstGeom prst="rect">
          <a:avLst/>
        </a:prstGeom>
        <a:noFill/>
      </xdr:spPr>
    </xdr:pic>
    <xdr:clientData fLocksWithSheet="0"/>
  </xdr:oneCellAnchor>
  <xdr:twoCellAnchor>
    <xdr:from>
      <xdr:col>2</xdr:col>
      <xdr:colOff>2009775</xdr:colOff>
      <xdr:row>0</xdr:row>
      <xdr:rowOff>123826</xdr:rowOff>
    </xdr:from>
    <xdr:to>
      <xdr:col>4</xdr:col>
      <xdr:colOff>828675</xdr:colOff>
      <xdr:row>6</xdr:row>
      <xdr:rowOff>0</xdr:rowOff>
    </xdr:to>
    <xdr:sp macro="" textlink="">
      <xdr:nvSpPr>
        <xdr:cNvPr id="3" name="CuadroTexto 2">
          <a:extLst>
            <a:ext uri="{FF2B5EF4-FFF2-40B4-BE49-F238E27FC236}">
              <a16:creationId xmlns:a16="http://schemas.microsoft.com/office/drawing/2014/main" id="{6808749A-F46B-4905-BDF2-D03DF7E0BADD}"/>
            </a:ext>
          </a:extLst>
        </xdr:cNvPr>
        <xdr:cNvSpPr txBox="1"/>
      </xdr:nvSpPr>
      <xdr:spPr>
        <a:xfrm>
          <a:off x="3015615" y="123826"/>
          <a:ext cx="5295900" cy="1042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2</xdr:col>
      <xdr:colOff>2361372</xdr:colOff>
      <xdr:row>21</xdr:row>
      <xdr:rowOff>53009</xdr:rowOff>
    </xdr:from>
    <xdr:ext cx="1304925" cy="857250"/>
    <xdr:pic>
      <xdr:nvPicPr>
        <xdr:cNvPr id="4" name="image1.png">
          <a:extLst>
            <a:ext uri="{FF2B5EF4-FFF2-40B4-BE49-F238E27FC236}">
              <a16:creationId xmlns:a16="http://schemas.microsoft.com/office/drawing/2014/main" id="{F2E756EF-20C9-4A62-B26C-179C3995E85A}"/>
            </a:ext>
          </a:extLst>
        </xdr:cNvPr>
        <xdr:cNvPicPr preferRelativeResize="0"/>
      </xdr:nvPicPr>
      <xdr:blipFill>
        <a:blip xmlns:r="http://schemas.openxmlformats.org/officeDocument/2006/relationships" r:embed="rId1" cstate="print"/>
        <a:stretch>
          <a:fillRect/>
        </a:stretch>
      </xdr:blipFill>
      <xdr:spPr>
        <a:xfrm>
          <a:off x="3368537" y="4863548"/>
          <a:ext cx="1304925" cy="857250"/>
        </a:xfrm>
        <a:prstGeom prst="rect">
          <a:avLst/>
        </a:prstGeom>
        <a:noFill/>
      </xdr:spPr>
    </xdr:pic>
    <xdr:clientData fLocksWithSheet="0"/>
  </xdr:oneCellAnchor>
  <xdr:oneCellAnchor>
    <xdr:from>
      <xdr:col>1</xdr:col>
      <xdr:colOff>28575</xdr:colOff>
      <xdr:row>45</xdr:row>
      <xdr:rowOff>142875</xdr:rowOff>
    </xdr:from>
    <xdr:ext cx="1304925" cy="857250"/>
    <xdr:pic>
      <xdr:nvPicPr>
        <xdr:cNvPr id="6" name="image1.png">
          <a:extLst>
            <a:ext uri="{FF2B5EF4-FFF2-40B4-BE49-F238E27FC236}">
              <a16:creationId xmlns:a16="http://schemas.microsoft.com/office/drawing/2014/main" id="{8A2BB99B-E49E-4BA3-8E44-768147156DA1}"/>
            </a:ext>
          </a:extLst>
        </xdr:cNvPr>
        <xdr:cNvPicPr preferRelativeResize="0"/>
      </xdr:nvPicPr>
      <xdr:blipFill>
        <a:blip xmlns:r="http://schemas.openxmlformats.org/officeDocument/2006/relationships" r:embed="rId1" cstate="print"/>
        <a:stretch>
          <a:fillRect/>
        </a:stretch>
      </xdr:blipFill>
      <xdr:spPr>
        <a:xfrm>
          <a:off x="531495" y="21052155"/>
          <a:ext cx="1304925" cy="857250"/>
        </a:xfrm>
        <a:prstGeom prst="rect">
          <a:avLst/>
        </a:prstGeom>
        <a:noFill/>
      </xdr:spPr>
    </xdr:pic>
    <xdr:clientData fLocksWithSheet="0"/>
  </xdr:oneCellAnchor>
  <xdr:twoCellAnchor>
    <xdr:from>
      <xdr:col>2</xdr:col>
      <xdr:colOff>2009775</xdr:colOff>
      <xdr:row>45</xdr:row>
      <xdr:rowOff>9526</xdr:rowOff>
    </xdr:from>
    <xdr:to>
      <xdr:col>4</xdr:col>
      <xdr:colOff>828675</xdr:colOff>
      <xdr:row>50</xdr:row>
      <xdr:rowOff>114300</xdr:rowOff>
    </xdr:to>
    <xdr:sp macro="" textlink="">
      <xdr:nvSpPr>
        <xdr:cNvPr id="7" name="CuadroTexto 6">
          <a:extLst>
            <a:ext uri="{FF2B5EF4-FFF2-40B4-BE49-F238E27FC236}">
              <a16:creationId xmlns:a16="http://schemas.microsoft.com/office/drawing/2014/main" id="{5962B520-1943-4B3E-A281-C163654EA42B}"/>
            </a:ext>
          </a:extLst>
        </xdr:cNvPr>
        <xdr:cNvSpPr txBox="1"/>
      </xdr:nvSpPr>
      <xdr:spPr>
        <a:xfrm>
          <a:off x="3015615" y="20918806"/>
          <a:ext cx="5295900"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97.xml><?xml version="1.0" encoding="utf-8"?>
<xdr:wsDr xmlns:xdr="http://schemas.openxmlformats.org/drawingml/2006/spreadsheetDrawing" xmlns:a="http://schemas.openxmlformats.org/drawingml/2006/main">
  <xdr:oneCellAnchor>
    <xdr:from>
      <xdr:col>1</xdr:col>
      <xdr:colOff>95250</xdr:colOff>
      <xdr:row>0</xdr:row>
      <xdr:rowOff>66675</xdr:rowOff>
    </xdr:from>
    <xdr:ext cx="1304925" cy="857250"/>
    <xdr:pic>
      <xdr:nvPicPr>
        <xdr:cNvPr id="2" name="image1.png">
          <a:extLst>
            <a:ext uri="{FF2B5EF4-FFF2-40B4-BE49-F238E27FC236}">
              <a16:creationId xmlns:a16="http://schemas.microsoft.com/office/drawing/2014/main" id="{A57F67EC-FC8A-4367-AEF1-4A6FD72B2590}"/>
            </a:ext>
          </a:extLst>
        </xdr:cNvPr>
        <xdr:cNvPicPr preferRelativeResize="0"/>
      </xdr:nvPicPr>
      <xdr:blipFill>
        <a:blip xmlns:r="http://schemas.openxmlformats.org/officeDocument/2006/relationships" r:embed="rId1" cstate="print"/>
        <a:stretch>
          <a:fillRect/>
        </a:stretch>
      </xdr:blipFill>
      <xdr:spPr>
        <a:xfrm>
          <a:off x="598170" y="66675"/>
          <a:ext cx="1304925" cy="857250"/>
        </a:xfrm>
        <a:prstGeom prst="rect">
          <a:avLst/>
        </a:prstGeom>
        <a:noFill/>
      </xdr:spPr>
    </xdr:pic>
    <xdr:clientData fLocksWithSheet="0"/>
  </xdr:oneCellAnchor>
  <xdr:twoCellAnchor>
    <xdr:from>
      <xdr:col>2</xdr:col>
      <xdr:colOff>2009775</xdr:colOff>
      <xdr:row>0</xdr:row>
      <xdr:rowOff>123826</xdr:rowOff>
    </xdr:from>
    <xdr:to>
      <xdr:col>4</xdr:col>
      <xdr:colOff>828675</xdr:colOff>
      <xdr:row>6</xdr:row>
      <xdr:rowOff>38100</xdr:rowOff>
    </xdr:to>
    <xdr:sp macro="" textlink="">
      <xdr:nvSpPr>
        <xdr:cNvPr id="3" name="CuadroTexto 2">
          <a:extLst>
            <a:ext uri="{FF2B5EF4-FFF2-40B4-BE49-F238E27FC236}">
              <a16:creationId xmlns:a16="http://schemas.microsoft.com/office/drawing/2014/main" id="{2D4E92FD-FDE3-43E3-8005-327D64A404FA}"/>
            </a:ext>
          </a:extLst>
        </xdr:cNvPr>
        <xdr:cNvSpPr txBox="1"/>
      </xdr:nvSpPr>
      <xdr:spPr>
        <a:xfrm>
          <a:off x="3015615" y="123826"/>
          <a:ext cx="5295900" cy="1042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44</xdr:row>
      <xdr:rowOff>66675</xdr:rowOff>
    </xdr:from>
    <xdr:ext cx="1304925" cy="857250"/>
    <xdr:pic>
      <xdr:nvPicPr>
        <xdr:cNvPr id="4" name="image1.png">
          <a:extLst>
            <a:ext uri="{FF2B5EF4-FFF2-40B4-BE49-F238E27FC236}">
              <a16:creationId xmlns:a16="http://schemas.microsoft.com/office/drawing/2014/main" id="{72DAB1E1-41A7-4FD3-B5E4-6CCBE1C82124}"/>
            </a:ext>
          </a:extLst>
        </xdr:cNvPr>
        <xdr:cNvPicPr preferRelativeResize="0"/>
      </xdr:nvPicPr>
      <xdr:blipFill>
        <a:blip xmlns:r="http://schemas.openxmlformats.org/officeDocument/2006/relationships" r:embed="rId1" cstate="print"/>
        <a:stretch>
          <a:fillRect/>
        </a:stretch>
      </xdr:blipFill>
      <xdr:spPr>
        <a:xfrm>
          <a:off x="598170" y="11130915"/>
          <a:ext cx="1304925" cy="857250"/>
        </a:xfrm>
        <a:prstGeom prst="rect">
          <a:avLst/>
        </a:prstGeom>
        <a:noFill/>
      </xdr:spPr>
    </xdr:pic>
    <xdr:clientData fLocksWithSheet="0"/>
  </xdr:oneCellAnchor>
  <xdr:twoCellAnchor>
    <xdr:from>
      <xdr:col>2</xdr:col>
      <xdr:colOff>2009775</xdr:colOff>
      <xdr:row>46</xdr:row>
      <xdr:rowOff>9526</xdr:rowOff>
    </xdr:from>
    <xdr:to>
      <xdr:col>4</xdr:col>
      <xdr:colOff>828675</xdr:colOff>
      <xdr:row>51</xdr:row>
      <xdr:rowOff>114300</xdr:rowOff>
    </xdr:to>
    <xdr:sp macro="" textlink="">
      <xdr:nvSpPr>
        <xdr:cNvPr id="5" name="CuadroTexto 4">
          <a:extLst>
            <a:ext uri="{FF2B5EF4-FFF2-40B4-BE49-F238E27FC236}">
              <a16:creationId xmlns:a16="http://schemas.microsoft.com/office/drawing/2014/main" id="{2BCC1060-DD62-4826-A7D2-7DD1841FB558}"/>
            </a:ext>
          </a:extLst>
        </xdr:cNvPr>
        <xdr:cNvSpPr txBox="1"/>
      </xdr:nvSpPr>
      <xdr:spPr>
        <a:xfrm>
          <a:off x="3015615" y="11439526"/>
          <a:ext cx="5295900" cy="1080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28575</xdr:colOff>
      <xdr:row>88</xdr:row>
      <xdr:rowOff>142875</xdr:rowOff>
    </xdr:from>
    <xdr:ext cx="1304925" cy="857250"/>
    <xdr:pic>
      <xdr:nvPicPr>
        <xdr:cNvPr id="6" name="image1.png">
          <a:extLst>
            <a:ext uri="{FF2B5EF4-FFF2-40B4-BE49-F238E27FC236}">
              <a16:creationId xmlns:a16="http://schemas.microsoft.com/office/drawing/2014/main" id="{13E687E0-0D26-4623-8B2B-322F75199997}"/>
            </a:ext>
          </a:extLst>
        </xdr:cNvPr>
        <xdr:cNvPicPr preferRelativeResize="0"/>
      </xdr:nvPicPr>
      <xdr:blipFill>
        <a:blip xmlns:r="http://schemas.openxmlformats.org/officeDocument/2006/relationships" r:embed="rId1" cstate="print"/>
        <a:stretch>
          <a:fillRect/>
        </a:stretch>
      </xdr:blipFill>
      <xdr:spPr>
        <a:xfrm>
          <a:off x="531495" y="22378035"/>
          <a:ext cx="1304925" cy="857250"/>
        </a:xfrm>
        <a:prstGeom prst="rect">
          <a:avLst/>
        </a:prstGeom>
        <a:noFill/>
      </xdr:spPr>
    </xdr:pic>
    <xdr:clientData fLocksWithSheet="0"/>
  </xdr:oneCellAnchor>
  <xdr:twoCellAnchor>
    <xdr:from>
      <xdr:col>2</xdr:col>
      <xdr:colOff>2009775</xdr:colOff>
      <xdr:row>88</xdr:row>
      <xdr:rowOff>9526</xdr:rowOff>
    </xdr:from>
    <xdr:to>
      <xdr:col>4</xdr:col>
      <xdr:colOff>828675</xdr:colOff>
      <xdr:row>93</xdr:row>
      <xdr:rowOff>114300</xdr:rowOff>
    </xdr:to>
    <xdr:sp macro="" textlink="">
      <xdr:nvSpPr>
        <xdr:cNvPr id="7" name="CuadroTexto 6">
          <a:extLst>
            <a:ext uri="{FF2B5EF4-FFF2-40B4-BE49-F238E27FC236}">
              <a16:creationId xmlns:a16="http://schemas.microsoft.com/office/drawing/2014/main" id="{B97FFA49-DE9E-4C3E-9E96-B54EFE5CEED1}"/>
            </a:ext>
          </a:extLst>
        </xdr:cNvPr>
        <xdr:cNvSpPr txBox="1"/>
      </xdr:nvSpPr>
      <xdr:spPr>
        <a:xfrm>
          <a:off x="3015615" y="22244686"/>
          <a:ext cx="5295900"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98.xml><?xml version="1.0" encoding="utf-8"?>
<xdr:wsDr xmlns:xdr="http://schemas.openxmlformats.org/drawingml/2006/spreadsheetDrawing" xmlns:a="http://schemas.openxmlformats.org/drawingml/2006/main">
  <xdr:oneCellAnchor>
    <xdr:from>
      <xdr:col>1</xdr:col>
      <xdr:colOff>95250</xdr:colOff>
      <xdr:row>0</xdr:row>
      <xdr:rowOff>66675</xdr:rowOff>
    </xdr:from>
    <xdr:ext cx="1304925" cy="857250"/>
    <xdr:pic>
      <xdr:nvPicPr>
        <xdr:cNvPr id="2" name="image1.png">
          <a:extLst>
            <a:ext uri="{FF2B5EF4-FFF2-40B4-BE49-F238E27FC236}">
              <a16:creationId xmlns:a16="http://schemas.microsoft.com/office/drawing/2014/main" id="{3C1E26F1-53E3-47DB-B1AB-6FEF59D11297}"/>
            </a:ext>
          </a:extLst>
        </xdr:cNvPr>
        <xdr:cNvPicPr preferRelativeResize="0"/>
      </xdr:nvPicPr>
      <xdr:blipFill>
        <a:blip xmlns:r="http://schemas.openxmlformats.org/officeDocument/2006/relationships" r:embed="rId1" cstate="print"/>
        <a:stretch>
          <a:fillRect/>
        </a:stretch>
      </xdr:blipFill>
      <xdr:spPr>
        <a:xfrm>
          <a:off x="581025" y="66675"/>
          <a:ext cx="1304925" cy="857250"/>
        </a:xfrm>
        <a:prstGeom prst="rect">
          <a:avLst/>
        </a:prstGeom>
        <a:noFill/>
      </xdr:spPr>
    </xdr:pic>
    <xdr:clientData fLocksWithSheet="0"/>
  </xdr:oneCellAnchor>
  <xdr:twoCellAnchor>
    <xdr:from>
      <xdr:col>2</xdr:col>
      <xdr:colOff>2009775</xdr:colOff>
      <xdr:row>0</xdr:row>
      <xdr:rowOff>123826</xdr:rowOff>
    </xdr:from>
    <xdr:to>
      <xdr:col>4</xdr:col>
      <xdr:colOff>828675</xdr:colOff>
      <xdr:row>6</xdr:row>
      <xdr:rowOff>38100</xdr:rowOff>
    </xdr:to>
    <xdr:sp macro="" textlink="">
      <xdr:nvSpPr>
        <xdr:cNvPr id="3" name="CuadroTexto 2">
          <a:extLst>
            <a:ext uri="{FF2B5EF4-FFF2-40B4-BE49-F238E27FC236}">
              <a16:creationId xmlns:a16="http://schemas.microsoft.com/office/drawing/2014/main" id="{5B3DBD02-F57D-40FC-B3D4-B68E645479D0}"/>
            </a:ext>
          </a:extLst>
        </xdr:cNvPr>
        <xdr:cNvSpPr txBox="1"/>
      </xdr:nvSpPr>
      <xdr:spPr>
        <a:xfrm>
          <a:off x="2981325" y="123826"/>
          <a:ext cx="4800600" cy="1076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44</xdr:row>
      <xdr:rowOff>66675</xdr:rowOff>
    </xdr:from>
    <xdr:ext cx="1304925" cy="857250"/>
    <xdr:pic>
      <xdr:nvPicPr>
        <xdr:cNvPr id="4" name="image1.png">
          <a:extLst>
            <a:ext uri="{FF2B5EF4-FFF2-40B4-BE49-F238E27FC236}">
              <a16:creationId xmlns:a16="http://schemas.microsoft.com/office/drawing/2014/main" id="{D9617F49-3A87-4B7D-985A-E82B8544206B}"/>
            </a:ext>
          </a:extLst>
        </xdr:cNvPr>
        <xdr:cNvPicPr preferRelativeResize="0"/>
      </xdr:nvPicPr>
      <xdr:blipFill>
        <a:blip xmlns:r="http://schemas.openxmlformats.org/officeDocument/2006/relationships" r:embed="rId1" cstate="print"/>
        <a:stretch>
          <a:fillRect/>
        </a:stretch>
      </xdr:blipFill>
      <xdr:spPr>
        <a:xfrm>
          <a:off x="581025" y="10544175"/>
          <a:ext cx="1304925" cy="857250"/>
        </a:xfrm>
        <a:prstGeom prst="rect">
          <a:avLst/>
        </a:prstGeom>
        <a:noFill/>
      </xdr:spPr>
    </xdr:pic>
    <xdr:clientData fLocksWithSheet="0"/>
  </xdr:oneCellAnchor>
  <xdr:twoCellAnchor>
    <xdr:from>
      <xdr:col>2</xdr:col>
      <xdr:colOff>2047875</xdr:colOff>
      <xdr:row>44</xdr:row>
      <xdr:rowOff>28576</xdr:rowOff>
    </xdr:from>
    <xdr:to>
      <xdr:col>4</xdr:col>
      <xdr:colOff>866775</xdr:colOff>
      <xdr:row>49</xdr:row>
      <xdr:rowOff>19050</xdr:rowOff>
    </xdr:to>
    <xdr:sp macro="" textlink="">
      <xdr:nvSpPr>
        <xdr:cNvPr id="5" name="CuadroTexto 4">
          <a:extLst>
            <a:ext uri="{FF2B5EF4-FFF2-40B4-BE49-F238E27FC236}">
              <a16:creationId xmlns:a16="http://schemas.microsoft.com/office/drawing/2014/main" id="{20CBFA25-B955-4572-85BC-9621EA0A77C0}"/>
            </a:ext>
          </a:extLst>
        </xdr:cNvPr>
        <xdr:cNvSpPr txBox="1"/>
      </xdr:nvSpPr>
      <xdr:spPr>
        <a:xfrm>
          <a:off x="3019425" y="10506076"/>
          <a:ext cx="4800600" cy="942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89</xdr:row>
      <xdr:rowOff>66675</xdr:rowOff>
    </xdr:from>
    <xdr:ext cx="1304925" cy="828675"/>
    <xdr:pic>
      <xdr:nvPicPr>
        <xdr:cNvPr id="6" name="image1.png">
          <a:extLst>
            <a:ext uri="{FF2B5EF4-FFF2-40B4-BE49-F238E27FC236}">
              <a16:creationId xmlns:a16="http://schemas.microsoft.com/office/drawing/2014/main" id="{363C5E77-B5D8-46A5-8614-47DC6CCFD5A8}"/>
            </a:ext>
          </a:extLst>
        </xdr:cNvPr>
        <xdr:cNvPicPr preferRelativeResize="0"/>
      </xdr:nvPicPr>
      <xdr:blipFill>
        <a:blip xmlns:r="http://schemas.openxmlformats.org/officeDocument/2006/relationships" r:embed="rId1" cstate="print"/>
        <a:stretch>
          <a:fillRect/>
        </a:stretch>
      </xdr:blipFill>
      <xdr:spPr>
        <a:xfrm>
          <a:off x="581025" y="21012150"/>
          <a:ext cx="1304925" cy="828675"/>
        </a:xfrm>
        <a:prstGeom prst="rect">
          <a:avLst/>
        </a:prstGeom>
        <a:noFill/>
      </xdr:spPr>
    </xdr:pic>
    <xdr:clientData fLocksWithSheet="0"/>
  </xdr:oneCellAnchor>
  <xdr:twoCellAnchor>
    <xdr:from>
      <xdr:col>2</xdr:col>
      <xdr:colOff>2009775</xdr:colOff>
      <xdr:row>89</xdr:row>
      <xdr:rowOff>57151</xdr:rowOff>
    </xdr:from>
    <xdr:to>
      <xdr:col>4</xdr:col>
      <xdr:colOff>828675</xdr:colOff>
      <xdr:row>94</xdr:row>
      <xdr:rowOff>38100</xdr:rowOff>
    </xdr:to>
    <xdr:sp macro="" textlink="">
      <xdr:nvSpPr>
        <xdr:cNvPr id="7" name="CuadroTexto 6">
          <a:extLst>
            <a:ext uri="{FF2B5EF4-FFF2-40B4-BE49-F238E27FC236}">
              <a16:creationId xmlns:a16="http://schemas.microsoft.com/office/drawing/2014/main" id="{F3052577-F912-4CFC-90B2-B48803D7084A}"/>
            </a:ext>
          </a:extLst>
        </xdr:cNvPr>
        <xdr:cNvSpPr txBox="1"/>
      </xdr:nvSpPr>
      <xdr:spPr>
        <a:xfrm>
          <a:off x="2981325" y="21002626"/>
          <a:ext cx="4800600" cy="933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130</xdr:row>
      <xdr:rowOff>66675</xdr:rowOff>
    </xdr:from>
    <xdr:ext cx="1304925" cy="857250"/>
    <xdr:pic>
      <xdr:nvPicPr>
        <xdr:cNvPr id="8" name="image1.png">
          <a:extLst>
            <a:ext uri="{FF2B5EF4-FFF2-40B4-BE49-F238E27FC236}">
              <a16:creationId xmlns:a16="http://schemas.microsoft.com/office/drawing/2014/main" id="{02F1F697-B189-46DA-B441-318DFE152D57}"/>
            </a:ext>
          </a:extLst>
        </xdr:cNvPr>
        <xdr:cNvPicPr preferRelativeResize="0"/>
      </xdr:nvPicPr>
      <xdr:blipFill>
        <a:blip xmlns:r="http://schemas.openxmlformats.org/officeDocument/2006/relationships" r:embed="rId1" cstate="print"/>
        <a:stretch>
          <a:fillRect/>
        </a:stretch>
      </xdr:blipFill>
      <xdr:spPr>
        <a:xfrm>
          <a:off x="581025" y="31699200"/>
          <a:ext cx="1304925" cy="857250"/>
        </a:xfrm>
        <a:prstGeom prst="rect">
          <a:avLst/>
        </a:prstGeom>
        <a:noFill/>
      </xdr:spPr>
    </xdr:pic>
    <xdr:clientData fLocksWithSheet="0"/>
  </xdr:oneCellAnchor>
  <xdr:twoCellAnchor>
    <xdr:from>
      <xdr:col>2</xdr:col>
      <xdr:colOff>2105025</xdr:colOff>
      <xdr:row>130</xdr:row>
      <xdr:rowOff>9526</xdr:rowOff>
    </xdr:from>
    <xdr:to>
      <xdr:col>4</xdr:col>
      <xdr:colOff>828675</xdr:colOff>
      <xdr:row>134</xdr:row>
      <xdr:rowOff>28576</xdr:rowOff>
    </xdr:to>
    <xdr:sp macro="" textlink="">
      <xdr:nvSpPr>
        <xdr:cNvPr id="9" name="CuadroTexto 8">
          <a:extLst>
            <a:ext uri="{FF2B5EF4-FFF2-40B4-BE49-F238E27FC236}">
              <a16:creationId xmlns:a16="http://schemas.microsoft.com/office/drawing/2014/main" id="{7CA2AB37-BF29-4665-8196-959FB9F4795C}"/>
            </a:ext>
          </a:extLst>
        </xdr:cNvPr>
        <xdr:cNvSpPr txBox="1"/>
      </xdr:nvSpPr>
      <xdr:spPr>
        <a:xfrm>
          <a:off x="3076575" y="31642051"/>
          <a:ext cx="470535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172</xdr:row>
      <xdr:rowOff>66675</xdr:rowOff>
    </xdr:from>
    <xdr:ext cx="1304925" cy="857250"/>
    <xdr:pic>
      <xdr:nvPicPr>
        <xdr:cNvPr id="10" name="image1.png">
          <a:extLst>
            <a:ext uri="{FF2B5EF4-FFF2-40B4-BE49-F238E27FC236}">
              <a16:creationId xmlns:a16="http://schemas.microsoft.com/office/drawing/2014/main" id="{2545A81F-727E-41DA-A028-3EFE70C4BFD6}"/>
            </a:ext>
          </a:extLst>
        </xdr:cNvPr>
        <xdr:cNvPicPr preferRelativeResize="0"/>
      </xdr:nvPicPr>
      <xdr:blipFill>
        <a:blip xmlns:r="http://schemas.openxmlformats.org/officeDocument/2006/relationships" r:embed="rId1" cstate="print"/>
        <a:stretch>
          <a:fillRect/>
        </a:stretch>
      </xdr:blipFill>
      <xdr:spPr>
        <a:xfrm>
          <a:off x="581025" y="42214800"/>
          <a:ext cx="1304925" cy="857250"/>
        </a:xfrm>
        <a:prstGeom prst="rect">
          <a:avLst/>
        </a:prstGeom>
        <a:noFill/>
      </xdr:spPr>
    </xdr:pic>
    <xdr:clientData fLocksWithSheet="0"/>
  </xdr:oneCellAnchor>
  <xdr:twoCellAnchor>
    <xdr:from>
      <xdr:col>2</xdr:col>
      <xdr:colOff>2209799</xdr:colOff>
      <xdr:row>173</xdr:row>
      <xdr:rowOff>9526</xdr:rowOff>
    </xdr:from>
    <xdr:to>
      <xdr:col>4</xdr:col>
      <xdr:colOff>828674</xdr:colOff>
      <xdr:row>177</xdr:row>
      <xdr:rowOff>57150</xdr:rowOff>
    </xdr:to>
    <xdr:sp macro="" textlink="">
      <xdr:nvSpPr>
        <xdr:cNvPr id="11" name="CuadroTexto 10">
          <a:extLst>
            <a:ext uri="{FF2B5EF4-FFF2-40B4-BE49-F238E27FC236}">
              <a16:creationId xmlns:a16="http://schemas.microsoft.com/office/drawing/2014/main" id="{F83ED77F-BC95-47A1-8854-48508154CA95}"/>
            </a:ext>
          </a:extLst>
        </xdr:cNvPr>
        <xdr:cNvSpPr txBox="1"/>
      </xdr:nvSpPr>
      <xdr:spPr>
        <a:xfrm>
          <a:off x="3181349" y="42348151"/>
          <a:ext cx="4600575" cy="809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215</xdr:row>
      <xdr:rowOff>66675</xdr:rowOff>
    </xdr:from>
    <xdr:ext cx="1304925" cy="857250"/>
    <xdr:pic>
      <xdr:nvPicPr>
        <xdr:cNvPr id="12" name="image1.png">
          <a:extLst>
            <a:ext uri="{FF2B5EF4-FFF2-40B4-BE49-F238E27FC236}">
              <a16:creationId xmlns:a16="http://schemas.microsoft.com/office/drawing/2014/main" id="{2985C53E-A218-4EAE-A1ED-127B38C2F4A6}"/>
            </a:ext>
          </a:extLst>
        </xdr:cNvPr>
        <xdr:cNvPicPr preferRelativeResize="0"/>
      </xdr:nvPicPr>
      <xdr:blipFill>
        <a:blip xmlns:r="http://schemas.openxmlformats.org/officeDocument/2006/relationships" r:embed="rId1" cstate="print"/>
        <a:stretch>
          <a:fillRect/>
        </a:stretch>
      </xdr:blipFill>
      <xdr:spPr>
        <a:xfrm>
          <a:off x="581025" y="52663725"/>
          <a:ext cx="1304925" cy="857250"/>
        </a:xfrm>
        <a:prstGeom prst="rect">
          <a:avLst/>
        </a:prstGeom>
        <a:noFill/>
      </xdr:spPr>
    </xdr:pic>
    <xdr:clientData fLocksWithSheet="0"/>
  </xdr:oneCellAnchor>
  <xdr:twoCellAnchor>
    <xdr:from>
      <xdr:col>2</xdr:col>
      <xdr:colOff>2009775</xdr:colOff>
      <xdr:row>216</xdr:row>
      <xdr:rowOff>9526</xdr:rowOff>
    </xdr:from>
    <xdr:to>
      <xdr:col>4</xdr:col>
      <xdr:colOff>828675</xdr:colOff>
      <xdr:row>221</xdr:row>
      <xdr:rowOff>114300</xdr:rowOff>
    </xdr:to>
    <xdr:sp macro="" textlink="">
      <xdr:nvSpPr>
        <xdr:cNvPr id="13" name="CuadroTexto 12">
          <a:extLst>
            <a:ext uri="{FF2B5EF4-FFF2-40B4-BE49-F238E27FC236}">
              <a16:creationId xmlns:a16="http://schemas.microsoft.com/office/drawing/2014/main" id="{E78135DB-2734-40E1-ADB0-EF206355B900}"/>
            </a:ext>
          </a:extLst>
        </xdr:cNvPr>
        <xdr:cNvSpPr txBox="1"/>
      </xdr:nvSpPr>
      <xdr:spPr>
        <a:xfrm>
          <a:off x="2981325" y="52797076"/>
          <a:ext cx="4800600" cy="1076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95250</xdr:colOff>
      <xdr:row>256</xdr:row>
      <xdr:rowOff>66675</xdr:rowOff>
    </xdr:from>
    <xdr:ext cx="1304925" cy="857250"/>
    <xdr:pic>
      <xdr:nvPicPr>
        <xdr:cNvPr id="14" name="image1.png">
          <a:extLst>
            <a:ext uri="{FF2B5EF4-FFF2-40B4-BE49-F238E27FC236}">
              <a16:creationId xmlns:a16="http://schemas.microsoft.com/office/drawing/2014/main" id="{D1CD2A59-D3E5-4837-90C8-DAB09FEA3994}"/>
            </a:ext>
          </a:extLst>
        </xdr:cNvPr>
        <xdr:cNvPicPr preferRelativeResize="0"/>
      </xdr:nvPicPr>
      <xdr:blipFill>
        <a:blip xmlns:r="http://schemas.openxmlformats.org/officeDocument/2006/relationships" r:embed="rId1" cstate="print"/>
        <a:stretch>
          <a:fillRect/>
        </a:stretch>
      </xdr:blipFill>
      <xdr:spPr>
        <a:xfrm>
          <a:off x="581025" y="63293625"/>
          <a:ext cx="1304925" cy="857250"/>
        </a:xfrm>
        <a:prstGeom prst="rect">
          <a:avLst/>
        </a:prstGeom>
        <a:noFill/>
      </xdr:spPr>
    </xdr:pic>
    <xdr:clientData fLocksWithSheet="0"/>
  </xdr:oneCellAnchor>
  <xdr:twoCellAnchor>
    <xdr:from>
      <xdr:col>2</xdr:col>
      <xdr:colOff>2009775</xdr:colOff>
      <xdr:row>258</xdr:row>
      <xdr:rowOff>9526</xdr:rowOff>
    </xdr:from>
    <xdr:to>
      <xdr:col>4</xdr:col>
      <xdr:colOff>828675</xdr:colOff>
      <xdr:row>263</xdr:row>
      <xdr:rowOff>114300</xdr:rowOff>
    </xdr:to>
    <xdr:sp macro="" textlink="">
      <xdr:nvSpPr>
        <xdr:cNvPr id="15" name="CuadroTexto 14">
          <a:extLst>
            <a:ext uri="{FF2B5EF4-FFF2-40B4-BE49-F238E27FC236}">
              <a16:creationId xmlns:a16="http://schemas.microsoft.com/office/drawing/2014/main" id="{B53E40AC-A518-47AA-A40D-A543EEFDCD1E}"/>
            </a:ext>
          </a:extLst>
        </xdr:cNvPr>
        <xdr:cNvSpPr txBox="1"/>
      </xdr:nvSpPr>
      <xdr:spPr>
        <a:xfrm>
          <a:off x="2981325" y="63617476"/>
          <a:ext cx="4800600" cy="1095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0</xdr:col>
      <xdr:colOff>331470</xdr:colOff>
      <xdr:row>299</xdr:row>
      <xdr:rowOff>81915</xdr:rowOff>
    </xdr:from>
    <xdr:ext cx="1304925" cy="857250"/>
    <xdr:pic>
      <xdr:nvPicPr>
        <xdr:cNvPr id="16" name="image1.png">
          <a:extLst>
            <a:ext uri="{FF2B5EF4-FFF2-40B4-BE49-F238E27FC236}">
              <a16:creationId xmlns:a16="http://schemas.microsoft.com/office/drawing/2014/main" id="{670584E8-3FC7-460E-9690-F67EE8696B48}"/>
            </a:ext>
          </a:extLst>
        </xdr:cNvPr>
        <xdr:cNvPicPr preferRelativeResize="0"/>
      </xdr:nvPicPr>
      <xdr:blipFill>
        <a:blip xmlns:r="http://schemas.openxmlformats.org/officeDocument/2006/relationships" r:embed="rId1" cstate="print"/>
        <a:stretch>
          <a:fillRect/>
        </a:stretch>
      </xdr:blipFill>
      <xdr:spPr>
        <a:xfrm>
          <a:off x="331470" y="70063995"/>
          <a:ext cx="1304925" cy="857250"/>
        </a:xfrm>
        <a:prstGeom prst="rect">
          <a:avLst/>
        </a:prstGeom>
        <a:noFill/>
      </xdr:spPr>
    </xdr:pic>
    <xdr:clientData fLocksWithSheet="0"/>
  </xdr:oneCellAnchor>
  <xdr:twoCellAnchor>
    <xdr:from>
      <xdr:col>2</xdr:col>
      <xdr:colOff>2009775</xdr:colOff>
      <xdr:row>299</xdr:row>
      <xdr:rowOff>9526</xdr:rowOff>
    </xdr:from>
    <xdr:to>
      <xdr:col>4</xdr:col>
      <xdr:colOff>828675</xdr:colOff>
      <xdr:row>304</xdr:row>
      <xdr:rowOff>114300</xdr:rowOff>
    </xdr:to>
    <xdr:sp macro="" textlink="">
      <xdr:nvSpPr>
        <xdr:cNvPr id="17" name="CuadroTexto 16">
          <a:extLst>
            <a:ext uri="{FF2B5EF4-FFF2-40B4-BE49-F238E27FC236}">
              <a16:creationId xmlns:a16="http://schemas.microsoft.com/office/drawing/2014/main" id="{C56E6F11-5FA2-4281-8BB5-23C912318415}"/>
            </a:ext>
          </a:extLst>
        </xdr:cNvPr>
        <xdr:cNvSpPr txBox="1"/>
      </xdr:nvSpPr>
      <xdr:spPr>
        <a:xfrm>
          <a:off x="2981325" y="73799701"/>
          <a:ext cx="4800600" cy="1114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oneCellAnchor>
    <xdr:from>
      <xdr:col>1</xdr:col>
      <xdr:colOff>28575</xdr:colOff>
      <xdr:row>342</xdr:row>
      <xdr:rowOff>142875</xdr:rowOff>
    </xdr:from>
    <xdr:ext cx="1304925" cy="857250"/>
    <xdr:pic>
      <xdr:nvPicPr>
        <xdr:cNvPr id="18" name="image1.png">
          <a:extLst>
            <a:ext uri="{FF2B5EF4-FFF2-40B4-BE49-F238E27FC236}">
              <a16:creationId xmlns:a16="http://schemas.microsoft.com/office/drawing/2014/main" id="{CED2AC05-230D-4479-B8AA-8550769FA513}"/>
            </a:ext>
          </a:extLst>
        </xdr:cNvPr>
        <xdr:cNvPicPr preferRelativeResize="0"/>
      </xdr:nvPicPr>
      <xdr:blipFill>
        <a:blip xmlns:r="http://schemas.openxmlformats.org/officeDocument/2006/relationships" r:embed="rId1" cstate="print"/>
        <a:stretch>
          <a:fillRect/>
        </a:stretch>
      </xdr:blipFill>
      <xdr:spPr>
        <a:xfrm>
          <a:off x="514350" y="84582000"/>
          <a:ext cx="1304925" cy="857250"/>
        </a:xfrm>
        <a:prstGeom prst="rect">
          <a:avLst/>
        </a:prstGeom>
        <a:noFill/>
      </xdr:spPr>
    </xdr:pic>
    <xdr:clientData fLocksWithSheet="0"/>
  </xdr:oneCellAnchor>
  <xdr:twoCellAnchor>
    <xdr:from>
      <xdr:col>2</xdr:col>
      <xdr:colOff>2009775</xdr:colOff>
      <xdr:row>342</xdr:row>
      <xdr:rowOff>9526</xdr:rowOff>
    </xdr:from>
    <xdr:to>
      <xdr:col>4</xdr:col>
      <xdr:colOff>828675</xdr:colOff>
      <xdr:row>347</xdr:row>
      <xdr:rowOff>114300</xdr:rowOff>
    </xdr:to>
    <xdr:sp macro="" textlink="">
      <xdr:nvSpPr>
        <xdr:cNvPr id="19" name="CuadroTexto 18">
          <a:extLst>
            <a:ext uri="{FF2B5EF4-FFF2-40B4-BE49-F238E27FC236}">
              <a16:creationId xmlns:a16="http://schemas.microsoft.com/office/drawing/2014/main" id="{EF34B05B-89EB-45EA-B10D-3D129B9D3E8D}"/>
            </a:ext>
          </a:extLst>
        </xdr:cNvPr>
        <xdr:cNvSpPr txBox="1"/>
      </xdr:nvSpPr>
      <xdr:spPr>
        <a:xfrm>
          <a:off x="2981325" y="84448651"/>
          <a:ext cx="4800600" cy="1133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s-MX" sz="1200" b="1" i="1" baseline="0">
              <a:solidFill>
                <a:schemeClr val="accent1">
                  <a:lumMod val="75000"/>
                </a:schemeClr>
              </a:solidFill>
              <a:effectLst/>
              <a:latin typeface="+mn-lt"/>
              <a:ea typeface="+mn-ea"/>
              <a:cs typeface="+mn-cs"/>
            </a:rPr>
            <a:t>NUCLEO DE INGENIERIA APLICADA</a:t>
          </a:r>
          <a:endParaRPr lang="es-MX" sz="1200" b="1">
            <a:solidFill>
              <a:schemeClr val="accent1">
                <a:lumMod val="75000"/>
              </a:schemeClr>
            </a:solidFill>
            <a:effectLst/>
          </a:endParaRPr>
        </a:p>
        <a:p>
          <a:pPr algn="ctr" rtl="0"/>
          <a:r>
            <a:rPr lang="es-MX" sz="1200" b="1" i="0" baseline="0">
              <a:solidFill>
                <a:srgbClr val="00B0F0"/>
              </a:solidFill>
              <a:effectLst/>
              <a:latin typeface="+mn-lt"/>
              <a:ea typeface="+mn-ea"/>
              <a:cs typeface="+mn-cs"/>
            </a:rPr>
            <a:t>INSTALACIÓN, MANTENIMIENTO ELÉCTRICO,  ASESORIA ACERCA DE PROYECTOS HIDRAHULICOS, AFOROS, EQUIPAMIENTOS, REHABILITACION, POZOS PROFUNDOS</a:t>
          </a:r>
          <a:endParaRPr lang="es-MX" sz="1200">
            <a:solidFill>
              <a:srgbClr val="00B0F0"/>
            </a:solidFill>
            <a:effectLst/>
          </a:endParaRPr>
        </a:p>
        <a:p>
          <a:endParaRPr lang="es-MX" sz="1100" kern="1200"/>
        </a:p>
      </xdr:txBody>
    </xdr:sp>
    <xdr:clientData/>
  </xdr:twoCellAnchor>
</xdr:wsDr>
</file>

<file path=xl/drawings/drawing19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5F4E799C-D942-4F4F-B2A9-C0B98623456E}"/>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5A31BD9E-F404-406C-8B56-27690347FC9D}"/>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7947977-0214-45B1-A57B-6E6A58C9403F}"/>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AE0EBCE3-A4B1-4F89-B447-BC942F8BD057}"/>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1.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46849898-E3B0-416D-9CA0-CEF7FB514AF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99FADEB3-6F6F-4792-98F0-3ECD4EF55F13}"/>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DE4183F-3D05-4446-AD5B-6E605D52284C}"/>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97C8116A-104C-4A0C-B1B0-5E66A72E84F3}"/>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A05FB7A5-97D2-40BF-B1C6-CC3C4A8B7D1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805FD64E-C155-45CE-B73E-CE7BBB56D8BF}"/>
            </a:ext>
          </a:extLst>
        </xdr:cNvPr>
        <xdr:cNvSpPr txBox="1">
          <a:spLocks noChangeArrowheads="1"/>
        </xdr:cNvSpPr>
      </xdr:nvSpPr>
      <xdr:spPr bwMode="auto">
        <a:xfrm>
          <a:off x="3668616" y="513522"/>
          <a:ext cx="407827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4.xml><?xml version="1.0" encoding="utf-8"?>
<xdr:wsDr xmlns:xdr="http://schemas.openxmlformats.org/drawingml/2006/spreadsheetDrawing" xmlns:a="http://schemas.openxmlformats.org/drawingml/2006/main">
  <xdr:oneCellAnchor>
    <xdr:from>
      <xdr:col>0</xdr:col>
      <xdr:colOff>228600</xdr:colOff>
      <xdr:row>0</xdr:row>
      <xdr:rowOff>104775</xdr:rowOff>
    </xdr:from>
    <xdr:ext cx="1638300" cy="1000125"/>
    <xdr:pic>
      <xdr:nvPicPr>
        <xdr:cNvPr id="2" name="image1.png">
          <a:extLst>
            <a:ext uri="{FF2B5EF4-FFF2-40B4-BE49-F238E27FC236}">
              <a16:creationId xmlns:a16="http://schemas.microsoft.com/office/drawing/2014/main" id="{6F7334DE-9433-4BEA-9545-22CB2CBE802F}"/>
            </a:ext>
          </a:extLst>
        </xdr:cNvPr>
        <xdr:cNvPicPr preferRelativeResize="0"/>
      </xdr:nvPicPr>
      <xdr:blipFill>
        <a:blip xmlns:r="http://schemas.openxmlformats.org/officeDocument/2006/relationships" r:embed="rId1" cstate="print"/>
        <a:stretch>
          <a:fillRect/>
        </a:stretch>
      </xdr:blipFill>
      <xdr:spPr>
        <a:xfrm>
          <a:off x="228600" y="104775"/>
          <a:ext cx="1638300" cy="1000125"/>
        </a:xfrm>
        <a:prstGeom prst="rect">
          <a:avLst/>
        </a:prstGeom>
        <a:noFill/>
      </xdr:spPr>
    </xdr:pic>
    <xdr:clientData fLocksWithSheet="0"/>
  </xdr:oneCellAnchor>
  <xdr:twoCellAnchor>
    <xdr:from>
      <xdr:col>1</xdr:col>
      <xdr:colOff>2771776</xdr:colOff>
      <xdr:row>0</xdr:row>
      <xdr:rowOff>76200</xdr:rowOff>
    </xdr:from>
    <xdr:to>
      <xdr:col>3</xdr:col>
      <xdr:colOff>447675</xdr:colOff>
      <xdr:row>3</xdr:row>
      <xdr:rowOff>0</xdr:rowOff>
    </xdr:to>
    <xdr:sp macro="" textlink="">
      <xdr:nvSpPr>
        <xdr:cNvPr id="3" name="Text Box 2">
          <a:extLst>
            <a:ext uri="{FF2B5EF4-FFF2-40B4-BE49-F238E27FC236}">
              <a16:creationId xmlns:a16="http://schemas.microsoft.com/office/drawing/2014/main" id="{FE35C7E1-0558-44D7-90B3-0B04612B58DA}"/>
            </a:ext>
          </a:extLst>
        </xdr:cNvPr>
        <xdr:cNvSpPr txBox="1">
          <a:spLocks noChangeArrowheads="1"/>
        </xdr:cNvSpPr>
      </xdr:nvSpPr>
      <xdr:spPr bwMode="auto">
        <a:xfrm>
          <a:off x="3213736" y="76200"/>
          <a:ext cx="3162299"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4057292C-B529-4604-84C5-92145C1581C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4" name="Text Box 2">
          <a:extLst>
            <a:ext uri="{FF2B5EF4-FFF2-40B4-BE49-F238E27FC236}">
              <a16:creationId xmlns:a16="http://schemas.microsoft.com/office/drawing/2014/main" id="{0911873D-8FFB-4569-8AE7-F3C2FA8AF542}"/>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6.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23FF1DC2-02D5-407A-A1A5-1975234BFAE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4351020</xdr:colOff>
      <xdr:row>0</xdr:row>
      <xdr:rowOff>426720</xdr:rowOff>
    </xdr:from>
    <xdr:to>
      <xdr:col>2</xdr:col>
      <xdr:colOff>571500</xdr:colOff>
      <xdr:row>4</xdr:row>
      <xdr:rowOff>137160</xdr:rowOff>
    </xdr:to>
    <xdr:sp macro="" textlink="">
      <xdr:nvSpPr>
        <xdr:cNvPr id="4" name="Text Box 2">
          <a:extLst>
            <a:ext uri="{FF2B5EF4-FFF2-40B4-BE49-F238E27FC236}">
              <a16:creationId xmlns:a16="http://schemas.microsoft.com/office/drawing/2014/main" id="{FD62CF7D-03C4-482B-8105-551C8CB28634}"/>
            </a:ext>
          </a:extLst>
        </xdr:cNvPr>
        <xdr:cNvSpPr txBox="1">
          <a:spLocks noChangeArrowheads="1"/>
        </xdr:cNvSpPr>
      </xdr:nvSpPr>
      <xdr:spPr bwMode="auto">
        <a:xfrm>
          <a:off x="4762500" y="426720"/>
          <a:ext cx="370332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304E631-A869-4E82-A9FE-F5C59D771734}"/>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3672840</xdr:colOff>
      <xdr:row>0</xdr:row>
      <xdr:rowOff>381000</xdr:rowOff>
    </xdr:from>
    <xdr:to>
      <xdr:col>3</xdr:col>
      <xdr:colOff>194310</xdr:colOff>
      <xdr:row>4</xdr:row>
      <xdr:rowOff>146685</xdr:rowOff>
    </xdr:to>
    <xdr:sp macro="" textlink="">
      <xdr:nvSpPr>
        <xdr:cNvPr id="3" name="Text Box 2">
          <a:extLst>
            <a:ext uri="{FF2B5EF4-FFF2-40B4-BE49-F238E27FC236}">
              <a16:creationId xmlns:a16="http://schemas.microsoft.com/office/drawing/2014/main" id="{F5785FD5-B09F-42C8-9D9E-D482C03C86EF}"/>
            </a:ext>
          </a:extLst>
        </xdr:cNvPr>
        <xdr:cNvSpPr txBox="1">
          <a:spLocks noChangeArrowheads="1"/>
        </xdr:cNvSpPr>
      </xdr:nvSpPr>
      <xdr:spPr bwMode="auto">
        <a:xfrm>
          <a:off x="4046220" y="381000"/>
          <a:ext cx="3524250"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8.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0B13EB6-E1DB-4C91-A2A6-0ED6A42F33C5}"/>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D0344138-F1FA-4882-BB59-259621D47224}"/>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09.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F29187AE-F5D3-4FB7-8923-345F1B21DE14}"/>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13D4115F-C614-44C0-B348-BE6D693A98F8}"/>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0.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DEDF5AC4-1898-4C8C-B8D8-1F2531D4115B}"/>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4351020</xdr:colOff>
      <xdr:row>0</xdr:row>
      <xdr:rowOff>426720</xdr:rowOff>
    </xdr:from>
    <xdr:to>
      <xdr:col>2</xdr:col>
      <xdr:colOff>571500</xdr:colOff>
      <xdr:row>4</xdr:row>
      <xdr:rowOff>137160</xdr:rowOff>
    </xdr:to>
    <xdr:sp macro="" textlink="">
      <xdr:nvSpPr>
        <xdr:cNvPr id="3" name="Text Box 2">
          <a:extLst>
            <a:ext uri="{FF2B5EF4-FFF2-40B4-BE49-F238E27FC236}">
              <a16:creationId xmlns:a16="http://schemas.microsoft.com/office/drawing/2014/main" id="{73D21AE1-1F63-41B1-9672-84C2C1E2698C}"/>
            </a:ext>
          </a:extLst>
        </xdr:cNvPr>
        <xdr:cNvSpPr txBox="1">
          <a:spLocks noChangeArrowheads="1"/>
        </xdr:cNvSpPr>
      </xdr:nvSpPr>
      <xdr:spPr bwMode="auto">
        <a:xfrm>
          <a:off x="4762500" y="426720"/>
          <a:ext cx="370332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C3C2954-8F16-41CD-A547-415C2A818F7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016E348B-2913-4A65-88C5-FA9114609CFE}"/>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8D33481D-D1F4-4140-B21A-DA628A089D25}"/>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1898F9F0-23E7-46C4-910F-0247ED74D7E0}"/>
            </a:ext>
          </a:extLst>
        </xdr:cNvPr>
        <xdr:cNvSpPr txBox="1">
          <a:spLocks noChangeArrowheads="1"/>
        </xdr:cNvSpPr>
      </xdr:nvSpPr>
      <xdr:spPr bwMode="auto">
        <a:xfrm>
          <a:off x="3335655" y="457200"/>
          <a:ext cx="28022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3.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E08ACE5C-FAB5-4630-A488-CFDEA0F5AFD8}"/>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99F73589-8DAA-4346-B122-13E382141C45}"/>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D4544DF-6E35-48B0-9499-3EDC324D57EE}"/>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AA15DEC3-875F-4A0E-9945-771E26DF473C}"/>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5.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8B5D5A29-80EC-424A-8D02-5DD9181AEC0F}"/>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E7268F30-6412-4224-AFD3-1320C0FE1518}"/>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6.xml><?xml version="1.0" encoding="utf-8"?>
<xdr:wsDr xmlns:xdr="http://schemas.openxmlformats.org/drawingml/2006/spreadsheetDrawing" xmlns:a="http://schemas.openxmlformats.org/drawingml/2006/main">
  <xdr:oneCellAnchor>
    <xdr:from>
      <xdr:col>0</xdr:col>
      <xdr:colOff>209550</xdr:colOff>
      <xdr:row>0</xdr:row>
      <xdr:rowOff>0</xdr:rowOff>
    </xdr:from>
    <xdr:ext cx="2400300" cy="1638300"/>
    <xdr:pic>
      <xdr:nvPicPr>
        <xdr:cNvPr id="2" name="image1.png">
          <a:extLst>
            <a:ext uri="{FF2B5EF4-FFF2-40B4-BE49-F238E27FC236}">
              <a16:creationId xmlns:a16="http://schemas.microsoft.com/office/drawing/2014/main" id="{311FCAB5-E45F-4750-A82B-6B878DF0BA90}"/>
            </a:ext>
          </a:extLst>
        </xdr:cNvPr>
        <xdr:cNvPicPr preferRelativeResize="0"/>
      </xdr:nvPicPr>
      <xdr:blipFill>
        <a:blip xmlns:r="http://schemas.openxmlformats.org/officeDocument/2006/relationships" r:embed="rId1" cstate="print"/>
        <a:stretch>
          <a:fillRect/>
        </a:stretch>
      </xdr:blipFill>
      <xdr:spPr>
        <a:xfrm>
          <a:off x="209550" y="0"/>
          <a:ext cx="2400300" cy="1638300"/>
        </a:xfrm>
        <a:prstGeom prst="rect">
          <a:avLst/>
        </a:prstGeom>
        <a:noFill/>
      </xdr:spPr>
    </xdr:pic>
    <xdr:clientData fLocksWithSheet="0"/>
  </xdr:oneCellAnchor>
  <xdr:twoCellAnchor>
    <xdr:from>
      <xdr:col>1</xdr:col>
      <xdr:colOff>3257136</xdr:colOff>
      <xdr:row>0</xdr:row>
      <xdr:rowOff>513522</xdr:rowOff>
    </xdr:from>
    <xdr:to>
      <xdr:col>2</xdr:col>
      <xdr:colOff>157370</xdr:colOff>
      <xdr:row>4</xdr:row>
      <xdr:rowOff>107674</xdr:rowOff>
    </xdr:to>
    <xdr:sp macro="" textlink="">
      <xdr:nvSpPr>
        <xdr:cNvPr id="3" name="Text Box 2">
          <a:extLst>
            <a:ext uri="{FF2B5EF4-FFF2-40B4-BE49-F238E27FC236}">
              <a16:creationId xmlns:a16="http://schemas.microsoft.com/office/drawing/2014/main" id="{28ABB74D-083F-4EBD-8FD2-95C371C7D6E3}"/>
            </a:ext>
          </a:extLst>
        </xdr:cNvPr>
        <xdr:cNvSpPr txBox="1">
          <a:spLocks noChangeArrowheads="1"/>
        </xdr:cNvSpPr>
      </xdr:nvSpPr>
      <xdr:spPr bwMode="auto">
        <a:xfrm>
          <a:off x="3630516" y="513522"/>
          <a:ext cx="3369614" cy="106481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7.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F31F251D-78D5-4720-A768-8736C399776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A506BDE3-AEC2-4BD7-96BD-C7E1BD2D014D}"/>
            </a:ext>
          </a:extLst>
        </xdr:cNvPr>
        <xdr:cNvSpPr txBox="1">
          <a:spLocks noChangeArrowheads="1"/>
        </xdr:cNvSpPr>
      </xdr:nvSpPr>
      <xdr:spPr bwMode="auto">
        <a:xfrm>
          <a:off x="3335655" y="457200"/>
          <a:ext cx="35947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52E4BAF7-9939-422E-AD15-3D80BDED3B51}"/>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329E80C8-8C01-4745-9320-469E583E61AB}"/>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1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EB2AF9F-64D1-4177-8D28-9D8EB2AAC2D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ECEBFC94-7BC5-4E53-9C08-02FE72A0A63A}"/>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3BAB6D0-E300-4540-A1F9-F7B8094EFD6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3264834</xdr:colOff>
      <xdr:row>0</xdr:row>
      <xdr:rowOff>528918</xdr:rowOff>
    </xdr:from>
    <xdr:to>
      <xdr:col>3</xdr:col>
      <xdr:colOff>363072</xdr:colOff>
      <xdr:row>6</xdr:row>
      <xdr:rowOff>48185</xdr:rowOff>
    </xdr:to>
    <xdr:sp macro="" textlink="">
      <xdr:nvSpPr>
        <xdr:cNvPr id="3" name="Text Box 2">
          <a:extLst>
            <a:ext uri="{FF2B5EF4-FFF2-40B4-BE49-F238E27FC236}">
              <a16:creationId xmlns:a16="http://schemas.microsoft.com/office/drawing/2014/main" id="{36AF4DD6-BE26-49E1-9707-23220FDC5665}"/>
            </a:ext>
          </a:extLst>
        </xdr:cNvPr>
        <xdr:cNvSpPr txBox="1">
          <a:spLocks noChangeArrowheads="1"/>
        </xdr:cNvSpPr>
      </xdr:nvSpPr>
      <xdr:spPr bwMode="auto">
        <a:xfrm>
          <a:off x="3677210" y="528918"/>
          <a:ext cx="4709274" cy="14287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D672DB48-17D5-4824-AEA8-615CA26997AF}"/>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9BDA1970-1D4C-4BFD-919A-3A4E8B38B945}"/>
            </a:ext>
          </a:extLst>
        </xdr:cNvPr>
        <xdr:cNvSpPr txBox="1">
          <a:spLocks noChangeArrowheads="1"/>
        </xdr:cNvSpPr>
      </xdr:nvSpPr>
      <xdr:spPr bwMode="auto">
        <a:xfrm>
          <a:off x="3335655" y="457200"/>
          <a:ext cx="359473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352EE76-3218-4CE1-9836-8E5721D0AE3D}"/>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2962275</xdr:colOff>
      <xdr:row>0</xdr:row>
      <xdr:rowOff>457200</xdr:rowOff>
    </xdr:from>
    <xdr:to>
      <xdr:col>3</xdr:col>
      <xdr:colOff>285750</xdr:colOff>
      <xdr:row>5</xdr:row>
      <xdr:rowOff>9525</xdr:rowOff>
    </xdr:to>
    <xdr:sp macro="" textlink="">
      <xdr:nvSpPr>
        <xdr:cNvPr id="3" name="Text Box 2">
          <a:extLst>
            <a:ext uri="{FF2B5EF4-FFF2-40B4-BE49-F238E27FC236}">
              <a16:creationId xmlns:a16="http://schemas.microsoft.com/office/drawing/2014/main" id="{0FD0813C-64D2-44BC-A6CE-51D50E339F01}"/>
            </a:ext>
          </a:extLst>
        </xdr:cNvPr>
        <xdr:cNvSpPr txBox="1">
          <a:spLocks noChangeArrowheads="1"/>
        </xdr:cNvSpPr>
      </xdr:nvSpPr>
      <xdr:spPr bwMode="auto">
        <a:xfrm>
          <a:off x="3335655" y="457200"/>
          <a:ext cx="4897755" cy="1236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2AFDDC5-72C0-4EF0-AE4C-BA3656104B8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00C21D88-BF5F-4ABB-804A-1FA885C197DC}"/>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4.xml><?xml version="1.0" encoding="utf-8"?>
<xdr:wsDr xmlns:xdr="http://schemas.openxmlformats.org/drawingml/2006/spreadsheetDrawing" xmlns:a="http://schemas.openxmlformats.org/drawingml/2006/main">
  <xdr:oneCellAnchor>
    <xdr:from>
      <xdr:col>0</xdr:col>
      <xdr:colOff>123825</xdr:colOff>
      <xdr:row>0</xdr:row>
      <xdr:rowOff>228600</xdr:rowOff>
    </xdr:from>
    <xdr:ext cx="2400300" cy="1638300"/>
    <xdr:pic>
      <xdr:nvPicPr>
        <xdr:cNvPr id="2" name="image1.png">
          <a:extLst>
            <a:ext uri="{FF2B5EF4-FFF2-40B4-BE49-F238E27FC236}">
              <a16:creationId xmlns:a16="http://schemas.microsoft.com/office/drawing/2014/main" id="{5C0C10CF-E37F-46D7-BC6A-617CDA26887B}"/>
            </a:ext>
          </a:extLst>
        </xdr:cNvPr>
        <xdr:cNvPicPr preferRelativeResize="0"/>
      </xdr:nvPicPr>
      <xdr:blipFill>
        <a:blip xmlns:r="http://schemas.openxmlformats.org/officeDocument/2006/relationships" r:embed="rId1" cstate="print"/>
        <a:stretch>
          <a:fillRect/>
        </a:stretch>
      </xdr:blipFill>
      <xdr:spPr>
        <a:xfrm>
          <a:off x="123825" y="228600"/>
          <a:ext cx="2400300" cy="1638300"/>
        </a:xfrm>
        <a:prstGeom prst="rect">
          <a:avLst/>
        </a:prstGeom>
        <a:noFill/>
      </xdr:spPr>
    </xdr:pic>
    <xdr:clientData fLocksWithSheet="0"/>
  </xdr:oneCellAnchor>
  <xdr:twoCellAnchor>
    <xdr:from>
      <xdr:col>1</xdr:col>
      <xdr:colOff>3398520</xdr:colOff>
      <xdr:row>0</xdr:row>
      <xdr:rowOff>655320</xdr:rowOff>
    </xdr:from>
    <xdr:to>
      <xdr:col>1</xdr:col>
      <xdr:colOff>6941820</xdr:colOff>
      <xdr:row>5</xdr:row>
      <xdr:rowOff>152400</xdr:rowOff>
    </xdr:to>
    <xdr:sp macro="" textlink="">
      <xdr:nvSpPr>
        <xdr:cNvPr id="3" name="Text Box 2">
          <a:extLst>
            <a:ext uri="{FF2B5EF4-FFF2-40B4-BE49-F238E27FC236}">
              <a16:creationId xmlns:a16="http://schemas.microsoft.com/office/drawing/2014/main" id="{5D16B99D-5097-41FD-9060-62E033E5B8A2}"/>
            </a:ext>
          </a:extLst>
        </xdr:cNvPr>
        <xdr:cNvSpPr txBox="1">
          <a:spLocks noChangeArrowheads="1"/>
        </xdr:cNvSpPr>
      </xdr:nvSpPr>
      <xdr:spPr bwMode="auto">
        <a:xfrm>
          <a:off x="3810000" y="655320"/>
          <a:ext cx="3543300" cy="1181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83BA7C47-07AA-4DB9-9337-20BC3D4BEDD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868DC58A-9B5B-4CF5-BFCC-E577C7B67AB0}"/>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90E94433-C9BE-4B42-8598-0B5E83E31DF8}"/>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73BD67C0-E911-4BFB-9686-8523BE08C94A}"/>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A3E3305-AC6B-4FB3-B0FE-02A197385230}"/>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E7BDAF43-ABBA-411E-8650-4A1DF057ECF9}"/>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A738E8A-D499-4B88-8D27-A7B9DB2B6DE5}"/>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3488951</xdr:colOff>
      <xdr:row>0</xdr:row>
      <xdr:rowOff>340659</xdr:rowOff>
    </xdr:from>
    <xdr:to>
      <xdr:col>3</xdr:col>
      <xdr:colOff>587189</xdr:colOff>
      <xdr:row>6</xdr:row>
      <xdr:rowOff>98612</xdr:rowOff>
    </xdr:to>
    <xdr:sp macro="" textlink="">
      <xdr:nvSpPr>
        <xdr:cNvPr id="3" name="Text Box 2">
          <a:extLst>
            <a:ext uri="{FF2B5EF4-FFF2-40B4-BE49-F238E27FC236}">
              <a16:creationId xmlns:a16="http://schemas.microsoft.com/office/drawing/2014/main" id="{6B224F75-6D96-4DA6-B774-993582AEA53C}"/>
            </a:ext>
          </a:extLst>
        </xdr:cNvPr>
        <xdr:cNvSpPr txBox="1">
          <a:spLocks noChangeArrowheads="1"/>
        </xdr:cNvSpPr>
      </xdr:nvSpPr>
      <xdr:spPr bwMode="auto">
        <a:xfrm>
          <a:off x="3901327" y="340659"/>
          <a:ext cx="4413438" cy="166743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29.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8471FC9-0B2B-4D9B-BF2A-D7DC21C1C8A6}"/>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25AEC9E3-AD79-4611-8FB6-F27C8407207F}"/>
            </a:ext>
          </a:extLst>
        </xdr:cNvPr>
        <xdr:cNvSpPr txBox="1">
          <a:spLocks noChangeArrowheads="1"/>
        </xdr:cNvSpPr>
      </xdr:nvSpPr>
      <xdr:spPr bwMode="auto">
        <a:xfrm>
          <a:off x="3488951" y="224117"/>
          <a:ext cx="5462309" cy="155089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0.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3CB881D9-8825-4194-8E23-10824B555CEF}"/>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4409DBDA-06EC-463E-A9B1-46DFA8670528}"/>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1.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2C49B722-178F-4F43-96DA-FA92198272CA}"/>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CB9A89BB-087A-490A-A28D-5CB7E169E1CE}"/>
            </a:ext>
          </a:extLst>
        </xdr:cNvPr>
        <xdr:cNvSpPr txBox="1">
          <a:spLocks noChangeArrowheads="1"/>
        </xdr:cNvSpPr>
      </xdr:nvSpPr>
      <xdr:spPr bwMode="auto">
        <a:xfrm>
          <a:off x="3488055" y="224117"/>
          <a:ext cx="54573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2.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D6CDF919-204D-4800-8A61-609254C1D0F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B3D450E1-F291-493E-BAFD-B0ABFF8B2E74}"/>
            </a:ext>
          </a:extLst>
        </xdr:cNvPr>
        <xdr:cNvSpPr txBox="1">
          <a:spLocks noChangeArrowheads="1"/>
        </xdr:cNvSpPr>
      </xdr:nvSpPr>
      <xdr:spPr bwMode="auto">
        <a:xfrm>
          <a:off x="3488055" y="224117"/>
          <a:ext cx="55107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3.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C2B5A9C0-6D99-4C18-892C-B293D92A4429}"/>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3657600</xdr:colOff>
      <xdr:row>0</xdr:row>
      <xdr:rowOff>352426</xdr:rowOff>
    </xdr:from>
    <xdr:to>
      <xdr:col>3</xdr:col>
      <xdr:colOff>161925</xdr:colOff>
      <xdr:row>5</xdr:row>
      <xdr:rowOff>161926</xdr:rowOff>
    </xdr:to>
    <xdr:sp macro="" textlink="">
      <xdr:nvSpPr>
        <xdr:cNvPr id="3" name="Text Box 2">
          <a:extLst>
            <a:ext uri="{FF2B5EF4-FFF2-40B4-BE49-F238E27FC236}">
              <a16:creationId xmlns:a16="http://schemas.microsoft.com/office/drawing/2014/main" id="{9142027E-7955-4FCB-BFAD-74180DC7AE86}"/>
            </a:ext>
          </a:extLst>
        </xdr:cNvPr>
        <xdr:cNvSpPr txBox="1">
          <a:spLocks noChangeArrowheads="1"/>
        </xdr:cNvSpPr>
      </xdr:nvSpPr>
      <xdr:spPr bwMode="auto">
        <a:xfrm>
          <a:off x="4069080" y="352426"/>
          <a:ext cx="4253865" cy="14935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4.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F4A259D2-A1C0-4DBD-BFC7-C9BCD1F386D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5F4C11FD-AA42-4CD6-9CEC-FFFFFF98EB4C}"/>
            </a:ext>
          </a:extLst>
        </xdr:cNvPr>
        <xdr:cNvSpPr txBox="1">
          <a:spLocks noChangeArrowheads="1"/>
        </xdr:cNvSpPr>
      </xdr:nvSpPr>
      <xdr:spPr bwMode="auto">
        <a:xfrm>
          <a:off x="3488055" y="224117"/>
          <a:ext cx="55107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5.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123AF48-80B0-4536-BB73-BA93E822DE23}"/>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0A694816-6C52-43A3-85E9-52F1CD4A1DFA}"/>
            </a:ext>
          </a:extLst>
        </xdr:cNvPr>
        <xdr:cNvSpPr txBox="1">
          <a:spLocks noChangeArrowheads="1"/>
        </xdr:cNvSpPr>
      </xdr:nvSpPr>
      <xdr:spPr bwMode="auto">
        <a:xfrm>
          <a:off x="3488055" y="224117"/>
          <a:ext cx="551071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36.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11A1F2A4-B772-41B4-BCD5-D8ADEC074D1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58D6BCEA-DCF9-4B64-A4C7-205CE3773644}"/>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66F9540F-BB5F-42AF-9466-180D03199F8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15A859A8-2FFF-4866-9150-38C13AAB43C1}"/>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8.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57EF7C5F-B4C7-40DE-ADAB-F4A60A43A1FB}"/>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2601445</xdr:colOff>
      <xdr:row>0</xdr:row>
      <xdr:rowOff>950259</xdr:rowOff>
    </xdr:from>
    <xdr:to>
      <xdr:col>2</xdr:col>
      <xdr:colOff>667871</xdr:colOff>
      <xdr:row>8</xdr:row>
      <xdr:rowOff>12326</xdr:rowOff>
    </xdr:to>
    <xdr:sp macro="" textlink="">
      <xdr:nvSpPr>
        <xdr:cNvPr id="3" name="Text Box 2">
          <a:extLst>
            <a:ext uri="{FF2B5EF4-FFF2-40B4-BE49-F238E27FC236}">
              <a16:creationId xmlns:a16="http://schemas.microsoft.com/office/drawing/2014/main" id="{91A3168A-506C-4A72-8D15-1E041765D54A}"/>
            </a:ext>
          </a:extLst>
        </xdr:cNvPr>
        <xdr:cNvSpPr txBox="1">
          <a:spLocks noChangeArrowheads="1"/>
        </xdr:cNvSpPr>
      </xdr:nvSpPr>
      <xdr:spPr bwMode="auto">
        <a:xfrm>
          <a:off x="3012925" y="950259"/>
          <a:ext cx="4711066" cy="14166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39.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0864F9E0-74D9-41F1-B816-0524C898A54B}"/>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A61FE463-8FB0-49DB-9EB4-EA0B703CEEC9}"/>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0.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2990BC4B-0718-41A4-BAD7-A33E8DD97F37}"/>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14CC31E3-6BAE-4983-ADB6-564E903D170C}"/>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1.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905000"/>
    <xdr:pic>
      <xdr:nvPicPr>
        <xdr:cNvPr id="2" name="image1.png">
          <a:extLst>
            <a:ext uri="{FF2B5EF4-FFF2-40B4-BE49-F238E27FC236}">
              <a16:creationId xmlns:a16="http://schemas.microsoft.com/office/drawing/2014/main" id="{C6F023C4-F30A-46DA-96B8-535D3E5A964B}"/>
            </a:ext>
          </a:extLst>
        </xdr:cNvPr>
        <xdr:cNvPicPr preferRelativeResize="0"/>
      </xdr:nvPicPr>
      <xdr:blipFill>
        <a:blip xmlns:r="http://schemas.openxmlformats.org/officeDocument/2006/relationships" r:embed="rId1" cstate="print"/>
        <a:stretch>
          <a:fillRect/>
        </a:stretch>
      </xdr:blipFill>
      <xdr:spPr>
        <a:xfrm>
          <a:off x="152400" y="180975"/>
          <a:ext cx="2400300" cy="1905000"/>
        </a:xfrm>
        <a:prstGeom prst="rect">
          <a:avLst/>
        </a:prstGeom>
        <a:noFill/>
      </xdr:spPr>
    </xdr:pic>
    <xdr:clientData fLocksWithSheet="0"/>
  </xdr:oneCellAnchor>
  <xdr:twoCellAnchor>
    <xdr:from>
      <xdr:col>1</xdr:col>
      <xdr:colOff>2667000</xdr:colOff>
      <xdr:row>2</xdr:row>
      <xdr:rowOff>104775</xdr:rowOff>
    </xdr:from>
    <xdr:to>
      <xdr:col>2</xdr:col>
      <xdr:colOff>457200</xdr:colOff>
      <xdr:row>8</xdr:row>
      <xdr:rowOff>161925</xdr:rowOff>
    </xdr:to>
    <xdr:sp macro="" textlink="">
      <xdr:nvSpPr>
        <xdr:cNvPr id="3" name="Text Box 2">
          <a:extLst>
            <a:ext uri="{FF2B5EF4-FFF2-40B4-BE49-F238E27FC236}">
              <a16:creationId xmlns:a16="http://schemas.microsoft.com/office/drawing/2014/main" id="{06D873C4-1178-4BF9-8AAD-BA68DFCE37F6}"/>
            </a:ext>
          </a:extLst>
        </xdr:cNvPr>
        <xdr:cNvSpPr txBox="1">
          <a:spLocks noChangeArrowheads="1"/>
        </xdr:cNvSpPr>
      </xdr:nvSpPr>
      <xdr:spPr bwMode="auto">
        <a:xfrm>
          <a:off x="3078480" y="124777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2.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93EC568C-EFAE-4B77-A2D5-730563DF3CBB}"/>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3581400</xdr:colOff>
      <xdr:row>0</xdr:row>
      <xdr:rowOff>609600</xdr:rowOff>
    </xdr:from>
    <xdr:to>
      <xdr:col>3</xdr:col>
      <xdr:colOff>308610</xdr:colOff>
      <xdr:row>5</xdr:row>
      <xdr:rowOff>106679</xdr:rowOff>
    </xdr:to>
    <xdr:sp macro="" textlink="">
      <xdr:nvSpPr>
        <xdr:cNvPr id="3" name="Text Box 2">
          <a:extLst>
            <a:ext uri="{FF2B5EF4-FFF2-40B4-BE49-F238E27FC236}">
              <a16:creationId xmlns:a16="http://schemas.microsoft.com/office/drawing/2014/main" id="{CE2D98E3-FFF2-4100-8BAA-8654541F6520}"/>
            </a:ext>
          </a:extLst>
        </xdr:cNvPr>
        <xdr:cNvSpPr txBox="1">
          <a:spLocks noChangeArrowheads="1"/>
        </xdr:cNvSpPr>
      </xdr:nvSpPr>
      <xdr:spPr bwMode="auto">
        <a:xfrm>
          <a:off x="3954780" y="609600"/>
          <a:ext cx="3539490" cy="11810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100" b="0" i="1" u="none" strike="noStrike" baseline="0">
              <a:solidFill>
                <a:schemeClr val="accent1"/>
              </a:solidFill>
              <a:latin typeface="Impact" panose="020B0806030902050204" pitchFamily="34" charset="0"/>
              <a:cs typeface="+mn-cs"/>
            </a:rPr>
            <a:t>NUCLEO DE INGENIERIA APLICADA</a:t>
          </a:r>
          <a:endParaRPr lang="es-MX" sz="11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1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3.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08C988F0-475C-4015-850B-453C6EB997D2}"/>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D4E964E9-44A9-4E7A-94DD-F570BE1145C8}"/>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44.xml><?xml version="1.0" encoding="utf-8"?>
<xdr:wsDr xmlns:xdr="http://schemas.openxmlformats.org/drawingml/2006/spreadsheetDrawing" xmlns:a="http://schemas.openxmlformats.org/drawingml/2006/main">
  <xdr:oneCellAnchor>
    <xdr:from>
      <xdr:col>0</xdr:col>
      <xdr:colOff>152400</xdr:colOff>
      <xdr:row>0</xdr:row>
      <xdr:rowOff>180975</xdr:rowOff>
    </xdr:from>
    <xdr:ext cx="2171700" cy="1571625"/>
    <xdr:pic>
      <xdr:nvPicPr>
        <xdr:cNvPr id="2" name="image1.png">
          <a:extLst>
            <a:ext uri="{FF2B5EF4-FFF2-40B4-BE49-F238E27FC236}">
              <a16:creationId xmlns:a16="http://schemas.microsoft.com/office/drawing/2014/main" id="{D269E131-B18E-4C5A-A1A6-DA00AE9C7EC8}"/>
            </a:ext>
          </a:extLst>
        </xdr:cNvPr>
        <xdr:cNvPicPr preferRelativeResize="0"/>
      </xdr:nvPicPr>
      <xdr:blipFill>
        <a:blip xmlns:r="http://schemas.openxmlformats.org/officeDocument/2006/relationships" r:embed="rId1" cstate="print"/>
        <a:stretch>
          <a:fillRect/>
        </a:stretch>
      </xdr:blipFill>
      <xdr:spPr>
        <a:xfrm>
          <a:off x="152400" y="180975"/>
          <a:ext cx="2171700" cy="1571625"/>
        </a:xfrm>
        <a:prstGeom prst="rect">
          <a:avLst/>
        </a:prstGeom>
        <a:noFill/>
      </xdr:spPr>
    </xdr:pic>
    <xdr:clientData fLocksWithSheet="0"/>
  </xdr:oneCellAnchor>
  <xdr:twoCellAnchor>
    <xdr:from>
      <xdr:col>1</xdr:col>
      <xdr:colOff>3246120</xdr:colOff>
      <xdr:row>0</xdr:row>
      <xdr:rowOff>249555</xdr:rowOff>
    </xdr:from>
    <xdr:to>
      <xdr:col>3</xdr:col>
      <xdr:colOff>167640</xdr:colOff>
      <xdr:row>4</xdr:row>
      <xdr:rowOff>47625</xdr:rowOff>
    </xdr:to>
    <xdr:sp macro="" textlink="">
      <xdr:nvSpPr>
        <xdr:cNvPr id="3" name="Text Box 2">
          <a:extLst>
            <a:ext uri="{FF2B5EF4-FFF2-40B4-BE49-F238E27FC236}">
              <a16:creationId xmlns:a16="http://schemas.microsoft.com/office/drawing/2014/main" id="{906B7274-9D8C-416F-B17F-724C609B1FCE}"/>
            </a:ext>
          </a:extLst>
        </xdr:cNvPr>
        <xdr:cNvSpPr txBox="1">
          <a:spLocks noChangeArrowheads="1"/>
        </xdr:cNvSpPr>
      </xdr:nvSpPr>
      <xdr:spPr bwMode="auto">
        <a:xfrm>
          <a:off x="3657600" y="249555"/>
          <a:ext cx="4107180" cy="12687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DE EQUIPOS DE BOMBEO, MANTENIMIENTO ELÉCTRICO,  ASESORIA ACERCA DE PROYECTOS HIDRAHULICOS, AFOROS, EQUIPAMIENTOS, REHABILITACION, POZOS PROFUNDOS</a:t>
          </a:r>
        </a:p>
      </xdr:txBody>
    </xdr:sp>
    <xdr:clientData/>
  </xdr:twoCellAnchor>
</xdr:wsDr>
</file>

<file path=xl/drawings/drawing245.xml><?xml version="1.0" encoding="utf-8"?>
<xdr:wsDr xmlns:xdr="http://schemas.openxmlformats.org/drawingml/2006/spreadsheetDrawing" xmlns:a="http://schemas.openxmlformats.org/drawingml/2006/main">
  <xdr:oneCellAnchor>
    <xdr:from>
      <xdr:col>0</xdr:col>
      <xdr:colOff>286870</xdr:colOff>
      <xdr:row>0</xdr:row>
      <xdr:rowOff>237004</xdr:rowOff>
    </xdr:from>
    <xdr:ext cx="2400300" cy="1847290"/>
    <xdr:pic>
      <xdr:nvPicPr>
        <xdr:cNvPr id="2" name="image1.png">
          <a:extLst>
            <a:ext uri="{FF2B5EF4-FFF2-40B4-BE49-F238E27FC236}">
              <a16:creationId xmlns:a16="http://schemas.microsoft.com/office/drawing/2014/main" id="{4B5FAB7E-E7C9-464F-8D6E-5CBE81E2BB97}"/>
            </a:ext>
          </a:extLst>
        </xdr:cNvPr>
        <xdr:cNvPicPr preferRelativeResize="0"/>
      </xdr:nvPicPr>
      <xdr:blipFill>
        <a:blip xmlns:r="http://schemas.openxmlformats.org/officeDocument/2006/relationships" r:embed="rId1" cstate="print"/>
        <a:stretch>
          <a:fillRect/>
        </a:stretch>
      </xdr:blipFill>
      <xdr:spPr>
        <a:xfrm>
          <a:off x="286870" y="237004"/>
          <a:ext cx="2400300" cy="1847290"/>
        </a:xfrm>
        <a:prstGeom prst="rect">
          <a:avLst/>
        </a:prstGeom>
        <a:noFill/>
      </xdr:spPr>
    </xdr:pic>
    <xdr:clientData fLocksWithSheet="0"/>
  </xdr:oneCellAnchor>
  <xdr:twoCellAnchor>
    <xdr:from>
      <xdr:col>1</xdr:col>
      <xdr:colOff>2455769</xdr:colOff>
      <xdr:row>0</xdr:row>
      <xdr:rowOff>916641</xdr:rowOff>
    </xdr:from>
    <xdr:to>
      <xdr:col>2</xdr:col>
      <xdr:colOff>522195</xdr:colOff>
      <xdr:row>7</xdr:row>
      <xdr:rowOff>202826</xdr:rowOff>
    </xdr:to>
    <xdr:sp macro="" textlink="">
      <xdr:nvSpPr>
        <xdr:cNvPr id="3" name="Text Box 2">
          <a:extLst>
            <a:ext uri="{FF2B5EF4-FFF2-40B4-BE49-F238E27FC236}">
              <a16:creationId xmlns:a16="http://schemas.microsoft.com/office/drawing/2014/main" id="{6605510F-4A20-41FC-850E-AC63877D7AB6}"/>
            </a:ext>
          </a:extLst>
        </xdr:cNvPr>
        <xdr:cNvSpPr txBox="1">
          <a:spLocks noChangeArrowheads="1"/>
        </xdr:cNvSpPr>
      </xdr:nvSpPr>
      <xdr:spPr bwMode="auto">
        <a:xfrm>
          <a:off x="2867249" y="916641"/>
          <a:ext cx="4383406" cy="1396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6.xml><?xml version="1.0" encoding="utf-8"?>
<xdr:wsDr xmlns:xdr="http://schemas.openxmlformats.org/drawingml/2006/spreadsheetDrawing" xmlns:a="http://schemas.openxmlformats.org/drawingml/2006/main">
  <xdr:oneCellAnchor>
    <xdr:from>
      <xdr:col>0</xdr:col>
      <xdr:colOff>286870</xdr:colOff>
      <xdr:row>0</xdr:row>
      <xdr:rowOff>237004</xdr:rowOff>
    </xdr:from>
    <xdr:ext cx="2400300" cy="1847290"/>
    <xdr:pic>
      <xdr:nvPicPr>
        <xdr:cNvPr id="2" name="image1.png">
          <a:extLst>
            <a:ext uri="{FF2B5EF4-FFF2-40B4-BE49-F238E27FC236}">
              <a16:creationId xmlns:a16="http://schemas.microsoft.com/office/drawing/2014/main" id="{A1EBA488-F417-4383-BFEE-446949275AC3}"/>
            </a:ext>
          </a:extLst>
        </xdr:cNvPr>
        <xdr:cNvPicPr preferRelativeResize="0"/>
      </xdr:nvPicPr>
      <xdr:blipFill>
        <a:blip xmlns:r="http://schemas.openxmlformats.org/officeDocument/2006/relationships" r:embed="rId1" cstate="print"/>
        <a:stretch>
          <a:fillRect/>
        </a:stretch>
      </xdr:blipFill>
      <xdr:spPr>
        <a:xfrm>
          <a:off x="286870" y="237004"/>
          <a:ext cx="2400300" cy="1847290"/>
        </a:xfrm>
        <a:prstGeom prst="rect">
          <a:avLst/>
        </a:prstGeom>
        <a:noFill/>
      </xdr:spPr>
    </xdr:pic>
    <xdr:clientData fLocksWithSheet="0"/>
  </xdr:oneCellAnchor>
  <xdr:twoCellAnchor>
    <xdr:from>
      <xdr:col>1</xdr:col>
      <xdr:colOff>2455769</xdr:colOff>
      <xdr:row>0</xdr:row>
      <xdr:rowOff>916641</xdr:rowOff>
    </xdr:from>
    <xdr:to>
      <xdr:col>2</xdr:col>
      <xdr:colOff>522195</xdr:colOff>
      <xdr:row>7</xdr:row>
      <xdr:rowOff>202826</xdr:rowOff>
    </xdr:to>
    <xdr:sp macro="" textlink="">
      <xdr:nvSpPr>
        <xdr:cNvPr id="3" name="Text Box 2">
          <a:extLst>
            <a:ext uri="{FF2B5EF4-FFF2-40B4-BE49-F238E27FC236}">
              <a16:creationId xmlns:a16="http://schemas.microsoft.com/office/drawing/2014/main" id="{DBAB496D-3B97-44E1-9C7D-0925D6346DCB}"/>
            </a:ext>
          </a:extLst>
        </xdr:cNvPr>
        <xdr:cNvSpPr txBox="1">
          <a:spLocks noChangeArrowheads="1"/>
        </xdr:cNvSpPr>
      </xdr:nvSpPr>
      <xdr:spPr bwMode="auto">
        <a:xfrm>
          <a:off x="2867249" y="916641"/>
          <a:ext cx="4383406" cy="1396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drawings/drawing247.xml><?xml version="1.0" encoding="utf-8"?>
<xdr:wsDr xmlns:xdr="http://schemas.openxmlformats.org/drawingml/2006/spreadsheetDrawing" xmlns:a="http://schemas.openxmlformats.org/drawingml/2006/main">
  <xdr:oneCellAnchor>
    <xdr:from>
      <xdr:col>0</xdr:col>
      <xdr:colOff>398930</xdr:colOff>
      <xdr:row>0</xdr:row>
      <xdr:rowOff>100853</xdr:rowOff>
    </xdr:from>
    <xdr:ext cx="2400300" cy="1949823"/>
    <xdr:pic>
      <xdr:nvPicPr>
        <xdr:cNvPr id="2" name="image1.png">
          <a:extLst>
            <a:ext uri="{FF2B5EF4-FFF2-40B4-BE49-F238E27FC236}">
              <a16:creationId xmlns:a16="http://schemas.microsoft.com/office/drawing/2014/main" id="{C9D6FFE6-3758-4A29-8FCE-A757E5D33FBD}"/>
            </a:ext>
          </a:extLst>
        </xdr:cNvPr>
        <xdr:cNvPicPr preferRelativeResize="0"/>
      </xdr:nvPicPr>
      <xdr:blipFill>
        <a:blip xmlns:r="http://schemas.openxmlformats.org/officeDocument/2006/relationships" r:embed="rId1" cstate="print"/>
        <a:stretch>
          <a:fillRect/>
        </a:stretch>
      </xdr:blipFill>
      <xdr:spPr>
        <a:xfrm>
          <a:off x="398930" y="100853"/>
          <a:ext cx="2400300" cy="1949823"/>
        </a:xfrm>
        <a:prstGeom prst="rect">
          <a:avLst/>
        </a:prstGeom>
        <a:noFill/>
      </xdr:spPr>
    </xdr:pic>
    <xdr:clientData fLocksWithSheet="0"/>
  </xdr:oneCellAnchor>
  <xdr:twoCellAnchor>
    <xdr:from>
      <xdr:col>1</xdr:col>
      <xdr:colOff>3076575</xdr:colOff>
      <xdr:row>0</xdr:row>
      <xdr:rowOff>224117</xdr:rowOff>
    </xdr:from>
    <xdr:to>
      <xdr:col>3</xdr:col>
      <xdr:colOff>174813</xdr:colOff>
      <xdr:row>5</xdr:row>
      <xdr:rowOff>80682</xdr:rowOff>
    </xdr:to>
    <xdr:sp macro="" textlink="">
      <xdr:nvSpPr>
        <xdr:cNvPr id="3" name="Text Box 2">
          <a:extLst>
            <a:ext uri="{FF2B5EF4-FFF2-40B4-BE49-F238E27FC236}">
              <a16:creationId xmlns:a16="http://schemas.microsoft.com/office/drawing/2014/main" id="{E786D5C0-3869-47E8-901D-1E00BAB0CEEE}"/>
            </a:ext>
          </a:extLst>
        </xdr:cNvPr>
        <xdr:cNvSpPr txBox="1">
          <a:spLocks noChangeArrowheads="1"/>
        </xdr:cNvSpPr>
      </xdr:nvSpPr>
      <xdr:spPr bwMode="auto">
        <a:xfrm>
          <a:off x="3488055" y="224117"/>
          <a:ext cx="5038278" cy="154058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600" b="0" i="1" u="none" strike="noStrike" baseline="0">
              <a:solidFill>
                <a:schemeClr val="accent1"/>
              </a:solidFill>
              <a:latin typeface="Impact" panose="020B0806030902050204" pitchFamily="34" charset="0"/>
              <a:cs typeface="+mn-cs"/>
            </a:rPr>
            <a:t>NUCLEO DE INGENIERIA APLICADA</a:t>
          </a:r>
          <a:endParaRPr lang="es-MX" sz="16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VIDEO GRABACIONES, INSTALACIÓN, MANIOBRAS CON GRUA, MANTENIMIENTO ELÉCTRICO,  ASESORIA ACERCA DE PROYECTOS HIDRAHULICOS, AFOROS, EQUIPAMIENTOS, REHABILITACION, POZOS PROFUNDOS.</a:t>
          </a:r>
        </a:p>
      </xdr:txBody>
    </xdr:sp>
    <xdr:clientData/>
  </xdr:twoCellAnchor>
</xdr:wsDr>
</file>

<file path=xl/drawings/drawing248.xml><?xml version="1.0" encoding="utf-8"?>
<xdr:wsDr xmlns:xdr="http://schemas.openxmlformats.org/drawingml/2006/spreadsheetDrawing" xmlns:a="http://schemas.openxmlformats.org/drawingml/2006/main">
  <xdr:oneCellAnchor>
    <xdr:from>
      <xdr:col>0</xdr:col>
      <xdr:colOff>152400</xdr:colOff>
      <xdr:row>0</xdr:row>
      <xdr:rowOff>180975</xdr:rowOff>
    </xdr:from>
    <xdr:ext cx="2400300" cy="1638300"/>
    <xdr:pic>
      <xdr:nvPicPr>
        <xdr:cNvPr id="2" name="image1.png">
          <a:extLst>
            <a:ext uri="{FF2B5EF4-FFF2-40B4-BE49-F238E27FC236}">
              <a16:creationId xmlns:a16="http://schemas.microsoft.com/office/drawing/2014/main" id="{693933CB-EA64-41D2-8BAC-F7DFC2E7B861}"/>
            </a:ext>
          </a:extLst>
        </xdr:cNvPr>
        <xdr:cNvPicPr preferRelativeResize="0"/>
      </xdr:nvPicPr>
      <xdr:blipFill>
        <a:blip xmlns:r="http://schemas.openxmlformats.org/officeDocument/2006/relationships" r:embed="rId1" cstate="print"/>
        <a:stretch>
          <a:fillRect/>
        </a:stretch>
      </xdr:blipFill>
      <xdr:spPr>
        <a:xfrm>
          <a:off x="152400" y="180975"/>
          <a:ext cx="2400300" cy="1638300"/>
        </a:xfrm>
        <a:prstGeom prst="rect">
          <a:avLst/>
        </a:prstGeom>
        <a:noFill/>
      </xdr:spPr>
    </xdr:pic>
    <xdr:clientData fLocksWithSheet="0"/>
  </xdr:oneCellAnchor>
  <xdr:twoCellAnchor>
    <xdr:from>
      <xdr:col>1</xdr:col>
      <xdr:colOff>2686050</xdr:colOff>
      <xdr:row>0</xdr:row>
      <xdr:rowOff>323850</xdr:rowOff>
    </xdr:from>
    <xdr:to>
      <xdr:col>3</xdr:col>
      <xdr:colOff>600075</xdr:colOff>
      <xdr:row>5</xdr:row>
      <xdr:rowOff>9525</xdr:rowOff>
    </xdr:to>
    <xdr:sp macro="" textlink="">
      <xdr:nvSpPr>
        <xdr:cNvPr id="3" name="Text Box 2">
          <a:extLst>
            <a:ext uri="{FF2B5EF4-FFF2-40B4-BE49-F238E27FC236}">
              <a16:creationId xmlns:a16="http://schemas.microsoft.com/office/drawing/2014/main" id="{0FF24179-04E2-4C9A-9771-C404C3F71E1E}"/>
            </a:ext>
          </a:extLst>
        </xdr:cNvPr>
        <xdr:cNvSpPr txBox="1">
          <a:spLocks noChangeArrowheads="1"/>
        </xdr:cNvSpPr>
      </xdr:nvSpPr>
      <xdr:spPr bwMode="auto">
        <a:xfrm>
          <a:off x="3097530" y="323850"/>
          <a:ext cx="3819525" cy="13696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ctr" upright="1"/>
        <a:lstStyle/>
        <a:p>
          <a:pPr algn="ctr" rtl="0">
            <a:defRPr sz="1000"/>
          </a:pPr>
          <a:r>
            <a:rPr lang="es-MX" sz="1400" b="0" i="1" u="none" strike="noStrike" baseline="0">
              <a:solidFill>
                <a:schemeClr val="accent1"/>
              </a:solidFill>
              <a:latin typeface="Impact" panose="020B0806030902050204" pitchFamily="34" charset="0"/>
              <a:cs typeface="+mn-cs"/>
            </a:rPr>
            <a:t>NUCLEO DE INGENIERIA APLICADA</a:t>
          </a:r>
          <a:endParaRPr lang="es-MX" sz="1400" b="1" i="0" u="none" strike="noStrike" baseline="0">
            <a:solidFill>
              <a:schemeClr val="accent1"/>
            </a:solidFill>
            <a:latin typeface="Browallia New" panose="020B0604020202020204" pitchFamily="34" charset="-34"/>
            <a:cs typeface="Browallia New" panose="020B0604020202020204" pitchFamily="34" charset="-34"/>
          </a:endParaRPr>
        </a:p>
        <a:p>
          <a:pPr algn="ctr" rtl="0">
            <a:defRPr sz="1000"/>
          </a:pPr>
          <a:r>
            <a:rPr lang="es-MX" sz="1400" b="1" i="0" u="none" strike="noStrike" baseline="0">
              <a:solidFill>
                <a:srgbClr val="00B0F0"/>
              </a:solidFill>
              <a:latin typeface="Browallia New" panose="020B0604020202020204" pitchFamily="34" charset="-34"/>
              <a:cs typeface="Browallia New" panose="020B0604020202020204" pitchFamily="34" charset="-34"/>
            </a:rPr>
            <a:t>INSTALACIÓN, MANTENIMIENTO ELÉCTRICO,  ASESORIA ACERCA DE PROYECTOS HIDRAHULICOS, AFOROS, EQUIPAMIENTOS, REHABILITACION, POZOS PROFUNDOS</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144.xml"/><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2" Type="http://schemas.openxmlformats.org/officeDocument/2006/relationships/drawing" Target="../drawings/drawing146.xml"/><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148.xml"/><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8" Type="http://schemas.openxmlformats.org/officeDocument/2006/relationships/hyperlink" Target="https://maps.app.goo.gl/V65AEwegWdKFNVfh8?g_st=iw" TargetMode="External"/><Relationship Id="rId3" Type="http://schemas.openxmlformats.org/officeDocument/2006/relationships/hyperlink" Target="https://maps.app.goo.gl/CEckai4EvTa8GTpv9?g_st=iw" TargetMode="External"/><Relationship Id="rId7" Type="http://schemas.openxmlformats.org/officeDocument/2006/relationships/hyperlink" Target="https://maps.app.goo.gl/hV8Du5YVd7fxqFVh9?g_st=iw" TargetMode="External"/><Relationship Id="rId2" Type="http://schemas.openxmlformats.org/officeDocument/2006/relationships/hyperlink" Target="https://maps.app.goo.gl/kUQLRS2y3p2Mn1bKA?g_st=iw" TargetMode="External"/><Relationship Id="rId1" Type="http://schemas.openxmlformats.org/officeDocument/2006/relationships/hyperlink" Target="https://maps.app.goo.gl/Ms3wWVPXQ5pzyGr3A?g_st=iw" TargetMode="External"/><Relationship Id="rId6" Type="http://schemas.openxmlformats.org/officeDocument/2006/relationships/hyperlink" Target="https://maps.app.goo.gl/RC6W3SyrbN4YSscaA?g_st=iw" TargetMode="External"/><Relationship Id="rId5" Type="http://schemas.openxmlformats.org/officeDocument/2006/relationships/hyperlink" Target="https://maps.app.goo.gl/RC6W3SyrbN4YSscaA?g_st=iw" TargetMode="External"/><Relationship Id="rId4" Type="http://schemas.openxmlformats.org/officeDocument/2006/relationships/hyperlink" Target="https://maps.app.goo.gl/neVgKyR2zyGnQxjN6?g_st=iw" TargetMode="External"/><Relationship Id="rId9" Type="http://schemas.openxmlformats.org/officeDocument/2006/relationships/hyperlink" Target="https://maps.app.goo.gl/DVvwZXurLZMDAZdb9?g_st=iw" TargetMode="External"/></Relationships>
</file>

<file path=xl/worksheets/_rels/sheet151.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150.bin"/></Relationships>
</file>

<file path=xl/worksheets/_rels/sheet152.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151.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152.bin"/></Relationships>
</file>

<file path=xl/worksheets/_rels/sheet154.xml.rels><?xml version="1.0" encoding="UTF-8" standalone="yes"?>
<Relationships xmlns="http://schemas.openxmlformats.org/package/2006/relationships"><Relationship Id="rId2" Type="http://schemas.openxmlformats.org/officeDocument/2006/relationships/drawing" Target="../drawings/drawing152.xml"/><Relationship Id="rId1" Type="http://schemas.openxmlformats.org/officeDocument/2006/relationships/printerSettings" Target="../printerSettings/printerSettings153.bin"/></Relationships>
</file>

<file path=xl/worksheets/_rels/sheet155.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154.bin"/></Relationships>
</file>

<file path=xl/worksheets/_rels/sheet156.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155.bin"/></Relationships>
</file>

<file path=xl/worksheets/_rels/sheet157.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156.bin"/></Relationships>
</file>

<file path=xl/worksheets/_rels/sheet158.xml.rels><?xml version="1.0" encoding="UTF-8" standalone="yes"?>
<Relationships xmlns="http://schemas.openxmlformats.org/package/2006/relationships"><Relationship Id="rId2" Type="http://schemas.openxmlformats.org/officeDocument/2006/relationships/drawing" Target="../drawings/drawing156.xml"/><Relationship Id="rId1" Type="http://schemas.openxmlformats.org/officeDocument/2006/relationships/printerSettings" Target="../printerSettings/printerSettings157.bin"/></Relationships>
</file>

<file path=xl/worksheets/_rels/sheet15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158.bin"/></Relationships>
</file>

<file path=xl/worksheets/_rels/sheet160.xml.rels><?xml version="1.0" encoding="UTF-8" standalone="yes"?>
<Relationships xmlns="http://schemas.openxmlformats.org/package/2006/relationships"><Relationship Id="rId2" Type="http://schemas.openxmlformats.org/officeDocument/2006/relationships/drawing" Target="../drawings/drawing158.xml"/><Relationship Id="rId1" Type="http://schemas.openxmlformats.org/officeDocument/2006/relationships/printerSettings" Target="../printerSettings/printerSettings159.bin"/></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160.bin"/></Relationships>
</file>

<file path=xl/worksheets/_rels/sheet162.xml.rels><?xml version="1.0" encoding="UTF-8" standalone="yes"?>
<Relationships xmlns="http://schemas.openxmlformats.org/package/2006/relationships"><Relationship Id="rId2" Type="http://schemas.openxmlformats.org/officeDocument/2006/relationships/drawing" Target="../drawings/drawing160.xml"/><Relationship Id="rId1" Type="http://schemas.openxmlformats.org/officeDocument/2006/relationships/printerSettings" Target="../printerSettings/printerSettings161.bin"/></Relationships>
</file>

<file path=xl/worksheets/_rels/sheet163.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162.bin"/></Relationships>
</file>

<file path=xl/worksheets/_rels/sheet164.xml.rels><?xml version="1.0" encoding="UTF-8" standalone="yes"?>
<Relationships xmlns="http://schemas.openxmlformats.org/package/2006/relationships"><Relationship Id="rId2" Type="http://schemas.openxmlformats.org/officeDocument/2006/relationships/drawing" Target="../drawings/drawing162.xml"/><Relationship Id="rId1" Type="http://schemas.openxmlformats.org/officeDocument/2006/relationships/printerSettings" Target="../printerSettings/printerSettings163.bin"/></Relationships>
</file>

<file path=xl/worksheets/_rels/sheet165.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164.bin"/></Relationships>
</file>

<file path=xl/worksheets/_rels/sheet166.xml.rels><?xml version="1.0" encoding="UTF-8" standalone="yes"?>
<Relationships xmlns="http://schemas.openxmlformats.org/package/2006/relationships"><Relationship Id="rId2" Type="http://schemas.openxmlformats.org/officeDocument/2006/relationships/drawing" Target="../drawings/drawing164.xml"/><Relationship Id="rId1" Type="http://schemas.openxmlformats.org/officeDocument/2006/relationships/printerSettings" Target="../printerSettings/printerSettings165.bin"/></Relationships>
</file>

<file path=xl/worksheets/_rels/sheet167.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66.bin"/></Relationships>
</file>

<file path=xl/worksheets/_rels/sheet168.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167.bin"/></Relationships>
</file>

<file path=xl/worksheets/_rels/sheet169.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68.bin"/></Relationships>
</file>

<file path=xl/worksheets/_rels/sheet170.xml.rels><?xml version="1.0" encoding="UTF-8" standalone="yes"?>
<Relationships xmlns="http://schemas.openxmlformats.org/package/2006/relationships"><Relationship Id="rId2" Type="http://schemas.openxmlformats.org/officeDocument/2006/relationships/drawing" Target="../drawings/drawing168.xml"/><Relationship Id="rId1" Type="http://schemas.openxmlformats.org/officeDocument/2006/relationships/printerSettings" Target="../printerSettings/printerSettings169.bin"/></Relationships>
</file>

<file path=xl/worksheets/_rels/sheet171.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70.bin"/></Relationships>
</file>

<file path=xl/worksheets/_rels/sheet172.xml.rels><?xml version="1.0" encoding="UTF-8" standalone="yes"?>
<Relationships xmlns="http://schemas.openxmlformats.org/package/2006/relationships"><Relationship Id="rId2" Type="http://schemas.openxmlformats.org/officeDocument/2006/relationships/drawing" Target="../drawings/drawing170.xml"/><Relationship Id="rId1" Type="http://schemas.openxmlformats.org/officeDocument/2006/relationships/printerSettings" Target="../printerSettings/printerSettings171.bin"/></Relationships>
</file>

<file path=xl/worksheets/_rels/sheet173.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72.bin"/></Relationships>
</file>

<file path=xl/worksheets/_rels/sheet174.xml.rels><?xml version="1.0" encoding="UTF-8" standalone="yes"?>
<Relationships xmlns="http://schemas.openxmlformats.org/package/2006/relationships"><Relationship Id="rId2" Type="http://schemas.openxmlformats.org/officeDocument/2006/relationships/drawing" Target="../drawings/drawing172.xml"/><Relationship Id="rId1" Type="http://schemas.openxmlformats.org/officeDocument/2006/relationships/printerSettings" Target="../printerSettings/printerSettings173.bin"/></Relationships>
</file>

<file path=xl/worksheets/_rels/sheet175.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74.bin"/></Relationships>
</file>

<file path=xl/worksheets/_rels/sheet176.xml.rels><?xml version="1.0" encoding="UTF-8" standalone="yes"?>
<Relationships xmlns="http://schemas.openxmlformats.org/package/2006/relationships"><Relationship Id="rId2" Type="http://schemas.openxmlformats.org/officeDocument/2006/relationships/drawing" Target="../drawings/drawing174.xml"/><Relationship Id="rId1" Type="http://schemas.openxmlformats.org/officeDocument/2006/relationships/printerSettings" Target="../printerSettings/printerSettings175.bin"/></Relationships>
</file>

<file path=xl/worksheets/_rels/sheet177.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76.bin"/></Relationships>
</file>

<file path=xl/worksheets/_rels/sheet178.xml.rels><?xml version="1.0" encoding="UTF-8" standalone="yes"?>
<Relationships xmlns="http://schemas.openxmlformats.org/package/2006/relationships"><Relationship Id="rId2" Type="http://schemas.openxmlformats.org/officeDocument/2006/relationships/drawing" Target="../drawings/drawing176.xml"/><Relationship Id="rId1" Type="http://schemas.openxmlformats.org/officeDocument/2006/relationships/printerSettings" Target="../printerSettings/printerSettings177.bin"/></Relationships>
</file>

<file path=xl/worksheets/_rels/sheet17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78.bin"/></Relationships>
</file>

<file path=xl/worksheets/_rels/sheet180.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179.bin"/></Relationships>
</file>

<file path=xl/worksheets/_rels/sheet181.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80.bin"/></Relationships>
</file>

<file path=xl/worksheets/_rels/sheet182.xml.rels><?xml version="1.0" encoding="UTF-8" standalone="yes"?>
<Relationships xmlns="http://schemas.openxmlformats.org/package/2006/relationships"><Relationship Id="rId2" Type="http://schemas.openxmlformats.org/officeDocument/2006/relationships/drawing" Target="../drawings/drawing180.xml"/><Relationship Id="rId1" Type="http://schemas.openxmlformats.org/officeDocument/2006/relationships/printerSettings" Target="../printerSettings/printerSettings181.bin"/></Relationships>
</file>

<file path=xl/worksheets/_rels/sheet183.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82.bin"/></Relationships>
</file>

<file path=xl/worksheets/_rels/sheet184.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183.bin"/></Relationships>
</file>

<file path=xl/worksheets/_rels/sheet185.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84.bin"/></Relationships>
</file>

<file path=xl/worksheets/_rels/sheet186.xml.rels><?xml version="1.0" encoding="UTF-8" standalone="yes"?>
<Relationships xmlns="http://schemas.openxmlformats.org/package/2006/relationships"><Relationship Id="rId2" Type="http://schemas.openxmlformats.org/officeDocument/2006/relationships/drawing" Target="../drawings/drawing184.xml"/><Relationship Id="rId1" Type="http://schemas.openxmlformats.org/officeDocument/2006/relationships/printerSettings" Target="../printerSettings/printerSettings185.bin"/></Relationships>
</file>

<file path=xl/worksheets/_rels/sheet187.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86.bin"/></Relationships>
</file>

<file path=xl/worksheets/_rels/sheet188.xml.rels><?xml version="1.0" encoding="UTF-8" standalone="yes"?>
<Relationships xmlns="http://schemas.openxmlformats.org/package/2006/relationships"><Relationship Id="rId2" Type="http://schemas.openxmlformats.org/officeDocument/2006/relationships/drawing" Target="../drawings/drawing186.xml"/><Relationship Id="rId1" Type="http://schemas.openxmlformats.org/officeDocument/2006/relationships/printerSettings" Target="../printerSettings/printerSettings187.bin"/></Relationships>
</file>

<file path=xl/worksheets/_rels/sheet189.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88.bin"/></Relationships>
</file>

<file path=xl/worksheets/_rels/sheet190.xml.rels><?xml version="1.0" encoding="UTF-8" standalone="yes"?>
<Relationships xmlns="http://schemas.openxmlformats.org/package/2006/relationships"><Relationship Id="rId2" Type="http://schemas.openxmlformats.org/officeDocument/2006/relationships/drawing" Target="../drawings/drawing188.xml"/><Relationship Id="rId1" Type="http://schemas.openxmlformats.org/officeDocument/2006/relationships/printerSettings" Target="../printerSettings/printerSettings189.bin"/></Relationships>
</file>

<file path=xl/worksheets/_rels/sheet191.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90.bin"/></Relationships>
</file>

<file path=xl/worksheets/_rels/sheet192.xml.rels><?xml version="1.0" encoding="UTF-8" standalone="yes"?>
<Relationships xmlns="http://schemas.openxmlformats.org/package/2006/relationships"><Relationship Id="rId2" Type="http://schemas.openxmlformats.org/officeDocument/2006/relationships/drawing" Target="../drawings/drawing190.xml"/><Relationship Id="rId1" Type="http://schemas.openxmlformats.org/officeDocument/2006/relationships/printerSettings" Target="../printerSettings/printerSettings191.bin"/></Relationships>
</file>

<file path=xl/worksheets/_rels/sheet193.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92.bin"/></Relationships>
</file>

<file path=xl/worksheets/_rels/sheet194.xml.rels><?xml version="1.0" encoding="UTF-8" standalone="yes"?>
<Relationships xmlns="http://schemas.openxmlformats.org/package/2006/relationships"><Relationship Id="rId2" Type="http://schemas.openxmlformats.org/officeDocument/2006/relationships/drawing" Target="../drawings/drawing192.xml"/><Relationship Id="rId1" Type="http://schemas.openxmlformats.org/officeDocument/2006/relationships/printerSettings" Target="../printerSettings/printerSettings193.bin"/></Relationships>
</file>

<file path=xl/worksheets/_rels/sheet195.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94.bin"/></Relationships>
</file>

<file path=xl/worksheets/_rels/sheet196.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195.bin"/></Relationships>
</file>

<file path=xl/worksheets/_rels/sheet197.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96.bin"/></Relationships>
</file>

<file path=xl/worksheets/_rels/sheet198.xml.rels><?xml version="1.0" encoding="UTF-8" standalone="yes"?>
<Relationships xmlns="http://schemas.openxmlformats.org/package/2006/relationships"><Relationship Id="rId2" Type="http://schemas.openxmlformats.org/officeDocument/2006/relationships/drawing" Target="../drawings/drawing196.xml"/><Relationship Id="rId1" Type="http://schemas.openxmlformats.org/officeDocument/2006/relationships/printerSettings" Target="../printerSettings/printerSettings197.bin"/></Relationships>
</file>

<file path=xl/worksheets/_rels/sheet1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98.bin"/></Relationships>
</file>

<file path=xl/worksheets/_rels/sheet200.xml.rels><?xml version="1.0" encoding="UTF-8" standalone="yes"?>
<Relationships xmlns="http://schemas.openxmlformats.org/package/2006/relationships"><Relationship Id="rId2" Type="http://schemas.openxmlformats.org/officeDocument/2006/relationships/drawing" Target="../drawings/drawing198.xml"/><Relationship Id="rId1" Type="http://schemas.openxmlformats.org/officeDocument/2006/relationships/printerSettings" Target="../printerSettings/printerSettings199.bin"/></Relationships>
</file>

<file path=xl/worksheets/_rels/sheet201.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200.bin"/></Relationships>
</file>

<file path=xl/worksheets/_rels/sheet202.xml.rels><?xml version="1.0" encoding="UTF-8" standalone="yes"?>
<Relationships xmlns="http://schemas.openxmlformats.org/package/2006/relationships"><Relationship Id="rId2" Type="http://schemas.openxmlformats.org/officeDocument/2006/relationships/drawing" Target="../drawings/drawing200.xml"/><Relationship Id="rId1" Type="http://schemas.openxmlformats.org/officeDocument/2006/relationships/printerSettings" Target="../printerSettings/printerSettings201.bin"/></Relationships>
</file>

<file path=xl/worksheets/_rels/sheet203.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202.bin"/></Relationships>
</file>

<file path=xl/worksheets/_rels/sheet204.xml.rels><?xml version="1.0" encoding="UTF-8" standalone="yes"?>
<Relationships xmlns="http://schemas.openxmlformats.org/package/2006/relationships"><Relationship Id="rId2" Type="http://schemas.openxmlformats.org/officeDocument/2006/relationships/drawing" Target="../drawings/drawing202.xml"/><Relationship Id="rId1" Type="http://schemas.openxmlformats.org/officeDocument/2006/relationships/printerSettings" Target="../printerSettings/printerSettings203.bin"/></Relationships>
</file>

<file path=xl/worksheets/_rels/sheet205.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204.bin"/></Relationships>
</file>

<file path=xl/worksheets/_rels/sheet206.xml.rels><?xml version="1.0" encoding="UTF-8" standalone="yes"?>
<Relationships xmlns="http://schemas.openxmlformats.org/package/2006/relationships"><Relationship Id="rId2" Type="http://schemas.openxmlformats.org/officeDocument/2006/relationships/drawing" Target="../drawings/drawing204.xml"/><Relationship Id="rId1" Type="http://schemas.openxmlformats.org/officeDocument/2006/relationships/printerSettings" Target="../printerSettings/printerSettings205.bin"/></Relationships>
</file>

<file path=xl/worksheets/_rels/sheet207.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206.bin"/></Relationships>
</file>

<file path=xl/worksheets/_rels/sheet208.xml.rels><?xml version="1.0" encoding="UTF-8" standalone="yes"?>
<Relationships xmlns="http://schemas.openxmlformats.org/package/2006/relationships"><Relationship Id="rId2" Type="http://schemas.openxmlformats.org/officeDocument/2006/relationships/drawing" Target="../drawings/drawing206.xml"/><Relationship Id="rId1" Type="http://schemas.openxmlformats.org/officeDocument/2006/relationships/printerSettings" Target="../printerSettings/printerSettings207.bin"/></Relationships>
</file>

<file path=xl/worksheets/_rels/sheet209.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208.bin"/></Relationships>
</file>

<file path=xl/worksheets/_rels/sheet210.xml.rels><?xml version="1.0" encoding="UTF-8" standalone="yes"?>
<Relationships xmlns="http://schemas.openxmlformats.org/package/2006/relationships"><Relationship Id="rId2" Type="http://schemas.openxmlformats.org/officeDocument/2006/relationships/drawing" Target="../drawings/drawing208.xml"/><Relationship Id="rId1" Type="http://schemas.openxmlformats.org/officeDocument/2006/relationships/printerSettings" Target="../printerSettings/printerSettings209.bin"/></Relationships>
</file>

<file path=xl/worksheets/_rels/sheet211.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210.bin"/></Relationships>
</file>

<file path=xl/worksheets/_rels/sheet212.xml.rels><?xml version="1.0" encoding="UTF-8" standalone="yes"?>
<Relationships xmlns="http://schemas.openxmlformats.org/package/2006/relationships"><Relationship Id="rId2" Type="http://schemas.openxmlformats.org/officeDocument/2006/relationships/drawing" Target="../drawings/drawing210.xml"/><Relationship Id="rId1" Type="http://schemas.openxmlformats.org/officeDocument/2006/relationships/printerSettings" Target="../printerSettings/printerSettings211.bin"/></Relationships>
</file>

<file path=xl/worksheets/_rels/sheet213.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212.bin"/></Relationships>
</file>

<file path=xl/worksheets/_rels/sheet214.xml.rels><?xml version="1.0" encoding="UTF-8" standalone="yes"?>
<Relationships xmlns="http://schemas.openxmlformats.org/package/2006/relationships"><Relationship Id="rId2" Type="http://schemas.openxmlformats.org/officeDocument/2006/relationships/drawing" Target="../drawings/drawing212.xml"/><Relationship Id="rId1" Type="http://schemas.openxmlformats.org/officeDocument/2006/relationships/printerSettings" Target="../printerSettings/printerSettings213.bin"/></Relationships>
</file>

<file path=xl/worksheets/_rels/sheet215.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214.bin"/></Relationships>
</file>

<file path=xl/worksheets/_rels/sheet216.xml.rels><?xml version="1.0" encoding="UTF-8" standalone="yes"?>
<Relationships xmlns="http://schemas.openxmlformats.org/package/2006/relationships"><Relationship Id="rId2" Type="http://schemas.openxmlformats.org/officeDocument/2006/relationships/drawing" Target="../drawings/drawing214.xml"/><Relationship Id="rId1" Type="http://schemas.openxmlformats.org/officeDocument/2006/relationships/printerSettings" Target="../printerSettings/printerSettings215.bin"/></Relationships>
</file>

<file path=xl/worksheets/_rels/sheet217.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216.bin"/></Relationships>
</file>

<file path=xl/worksheets/_rels/sheet218.xml.rels><?xml version="1.0" encoding="UTF-8" standalone="yes"?>
<Relationships xmlns="http://schemas.openxmlformats.org/package/2006/relationships"><Relationship Id="rId2" Type="http://schemas.openxmlformats.org/officeDocument/2006/relationships/drawing" Target="../drawings/drawing216.xml"/><Relationship Id="rId1" Type="http://schemas.openxmlformats.org/officeDocument/2006/relationships/printerSettings" Target="../printerSettings/printerSettings217.bin"/></Relationships>
</file>

<file path=xl/worksheets/_rels/sheet21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218.bin"/></Relationships>
</file>

<file path=xl/worksheets/_rels/sheet220.xml.rels><?xml version="1.0" encoding="UTF-8" standalone="yes"?>
<Relationships xmlns="http://schemas.openxmlformats.org/package/2006/relationships"><Relationship Id="rId2" Type="http://schemas.openxmlformats.org/officeDocument/2006/relationships/drawing" Target="../drawings/drawing218.xml"/><Relationship Id="rId1" Type="http://schemas.openxmlformats.org/officeDocument/2006/relationships/printerSettings" Target="../printerSettings/printerSettings219.bin"/></Relationships>
</file>

<file path=xl/worksheets/_rels/sheet221.xml.rels><?xml version="1.0" encoding="UTF-8" standalone="yes"?>
<Relationships xmlns="http://schemas.openxmlformats.org/package/2006/relationships"><Relationship Id="rId2" Type="http://schemas.openxmlformats.org/officeDocument/2006/relationships/drawing" Target="../drawings/drawing219.xml"/><Relationship Id="rId1" Type="http://schemas.openxmlformats.org/officeDocument/2006/relationships/printerSettings" Target="../printerSettings/printerSettings220.bin"/></Relationships>
</file>

<file path=xl/worksheets/_rels/sheet222.xml.rels><?xml version="1.0" encoding="UTF-8" standalone="yes"?>
<Relationships xmlns="http://schemas.openxmlformats.org/package/2006/relationships"><Relationship Id="rId2" Type="http://schemas.openxmlformats.org/officeDocument/2006/relationships/drawing" Target="../drawings/drawing220.xml"/><Relationship Id="rId1" Type="http://schemas.openxmlformats.org/officeDocument/2006/relationships/printerSettings" Target="../printerSettings/printerSettings221.bin"/></Relationships>
</file>

<file path=xl/worksheets/_rels/sheet223.xml.rels><?xml version="1.0" encoding="UTF-8" standalone="yes"?>
<Relationships xmlns="http://schemas.openxmlformats.org/package/2006/relationships"><Relationship Id="rId2" Type="http://schemas.openxmlformats.org/officeDocument/2006/relationships/drawing" Target="../drawings/drawing221.xml"/><Relationship Id="rId1" Type="http://schemas.openxmlformats.org/officeDocument/2006/relationships/printerSettings" Target="../printerSettings/printerSettings222.bin"/></Relationships>
</file>

<file path=xl/worksheets/_rels/sheet224.xml.rels><?xml version="1.0" encoding="UTF-8" standalone="yes"?>
<Relationships xmlns="http://schemas.openxmlformats.org/package/2006/relationships"><Relationship Id="rId2" Type="http://schemas.openxmlformats.org/officeDocument/2006/relationships/drawing" Target="../drawings/drawing222.xml"/><Relationship Id="rId1" Type="http://schemas.openxmlformats.org/officeDocument/2006/relationships/printerSettings" Target="../printerSettings/printerSettings223.bin"/></Relationships>
</file>

<file path=xl/worksheets/_rels/sheet225.xml.rels><?xml version="1.0" encoding="UTF-8" standalone="yes"?>
<Relationships xmlns="http://schemas.openxmlformats.org/package/2006/relationships"><Relationship Id="rId2" Type="http://schemas.openxmlformats.org/officeDocument/2006/relationships/drawing" Target="../drawings/drawing223.xml"/><Relationship Id="rId1" Type="http://schemas.openxmlformats.org/officeDocument/2006/relationships/printerSettings" Target="../printerSettings/printerSettings224.bin"/></Relationships>
</file>

<file path=xl/worksheets/_rels/sheet226.xml.rels><?xml version="1.0" encoding="UTF-8" standalone="yes"?>
<Relationships xmlns="http://schemas.openxmlformats.org/package/2006/relationships"><Relationship Id="rId2" Type="http://schemas.openxmlformats.org/officeDocument/2006/relationships/drawing" Target="../drawings/drawing224.xml"/><Relationship Id="rId1" Type="http://schemas.openxmlformats.org/officeDocument/2006/relationships/printerSettings" Target="../printerSettings/printerSettings225.bin"/></Relationships>
</file>

<file path=xl/worksheets/_rels/sheet227.xml.rels><?xml version="1.0" encoding="UTF-8" standalone="yes"?>
<Relationships xmlns="http://schemas.openxmlformats.org/package/2006/relationships"><Relationship Id="rId2" Type="http://schemas.openxmlformats.org/officeDocument/2006/relationships/drawing" Target="../drawings/drawing225.xml"/><Relationship Id="rId1" Type="http://schemas.openxmlformats.org/officeDocument/2006/relationships/printerSettings" Target="../printerSettings/printerSettings226.bin"/></Relationships>
</file>

<file path=xl/worksheets/_rels/sheet228.xml.rels><?xml version="1.0" encoding="UTF-8" standalone="yes"?>
<Relationships xmlns="http://schemas.openxmlformats.org/package/2006/relationships"><Relationship Id="rId2" Type="http://schemas.openxmlformats.org/officeDocument/2006/relationships/drawing" Target="../drawings/drawing226.xml"/><Relationship Id="rId1" Type="http://schemas.openxmlformats.org/officeDocument/2006/relationships/printerSettings" Target="../printerSettings/printerSettings227.bin"/></Relationships>
</file>

<file path=xl/worksheets/_rels/sheet229.xml.rels><?xml version="1.0" encoding="UTF-8" standalone="yes"?>
<Relationships xmlns="http://schemas.openxmlformats.org/package/2006/relationships"><Relationship Id="rId2" Type="http://schemas.openxmlformats.org/officeDocument/2006/relationships/drawing" Target="../drawings/drawing227.xml"/><Relationship Id="rId1" Type="http://schemas.openxmlformats.org/officeDocument/2006/relationships/printerSettings" Target="../printerSettings/printerSettings228.bin"/></Relationships>
</file>

<file path=xl/worksheets/_rels/sheet230.xml.rels><?xml version="1.0" encoding="UTF-8" standalone="yes"?>
<Relationships xmlns="http://schemas.openxmlformats.org/package/2006/relationships"><Relationship Id="rId2" Type="http://schemas.openxmlformats.org/officeDocument/2006/relationships/drawing" Target="../drawings/drawing228.xml"/><Relationship Id="rId1" Type="http://schemas.openxmlformats.org/officeDocument/2006/relationships/printerSettings" Target="../printerSettings/printerSettings229.bin"/></Relationships>
</file>

<file path=xl/worksheets/_rels/sheet231.xml.rels><?xml version="1.0" encoding="UTF-8" standalone="yes"?>
<Relationships xmlns="http://schemas.openxmlformats.org/package/2006/relationships"><Relationship Id="rId2" Type="http://schemas.openxmlformats.org/officeDocument/2006/relationships/drawing" Target="../drawings/drawing229.xml"/><Relationship Id="rId1" Type="http://schemas.openxmlformats.org/officeDocument/2006/relationships/printerSettings" Target="../printerSettings/printerSettings230.bin"/></Relationships>
</file>

<file path=xl/worksheets/_rels/sheet232.xml.rels><?xml version="1.0" encoding="UTF-8" standalone="yes"?>
<Relationships xmlns="http://schemas.openxmlformats.org/package/2006/relationships"><Relationship Id="rId2" Type="http://schemas.openxmlformats.org/officeDocument/2006/relationships/drawing" Target="../drawings/drawing230.xml"/><Relationship Id="rId1" Type="http://schemas.openxmlformats.org/officeDocument/2006/relationships/printerSettings" Target="../printerSettings/printerSettings231.bin"/></Relationships>
</file>

<file path=xl/worksheets/_rels/sheet233.xml.rels><?xml version="1.0" encoding="UTF-8" standalone="yes"?>
<Relationships xmlns="http://schemas.openxmlformats.org/package/2006/relationships"><Relationship Id="rId2" Type="http://schemas.openxmlformats.org/officeDocument/2006/relationships/drawing" Target="../drawings/drawing231.xml"/><Relationship Id="rId1" Type="http://schemas.openxmlformats.org/officeDocument/2006/relationships/printerSettings" Target="../printerSettings/printerSettings232.bin"/></Relationships>
</file>

<file path=xl/worksheets/_rels/sheet234.xml.rels><?xml version="1.0" encoding="UTF-8" standalone="yes"?>
<Relationships xmlns="http://schemas.openxmlformats.org/package/2006/relationships"><Relationship Id="rId2" Type="http://schemas.openxmlformats.org/officeDocument/2006/relationships/drawing" Target="../drawings/drawing232.xml"/><Relationship Id="rId1" Type="http://schemas.openxmlformats.org/officeDocument/2006/relationships/printerSettings" Target="../printerSettings/printerSettings233.bin"/></Relationships>
</file>

<file path=xl/worksheets/_rels/sheet235.xml.rels><?xml version="1.0" encoding="UTF-8" standalone="yes"?>
<Relationships xmlns="http://schemas.openxmlformats.org/package/2006/relationships"><Relationship Id="rId2" Type="http://schemas.openxmlformats.org/officeDocument/2006/relationships/drawing" Target="../drawings/drawing233.xml"/><Relationship Id="rId1" Type="http://schemas.openxmlformats.org/officeDocument/2006/relationships/printerSettings" Target="../printerSettings/printerSettings234.bin"/></Relationships>
</file>

<file path=xl/worksheets/_rels/sheet236.xml.rels><?xml version="1.0" encoding="UTF-8" standalone="yes"?>
<Relationships xmlns="http://schemas.openxmlformats.org/package/2006/relationships"><Relationship Id="rId2" Type="http://schemas.openxmlformats.org/officeDocument/2006/relationships/drawing" Target="../drawings/drawing234.xml"/><Relationship Id="rId1" Type="http://schemas.openxmlformats.org/officeDocument/2006/relationships/printerSettings" Target="../printerSettings/printerSettings235.bin"/></Relationships>
</file>

<file path=xl/worksheets/_rels/sheet237.xml.rels><?xml version="1.0" encoding="UTF-8" standalone="yes"?>
<Relationships xmlns="http://schemas.openxmlformats.org/package/2006/relationships"><Relationship Id="rId2" Type="http://schemas.openxmlformats.org/officeDocument/2006/relationships/drawing" Target="../drawings/drawing235.xml"/><Relationship Id="rId1" Type="http://schemas.openxmlformats.org/officeDocument/2006/relationships/printerSettings" Target="../printerSettings/printerSettings236.bin"/></Relationships>
</file>

<file path=xl/worksheets/_rels/sheet238.xml.rels><?xml version="1.0" encoding="UTF-8" standalone="yes"?>
<Relationships xmlns="http://schemas.openxmlformats.org/package/2006/relationships"><Relationship Id="rId2" Type="http://schemas.openxmlformats.org/officeDocument/2006/relationships/drawing" Target="../drawings/drawing236.xml"/><Relationship Id="rId1" Type="http://schemas.openxmlformats.org/officeDocument/2006/relationships/printerSettings" Target="../printerSettings/printerSettings237.bin"/></Relationships>
</file>

<file path=xl/worksheets/_rels/sheet239.xml.rels><?xml version="1.0" encoding="UTF-8" standalone="yes"?>
<Relationships xmlns="http://schemas.openxmlformats.org/package/2006/relationships"><Relationship Id="rId2" Type="http://schemas.openxmlformats.org/officeDocument/2006/relationships/drawing" Target="../drawings/drawing237.xml"/><Relationship Id="rId1" Type="http://schemas.openxmlformats.org/officeDocument/2006/relationships/printerSettings" Target="../printerSettings/printerSettings238.bin"/></Relationships>
</file>

<file path=xl/worksheets/_rels/sheet240.xml.rels><?xml version="1.0" encoding="UTF-8" standalone="yes"?>
<Relationships xmlns="http://schemas.openxmlformats.org/package/2006/relationships"><Relationship Id="rId2" Type="http://schemas.openxmlformats.org/officeDocument/2006/relationships/drawing" Target="../drawings/drawing238.xml"/><Relationship Id="rId1" Type="http://schemas.openxmlformats.org/officeDocument/2006/relationships/printerSettings" Target="../printerSettings/printerSettings239.bin"/></Relationships>
</file>

<file path=xl/worksheets/_rels/sheet241.xml.rels><?xml version="1.0" encoding="UTF-8" standalone="yes"?>
<Relationships xmlns="http://schemas.openxmlformats.org/package/2006/relationships"><Relationship Id="rId2" Type="http://schemas.openxmlformats.org/officeDocument/2006/relationships/drawing" Target="../drawings/drawing239.xml"/><Relationship Id="rId1" Type="http://schemas.openxmlformats.org/officeDocument/2006/relationships/printerSettings" Target="../printerSettings/printerSettings240.bin"/></Relationships>
</file>

<file path=xl/worksheets/_rels/sheet242.xml.rels><?xml version="1.0" encoding="UTF-8" standalone="yes"?>
<Relationships xmlns="http://schemas.openxmlformats.org/package/2006/relationships"><Relationship Id="rId2" Type="http://schemas.openxmlformats.org/officeDocument/2006/relationships/drawing" Target="../drawings/drawing240.xml"/><Relationship Id="rId1" Type="http://schemas.openxmlformats.org/officeDocument/2006/relationships/printerSettings" Target="../printerSettings/printerSettings241.bin"/></Relationships>
</file>

<file path=xl/worksheets/_rels/sheet243.xml.rels><?xml version="1.0" encoding="UTF-8" standalone="yes"?>
<Relationships xmlns="http://schemas.openxmlformats.org/package/2006/relationships"><Relationship Id="rId2" Type="http://schemas.openxmlformats.org/officeDocument/2006/relationships/drawing" Target="../drawings/drawing241.xml"/><Relationship Id="rId1" Type="http://schemas.openxmlformats.org/officeDocument/2006/relationships/printerSettings" Target="../printerSettings/printerSettings242.bin"/></Relationships>
</file>

<file path=xl/worksheets/_rels/sheet244.xml.rels><?xml version="1.0" encoding="UTF-8" standalone="yes"?>
<Relationships xmlns="http://schemas.openxmlformats.org/package/2006/relationships"><Relationship Id="rId2" Type="http://schemas.openxmlformats.org/officeDocument/2006/relationships/drawing" Target="../drawings/drawing242.xml"/><Relationship Id="rId1" Type="http://schemas.openxmlformats.org/officeDocument/2006/relationships/printerSettings" Target="../printerSettings/printerSettings243.bin"/></Relationships>
</file>

<file path=xl/worksheets/_rels/sheet245.xml.rels><?xml version="1.0" encoding="UTF-8" standalone="yes"?>
<Relationships xmlns="http://schemas.openxmlformats.org/package/2006/relationships"><Relationship Id="rId2" Type="http://schemas.openxmlformats.org/officeDocument/2006/relationships/drawing" Target="../drawings/drawing243.xml"/><Relationship Id="rId1" Type="http://schemas.openxmlformats.org/officeDocument/2006/relationships/printerSettings" Target="../printerSettings/printerSettings244.bin"/></Relationships>
</file>

<file path=xl/worksheets/_rels/sheet246.xml.rels><?xml version="1.0" encoding="UTF-8" standalone="yes"?>
<Relationships xmlns="http://schemas.openxmlformats.org/package/2006/relationships"><Relationship Id="rId2" Type="http://schemas.openxmlformats.org/officeDocument/2006/relationships/drawing" Target="../drawings/drawing244.xml"/><Relationship Id="rId1" Type="http://schemas.openxmlformats.org/officeDocument/2006/relationships/printerSettings" Target="../printerSettings/printerSettings245.bin"/></Relationships>
</file>

<file path=xl/worksheets/_rels/sheet247.xml.rels><?xml version="1.0" encoding="UTF-8" standalone="yes"?>
<Relationships xmlns="http://schemas.openxmlformats.org/package/2006/relationships"><Relationship Id="rId2" Type="http://schemas.openxmlformats.org/officeDocument/2006/relationships/drawing" Target="../drawings/drawing245.xml"/><Relationship Id="rId1" Type="http://schemas.openxmlformats.org/officeDocument/2006/relationships/printerSettings" Target="../printerSettings/printerSettings246.bin"/></Relationships>
</file>

<file path=xl/worksheets/_rels/sheet248.xml.rels><?xml version="1.0" encoding="UTF-8" standalone="yes"?>
<Relationships xmlns="http://schemas.openxmlformats.org/package/2006/relationships"><Relationship Id="rId2" Type="http://schemas.openxmlformats.org/officeDocument/2006/relationships/drawing" Target="../drawings/drawing246.xml"/><Relationship Id="rId1" Type="http://schemas.openxmlformats.org/officeDocument/2006/relationships/printerSettings" Target="../printerSettings/printerSettings247.bin"/></Relationships>
</file>

<file path=xl/worksheets/_rels/sheet249.xml.rels><?xml version="1.0" encoding="UTF-8" standalone="yes"?>
<Relationships xmlns="http://schemas.openxmlformats.org/package/2006/relationships"><Relationship Id="rId2" Type="http://schemas.openxmlformats.org/officeDocument/2006/relationships/drawing" Target="../drawings/drawing247.xml"/><Relationship Id="rId1" Type="http://schemas.openxmlformats.org/officeDocument/2006/relationships/printerSettings" Target="../printerSettings/printerSettings248.bin"/></Relationships>
</file>

<file path=xl/worksheets/_rels/sheet250.xml.rels><?xml version="1.0" encoding="UTF-8" standalone="yes"?>
<Relationships xmlns="http://schemas.openxmlformats.org/package/2006/relationships"><Relationship Id="rId2" Type="http://schemas.openxmlformats.org/officeDocument/2006/relationships/drawing" Target="../drawings/drawing248.xml"/><Relationship Id="rId1" Type="http://schemas.openxmlformats.org/officeDocument/2006/relationships/printerSettings" Target="../printerSettings/printerSettings2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E844-84C4-41C1-B498-17D40B44567E}">
  <sheetPr>
    <tabColor theme="4" tint="-0.249977111117893"/>
    <pageSetUpPr fitToPage="1"/>
  </sheetPr>
  <dimension ref="A1:G43"/>
  <sheetViews>
    <sheetView topLeftCell="A7" zoomScaleNormal="100" workbookViewId="0">
      <selection activeCell="A14" sqref="A14:D20"/>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416</v>
      </c>
      <c r="B7" s="228"/>
      <c r="C7" s="229"/>
      <c r="D7" s="229"/>
      <c r="E7" s="10"/>
      <c r="F7" s="10"/>
      <c r="G7" s="10"/>
    </row>
    <row r="8" spans="1:7" s="4" customFormat="1" ht="19.2" x14ac:dyDescent="0.45">
      <c r="A8" s="227" t="s">
        <v>417</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419</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234" t="s">
        <v>425</v>
      </c>
      <c r="B13" s="231"/>
      <c r="C13" s="232"/>
      <c r="D13" s="233"/>
      <c r="E13" s="17"/>
      <c r="F13" s="17"/>
    </row>
    <row r="14" spans="1:7" s="4" customFormat="1" ht="16.8" x14ac:dyDescent="0.4">
      <c r="A14" s="18"/>
      <c r="B14" s="19" t="s">
        <v>7</v>
      </c>
      <c r="C14" s="20"/>
      <c r="D14" s="20"/>
      <c r="E14" s="1"/>
      <c r="F14" s="1"/>
    </row>
    <row r="15" spans="1:7" s="17" customFormat="1" ht="30" x14ac:dyDescent="0.25">
      <c r="A15" s="21">
        <v>10</v>
      </c>
      <c r="B15" s="22" t="s">
        <v>422</v>
      </c>
      <c r="C15" s="23">
        <v>3068.9</v>
      </c>
      <c r="D15" s="24">
        <f t="shared" ref="D15:D17" si="0">A15*C15</f>
        <v>30689</v>
      </c>
      <c r="E15" s="25"/>
      <c r="F15" s="26"/>
    </row>
    <row r="16" spans="1:7" ht="30" x14ac:dyDescent="0.25">
      <c r="A16" s="27">
        <v>1</v>
      </c>
      <c r="B16" s="28" t="s">
        <v>421</v>
      </c>
      <c r="C16" s="29">
        <v>5879.3</v>
      </c>
      <c r="D16" s="30">
        <f t="shared" si="0"/>
        <v>5879.3</v>
      </c>
      <c r="F16" s="26"/>
    </row>
    <row r="17" spans="1:6" s="26" customFormat="1" ht="30" x14ac:dyDescent="0.25">
      <c r="A17" s="27">
        <v>1</v>
      </c>
      <c r="B17" s="28" t="s">
        <v>424</v>
      </c>
      <c r="C17" s="31">
        <v>2327.6</v>
      </c>
      <c r="D17" s="30">
        <f t="shared" si="0"/>
        <v>2327.6</v>
      </c>
      <c r="E17" s="1"/>
    </row>
    <row r="18" spans="1:6" ht="30" x14ac:dyDescent="0.25">
      <c r="A18" s="21">
        <v>10</v>
      </c>
      <c r="B18" s="22" t="s">
        <v>423</v>
      </c>
      <c r="C18" s="23">
        <v>1138</v>
      </c>
      <c r="D18" s="24">
        <f t="shared" ref="D18:D20" si="1">A18*C18</f>
        <v>11380</v>
      </c>
      <c r="F18" s="26"/>
    </row>
    <row r="19" spans="1:6" ht="30" x14ac:dyDescent="0.25">
      <c r="A19" s="27">
        <v>1</v>
      </c>
      <c r="B19" s="28" t="s">
        <v>421</v>
      </c>
      <c r="C19" s="29">
        <v>3534.5</v>
      </c>
      <c r="D19" s="30">
        <f t="shared" si="1"/>
        <v>3534.5</v>
      </c>
      <c r="F19" s="26"/>
    </row>
    <row r="20" spans="1:6" ht="30" x14ac:dyDescent="0.25">
      <c r="A20" s="27">
        <v>1</v>
      </c>
      <c r="B20" s="28" t="s">
        <v>8</v>
      </c>
      <c r="C20" s="31">
        <v>1551.7</v>
      </c>
      <c r="D20" s="30">
        <f t="shared" si="1"/>
        <v>1551.7</v>
      </c>
    </row>
    <row r="21" spans="1:6" ht="15.6" x14ac:dyDescent="0.25">
      <c r="A21" s="89"/>
      <c r="B21" s="90"/>
      <c r="C21" s="91" t="s">
        <v>38</v>
      </c>
      <c r="D21" s="75">
        <f>SUM(D15:D20)</f>
        <v>55362.1</v>
      </c>
    </row>
    <row r="22" spans="1:6" ht="15.6" x14ac:dyDescent="0.3">
      <c r="A22" s="92"/>
      <c r="B22" s="90"/>
      <c r="C22" s="93" t="s">
        <v>39</v>
      </c>
      <c r="D22" s="75">
        <f>D21*0.16</f>
        <v>8857.9359999999997</v>
      </c>
    </row>
    <row r="23" spans="1:6" ht="16.2" thickBot="1" x14ac:dyDescent="0.35">
      <c r="A23" s="92"/>
      <c r="B23" s="90"/>
      <c r="C23" s="94" t="s">
        <v>40</v>
      </c>
      <c r="D23" s="95">
        <f>D21+D22</f>
        <v>64220.036</v>
      </c>
    </row>
    <row r="24" spans="1:6" ht="16.2" thickBot="1" x14ac:dyDescent="0.3">
      <c r="A24" s="92"/>
      <c r="B24" s="1023" t="s">
        <v>426</v>
      </c>
      <c r="C24" s="1024"/>
      <c r="D24" s="1025"/>
    </row>
    <row r="25" spans="1:6" ht="15" x14ac:dyDescent="0.25">
      <c r="A25" s="34"/>
      <c r="B25" s="35" t="s">
        <v>11</v>
      </c>
      <c r="C25" s="1"/>
      <c r="D25" s="1"/>
    </row>
    <row r="26" spans="1:6" ht="15" x14ac:dyDescent="0.25">
      <c r="A26" s="34"/>
      <c r="B26" s="408" t="s">
        <v>428</v>
      </c>
      <c r="C26" s="1"/>
      <c r="D26" s="1"/>
    </row>
    <row r="27" spans="1:6" ht="15" x14ac:dyDescent="0.25">
      <c r="A27" s="34"/>
      <c r="B27" s="131" t="s">
        <v>429</v>
      </c>
      <c r="C27" s="1"/>
      <c r="D27" s="1"/>
    </row>
    <row r="28" spans="1:6" ht="15" x14ac:dyDescent="0.25">
      <c r="A28" s="34"/>
      <c r="B28" s="408" t="s">
        <v>430</v>
      </c>
      <c r="C28" s="1"/>
      <c r="D28" s="1"/>
    </row>
    <row r="29" spans="1:6" ht="13.8" x14ac:dyDescent="0.25">
      <c r="B29" s="130" t="s">
        <v>431</v>
      </c>
      <c r="C29" s="1"/>
      <c r="D29" s="1"/>
    </row>
    <row r="30" spans="1:6" ht="15" x14ac:dyDescent="0.25">
      <c r="A30" s="34"/>
      <c r="B30" s="35" t="s">
        <v>15</v>
      </c>
      <c r="C30" s="37"/>
      <c r="D30" s="37"/>
    </row>
    <row r="31" spans="1:6" ht="27.6" x14ac:dyDescent="0.25">
      <c r="A31" s="34"/>
      <c r="B31" s="36" t="s">
        <v>17</v>
      </c>
      <c r="C31" s="38"/>
      <c r="D31" s="39"/>
    </row>
    <row r="32" spans="1:6" ht="15" x14ac:dyDescent="0.25">
      <c r="A32" s="34"/>
      <c r="B32" s="40" t="s">
        <v>18</v>
      </c>
      <c r="C32" s="38"/>
      <c r="D32" s="38"/>
    </row>
    <row r="33" spans="1:4" ht="15" x14ac:dyDescent="0.25">
      <c r="A33" s="34"/>
      <c r="B33" s="134" t="s">
        <v>19</v>
      </c>
      <c r="C33" s="38"/>
      <c r="D33" s="38"/>
    </row>
    <row r="34" spans="1:4" ht="13.8" x14ac:dyDescent="0.25">
      <c r="B34" s="135" t="s">
        <v>20</v>
      </c>
      <c r="D34" s="41"/>
    </row>
    <row r="35" spans="1:4" ht="15" x14ac:dyDescent="0.25">
      <c r="A35" s="34"/>
      <c r="B35" s="40" t="s">
        <v>21</v>
      </c>
      <c r="C35" s="38"/>
      <c r="D35" s="39"/>
    </row>
    <row r="36" spans="1:4" ht="15" x14ac:dyDescent="0.25">
      <c r="A36" s="34"/>
      <c r="B36" s="179" t="s">
        <v>427</v>
      </c>
      <c r="C36" s="38"/>
      <c r="D36" s="39"/>
    </row>
    <row r="37" spans="1:4" ht="13.8" x14ac:dyDescent="0.25">
      <c r="A37" s="42" t="s">
        <v>0</v>
      </c>
      <c r="B37" s="131" t="s">
        <v>22</v>
      </c>
      <c r="C37" s="38"/>
      <c r="D37" s="38"/>
    </row>
    <row r="38" spans="1:4" ht="50.4" x14ac:dyDescent="0.25">
      <c r="A38" s="43"/>
      <c r="B38" s="183" t="s">
        <v>23</v>
      </c>
      <c r="C38" s="45"/>
      <c r="D38" s="45"/>
    </row>
    <row r="39" spans="1:4" ht="16.8" x14ac:dyDescent="0.4">
      <c r="A39" s="46"/>
      <c r="B39" s="44"/>
      <c r="C39" s="47"/>
      <c r="D39" s="1"/>
    </row>
    <row r="40" spans="1:4" x14ac:dyDescent="0.25">
      <c r="A40" s="46"/>
      <c r="B40" s="47"/>
      <c r="C40" s="47"/>
      <c r="D40" s="1"/>
    </row>
    <row r="41" spans="1:4" x14ac:dyDescent="0.25">
      <c r="A41" s="48"/>
      <c r="B41" s="47"/>
      <c r="C41" s="47"/>
      <c r="D41" s="1"/>
    </row>
    <row r="42" spans="1:4" x14ac:dyDescent="0.25">
      <c r="A42" s="50" t="s">
        <v>0</v>
      </c>
      <c r="B42" s="49"/>
      <c r="C42" s="47"/>
      <c r="D42" s="47"/>
    </row>
    <row r="43" spans="1:4" ht="15" x14ac:dyDescent="0.35">
      <c r="A43" s="1" t="s">
        <v>0</v>
      </c>
      <c r="B43" s="51"/>
    </row>
  </sheetData>
  <mergeCells count="2">
    <mergeCell ref="A4:D4"/>
    <mergeCell ref="B24:D24"/>
  </mergeCells>
  <printOptions horizontalCentered="1"/>
  <pageMargins left="0.25" right="0.25" top="0.75" bottom="0.75" header="0.3" footer="0.3"/>
  <pageSetup scale="76" fitToWidth="0" orientation="portrait" r:id="rId1"/>
  <headerFooter alignWithMargins="0">
    <oddFooter>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F1E1-8F9C-4789-90F1-662D4B10E8C7}">
  <sheetPr>
    <pageSetUpPr fitToPage="1"/>
  </sheetPr>
  <dimension ref="A1:F69"/>
  <sheetViews>
    <sheetView zoomScaleNormal="100" workbookViewId="0">
      <selection activeCell="A26" sqref="A26:D29"/>
    </sheetView>
  </sheetViews>
  <sheetFormatPr baseColWidth="10" defaultColWidth="11.44140625" defaultRowHeight="13.2" x14ac:dyDescent="0.25"/>
  <cols>
    <col min="1" max="1" width="6" style="52" customWidth="1"/>
    <col min="2" max="2" width="112.3320312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24</v>
      </c>
      <c r="B8" s="10"/>
      <c r="C8" s="58"/>
      <c r="D8" s="58"/>
    </row>
    <row r="9" spans="1:5" s="55" customFormat="1" ht="16.8" x14ac:dyDescent="0.4">
      <c r="A9" s="57" t="s">
        <v>25</v>
      </c>
      <c r="B9" s="10"/>
      <c r="C9" s="58"/>
      <c r="D9" s="58"/>
    </row>
    <row r="10" spans="1:5" s="55" customFormat="1" ht="16.8" x14ac:dyDescent="0.4">
      <c r="A10" s="57" t="s">
        <v>26</v>
      </c>
      <c r="B10" s="10"/>
      <c r="C10" s="58"/>
      <c r="D10" s="58"/>
    </row>
    <row r="11" spans="1:5" s="55" customFormat="1" ht="16.8" x14ac:dyDescent="0.4">
      <c r="A11" s="57" t="s">
        <v>27</v>
      </c>
      <c r="B11" s="10"/>
      <c r="C11" s="59"/>
      <c r="D11" s="58"/>
    </row>
    <row r="12" spans="1:5" s="55" customFormat="1" ht="15" customHeight="1" x14ac:dyDescent="0.4">
      <c r="A12" s="60" t="s">
        <v>47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48</v>
      </c>
      <c r="C16" s="74">
        <v>27000</v>
      </c>
      <c r="D16" s="75">
        <f>A16*C16</f>
        <v>27000</v>
      </c>
      <c r="E16" s="76"/>
    </row>
    <row r="17" spans="1:6" ht="17.25" customHeight="1" x14ac:dyDescent="0.25">
      <c r="A17" s="77">
        <v>1</v>
      </c>
      <c r="B17" s="78" t="s">
        <v>49</v>
      </c>
      <c r="C17" s="79">
        <f>(229904)*1.3</f>
        <v>298875.2</v>
      </c>
      <c r="D17" s="80">
        <f>A17*C17</f>
        <v>298875.2</v>
      </c>
      <c r="E17" s="76"/>
    </row>
    <row r="18" spans="1:6" ht="15.6" x14ac:dyDescent="0.25">
      <c r="A18" s="77">
        <v>1</v>
      </c>
      <c r="B18" s="81" t="s">
        <v>50</v>
      </c>
      <c r="C18" s="82">
        <f>(118771)*(1.24)</f>
        <v>147276.04</v>
      </c>
      <c r="D18" s="83">
        <f t="shared" ref="D18" si="0">A18*C18</f>
        <v>147276.04</v>
      </c>
      <c r="E18" s="76"/>
    </row>
    <row r="19" spans="1:6" ht="30" x14ac:dyDescent="0.25">
      <c r="A19" s="72">
        <v>4</v>
      </c>
      <c r="B19" s="73" t="s">
        <v>33</v>
      </c>
      <c r="C19" s="74">
        <v>4200</v>
      </c>
      <c r="D19" s="75">
        <f>A19*C19</f>
        <v>16800</v>
      </c>
      <c r="E19" s="76"/>
    </row>
    <row r="20" spans="1:6" ht="15.6" x14ac:dyDescent="0.25">
      <c r="A20" s="84">
        <v>250</v>
      </c>
      <c r="B20" s="85" t="s">
        <v>34</v>
      </c>
      <c r="C20" s="86">
        <v>16.12</v>
      </c>
      <c r="D20" s="87">
        <f>A20*C20</f>
        <v>4030.0000000000005</v>
      </c>
      <c r="E20" s="76"/>
    </row>
    <row r="21" spans="1:6" ht="15.6" x14ac:dyDescent="0.25">
      <c r="A21" s="84">
        <v>1</v>
      </c>
      <c r="B21" s="85" t="s">
        <v>35</v>
      </c>
      <c r="C21" s="88">
        <f>(5150)*(2)</f>
        <v>10300</v>
      </c>
      <c r="D21" s="83">
        <f t="shared" ref="D21" si="1">A21*C21</f>
        <v>10300</v>
      </c>
      <c r="E21" s="76"/>
    </row>
    <row r="22" spans="1:6" ht="15.6" x14ac:dyDescent="0.25">
      <c r="A22" s="72">
        <v>2</v>
      </c>
      <c r="B22" s="73" t="s">
        <v>36</v>
      </c>
      <c r="C22" s="74">
        <v>2209</v>
      </c>
      <c r="D22" s="75">
        <f>A22*C22</f>
        <v>4418</v>
      </c>
      <c r="E22" s="76"/>
    </row>
    <row r="23" spans="1:6" ht="45" x14ac:dyDescent="0.25">
      <c r="A23" s="72">
        <v>1</v>
      </c>
      <c r="B23" s="73" t="s">
        <v>37</v>
      </c>
      <c r="C23" s="74">
        <v>23000</v>
      </c>
      <c r="D23" s="75">
        <f>A23*C23</f>
        <v>23000</v>
      </c>
      <c r="E23" s="76"/>
    </row>
    <row r="24" spans="1:6" ht="45" x14ac:dyDescent="0.25">
      <c r="A24" s="72">
        <v>1</v>
      </c>
      <c r="B24" s="73" t="s">
        <v>46</v>
      </c>
      <c r="C24" s="74">
        <v>6800</v>
      </c>
      <c r="D24" s="75">
        <f>A24*C24</f>
        <v>6800</v>
      </c>
      <c r="E24" s="76"/>
    </row>
    <row r="25" spans="1:6" ht="12" customHeight="1" x14ac:dyDescent="0.25">
      <c r="A25" s="72"/>
      <c r="B25" s="75"/>
      <c r="C25" s="75"/>
      <c r="D25" s="75"/>
      <c r="E25" s="76"/>
    </row>
    <row r="26" spans="1:6" ht="18.75" customHeight="1" x14ac:dyDescent="0.25">
      <c r="A26" s="89"/>
      <c r="B26" s="90"/>
      <c r="C26" s="91" t="s">
        <v>38</v>
      </c>
      <c r="D26" s="75">
        <f>SUM(D16:D24)</f>
        <v>538499.24</v>
      </c>
    </row>
    <row r="27" spans="1:6" ht="15.6" x14ac:dyDescent="0.3">
      <c r="A27" s="92"/>
      <c r="B27" s="90"/>
      <c r="C27" s="93" t="s">
        <v>39</v>
      </c>
      <c r="D27" s="75">
        <f>D26*0.16</f>
        <v>86159.878400000001</v>
      </c>
      <c r="E27" s="96"/>
    </row>
    <row r="28" spans="1:6" ht="15.75" customHeight="1" thickBot="1" x14ac:dyDescent="0.35">
      <c r="A28" s="92"/>
      <c r="B28" s="90"/>
      <c r="C28" s="94" t="s">
        <v>40</v>
      </c>
      <c r="D28" s="95">
        <f>D26+D27</f>
        <v>624659.11840000004</v>
      </c>
      <c r="E28" s="96"/>
      <c r="F28" s="96"/>
    </row>
    <row r="29" spans="1:6" s="96" customFormat="1" ht="16.2" thickBot="1" x14ac:dyDescent="0.3">
      <c r="A29" s="92"/>
      <c r="B29" s="1023" t="s">
        <v>51</v>
      </c>
      <c r="C29" s="1024"/>
      <c r="D29" s="1025"/>
      <c r="E29" s="52"/>
    </row>
    <row r="30" spans="1:6" s="96" customFormat="1" ht="15.75" customHeight="1" x14ac:dyDescent="0.25">
      <c r="A30" s="52"/>
      <c r="B30" s="97" t="s">
        <v>9</v>
      </c>
      <c r="C30" s="98"/>
      <c r="D30" s="99"/>
      <c r="E30" s="52"/>
      <c r="F30" s="52"/>
    </row>
    <row r="31" spans="1:6" ht="13.5" customHeight="1" x14ac:dyDescent="0.25">
      <c r="B31" s="124" t="s">
        <v>41</v>
      </c>
      <c r="C31" s="76"/>
      <c r="D31" s="96"/>
    </row>
    <row r="32" spans="1:6" ht="13.5" customHeight="1" x14ac:dyDescent="0.25">
      <c r="A32" s="96"/>
      <c r="B32" s="100" t="s">
        <v>11</v>
      </c>
      <c r="C32" s="96"/>
      <c r="D32" s="96"/>
    </row>
    <row r="33" spans="1:4" ht="13.5" customHeight="1" x14ac:dyDescent="0.25">
      <c r="A33" s="101"/>
      <c r="B33" s="121" t="s">
        <v>12</v>
      </c>
      <c r="C33" s="52"/>
      <c r="D33" s="52"/>
    </row>
    <row r="34" spans="1:4" ht="15" x14ac:dyDescent="0.25">
      <c r="A34" s="101"/>
      <c r="B34" s="121" t="s">
        <v>13</v>
      </c>
      <c r="C34" s="52"/>
      <c r="D34" s="52"/>
    </row>
    <row r="35" spans="1:4" ht="15" x14ac:dyDescent="0.25">
      <c r="A35" s="101"/>
      <c r="B35" s="121" t="s">
        <v>14</v>
      </c>
      <c r="C35" s="52"/>
      <c r="D35" s="52"/>
    </row>
    <row r="36" spans="1:4" ht="13.5" customHeight="1" x14ac:dyDescent="0.25">
      <c r="A36" s="102"/>
      <c r="B36" s="103" t="s">
        <v>15</v>
      </c>
      <c r="C36" s="52"/>
      <c r="D36" s="52"/>
    </row>
    <row r="37" spans="1:4" ht="13.5" customHeight="1" x14ac:dyDescent="0.25">
      <c r="A37" s="102"/>
      <c r="B37" s="125" t="s">
        <v>42</v>
      </c>
      <c r="C37" s="104"/>
      <c r="D37" s="105"/>
    </row>
    <row r="38" spans="1:4" ht="13.5" customHeight="1" x14ac:dyDescent="0.25">
      <c r="A38" s="106"/>
      <c r="B38" s="125" t="s">
        <v>43</v>
      </c>
      <c r="C38" s="104"/>
      <c r="D38" s="105"/>
    </row>
    <row r="39" spans="1:4" ht="13.5" customHeight="1" x14ac:dyDescent="0.25">
      <c r="A39" s="106"/>
      <c r="B39" s="103" t="s">
        <v>18</v>
      </c>
      <c r="C39" s="107"/>
      <c r="D39" s="105"/>
    </row>
    <row r="40" spans="1:4" ht="13.5" customHeight="1" x14ac:dyDescent="0.25">
      <c r="A40" s="106"/>
      <c r="B40" s="126" t="s">
        <v>53</v>
      </c>
      <c r="C40" s="107"/>
      <c r="D40" s="105"/>
    </row>
    <row r="41" spans="1:4" ht="15" x14ac:dyDescent="0.25">
      <c r="A41" s="106"/>
      <c r="B41" s="127" t="s">
        <v>20</v>
      </c>
      <c r="C41" s="107"/>
      <c r="D41" s="105"/>
    </row>
    <row r="42" spans="1:4" ht="13.8" x14ac:dyDescent="0.25">
      <c r="A42" s="108"/>
      <c r="B42" s="103" t="s">
        <v>21</v>
      </c>
      <c r="C42" s="107"/>
      <c r="D42" s="105"/>
    </row>
    <row r="43" spans="1:4" ht="15" x14ac:dyDescent="0.25">
      <c r="A43" s="106"/>
      <c r="B43" s="122" t="s">
        <v>52</v>
      </c>
      <c r="C43" s="107"/>
      <c r="D43" s="107"/>
    </row>
    <row r="44" spans="1:4" ht="15" x14ac:dyDescent="0.25">
      <c r="A44" s="106"/>
      <c r="B44" s="123" t="s">
        <v>44</v>
      </c>
      <c r="C44" s="107"/>
      <c r="D44" s="107"/>
    </row>
    <row r="45" spans="1:4" ht="15" x14ac:dyDescent="0.25">
      <c r="A45" s="106"/>
      <c r="B45" s="123" t="s">
        <v>45</v>
      </c>
      <c r="C45" s="109"/>
      <c r="D45" s="110"/>
    </row>
    <row r="46" spans="1:4" ht="33.6" x14ac:dyDescent="0.4">
      <c r="A46" s="106"/>
      <c r="B46" s="128"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5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951E-CBDC-4F2B-A545-DA23DBABB23A}">
  <sheetPr>
    <pageSetUpPr fitToPage="1"/>
  </sheetPr>
  <dimension ref="A1:F69"/>
  <sheetViews>
    <sheetView topLeftCell="A11" zoomScaleNormal="100" workbookViewId="0">
      <selection activeCell="D23" sqref="D23"/>
    </sheetView>
  </sheetViews>
  <sheetFormatPr baseColWidth="10" defaultColWidth="11.44140625" defaultRowHeight="13.2" x14ac:dyDescent="0.25"/>
  <cols>
    <col min="1" max="1" width="6" style="52" customWidth="1"/>
    <col min="2" max="2" width="112.3320312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24</v>
      </c>
      <c r="B8" s="10"/>
      <c r="C8" s="58"/>
      <c r="D8" s="58"/>
    </row>
    <row r="9" spans="1:5" s="55" customFormat="1" ht="16.8" x14ac:dyDescent="0.4">
      <c r="A9" s="57" t="s">
        <v>25</v>
      </c>
      <c r="B9" s="10"/>
      <c r="C9" s="58"/>
      <c r="D9" s="58"/>
    </row>
    <row r="10" spans="1:5" s="55" customFormat="1" ht="16.8" x14ac:dyDescent="0.4">
      <c r="A10" s="57" t="s">
        <v>26</v>
      </c>
      <c r="B10" s="10"/>
      <c r="C10" s="58"/>
      <c r="D10" s="58"/>
    </row>
    <row r="11" spans="1:5" s="55" customFormat="1" ht="16.8" x14ac:dyDescent="0.4">
      <c r="A11" s="57" t="s">
        <v>27</v>
      </c>
      <c r="B11" s="10"/>
      <c r="C11" s="59"/>
      <c r="D11" s="58"/>
    </row>
    <row r="12" spans="1:5" s="55" customFormat="1" ht="15" customHeight="1" x14ac:dyDescent="0.4">
      <c r="A12" s="60" t="s">
        <v>47</v>
      </c>
      <c r="B12" s="61"/>
      <c r="C12" s="62"/>
      <c r="D12" s="63"/>
    </row>
    <row r="13" spans="1:5" s="55" customFormat="1" ht="16.8" x14ac:dyDescent="0.4">
      <c r="A13" s="1027" t="s">
        <v>63</v>
      </c>
      <c r="B13" s="1028"/>
      <c r="C13" s="1029"/>
      <c r="D13" s="1030"/>
    </row>
    <row r="14" spans="1:5" s="55" customFormat="1" ht="16.8" x14ac:dyDescent="0.4">
      <c r="A14" s="64" t="s">
        <v>29</v>
      </c>
      <c r="B14" s="64" t="s">
        <v>62</v>
      </c>
      <c r="C14" s="65" t="s">
        <v>31</v>
      </c>
      <c r="D14" s="65" t="s">
        <v>32</v>
      </c>
      <c r="E14" s="66"/>
    </row>
    <row r="15" spans="1:5" s="71" customFormat="1" ht="13.8" x14ac:dyDescent="0.25">
      <c r="A15" s="67"/>
      <c r="B15" s="68"/>
      <c r="C15" s="69"/>
      <c r="D15" s="69"/>
      <c r="E15" s="70"/>
    </row>
    <row r="16" spans="1:5" ht="30" x14ac:dyDescent="0.25">
      <c r="A16" s="72">
        <v>1</v>
      </c>
      <c r="B16" s="73" t="s">
        <v>64</v>
      </c>
      <c r="C16" s="74">
        <v>27000</v>
      </c>
      <c r="D16" s="75">
        <f>A16*C16</f>
        <v>27000</v>
      </c>
      <c r="E16" s="76"/>
    </row>
    <row r="17" spans="1:6" ht="17.25" customHeight="1" x14ac:dyDescent="0.25">
      <c r="A17" s="77">
        <v>1</v>
      </c>
      <c r="B17" s="78" t="s">
        <v>49</v>
      </c>
      <c r="C17" s="79">
        <f>(229904)*1.3</f>
        <v>298875.2</v>
      </c>
      <c r="D17" s="80">
        <f>A17*C17</f>
        <v>298875.2</v>
      </c>
      <c r="E17" s="76"/>
    </row>
    <row r="18" spans="1:6" ht="30" x14ac:dyDescent="0.25">
      <c r="A18" s="72">
        <v>4</v>
      </c>
      <c r="B18" s="73" t="s">
        <v>33</v>
      </c>
      <c r="C18" s="74">
        <v>4200</v>
      </c>
      <c r="D18" s="75">
        <f>A18*C18</f>
        <v>16800</v>
      </c>
      <c r="E18" s="76"/>
    </row>
    <row r="19" spans="1:6" ht="15.6" x14ac:dyDescent="0.25">
      <c r="A19" s="84">
        <v>250</v>
      </c>
      <c r="B19" s="85" t="s">
        <v>34</v>
      </c>
      <c r="C19" s="86">
        <v>16.12</v>
      </c>
      <c r="D19" s="87">
        <f>A19*C19</f>
        <v>4030.0000000000005</v>
      </c>
      <c r="E19" s="76"/>
    </row>
    <row r="20" spans="1:6" ht="15.6" x14ac:dyDescent="0.25">
      <c r="A20" s="84">
        <v>1</v>
      </c>
      <c r="B20" s="85" t="s">
        <v>35</v>
      </c>
      <c r="C20" s="88">
        <f>(5150)*(2)</f>
        <v>10300</v>
      </c>
      <c r="D20" s="83">
        <f t="shared" ref="D20" si="0">A20*C20</f>
        <v>10300</v>
      </c>
      <c r="E20" s="76"/>
    </row>
    <row r="21" spans="1:6" ht="15.6" x14ac:dyDescent="0.25">
      <c r="A21" s="72">
        <v>2</v>
      </c>
      <c r="B21" s="73" t="s">
        <v>36</v>
      </c>
      <c r="C21" s="74">
        <v>2209</v>
      </c>
      <c r="D21" s="75">
        <f>A21*C21</f>
        <v>4418</v>
      </c>
      <c r="E21" s="76"/>
    </row>
    <row r="22" spans="1:6" ht="30" x14ac:dyDescent="0.25">
      <c r="A22" s="72">
        <v>1</v>
      </c>
      <c r="B22" s="73" t="s">
        <v>66</v>
      </c>
      <c r="C22" s="74">
        <v>23000</v>
      </c>
      <c r="D22" s="75">
        <f>A22*C22</f>
        <v>23000</v>
      </c>
      <c r="E22" s="76"/>
    </row>
    <row r="23" spans="1:6" ht="45" x14ac:dyDescent="0.25">
      <c r="A23" s="72">
        <v>1</v>
      </c>
      <c r="B23" s="73" t="s">
        <v>65</v>
      </c>
      <c r="C23" s="74">
        <v>6800</v>
      </c>
      <c r="D23" s="75">
        <f>A23*C23</f>
        <v>6800</v>
      </c>
      <c r="E23" s="76"/>
    </row>
    <row r="24" spans="1:6" ht="15.6" x14ac:dyDescent="0.25">
      <c r="A24" s="72"/>
      <c r="B24" s="75"/>
      <c r="C24" s="75"/>
      <c r="D24" s="75"/>
      <c r="E24" s="76"/>
    </row>
    <row r="25" spans="1:6" ht="12" customHeight="1" x14ac:dyDescent="0.25">
      <c r="A25" s="89"/>
      <c r="B25" s="90"/>
      <c r="C25" s="91" t="s">
        <v>38</v>
      </c>
      <c r="D25" s="75">
        <f>SUM(D16:D23)</f>
        <v>391223.2</v>
      </c>
    </row>
    <row r="26" spans="1:6" ht="18.75" customHeight="1" x14ac:dyDescent="0.3">
      <c r="A26" s="92"/>
      <c r="B26" s="90"/>
      <c r="C26" s="93" t="s">
        <v>39</v>
      </c>
      <c r="D26" s="75">
        <f>D25*0.16</f>
        <v>62595.712</v>
      </c>
      <c r="E26" s="96"/>
    </row>
    <row r="27" spans="1:6" ht="16.2" thickBot="1" x14ac:dyDescent="0.35">
      <c r="A27" s="92"/>
      <c r="B27" s="90"/>
      <c r="C27" s="94" t="s">
        <v>40</v>
      </c>
      <c r="D27" s="95">
        <f>D25+D26</f>
        <v>453818.91200000001</v>
      </c>
      <c r="E27" s="96"/>
    </row>
    <row r="28" spans="1:6" ht="15.75" customHeight="1" thickBot="1" x14ac:dyDescent="0.3">
      <c r="A28" s="92"/>
      <c r="B28" s="1023" t="s">
        <v>55</v>
      </c>
      <c r="C28" s="1024"/>
      <c r="D28" s="1025"/>
      <c r="F28" s="96"/>
    </row>
    <row r="29" spans="1:6" s="96" customFormat="1" ht="13.8" x14ac:dyDescent="0.25">
      <c r="A29" s="52"/>
      <c r="B29" s="97" t="s">
        <v>9</v>
      </c>
      <c r="C29" s="98"/>
      <c r="D29" s="99"/>
      <c r="E29" s="52"/>
    </row>
    <row r="30" spans="1:6" s="96" customFormat="1" ht="15.75" customHeight="1" x14ac:dyDescent="0.25">
      <c r="A30" s="52"/>
      <c r="B30" s="124" t="s">
        <v>41</v>
      </c>
      <c r="C30" s="76"/>
      <c r="E30" s="52"/>
      <c r="F30" s="52"/>
    </row>
    <row r="31" spans="1:6" ht="13.5" customHeight="1" x14ac:dyDescent="0.25">
      <c r="A31" s="96"/>
      <c r="B31" s="100" t="s">
        <v>11</v>
      </c>
      <c r="C31" s="96"/>
      <c r="D31" s="96"/>
    </row>
    <row r="32" spans="1:6" ht="13.5" customHeight="1" x14ac:dyDescent="0.25">
      <c r="A32" s="101"/>
      <c r="B32" s="121" t="s">
        <v>12</v>
      </c>
      <c r="C32" s="52"/>
      <c r="D32" s="52"/>
    </row>
    <row r="33" spans="1:4" ht="13.5" customHeight="1" x14ac:dyDescent="0.25">
      <c r="A33" s="101"/>
      <c r="B33" s="121" t="s">
        <v>13</v>
      </c>
      <c r="C33" s="52"/>
      <c r="D33" s="52"/>
    </row>
    <row r="34" spans="1:4" ht="15" x14ac:dyDescent="0.25">
      <c r="A34" s="101"/>
      <c r="B34" s="121" t="s">
        <v>14</v>
      </c>
      <c r="C34" s="52"/>
      <c r="D34" s="52"/>
    </row>
    <row r="35" spans="1:4" ht="13.8" x14ac:dyDescent="0.25">
      <c r="A35" s="102"/>
      <c r="B35" s="103" t="s">
        <v>15</v>
      </c>
      <c r="C35" s="52"/>
      <c r="D35" s="52"/>
    </row>
    <row r="36" spans="1:4" ht="13.5" customHeight="1" x14ac:dyDescent="0.25">
      <c r="A36" s="102"/>
      <c r="B36" s="125" t="s">
        <v>42</v>
      </c>
      <c r="C36" s="104"/>
      <c r="D36" s="105"/>
    </row>
    <row r="37" spans="1:4" ht="13.5" customHeight="1" x14ac:dyDescent="0.25">
      <c r="A37" s="106"/>
      <c r="B37" s="125" t="s">
        <v>43</v>
      </c>
      <c r="C37" s="104"/>
      <c r="D37" s="105"/>
    </row>
    <row r="38" spans="1:4" ht="13.5" customHeight="1" x14ac:dyDescent="0.25">
      <c r="A38" s="106"/>
      <c r="B38" s="103" t="s">
        <v>18</v>
      </c>
      <c r="C38" s="107"/>
      <c r="D38" s="105"/>
    </row>
    <row r="39" spans="1:4" ht="13.5" customHeight="1" x14ac:dyDescent="0.25">
      <c r="A39" s="106"/>
      <c r="B39" s="126" t="s">
        <v>53</v>
      </c>
      <c r="C39" s="107"/>
      <c r="D39" s="105"/>
    </row>
    <row r="40" spans="1:4" ht="13.5" customHeight="1" x14ac:dyDescent="0.25">
      <c r="A40" s="106"/>
      <c r="B40" s="127" t="s">
        <v>20</v>
      </c>
      <c r="C40" s="107"/>
      <c r="D40" s="105"/>
    </row>
    <row r="41" spans="1:4" ht="13.8" x14ac:dyDescent="0.25">
      <c r="A41" s="108"/>
      <c r="B41" s="103" t="s">
        <v>21</v>
      </c>
      <c r="C41" s="107"/>
      <c r="D41" s="105"/>
    </row>
    <row r="42" spans="1:4" ht="15" x14ac:dyDescent="0.25">
      <c r="A42" s="106"/>
      <c r="B42" s="122" t="s">
        <v>52</v>
      </c>
      <c r="C42" s="107"/>
      <c r="D42" s="107"/>
    </row>
    <row r="43" spans="1:4" ht="15" x14ac:dyDescent="0.25">
      <c r="A43" s="106"/>
      <c r="B43" s="123" t="s">
        <v>44</v>
      </c>
      <c r="C43" s="107"/>
      <c r="D43" s="107"/>
    </row>
    <row r="44" spans="1:4" ht="15" x14ac:dyDescent="0.25">
      <c r="A44" s="106"/>
      <c r="B44" s="123" t="s">
        <v>45</v>
      </c>
      <c r="C44" s="109"/>
      <c r="D44" s="110"/>
    </row>
    <row r="45" spans="1:4" ht="33.6" x14ac:dyDescent="0.4">
      <c r="A45" s="106"/>
      <c r="B45" s="128" t="s">
        <v>23</v>
      </c>
      <c r="C45" s="109"/>
      <c r="D45" s="110"/>
    </row>
    <row r="46" spans="1:4" ht="16.8" x14ac:dyDescent="0.4">
      <c r="A46" s="106"/>
      <c r="B46" s="111"/>
      <c r="C46" s="109"/>
      <c r="D46" s="109"/>
    </row>
    <row r="47" spans="1:4" ht="13.8" x14ac:dyDescent="0.25">
      <c r="A47" s="108"/>
      <c r="B47" s="112"/>
      <c r="C47" s="109"/>
      <c r="D47" s="109"/>
    </row>
    <row r="48" spans="1:4" ht="15" x14ac:dyDescent="0.25">
      <c r="A48" s="106"/>
      <c r="B48" s="112"/>
      <c r="C48" s="107"/>
      <c r="D48" s="105"/>
    </row>
    <row r="49" spans="1:4" ht="15" x14ac:dyDescent="0.25">
      <c r="A49" s="106"/>
      <c r="B49" s="113"/>
      <c r="C49" s="109"/>
      <c r="D49" s="110"/>
    </row>
    <row r="50" spans="1:4" ht="16.2" x14ac:dyDescent="0.35">
      <c r="A50" s="106"/>
      <c r="B50" s="114"/>
      <c r="C50" s="109"/>
      <c r="D50" s="110"/>
    </row>
    <row r="51" spans="1:4" ht="13.8" x14ac:dyDescent="0.25">
      <c r="A51" s="115" t="s">
        <v>0</v>
      </c>
      <c r="C51" s="109"/>
      <c r="D51" s="110"/>
    </row>
    <row r="52" spans="1:4" ht="13.8" x14ac:dyDescent="0.25">
      <c r="A52" s="116"/>
      <c r="C52" s="109"/>
      <c r="D52" s="109"/>
    </row>
    <row r="53" spans="1:4" ht="13.8" x14ac:dyDescent="0.25">
      <c r="A53" s="117"/>
      <c r="C53" s="118"/>
      <c r="D53" s="118"/>
    </row>
    <row r="54" spans="1:4" x14ac:dyDescent="0.25">
      <c r="A54" s="117"/>
      <c r="C54" s="112"/>
      <c r="D54" s="52"/>
    </row>
    <row r="55" spans="1:4" x14ac:dyDescent="0.25">
      <c r="A55" s="119"/>
      <c r="C55" s="112"/>
      <c r="D55" s="52"/>
    </row>
    <row r="56" spans="1:4" x14ac:dyDescent="0.25">
      <c r="A56" s="120" t="s">
        <v>0</v>
      </c>
      <c r="C56" s="112"/>
      <c r="D56" s="52"/>
    </row>
    <row r="57" spans="1:4" x14ac:dyDescent="0.25">
      <c r="A57" s="52" t="s">
        <v>0</v>
      </c>
      <c r="C57" s="112"/>
      <c r="D57"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8:D28"/>
  </mergeCells>
  <pageMargins left="0.25" right="0.25" top="0.75" bottom="0.75" header="0.3" footer="0.3"/>
  <pageSetup scale="5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482A-2868-4DFB-9243-ED8240DF370F}">
  <sheetPr>
    <pageSetUpPr fitToPage="1"/>
  </sheetPr>
  <dimension ref="A1:F69"/>
  <sheetViews>
    <sheetView topLeftCell="A12" zoomScaleNormal="100" workbookViewId="0">
      <selection activeCell="A18" sqref="A18:D21"/>
    </sheetView>
  </sheetViews>
  <sheetFormatPr baseColWidth="10" defaultColWidth="11.44140625" defaultRowHeight="13.2" x14ac:dyDescent="0.25"/>
  <cols>
    <col min="1" max="1" width="6" style="52" customWidth="1"/>
    <col min="2" max="2" width="112.3320312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24</v>
      </c>
      <c r="B8" s="10"/>
      <c r="C8" s="58"/>
      <c r="D8" s="58"/>
    </row>
    <row r="9" spans="1:5" s="55" customFormat="1" ht="16.8" x14ac:dyDescent="0.4">
      <c r="A9" s="57" t="s">
        <v>25</v>
      </c>
      <c r="B9" s="10"/>
      <c r="C9" s="58"/>
      <c r="D9" s="58"/>
    </row>
    <row r="10" spans="1:5" s="55" customFormat="1" ht="16.8" x14ac:dyDescent="0.4">
      <c r="A10" s="57" t="s">
        <v>26</v>
      </c>
      <c r="B10" s="10"/>
      <c r="C10" s="58"/>
      <c r="D10" s="58"/>
    </row>
    <row r="11" spans="1:5" s="55" customFormat="1" ht="16.8" x14ac:dyDescent="0.4">
      <c r="A11" s="57" t="s">
        <v>27</v>
      </c>
      <c r="B11" s="10"/>
      <c r="C11" s="59"/>
      <c r="D11" s="58"/>
    </row>
    <row r="12" spans="1:5" s="55" customFormat="1" ht="15" customHeight="1" x14ac:dyDescent="0.4">
      <c r="A12" s="60" t="s">
        <v>47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7">
        <v>1</v>
      </c>
      <c r="B16" s="81" t="s">
        <v>50</v>
      </c>
      <c r="C16" s="82">
        <f>(118771)*(1.24)</f>
        <v>147276.04</v>
      </c>
      <c r="D16" s="83">
        <f t="shared" ref="D16" si="0">A16*C16</f>
        <v>147276.04</v>
      </c>
      <c r="E16" s="76"/>
    </row>
    <row r="17" spans="1:6" ht="11.25" customHeight="1" x14ac:dyDescent="0.25">
      <c r="A17" s="72"/>
      <c r="B17" s="75"/>
      <c r="C17" s="75"/>
      <c r="D17" s="75"/>
    </row>
    <row r="18" spans="1:6" ht="15.6" x14ac:dyDescent="0.25">
      <c r="A18" s="89"/>
      <c r="B18" s="90"/>
      <c r="C18" s="91" t="s">
        <v>38</v>
      </c>
      <c r="D18" s="75">
        <f>SUM(D16:D16)</f>
        <v>147276.04</v>
      </c>
    </row>
    <row r="19" spans="1:6" ht="15.6" x14ac:dyDescent="0.3">
      <c r="A19" s="92"/>
      <c r="B19" s="90"/>
      <c r="C19" s="93" t="s">
        <v>39</v>
      </c>
      <c r="D19" s="75">
        <f>D18*0.16</f>
        <v>23564.166400000002</v>
      </c>
    </row>
    <row r="20" spans="1:6" ht="16.2" thickBot="1" x14ac:dyDescent="0.35">
      <c r="A20" s="92"/>
      <c r="B20" s="90"/>
      <c r="C20" s="94" t="s">
        <v>40</v>
      </c>
      <c r="D20" s="95">
        <f>D18+D19</f>
        <v>170840.20640000002</v>
      </c>
    </row>
    <row r="21" spans="1:6" ht="16.2" thickBot="1" x14ac:dyDescent="0.3">
      <c r="A21" s="92"/>
      <c r="B21" s="1023" t="s">
        <v>54</v>
      </c>
      <c r="C21" s="1024"/>
      <c r="D21" s="1025"/>
    </row>
    <row r="22" spans="1:6" ht="13.8" x14ac:dyDescent="0.25">
      <c r="B22" s="97" t="s">
        <v>9</v>
      </c>
      <c r="C22" s="98"/>
      <c r="D22" s="99"/>
    </row>
    <row r="23" spans="1:6" ht="34.799999999999997" x14ac:dyDescent="0.25">
      <c r="B23" s="124" t="s">
        <v>41</v>
      </c>
      <c r="C23" s="76"/>
      <c r="D23" s="96"/>
      <c r="E23" s="76"/>
    </row>
    <row r="24" spans="1:6" ht="13.8" x14ac:dyDescent="0.25">
      <c r="A24" s="96"/>
      <c r="B24" s="100" t="s">
        <v>11</v>
      </c>
      <c r="C24" s="96"/>
      <c r="D24" s="96"/>
      <c r="E24" s="76"/>
    </row>
    <row r="25" spans="1:6" ht="12" customHeight="1" x14ac:dyDescent="0.25">
      <c r="A25" s="101"/>
      <c r="B25" s="121" t="s">
        <v>12</v>
      </c>
      <c r="C25" s="52"/>
      <c r="D25" s="52"/>
      <c r="E25" s="76"/>
    </row>
    <row r="26" spans="1:6" ht="18.75" customHeight="1" x14ac:dyDescent="0.25">
      <c r="A26" s="101"/>
      <c r="B26" s="121" t="s">
        <v>13</v>
      </c>
      <c r="C26" s="52"/>
      <c r="D26" s="52"/>
    </row>
    <row r="27" spans="1:6" ht="15" x14ac:dyDescent="0.25">
      <c r="A27" s="101"/>
      <c r="B27" s="121" t="s">
        <v>14</v>
      </c>
      <c r="C27" s="52"/>
      <c r="D27" s="52"/>
      <c r="E27" s="96"/>
    </row>
    <row r="28" spans="1:6" ht="15.75" customHeight="1" x14ac:dyDescent="0.25">
      <c r="A28" s="102"/>
      <c r="B28" s="103" t="s">
        <v>15</v>
      </c>
      <c r="C28" s="52"/>
      <c r="D28" s="52"/>
      <c r="E28" s="96"/>
      <c r="F28" s="96"/>
    </row>
    <row r="29" spans="1:6" s="96" customFormat="1" ht="13.8" x14ac:dyDescent="0.25">
      <c r="A29" s="102"/>
      <c r="B29" s="125" t="s">
        <v>42</v>
      </c>
      <c r="C29" s="104"/>
      <c r="D29" s="105"/>
      <c r="E29" s="52"/>
    </row>
    <row r="30" spans="1:6" s="96" customFormat="1" ht="15.75" customHeight="1" x14ac:dyDescent="0.25">
      <c r="A30" s="106"/>
      <c r="B30" s="125" t="s">
        <v>43</v>
      </c>
      <c r="C30" s="104"/>
      <c r="D30" s="105"/>
      <c r="E30" s="52"/>
      <c r="F30" s="52"/>
    </row>
    <row r="31" spans="1:6" ht="13.5" customHeight="1" x14ac:dyDescent="0.25">
      <c r="A31" s="106"/>
      <c r="B31" s="103" t="s">
        <v>18</v>
      </c>
      <c r="C31" s="107"/>
      <c r="D31" s="105"/>
    </row>
    <row r="32" spans="1:6" ht="13.5" customHeight="1" x14ac:dyDescent="0.25">
      <c r="A32" s="106"/>
      <c r="B32" s="126" t="s">
        <v>53</v>
      </c>
      <c r="C32" s="107"/>
      <c r="D32" s="105"/>
    </row>
    <row r="33" spans="1:4" ht="13.5" customHeight="1" x14ac:dyDescent="0.25">
      <c r="A33" s="106"/>
      <c r="B33" s="127" t="s">
        <v>20</v>
      </c>
      <c r="C33" s="107"/>
      <c r="D33" s="105"/>
    </row>
    <row r="34" spans="1:4" ht="13.8" x14ac:dyDescent="0.25">
      <c r="A34" s="108"/>
      <c r="B34" s="103" t="s">
        <v>21</v>
      </c>
      <c r="C34" s="107"/>
      <c r="D34" s="105"/>
    </row>
    <row r="35" spans="1:4" ht="15" x14ac:dyDescent="0.25">
      <c r="A35" s="106"/>
      <c r="B35" s="122" t="s">
        <v>52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33.6" x14ac:dyDescent="0.4">
      <c r="A38" s="106"/>
      <c r="B38" s="128"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5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0B49-AF17-4BD3-9C36-74DE7983501B}">
  <sheetPr>
    <tabColor theme="4" tint="-0.249977111117893"/>
    <pageSetUpPr fitToPage="1"/>
  </sheetPr>
  <dimension ref="A1:F62"/>
  <sheetViews>
    <sheetView topLeftCell="A7" zoomScaleNormal="100" workbookViewId="0">
      <selection activeCell="B65" sqref="B65"/>
    </sheetView>
  </sheetViews>
  <sheetFormatPr baseColWidth="10" defaultColWidth="11.44140625" defaultRowHeight="13.2" x14ac:dyDescent="0.25"/>
  <cols>
    <col min="1" max="1" width="6" style="1" customWidth="1"/>
    <col min="2" max="2" width="95.6640625" style="1" customWidth="1"/>
    <col min="3" max="3" width="12" style="3" customWidth="1"/>
    <col min="4" max="4" width="12.332031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137" t="s">
        <v>67</v>
      </c>
      <c r="B7" s="138"/>
      <c r="C7" s="139"/>
      <c r="D7" s="139"/>
    </row>
    <row r="8" spans="1:6" s="4" customFormat="1" ht="16.8" x14ac:dyDescent="0.4">
      <c r="A8" s="137" t="s">
        <v>68</v>
      </c>
      <c r="B8" s="138"/>
      <c r="C8" s="139"/>
      <c r="D8" s="139"/>
    </row>
    <row r="9" spans="1:6" s="4" customFormat="1" ht="16.8" x14ac:dyDescent="0.4">
      <c r="A9" s="137" t="s">
        <v>69</v>
      </c>
      <c r="B9" s="138"/>
      <c r="C9" s="139"/>
      <c r="D9" s="139"/>
    </row>
    <row r="10" spans="1:6" s="4" customFormat="1" ht="16.8" x14ac:dyDescent="0.4">
      <c r="A10" s="137" t="s">
        <v>70</v>
      </c>
      <c r="B10" s="138"/>
      <c r="C10" s="140"/>
      <c r="D10" s="139"/>
    </row>
    <row r="11" spans="1:6" s="4" customFormat="1" ht="16.8" x14ac:dyDescent="0.4">
      <c r="A11" s="137" t="s">
        <v>71</v>
      </c>
      <c r="B11" s="138"/>
      <c r="C11" s="140"/>
      <c r="D11" s="139"/>
    </row>
    <row r="12" spans="1:6" s="4" customFormat="1" ht="15" customHeight="1" x14ac:dyDescent="0.4">
      <c r="A12" s="137" t="s">
        <v>6</v>
      </c>
      <c r="B12" s="141"/>
      <c r="C12" s="142"/>
      <c r="D12" s="143"/>
    </row>
    <row r="13" spans="1:6" s="4" customFormat="1" ht="15" customHeight="1" x14ac:dyDescent="0.4">
      <c r="A13" s="144" t="s">
        <v>72</v>
      </c>
      <c r="B13" s="141"/>
      <c r="C13" s="142"/>
      <c r="D13" s="143"/>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16.5" customHeight="1" x14ac:dyDescent="0.25">
      <c r="A17" s="151">
        <v>1</v>
      </c>
      <c r="B17" s="152" t="s">
        <v>74</v>
      </c>
      <c r="C17" s="153">
        <f>(69240)*(1.35)</f>
        <v>93474</v>
      </c>
      <c r="D17" s="154">
        <f t="shared" ref="D17:D31" si="0">A17*C17</f>
        <v>93474</v>
      </c>
      <c r="E17" s="25"/>
    </row>
    <row r="18" spans="1:5" ht="13.5" customHeight="1" x14ac:dyDescent="0.25">
      <c r="A18" s="155"/>
      <c r="B18" s="156" t="s">
        <v>75</v>
      </c>
      <c r="C18" s="153"/>
      <c r="D18" s="154"/>
      <c r="E18" s="147"/>
    </row>
    <row r="19" spans="1:5" ht="26.4" x14ac:dyDescent="0.25">
      <c r="A19" s="155">
        <v>1</v>
      </c>
      <c r="B19" s="156" t="s">
        <v>76</v>
      </c>
      <c r="C19" s="153">
        <f>(98913)*(1.35)</f>
        <v>133532.55000000002</v>
      </c>
      <c r="D19" s="154">
        <f t="shared" si="0"/>
        <v>133532.55000000002</v>
      </c>
      <c r="E19" s="147"/>
    </row>
    <row r="20" spans="1:5" ht="13.5" customHeight="1" x14ac:dyDescent="0.25">
      <c r="A20" s="157">
        <v>2</v>
      </c>
      <c r="B20" s="158" t="s">
        <v>77</v>
      </c>
      <c r="C20" s="159">
        <f>(4500)*(1.5)</f>
        <v>6750</v>
      </c>
      <c r="D20" s="154">
        <f t="shared" si="0"/>
        <v>13500</v>
      </c>
      <c r="E20" s="147"/>
    </row>
    <row r="21" spans="1:5" ht="13.5" customHeight="1" x14ac:dyDescent="0.25">
      <c r="A21" s="157">
        <v>1</v>
      </c>
      <c r="B21" s="158" t="s">
        <v>78</v>
      </c>
      <c r="C21" s="159">
        <f>(6188)*(1.51)</f>
        <v>9343.8799999999992</v>
      </c>
      <c r="D21" s="154">
        <f t="shared" si="0"/>
        <v>9343.8799999999992</v>
      </c>
      <c r="E21" s="147"/>
    </row>
    <row r="22" spans="1:5" x14ac:dyDescent="0.25">
      <c r="A22" s="157">
        <v>41</v>
      </c>
      <c r="B22" s="158" t="s">
        <v>79</v>
      </c>
      <c r="C22" s="160">
        <f>(3818+464)*(1.34)</f>
        <v>5737.88</v>
      </c>
      <c r="D22" s="161">
        <f t="shared" si="0"/>
        <v>235253.08000000002</v>
      </c>
      <c r="E22" s="147"/>
    </row>
    <row r="23" spans="1:5" x14ac:dyDescent="0.25">
      <c r="A23" s="162">
        <v>270</v>
      </c>
      <c r="B23" s="163" t="s">
        <v>80</v>
      </c>
      <c r="C23" s="164">
        <f>(736)*(1.33)</f>
        <v>978.88000000000011</v>
      </c>
      <c r="D23" s="165">
        <f>A23*C23</f>
        <v>264297.60000000003</v>
      </c>
      <c r="E23" s="147"/>
    </row>
    <row r="24" spans="1:5" x14ac:dyDescent="0.25">
      <c r="A24" s="157">
        <v>250</v>
      </c>
      <c r="B24" s="158" t="s">
        <v>81</v>
      </c>
      <c r="C24" s="160">
        <v>65</v>
      </c>
      <c r="D24" s="161">
        <f t="shared" si="0"/>
        <v>16250</v>
      </c>
      <c r="E24" s="147"/>
    </row>
    <row r="25" spans="1:5" x14ac:dyDescent="0.25">
      <c r="A25" s="157"/>
      <c r="B25" s="158" t="s">
        <v>82</v>
      </c>
      <c r="C25" s="160"/>
      <c r="D25" s="161"/>
      <c r="E25" s="147"/>
    </row>
    <row r="26" spans="1:5" x14ac:dyDescent="0.25">
      <c r="A26" s="157">
        <v>1</v>
      </c>
      <c r="B26" s="158" t="s">
        <v>83</v>
      </c>
      <c r="C26" s="160">
        <v>6191</v>
      </c>
      <c r="D26" s="161">
        <f t="shared" si="0"/>
        <v>6191</v>
      </c>
      <c r="E26" s="147"/>
    </row>
    <row r="27" spans="1:5" ht="13.5" customHeight="1" x14ac:dyDescent="0.25">
      <c r="A27" s="157"/>
      <c r="B27" s="158" t="s">
        <v>84</v>
      </c>
      <c r="C27" s="160"/>
      <c r="D27" s="161"/>
      <c r="E27" s="147"/>
    </row>
    <row r="28" spans="1:5" ht="13.5" customHeight="1" x14ac:dyDescent="0.25">
      <c r="A28" s="157">
        <v>3</v>
      </c>
      <c r="B28" s="158" t="s">
        <v>85</v>
      </c>
      <c r="C28" s="160">
        <v>2134</v>
      </c>
      <c r="D28" s="161">
        <f t="shared" si="0"/>
        <v>6402</v>
      </c>
      <c r="E28" s="147"/>
    </row>
    <row r="29" spans="1:5" x14ac:dyDescent="0.25">
      <c r="A29" s="157">
        <v>260</v>
      </c>
      <c r="B29" s="158" t="s">
        <v>86</v>
      </c>
      <c r="C29" s="160">
        <v>36.869999999999997</v>
      </c>
      <c r="D29" s="161">
        <f t="shared" si="0"/>
        <v>9586.1999999999989</v>
      </c>
      <c r="E29" s="147"/>
    </row>
    <row r="30" spans="1:5" x14ac:dyDescent="0.25">
      <c r="A30" s="157">
        <v>1</v>
      </c>
      <c r="B30" s="158" t="s">
        <v>87</v>
      </c>
      <c r="C30" s="160">
        <f>5500*1.4</f>
        <v>7699.9999999999991</v>
      </c>
      <c r="D30" s="161">
        <f t="shared" si="0"/>
        <v>7699.9999999999991</v>
      </c>
      <c r="E30" s="147"/>
    </row>
    <row r="31" spans="1:5" x14ac:dyDescent="0.25">
      <c r="A31" s="157">
        <v>1</v>
      </c>
      <c r="B31" s="158" t="s">
        <v>88</v>
      </c>
      <c r="C31" s="160">
        <v>2300</v>
      </c>
      <c r="D31" s="161">
        <f t="shared" si="0"/>
        <v>2300</v>
      </c>
      <c r="E31" s="147"/>
    </row>
    <row r="32" spans="1:5" x14ac:dyDescent="0.25">
      <c r="A32" s="157"/>
      <c r="B32" s="158" t="s">
        <v>89</v>
      </c>
      <c r="C32" s="160"/>
      <c r="D32" s="161"/>
      <c r="E32" s="147"/>
    </row>
    <row r="33" spans="1:6" x14ac:dyDescent="0.25">
      <c r="A33" s="32"/>
      <c r="B33" s="166"/>
      <c r="C33" s="167" t="s">
        <v>38</v>
      </c>
      <c r="D33" s="168">
        <f>SUM(D17:D32)</f>
        <v>797830.31</v>
      </c>
      <c r="E33" s="169"/>
    </row>
    <row r="34" spans="1:6" x14ac:dyDescent="0.25">
      <c r="A34" s="33"/>
      <c r="B34" s="33"/>
      <c r="C34" s="167" t="s">
        <v>90</v>
      </c>
      <c r="D34" s="168">
        <f>D33*0.16</f>
        <v>127652.84960000002</v>
      </c>
    </row>
    <row r="35" spans="1:6" ht="13.8" thickBot="1" x14ac:dyDescent="0.3">
      <c r="A35" s="33"/>
      <c r="B35" s="170"/>
      <c r="C35" s="171" t="s">
        <v>40</v>
      </c>
      <c r="D35" s="172">
        <f>D33+D34</f>
        <v>925483.15960000013</v>
      </c>
      <c r="F35" s="1" t="s">
        <v>0</v>
      </c>
    </row>
    <row r="36" spans="1:6" ht="13.8" thickBot="1" x14ac:dyDescent="0.3">
      <c r="A36" s="33"/>
      <c r="B36" s="1035" t="s">
        <v>91</v>
      </c>
      <c r="C36" s="1036"/>
      <c r="D36" s="1037"/>
    </row>
    <row r="37" spans="1:6" ht="13.8" x14ac:dyDescent="0.25">
      <c r="A37" s="33"/>
      <c r="B37" s="173" t="s">
        <v>9</v>
      </c>
      <c r="C37" s="174"/>
      <c r="D37" s="175"/>
    </row>
    <row r="38" spans="1:6" ht="17.399999999999999" x14ac:dyDescent="0.25">
      <c r="A38" s="176"/>
      <c r="B38" s="177" t="s">
        <v>10</v>
      </c>
      <c r="C38" s="169"/>
      <c r="D38" s="41"/>
    </row>
    <row r="39" spans="1:6" ht="15" x14ac:dyDescent="0.25">
      <c r="A39" s="178"/>
      <c r="B39" s="40" t="s">
        <v>11</v>
      </c>
      <c r="D39" s="41"/>
    </row>
    <row r="40" spans="1:6" ht="15" x14ac:dyDescent="0.25">
      <c r="A40" s="178"/>
      <c r="B40" s="131" t="s">
        <v>12</v>
      </c>
      <c r="D40" s="41"/>
    </row>
    <row r="41" spans="1:6" ht="15" x14ac:dyDescent="0.25">
      <c r="A41" s="178"/>
      <c r="B41" s="131" t="s">
        <v>13</v>
      </c>
      <c r="D41" s="41"/>
    </row>
    <row r="42" spans="1:6" ht="15" x14ac:dyDescent="0.25">
      <c r="A42" s="178"/>
      <c r="B42" s="131" t="s">
        <v>14</v>
      </c>
      <c r="D42" s="41"/>
    </row>
    <row r="43" spans="1:6" ht="13.8" x14ac:dyDescent="0.25">
      <c r="A43" s="129"/>
      <c r="B43" s="40" t="s">
        <v>15</v>
      </c>
    </row>
    <row r="44" spans="1:6" ht="30.75" customHeight="1" x14ac:dyDescent="0.25">
      <c r="A44" s="178"/>
      <c r="B44" s="36" t="s">
        <v>42</v>
      </c>
    </row>
    <row r="45" spans="1:6" ht="41.4" x14ac:dyDescent="0.25">
      <c r="A45" s="178"/>
      <c r="B45" s="36" t="s">
        <v>43</v>
      </c>
      <c r="C45" s="38"/>
      <c r="D45" s="39"/>
    </row>
    <row r="46" spans="1:6" ht="15" x14ac:dyDescent="0.25">
      <c r="A46" s="178"/>
      <c r="B46" s="40" t="s">
        <v>18</v>
      </c>
      <c r="C46" s="38"/>
      <c r="D46" s="39"/>
    </row>
    <row r="47" spans="1:6" ht="15" x14ac:dyDescent="0.25">
      <c r="A47" s="178"/>
      <c r="B47" s="134" t="s">
        <v>92</v>
      </c>
      <c r="C47" s="38"/>
      <c r="D47" s="38"/>
    </row>
    <row r="48" spans="1:6" ht="15" x14ac:dyDescent="0.25">
      <c r="A48" s="178"/>
      <c r="B48" s="135" t="s">
        <v>20</v>
      </c>
      <c r="C48" s="38"/>
      <c r="D48" s="38"/>
    </row>
    <row r="49" spans="1:4" ht="13.8" x14ac:dyDescent="0.25">
      <c r="A49" s="129"/>
      <c r="B49" s="40" t="s">
        <v>21</v>
      </c>
      <c r="D49" s="41"/>
    </row>
    <row r="50" spans="1:4" ht="15" x14ac:dyDescent="0.25">
      <c r="A50" s="178"/>
      <c r="B50" s="179" t="s">
        <v>93</v>
      </c>
      <c r="C50" s="38"/>
      <c r="D50" s="39"/>
    </row>
    <row r="51" spans="1:4" ht="15" x14ac:dyDescent="0.25">
      <c r="A51" s="178"/>
      <c r="B51" s="131" t="s">
        <v>44</v>
      </c>
      <c r="C51" s="38"/>
      <c r="D51" s="39"/>
    </row>
    <row r="52" spans="1:4" ht="15.75" customHeight="1" x14ac:dyDescent="0.25">
      <c r="A52" s="106"/>
      <c r="B52" s="180" t="s">
        <v>45</v>
      </c>
      <c r="C52" s="107"/>
      <c r="D52" s="181"/>
    </row>
    <row r="53" spans="1:4" ht="33.6" x14ac:dyDescent="0.25">
      <c r="A53" s="182" t="s">
        <v>0</v>
      </c>
      <c r="B53" s="183" t="s">
        <v>23</v>
      </c>
      <c r="C53" s="38"/>
      <c r="D53" s="38"/>
    </row>
    <row r="54" spans="1:4" ht="16.8" x14ac:dyDescent="0.4">
      <c r="A54" s="43"/>
      <c r="B54" s="44"/>
      <c r="C54" s="45"/>
      <c r="D54" s="45"/>
    </row>
    <row r="55" spans="1:4" x14ac:dyDescent="0.25">
      <c r="A55" s="46"/>
      <c r="B55" s="47"/>
      <c r="C55" s="47"/>
      <c r="D55" s="1"/>
    </row>
    <row r="56" spans="1:4" x14ac:dyDescent="0.25">
      <c r="A56" s="46"/>
      <c r="B56" s="47"/>
      <c r="C56" s="47"/>
      <c r="D56" s="1"/>
    </row>
    <row r="57" spans="1:4" ht="16.5" customHeight="1" x14ac:dyDescent="0.25">
      <c r="A57" s="48"/>
      <c r="B57" s="49"/>
      <c r="C57" s="47"/>
      <c r="D57" s="1"/>
    </row>
    <row r="58" spans="1:4" ht="15" x14ac:dyDescent="0.35">
      <c r="A58" s="50" t="s">
        <v>0</v>
      </c>
      <c r="B58" s="51"/>
      <c r="C58" s="47"/>
      <c r="D58" s="47"/>
    </row>
    <row r="59" spans="1:4" x14ac:dyDescent="0.25">
      <c r="A59" s="1" t="s">
        <v>0</v>
      </c>
    </row>
    <row r="62" spans="1:4" ht="15" customHeight="1" x14ac:dyDescent="0.25"/>
  </sheetData>
  <mergeCells count="3">
    <mergeCell ref="A4:D4"/>
    <mergeCell ref="A14:D14"/>
    <mergeCell ref="B36:D36"/>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7E2B-AF9D-46CC-AF6E-B4CCFD5B069C}">
  <sheetPr>
    <tabColor theme="4" tint="-0.249977111117893"/>
    <pageSetUpPr fitToPage="1"/>
  </sheetPr>
  <dimension ref="A1:F76"/>
  <sheetViews>
    <sheetView topLeftCell="A15" zoomScale="115" zoomScaleNormal="115" workbookViewId="0">
      <selection activeCell="B65" sqref="B65"/>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137" t="s">
        <v>67</v>
      </c>
      <c r="B7" s="138"/>
      <c r="C7" s="139"/>
      <c r="D7" s="139"/>
    </row>
    <row r="8" spans="1:6" s="4" customFormat="1" ht="16.8" x14ac:dyDescent="0.4">
      <c r="A8" s="137" t="s">
        <v>68</v>
      </c>
      <c r="B8" s="138"/>
      <c r="C8" s="139"/>
      <c r="D8" s="139"/>
    </row>
    <row r="9" spans="1:6" s="4" customFormat="1" ht="16.8" x14ac:dyDescent="0.4">
      <c r="A9" s="137" t="s">
        <v>69</v>
      </c>
      <c r="B9" s="138"/>
      <c r="C9" s="139"/>
      <c r="D9" s="139"/>
    </row>
    <row r="10" spans="1:6" s="4" customFormat="1" ht="16.8" x14ac:dyDescent="0.4">
      <c r="A10" s="137" t="s">
        <v>70</v>
      </c>
      <c r="B10" s="138"/>
      <c r="C10" s="140"/>
      <c r="D10" s="139"/>
    </row>
    <row r="11" spans="1:6" s="4" customFormat="1" ht="16.8" x14ac:dyDescent="0.4">
      <c r="A11" s="137" t="s">
        <v>71</v>
      </c>
      <c r="B11" s="138"/>
      <c r="C11" s="140"/>
      <c r="D11" s="139"/>
    </row>
    <row r="12" spans="1:6" s="4" customFormat="1" ht="15" customHeight="1" x14ac:dyDescent="0.4">
      <c r="A12" s="137" t="s">
        <v>6</v>
      </c>
      <c r="B12" s="141"/>
      <c r="C12" s="142"/>
      <c r="D12" s="143"/>
    </row>
    <row r="13" spans="1:6" s="4" customFormat="1" ht="15" customHeight="1" x14ac:dyDescent="0.4">
      <c r="A13" s="144" t="s">
        <v>94</v>
      </c>
      <c r="B13" s="141"/>
      <c r="C13" s="142"/>
      <c r="D13" s="143"/>
    </row>
    <row r="14" spans="1:6" s="4" customFormat="1" ht="11.25" customHeight="1" x14ac:dyDescent="0.4">
      <c r="A14" s="1031" t="s">
        <v>73</v>
      </c>
      <c r="B14" s="1032"/>
      <c r="C14" s="1033"/>
      <c r="D14" s="1034"/>
      <c r="E14" s="17"/>
      <c r="F14" s="17"/>
    </row>
    <row r="15" spans="1:6" s="17" customFormat="1" ht="13.8" x14ac:dyDescent="0.25">
      <c r="A15" s="145" t="s">
        <v>29</v>
      </c>
      <c r="B15" s="145" t="s">
        <v>30</v>
      </c>
      <c r="C15" s="146" t="s">
        <v>31</v>
      </c>
      <c r="D15" s="146" t="s">
        <v>32</v>
      </c>
      <c r="E15" s="147"/>
      <c r="F15" s="1"/>
    </row>
    <row r="16" spans="1:6" x14ac:dyDescent="0.25">
      <c r="A16" s="148"/>
      <c r="B16" s="149"/>
      <c r="C16" s="150"/>
      <c r="D16" s="150"/>
      <c r="E16" s="25"/>
      <c r="F16" s="26"/>
    </row>
    <row r="17" spans="1:5" s="26" customFormat="1" ht="16.5" customHeight="1" x14ac:dyDescent="0.25">
      <c r="A17" s="151">
        <v>1</v>
      </c>
      <c r="B17" s="152" t="s">
        <v>95</v>
      </c>
      <c r="C17" s="153">
        <f>(86856)*(1.35)</f>
        <v>117255.6</v>
      </c>
      <c r="D17" s="154">
        <f t="shared" ref="D17:D46" si="0">A17*C17</f>
        <v>117255.6</v>
      </c>
      <c r="E17" s="25"/>
    </row>
    <row r="18" spans="1:5" ht="13.5" customHeight="1" x14ac:dyDescent="0.25">
      <c r="A18" s="155"/>
      <c r="B18" s="156" t="s">
        <v>96</v>
      </c>
      <c r="C18" s="153"/>
      <c r="D18" s="154"/>
      <c r="E18" s="147"/>
    </row>
    <row r="19" spans="1:5" ht="13.5" customHeight="1" x14ac:dyDescent="0.25">
      <c r="A19" s="155">
        <v>1</v>
      </c>
      <c r="B19" s="156" t="s">
        <v>97</v>
      </c>
      <c r="C19" s="153">
        <f>(59041)*(1.3)</f>
        <v>76753.3</v>
      </c>
      <c r="D19" s="154">
        <f t="shared" si="0"/>
        <v>76753.3</v>
      </c>
      <c r="E19" s="147"/>
    </row>
    <row r="20" spans="1:5" ht="13.5" customHeight="1" x14ac:dyDescent="0.25">
      <c r="A20" s="157">
        <v>2</v>
      </c>
      <c r="B20" s="158" t="s">
        <v>77</v>
      </c>
      <c r="C20" s="159">
        <f>(4500)*(1.5)</f>
        <v>6750</v>
      </c>
      <c r="D20" s="154">
        <f t="shared" si="0"/>
        <v>13500</v>
      </c>
      <c r="E20" s="147"/>
    </row>
    <row r="21" spans="1:5" ht="13.5" customHeight="1" x14ac:dyDescent="0.25">
      <c r="A21" s="157">
        <v>1</v>
      </c>
      <c r="B21" s="158" t="s">
        <v>78</v>
      </c>
      <c r="C21" s="159">
        <f>(6188)*(1.51)</f>
        <v>9343.8799999999992</v>
      </c>
      <c r="D21" s="154">
        <f t="shared" si="0"/>
        <v>9343.8799999999992</v>
      </c>
      <c r="E21" s="147"/>
    </row>
    <row r="22" spans="1:5" x14ac:dyDescent="0.25">
      <c r="A22" s="157">
        <v>41</v>
      </c>
      <c r="B22" s="158" t="s">
        <v>98</v>
      </c>
      <c r="C22" s="160">
        <f>(3725)*(1.3)</f>
        <v>4842.5</v>
      </c>
      <c r="D22" s="161">
        <f t="shared" si="0"/>
        <v>198542.5</v>
      </c>
      <c r="E22" s="147"/>
    </row>
    <row r="23" spans="1:5" x14ac:dyDescent="0.25">
      <c r="A23" s="162">
        <v>270</v>
      </c>
      <c r="B23" s="163" t="s">
        <v>99</v>
      </c>
      <c r="C23" s="164">
        <f>(842)*(1.3)</f>
        <v>1094.6000000000001</v>
      </c>
      <c r="D23" s="165">
        <f>A23*C23</f>
        <v>295542.00000000006</v>
      </c>
      <c r="E23" s="147"/>
    </row>
    <row r="24" spans="1:5" x14ac:dyDescent="0.25">
      <c r="A24" s="157">
        <v>250</v>
      </c>
      <c r="B24" s="158" t="s">
        <v>81</v>
      </c>
      <c r="C24" s="160">
        <v>65</v>
      </c>
      <c r="D24" s="161">
        <f t="shared" si="0"/>
        <v>16250</v>
      </c>
      <c r="E24" s="147"/>
    </row>
    <row r="25" spans="1:5" x14ac:dyDescent="0.25">
      <c r="A25" s="157"/>
      <c r="B25" s="158" t="s">
        <v>82</v>
      </c>
      <c r="C25" s="160"/>
      <c r="D25" s="161"/>
      <c r="E25" s="147"/>
    </row>
    <row r="26" spans="1:5" x14ac:dyDescent="0.25">
      <c r="A26" s="157">
        <v>1</v>
      </c>
      <c r="B26" s="158" t="s">
        <v>83</v>
      </c>
      <c r="C26" s="160">
        <v>5200</v>
      </c>
      <c r="D26" s="161">
        <f t="shared" si="0"/>
        <v>5200</v>
      </c>
      <c r="E26" s="147"/>
    </row>
    <row r="27" spans="1:5" ht="13.5" customHeight="1" x14ac:dyDescent="0.25">
      <c r="A27" s="157"/>
      <c r="B27" s="158" t="s">
        <v>84</v>
      </c>
      <c r="C27" s="160"/>
      <c r="D27" s="161"/>
      <c r="E27" s="147"/>
    </row>
    <row r="28" spans="1:5" ht="13.5" customHeight="1" x14ac:dyDescent="0.25">
      <c r="A28" s="157">
        <v>2</v>
      </c>
      <c r="B28" s="158" t="s">
        <v>85</v>
      </c>
      <c r="C28" s="160">
        <v>2134</v>
      </c>
      <c r="D28" s="161">
        <f t="shared" si="0"/>
        <v>4268</v>
      </c>
      <c r="E28" s="147"/>
    </row>
    <row r="29" spans="1:5" x14ac:dyDescent="0.25">
      <c r="A29" s="157">
        <v>250</v>
      </c>
      <c r="B29" s="158" t="s">
        <v>34</v>
      </c>
      <c r="C29" s="160">
        <v>16.12</v>
      </c>
      <c r="D29" s="161">
        <f>A29*C29</f>
        <v>4030.0000000000005</v>
      </c>
      <c r="E29" s="147"/>
    </row>
    <row r="30" spans="1:5" x14ac:dyDescent="0.25">
      <c r="A30" s="157">
        <v>1</v>
      </c>
      <c r="B30" s="158" t="s">
        <v>100</v>
      </c>
      <c r="C30" s="159">
        <f>(84602)*1.35</f>
        <v>114212.70000000001</v>
      </c>
      <c r="D30" s="161">
        <f t="shared" ref="D30:D31" si="1">A30*C30</f>
        <v>114212.70000000001</v>
      </c>
      <c r="E30" s="147"/>
    </row>
    <row r="31" spans="1:5" ht="26.4" x14ac:dyDescent="0.25">
      <c r="A31" s="157">
        <v>1</v>
      </c>
      <c r="B31" s="158" t="s">
        <v>101</v>
      </c>
      <c r="C31" s="159">
        <v>22514</v>
      </c>
      <c r="D31" s="161">
        <f t="shared" si="1"/>
        <v>22514</v>
      </c>
      <c r="E31" s="147"/>
    </row>
    <row r="32" spans="1:5" x14ac:dyDescent="0.25">
      <c r="A32" s="162">
        <v>1</v>
      </c>
      <c r="B32" s="163" t="s">
        <v>102</v>
      </c>
      <c r="C32" s="184">
        <f>(11172)*(1.5)</f>
        <v>16758</v>
      </c>
      <c r="D32" s="165">
        <f t="shared" si="0"/>
        <v>16758</v>
      </c>
      <c r="E32" s="147"/>
    </row>
    <row r="33" spans="1:5" ht="52.8" x14ac:dyDescent="0.25">
      <c r="A33" s="157">
        <v>1</v>
      </c>
      <c r="B33" s="158" t="s">
        <v>103</v>
      </c>
      <c r="C33" s="159">
        <v>13621</v>
      </c>
      <c r="D33" s="161">
        <f t="shared" si="0"/>
        <v>13621</v>
      </c>
      <c r="E33" s="147"/>
    </row>
    <row r="34" spans="1:5" x14ac:dyDescent="0.25">
      <c r="A34" s="157">
        <v>1</v>
      </c>
      <c r="B34" s="158" t="s">
        <v>87</v>
      </c>
      <c r="C34" s="160">
        <f>5500*1.4</f>
        <v>7699.9999999999991</v>
      </c>
      <c r="D34" s="161">
        <f t="shared" si="0"/>
        <v>7699.9999999999991</v>
      </c>
      <c r="E34" s="147"/>
    </row>
    <row r="35" spans="1:5" x14ac:dyDescent="0.25">
      <c r="A35" s="157">
        <v>2</v>
      </c>
      <c r="B35" s="158" t="s">
        <v>104</v>
      </c>
      <c r="C35" s="160">
        <f>2700*1.4</f>
        <v>3779.9999999999995</v>
      </c>
      <c r="D35" s="161">
        <f t="shared" si="0"/>
        <v>7559.9999999999991</v>
      </c>
      <c r="E35" s="147"/>
    </row>
    <row r="36" spans="1:5" x14ac:dyDescent="0.25">
      <c r="A36" s="157">
        <v>1</v>
      </c>
      <c r="B36" s="158" t="s">
        <v>105</v>
      </c>
      <c r="C36" s="160">
        <v>1543</v>
      </c>
      <c r="D36" s="161">
        <f t="shared" si="0"/>
        <v>1543</v>
      </c>
      <c r="E36" s="147"/>
    </row>
    <row r="37" spans="1:5" x14ac:dyDescent="0.25">
      <c r="A37" s="157">
        <v>1</v>
      </c>
      <c r="B37" s="158" t="s">
        <v>106</v>
      </c>
      <c r="C37" s="160">
        <f>4500*1.4</f>
        <v>6300</v>
      </c>
      <c r="D37" s="161">
        <f t="shared" si="0"/>
        <v>6300</v>
      </c>
      <c r="E37" s="147"/>
    </row>
    <row r="38" spans="1:5" x14ac:dyDescent="0.25">
      <c r="A38" s="157">
        <v>1</v>
      </c>
      <c r="B38" s="158" t="s">
        <v>107</v>
      </c>
      <c r="C38" s="160">
        <f>2900*1.4</f>
        <v>4059.9999999999995</v>
      </c>
      <c r="D38" s="161">
        <f t="shared" si="0"/>
        <v>4059.9999999999995</v>
      </c>
      <c r="E38" s="147"/>
    </row>
    <row r="39" spans="1:5" x14ac:dyDescent="0.25">
      <c r="A39" s="157">
        <v>1</v>
      </c>
      <c r="B39" s="158" t="s">
        <v>108</v>
      </c>
      <c r="C39" s="160">
        <f>2502*1.4</f>
        <v>3502.7999999999997</v>
      </c>
      <c r="D39" s="161">
        <f t="shared" si="0"/>
        <v>3502.7999999999997</v>
      </c>
      <c r="E39" s="147"/>
    </row>
    <row r="40" spans="1:5" x14ac:dyDescent="0.25">
      <c r="A40" s="157">
        <v>1</v>
      </c>
      <c r="B40" s="158" t="s">
        <v>109</v>
      </c>
      <c r="C40" s="160">
        <f>2467*1.4</f>
        <v>3453.7999999999997</v>
      </c>
      <c r="D40" s="161">
        <f t="shared" si="0"/>
        <v>3453.7999999999997</v>
      </c>
      <c r="E40" s="147"/>
    </row>
    <row r="41" spans="1:5" x14ac:dyDescent="0.25">
      <c r="A41" s="157">
        <v>8</v>
      </c>
      <c r="B41" s="158" t="s">
        <v>110</v>
      </c>
      <c r="C41" s="160">
        <f>27.41*1.4</f>
        <v>38.373999999999995</v>
      </c>
      <c r="D41" s="161">
        <f t="shared" si="0"/>
        <v>306.99199999999996</v>
      </c>
      <c r="E41" s="147"/>
    </row>
    <row r="42" spans="1:5" x14ac:dyDescent="0.25">
      <c r="A42" s="157">
        <v>1</v>
      </c>
      <c r="B42" s="158" t="s">
        <v>111</v>
      </c>
      <c r="C42" s="160">
        <f>23.97*1.39</f>
        <v>33.318299999999994</v>
      </c>
      <c r="D42" s="161">
        <f t="shared" si="0"/>
        <v>33.318299999999994</v>
      </c>
      <c r="E42" s="147"/>
    </row>
    <row r="43" spans="1:5" ht="33" customHeight="1" x14ac:dyDescent="0.25">
      <c r="A43" s="157">
        <v>1</v>
      </c>
      <c r="B43" s="158" t="s">
        <v>112</v>
      </c>
      <c r="C43" s="160">
        <v>19091</v>
      </c>
      <c r="D43" s="161">
        <f t="shared" si="0"/>
        <v>19091</v>
      </c>
      <c r="E43" s="147"/>
    </row>
    <row r="44" spans="1:5" x14ac:dyDescent="0.25">
      <c r="A44" s="157">
        <v>56</v>
      </c>
      <c r="B44" s="158" t="s">
        <v>113</v>
      </c>
      <c r="C44" s="160">
        <f>56</f>
        <v>56</v>
      </c>
      <c r="D44" s="161">
        <f t="shared" si="0"/>
        <v>3136</v>
      </c>
      <c r="E44" s="147"/>
    </row>
    <row r="45" spans="1:5" x14ac:dyDescent="0.25">
      <c r="A45" s="157">
        <v>6</v>
      </c>
      <c r="B45" s="158" t="s">
        <v>114</v>
      </c>
      <c r="C45" s="160">
        <f>14.8*1.5</f>
        <v>22.200000000000003</v>
      </c>
      <c r="D45" s="161">
        <f t="shared" si="0"/>
        <v>133.20000000000002</v>
      </c>
      <c r="E45" s="147"/>
    </row>
    <row r="46" spans="1:5" x14ac:dyDescent="0.25">
      <c r="A46" s="157">
        <v>1</v>
      </c>
      <c r="B46" s="158" t="s">
        <v>88</v>
      </c>
      <c r="C46" s="160">
        <v>2300</v>
      </c>
      <c r="D46" s="161">
        <f t="shared" si="0"/>
        <v>2300</v>
      </c>
      <c r="E46" s="147"/>
    </row>
    <row r="47" spans="1:5" x14ac:dyDescent="0.25">
      <c r="A47" s="157"/>
      <c r="B47" s="158" t="s">
        <v>89</v>
      </c>
      <c r="C47" s="160"/>
      <c r="D47" s="161"/>
      <c r="E47" s="147"/>
    </row>
    <row r="48" spans="1:5" x14ac:dyDescent="0.25">
      <c r="A48" s="32"/>
      <c r="B48" s="166"/>
      <c r="C48" s="167" t="s">
        <v>38</v>
      </c>
      <c r="D48" s="168">
        <f>SUM(D17:D47)</f>
        <v>966911.09030000004</v>
      </c>
      <c r="E48" s="169"/>
    </row>
    <row r="49" spans="1:4" x14ac:dyDescent="0.25">
      <c r="A49" s="33"/>
      <c r="B49" s="33"/>
      <c r="C49" s="167" t="s">
        <v>90</v>
      </c>
      <c r="D49" s="168">
        <f>D48*0.16</f>
        <v>154705.77444800001</v>
      </c>
    </row>
    <row r="50" spans="1:4" ht="13.8" thickBot="1" x14ac:dyDescent="0.3">
      <c r="A50" s="33"/>
      <c r="B50" s="170"/>
      <c r="C50" s="171" t="s">
        <v>40</v>
      </c>
      <c r="D50" s="172">
        <f>D48+D49</f>
        <v>1121616.8647480002</v>
      </c>
    </row>
    <row r="51" spans="1:4" ht="13.8" thickBot="1" x14ac:dyDescent="0.3">
      <c r="A51" s="33"/>
      <c r="B51" s="1035" t="s">
        <v>115</v>
      </c>
      <c r="C51" s="1036"/>
      <c r="D51" s="1037"/>
    </row>
    <row r="52" spans="1:4" ht="15.75" customHeight="1" x14ac:dyDescent="0.25">
      <c r="A52" s="33"/>
      <c r="B52" s="173" t="s">
        <v>9</v>
      </c>
      <c r="C52" s="174"/>
      <c r="D52" s="175"/>
    </row>
    <row r="53" spans="1:4" ht="17.399999999999999" x14ac:dyDescent="0.25">
      <c r="A53" s="176"/>
      <c r="B53" s="177" t="s">
        <v>10</v>
      </c>
      <c r="C53" s="169"/>
      <c r="D53" s="41"/>
    </row>
    <row r="54" spans="1:4" ht="15" x14ac:dyDescent="0.25">
      <c r="A54" s="178"/>
      <c r="B54" s="40" t="s">
        <v>11</v>
      </c>
      <c r="D54" s="41"/>
    </row>
    <row r="55" spans="1:4" ht="15" x14ac:dyDescent="0.25">
      <c r="A55" s="178"/>
      <c r="B55" s="131" t="s">
        <v>12</v>
      </c>
      <c r="D55" s="41"/>
    </row>
    <row r="56" spans="1:4" ht="15" x14ac:dyDescent="0.25">
      <c r="A56" s="178"/>
      <c r="B56" s="131" t="s">
        <v>13</v>
      </c>
      <c r="D56" s="41"/>
    </row>
    <row r="57" spans="1:4" ht="16.5" customHeight="1" x14ac:dyDescent="0.25">
      <c r="A57" s="178"/>
      <c r="B57" s="131" t="s">
        <v>14</v>
      </c>
      <c r="D57" s="41"/>
    </row>
    <row r="58" spans="1:4" ht="13.8" x14ac:dyDescent="0.25">
      <c r="A58" s="129"/>
      <c r="B58" s="40" t="s">
        <v>15</v>
      </c>
    </row>
    <row r="59" spans="1:4" ht="15" x14ac:dyDescent="0.25">
      <c r="A59" s="178"/>
      <c r="B59" s="36" t="s">
        <v>42</v>
      </c>
    </row>
    <row r="60" spans="1:4" ht="27.6" x14ac:dyDescent="0.25">
      <c r="A60" s="178"/>
      <c r="B60" s="36" t="s">
        <v>43</v>
      </c>
      <c r="C60" s="38"/>
      <c r="D60" s="39"/>
    </row>
    <row r="61" spans="1:4" ht="15" x14ac:dyDescent="0.25">
      <c r="A61" s="178"/>
      <c r="B61" s="40" t="s">
        <v>18</v>
      </c>
      <c r="C61" s="38"/>
      <c r="D61" s="39"/>
    </row>
    <row r="62" spans="1:4" ht="15" customHeight="1" x14ac:dyDescent="0.25">
      <c r="A62" s="178"/>
      <c r="B62" s="134" t="s">
        <v>92</v>
      </c>
      <c r="C62" s="38"/>
      <c r="D62" s="38"/>
    </row>
    <row r="63" spans="1:4" ht="15" x14ac:dyDescent="0.25">
      <c r="A63" s="178"/>
      <c r="B63" s="135" t="s">
        <v>20</v>
      </c>
      <c r="C63" s="38"/>
      <c r="D63" s="38"/>
    </row>
    <row r="64" spans="1:4" ht="13.8" x14ac:dyDescent="0.25">
      <c r="A64" s="129"/>
      <c r="B64" s="40" t="s">
        <v>21</v>
      </c>
      <c r="D64" s="41"/>
    </row>
    <row r="65" spans="1:4" ht="15" x14ac:dyDescent="0.25">
      <c r="A65" s="178"/>
      <c r="B65" s="179" t="s">
        <v>93</v>
      </c>
      <c r="C65" s="38"/>
      <c r="D65" s="39"/>
    </row>
    <row r="66" spans="1:4" ht="15" x14ac:dyDescent="0.25">
      <c r="A66" s="178"/>
      <c r="B66" s="131" t="s">
        <v>44</v>
      </c>
      <c r="C66" s="38"/>
      <c r="D66" s="39"/>
    </row>
    <row r="67" spans="1:4" ht="15" x14ac:dyDescent="0.25">
      <c r="A67" s="106"/>
      <c r="B67" s="180" t="s">
        <v>45</v>
      </c>
      <c r="C67" s="107"/>
      <c r="D67" s="181"/>
    </row>
    <row r="68" spans="1:4" ht="33.6" x14ac:dyDescent="0.25">
      <c r="A68" s="178"/>
      <c r="B68" s="183" t="s">
        <v>23</v>
      </c>
      <c r="C68" s="38"/>
      <c r="D68" s="38"/>
    </row>
    <row r="69" spans="1:4" ht="16.8" x14ac:dyDescent="0.4">
      <c r="A69" s="178"/>
      <c r="B69" s="44"/>
      <c r="C69" s="45"/>
      <c r="D69" s="45"/>
    </row>
    <row r="70" spans="1:4" ht="13.8" x14ac:dyDescent="0.25">
      <c r="A70" s="182" t="s">
        <v>0</v>
      </c>
      <c r="B70" s="47"/>
      <c r="C70" s="47"/>
      <c r="D70" s="1"/>
    </row>
    <row r="71" spans="1:4" ht="13.8" x14ac:dyDescent="0.25">
      <c r="A71" s="43"/>
      <c r="B71" s="47"/>
      <c r="C71" s="47"/>
      <c r="D71" s="1"/>
    </row>
    <row r="72" spans="1:4" x14ac:dyDescent="0.25">
      <c r="A72" s="46"/>
      <c r="B72" s="49"/>
      <c r="C72" s="47"/>
      <c r="D72" s="1"/>
    </row>
    <row r="73" spans="1:4" ht="15" x14ac:dyDescent="0.35">
      <c r="A73" s="46"/>
      <c r="B73" s="51"/>
      <c r="C73" s="47"/>
      <c r="D73" s="47"/>
    </row>
    <row r="74" spans="1:4" x14ac:dyDescent="0.25">
      <c r="A74" s="48"/>
    </row>
    <row r="75" spans="1:4" x14ac:dyDescent="0.25">
      <c r="A75" s="50" t="s">
        <v>0</v>
      </c>
    </row>
    <row r="76" spans="1:4" x14ac:dyDescent="0.25">
      <c r="A76" s="1" t="s">
        <v>0</v>
      </c>
    </row>
  </sheetData>
  <mergeCells count="3">
    <mergeCell ref="A4:D4"/>
    <mergeCell ref="A14:D14"/>
    <mergeCell ref="B51:D51"/>
  </mergeCells>
  <printOptions horizontalCentered="1"/>
  <pageMargins left="0.25" right="0.25" top="0.75" bottom="0.75" header="0.3" footer="0.3"/>
  <pageSetup paperSize="9" scale="61" fitToWidth="0" orientation="portrait" r:id="rId1"/>
  <headerFooter alignWithMargins="0">
    <oddFooter>Página &amp;P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0C29-CB1A-421B-8A5F-66D5A2104AA4}">
  <sheetPr>
    <tabColor theme="4" tint="-0.249977111117893"/>
    <pageSetUpPr fitToPage="1"/>
  </sheetPr>
  <dimension ref="A1:F87"/>
  <sheetViews>
    <sheetView topLeftCell="A64" zoomScaleNormal="100" workbookViewId="0">
      <selection activeCell="A15" sqref="A15:D79"/>
    </sheetView>
  </sheetViews>
  <sheetFormatPr baseColWidth="10" defaultColWidth="11.44140625" defaultRowHeight="13.2" x14ac:dyDescent="0.25"/>
  <cols>
    <col min="1" max="1" width="6" style="108" customWidth="1"/>
    <col min="2" max="2" width="100.33203125" style="108" customWidth="1"/>
    <col min="3" max="3" width="12.6640625" style="107" customWidth="1"/>
    <col min="4" max="4" width="14.5546875" style="107" customWidth="1"/>
    <col min="5" max="16384" width="11.441406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137" t="s">
        <v>67</v>
      </c>
      <c r="B8" s="138"/>
      <c r="C8" s="139"/>
      <c r="D8" s="139"/>
    </row>
    <row r="9" spans="1:5" s="10" customFormat="1" ht="16.8" x14ac:dyDescent="0.4">
      <c r="A9" s="137" t="s">
        <v>68</v>
      </c>
      <c r="B9" s="138"/>
      <c r="C9" s="139"/>
      <c r="D9" s="139"/>
    </row>
    <row r="10" spans="1:5" s="10" customFormat="1" ht="16.8" x14ac:dyDescent="0.4">
      <c r="A10" s="137" t="s">
        <v>69</v>
      </c>
      <c r="B10" s="138"/>
      <c r="C10" s="139"/>
      <c r="D10" s="139"/>
    </row>
    <row r="11" spans="1:5" s="10" customFormat="1" ht="16.8" x14ac:dyDescent="0.4">
      <c r="A11" s="137" t="s">
        <v>70</v>
      </c>
      <c r="B11" s="138"/>
      <c r="C11" s="140"/>
      <c r="D11" s="139"/>
    </row>
    <row r="12" spans="1:5" s="10" customFormat="1" ht="15" customHeight="1" x14ac:dyDescent="0.4">
      <c r="A12" s="137" t="s">
        <v>71</v>
      </c>
      <c r="B12" s="138"/>
      <c r="C12" s="140"/>
      <c r="D12" s="139"/>
    </row>
    <row r="13" spans="1:5" s="10" customFormat="1" ht="15" customHeight="1" x14ac:dyDescent="0.4">
      <c r="A13" s="137" t="s">
        <v>6</v>
      </c>
      <c r="B13" s="141"/>
      <c r="C13" s="142"/>
      <c r="D13" s="143"/>
    </row>
    <row r="14" spans="1:5" s="10" customFormat="1" ht="16.8" x14ac:dyDescent="0.4">
      <c r="A14" s="144" t="s">
        <v>94</v>
      </c>
      <c r="B14" s="141"/>
      <c r="C14" s="142"/>
      <c r="D14" s="143"/>
      <c r="E14" s="186"/>
    </row>
    <row r="15" spans="1:5" s="188" customFormat="1" ht="13.8" x14ac:dyDescent="0.25">
      <c r="A15" s="148"/>
      <c r="B15" s="149"/>
      <c r="C15" s="150"/>
      <c r="D15" s="150"/>
      <c r="E15" s="187"/>
    </row>
    <row r="16" spans="1:5" x14ac:dyDescent="0.25">
      <c r="A16" s="151">
        <v>1</v>
      </c>
      <c r="B16" s="152" t="s">
        <v>116</v>
      </c>
      <c r="C16" s="153">
        <f>(111263)*(1.35)</f>
        <v>150205.05000000002</v>
      </c>
      <c r="D16" s="154">
        <f t="shared" ref="D16" si="0">A16*C16</f>
        <v>150205.05000000002</v>
      </c>
      <c r="E16" s="189"/>
    </row>
    <row r="17" spans="1:6" s="191" customFormat="1" ht="15.75" customHeight="1" x14ac:dyDescent="0.25">
      <c r="A17" s="155"/>
      <c r="B17" s="156" t="s">
        <v>117</v>
      </c>
      <c r="C17" s="153"/>
      <c r="D17" s="154"/>
      <c r="E17" s="190"/>
    </row>
    <row r="18" spans="1:6" ht="13.5" customHeight="1" x14ac:dyDescent="0.25">
      <c r="A18" s="151">
        <v>1</v>
      </c>
      <c r="B18" s="152" t="s">
        <v>118</v>
      </c>
      <c r="C18" s="153">
        <f>(86856)*(1.35)</f>
        <v>117255.6</v>
      </c>
      <c r="D18" s="154">
        <f t="shared" ref="D18" si="1">A18*C18</f>
        <v>117255.6</v>
      </c>
      <c r="E18" s="190"/>
    </row>
    <row r="19" spans="1:6" ht="13.5" customHeight="1" x14ac:dyDescent="0.25">
      <c r="A19" s="155"/>
      <c r="B19" s="156" t="s">
        <v>119</v>
      </c>
      <c r="C19" s="153"/>
      <c r="D19" s="154"/>
      <c r="E19" s="189"/>
    </row>
    <row r="20" spans="1:6" ht="13.5" customHeight="1" x14ac:dyDescent="0.25">
      <c r="A20" s="151">
        <v>1</v>
      </c>
      <c r="B20" s="152" t="s">
        <v>120</v>
      </c>
      <c r="C20" s="153">
        <f>(5443*20.5)*(1.35)</f>
        <v>150635.02500000002</v>
      </c>
      <c r="D20" s="154">
        <f t="shared" ref="D20" si="2">A20*C20</f>
        <v>150635.02500000002</v>
      </c>
      <c r="E20" s="190"/>
    </row>
    <row r="21" spans="1:6" ht="13.5" customHeight="1" x14ac:dyDescent="0.25">
      <c r="A21" s="155"/>
      <c r="B21" s="156" t="s">
        <v>121</v>
      </c>
      <c r="C21" s="153"/>
      <c r="D21" s="154"/>
      <c r="E21" s="189"/>
      <c r="F21" s="192"/>
    </row>
    <row r="22" spans="1:6" ht="13.5" customHeight="1" x14ac:dyDescent="0.25">
      <c r="A22" s="151">
        <v>1</v>
      </c>
      <c r="B22" s="152" t="s">
        <v>122</v>
      </c>
      <c r="C22" s="153">
        <f>(92595)*(1.35)</f>
        <v>125003.25000000001</v>
      </c>
      <c r="D22" s="154">
        <f t="shared" ref="D22" si="3">A22*C22</f>
        <v>125003.25000000001</v>
      </c>
      <c r="E22" s="190"/>
    </row>
    <row r="23" spans="1:6" ht="13.5" customHeight="1" x14ac:dyDescent="0.25">
      <c r="A23" s="155"/>
      <c r="B23" s="156" t="s">
        <v>123</v>
      </c>
      <c r="C23" s="153"/>
      <c r="D23" s="154"/>
      <c r="E23" s="189"/>
      <c r="F23" s="192"/>
    </row>
    <row r="24" spans="1:6" ht="13.5" customHeight="1" x14ac:dyDescent="0.25">
      <c r="A24" s="193">
        <v>1</v>
      </c>
      <c r="B24" s="194" t="s">
        <v>124</v>
      </c>
      <c r="C24" s="164">
        <f>(4770*20.5)*(1.36)</f>
        <v>132987.6</v>
      </c>
      <c r="D24" s="165">
        <f>A24*C24</f>
        <v>132987.6</v>
      </c>
      <c r="E24" s="189"/>
    </row>
    <row r="25" spans="1:6" ht="18" customHeight="1" x14ac:dyDescent="0.25">
      <c r="A25" s="195"/>
      <c r="B25" s="163" t="s">
        <v>125</v>
      </c>
      <c r="C25" s="164"/>
      <c r="D25" s="165"/>
    </row>
    <row r="26" spans="1:6" x14ac:dyDescent="0.25">
      <c r="A26" s="151">
        <v>1</v>
      </c>
      <c r="B26" s="152" t="s">
        <v>126</v>
      </c>
      <c r="C26" s="153">
        <f>(121494)*(1.35)</f>
        <v>164016.90000000002</v>
      </c>
      <c r="D26" s="154">
        <f t="shared" ref="D26" si="4">A26*C26</f>
        <v>164016.90000000002</v>
      </c>
      <c r="E26" s="189"/>
    </row>
    <row r="27" spans="1:6" ht="13.5" customHeight="1" x14ac:dyDescent="0.25">
      <c r="A27" s="155"/>
      <c r="B27" s="156" t="s">
        <v>117</v>
      </c>
      <c r="C27" s="153"/>
      <c r="D27" s="154"/>
      <c r="E27" s="189"/>
    </row>
    <row r="28" spans="1:6" x14ac:dyDescent="0.25">
      <c r="A28" s="196"/>
      <c r="B28" s="1039"/>
      <c r="C28" s="1039"/>
      <c r="D28" s="1039"/>
      <c r="E28" s="189"/>
    </row>
    <row r="29" spans="1:6" x14ac:dyDescent="0.25">
      <c r="A29" s="198"/>
      <c r="B29" s="199"/>
      <c r="C29" s="197"/>
      <c r="D29" s="200"/>
      <c r="E29" s="189"/>
    </row>
    <row r="30" spans="1:6" ht="26.4" x14ac:dyDescent="0.25">
      <c r="A30" s="145" t="s">
        <v>29</v>
      </c>
      <c r="B30" s="145" t="s">
        <v>30</v>
      </c>
      <c r="C30" s="146" t="s">
        <v>31</v>
      </c>
      <c r="D30" s="146" t="s">
        <v>32</v>
      </c>
      <c r="E30" s="189"/>
    </row>
    <row r="31" spans="1:6" x14ac:dyDescent="0.25">
      <c r="A31" s="148"/>
      <c r="B31" s="149"/>
      <c r="C31" s="150"/>
      <c r="D31" s="150"/>
      <c r="E31" s="189"/>
    </row>
    <row r="32" spans="1:6" x14ac:dyDescent="0.25">
      <c r="A32" s="155">
        <v>1</v>
      </c>
      <c r="B32" s="156" t="s">
        <v>127</v>
      </c>
      <c r="C32" s="153">
        <f>(55982)*(1.35)</f>
        <v>75575.700000000012</v>
      </c>
      <c r="D32" s="154">
        <f t="shared" ref="D32:D36" si="5">A32*C32</f>
        <v>75575.700000000012</v>
      </c>
      <c r="E32" s="189"/>
    </row>
    <row r="33" spans="1:5" x14ac:dyDescent="0.25">
      <c r="A33" s="155">
        <v>1</v>
      </c>
      <c r="B33" s="156" t="s">
        <v>128</v>
      </c>
      <c r="C33" s="153">
        <f>(88025)*(1.35)</f>
        <v>118833.75000000001</v>
      </c>
      <c r="D33" s="154">
        <f t="shared" si="5"/>
        <v>118833.75000000001</v>
      </c>
      <c r="E33" s="189"/>
    </row>
    <row r="34" spans="1:5" x14ac:dyDescent="0.25">
      <c r="A34" s="157">
        <v>1</v>
      </c>
      <c r="B34" s="158" t="s">
        <v>129</v>
      </c>
      <c r="C34" s="159">
        <f>(95270)*1.35</f>
        <v>128614.50000000001</v>
      </c>
      <c r="D34" s="161">
        <f t="shared" si="5"/>
        <v>128614.50000000001</v>
      </c>
      <c r="E34" s="189"/>
    </row>
    <row r="35" spans="1:5" x14ac:dyDescent="0.25">
      <c r="A35" s="157">
        <v>1</v>
      </c>
      <c r="B35" s="158" t="s">
        <v>100</v>
      </c>
      <c r="C35" s="159">
        <f>(84602)*1.35</f>
        <v>114212.70000000001</v>
      </c>
      <c r="D35" s="161">
        <f t="shared" si="5"/>
        <v>114212.70000000001</v>
      </c>
      <c r="E35" s="189"/>
    </row>
    <row r="36" spans="1:5" x14ac:dyDescent="0.25">
      <c r="A36" s="157">
        <v>1</v>
      </c>
      <c r="B36" s="158" t="s">
        <v>130</v>
      </c>
      <c r="C36" s="159">
        <f>(108577)*1.35</f>
        <v>146578.95000000001</v>
      </c>
      <c r="D36" s="161">
        <f t="shared" si="5"/>
        <v>146578.95000000001</v>
      </c>
      <c r="E36" s="189"/>
    </row>
    <row r="37" spans="1:5" x14ac:dyDescent="0.25">
      <c r="A37" s="198"/>
      <c r="B37" s="198"/>
      <c r="C37" s="201"/>
      <c r="D37" s="202"/>
      <c r="E37" s="189"/>
    </row>
    <row r="38" spans="1:5" ht="26.4" x14ac:dyDescent="0.25">
      <c r="A38" s="145" t="s">
        <v>29</v>
      </c>
      <c r="B38" s="145" t="s">
        <v>30</v>
      </c>
      <c r="C38" s="146" t="s">
        <v>31</v>
      </c>
      <c r="D38" s="146" t="s">
        <v>32</v>
      </c>
      <c r="E38" s="189"/>
    </row>
    <row r="39" spans="1:5" x14ac:dyDescent="0.25">
      <c r="A39" s="148"/>
      <c r="B39" s="149"/>
      <c r="C39" s="150"/>
      <c r="D39" s="150"/>
      <c r="E39" s="189"/>
    </row>
    <row r="40" spans="1:5" x14ac:dyDescent="0.25">
      <c r="A40" s="162">
        <v>1</v>
      </c>
      <c r="B40" s="163" t="s">
        <v>102</v>
      </c>
      <c r="C40" s="184">
        <f>(11172)*(1.5)</f>
        <v>16758</v>
      </c>
      <c r="D40" s="165">
        <f t="shared" ref="D40:D43" si="6">A40*C40</f>
        <v>16758</v>
      </c>
      <c r="E40" s="189"/>
    </row>
    <row r="41" spans="1:5" x14ac:dyDescent="0.25">
      <c r="A41" s="203">
        <v>1</v>
      </c>
      <c r="B41" s="163" t="s">
        <v>131</v>
      </c>
      <c r="C41" s="184">
        <f>22400*1.3</f>
        <v>29120</v>
      </c>
      <c r="D41" s="165">
        <f t="shared" si="6"/>
        <v>29120</v>
      </c>
      <c r="E41" s="189"/>
    </row>
    <row r="42" spans="1:5" ht="26.4" x14ac:dyDescent="0.25">
      <c r="A42" s="157">
        <v>1</v>
      </c>
      <c r="B42" s="158" t="s">
        <v>132</v>
      </c>
      <c r="C42" s="159">
        <f>(1520*20.5)*1.34</f>
        <v>41754.400000000001</v>
      </c>
      <c r="D42" s="161">
        <f t="shared" si="6"/>
        <v>41754.400000000001</v>
      </c>
      <c r="E42" s="189"/>
    </row>
    <row r="43" spans="1:5" x14ac:dyDescent="0.25">
      <c r="A43" s="162">
        <v>1</v>
      </c>
      <c r="B43" s="163" t="s">
        <v>133</v>
      </c>
      <c r="C43" s="184">
        <f>(1811*20.2)*1.3</f>
        <v>47556.86</v>
      </c>
      <c r="D43" s="165">
        <f t="shared" si="6"/>
        <v>47556.86</v>
      </c>
      <c r="E43" s="189"/>
    </row>
    <row r="44" spans="1:5" x14ac:dyDescent="0.25">
      <c r="A44" s="204"/>
      <c r="B44" s="204"/>
      <c r="C44" s="205"/>
      <c r="D44" s="205"/>
      <c r="E44" s="189"/>
    </row>
    <row r="45" spans="1:5" ht="26.4" x14ac:dyDescent="0.25">
      <c r="A45" s="145" t="s">
        <v>29</v>
      </c>
      <c r="B45" s="145" t="s">
        <v>30</v>
      </c>
      <c r="C45" s="146" t="s">
        <v>31</v>
      </c>
      <c r="D45" s="146" t="s">
        <v>32</v>
      </c>
      <c r="E45" s="189"/>
    </row>
    <row r="46" spans="1:5" x14ac:dyDescent="0.25">
      <c r="A46" s="148"/>
      <c r="B46" s="149"/>
      <c r="C46" s="150"/>
      <c r="D46" s="150"/>
      <c r="E46" s="189"/>
    </row>
    <row r="47" spans="1:5" x14ac:dyDescent="0.25">
      <c r="A47" s="157">
        <v>260</v>
      </c>
      <c r="B47" s="158" t="s">
        <v>34</v>
      </c>
      <c r="C47" s="160">
        <v>16.12</v>
      </c>
      <c r="D47" s="161">
        <f>A47*C47</f>
        <v>4191.2</v>
      </c>
      <c r="E47" s="189"/>
    </row>
    <row r="48" spans="1:5" x14ac:dyDescent="0.25">
      <c r="A48" s="157">
        <v>260</v>
      </c>
      <c r="B48" s="158" t="s">
        <v>86</v>
      </c>
      <c r="C48" s="160">
        <v>36.869999999999997</v>
      </c>
      <c r="D48" s="161">
        <f t="shared" ref="D48" si="7">A48*C48</f>
        <v>9586.1999999999989</v>
      </c>
      <c r="E48" s="189"/>
    </row>
    <row r="49" spans="1:5" x14ac:dyDescent="0.25">
      <c r="A49" s="204"/>
      <c r="B49" s="204"/>
      <c r="C49" s="205"/>
      <c r="D49" s="205"/>
      <c r="E49" s="189"/>
    </row>
    <row r="50" spans="1:5" ht="26.4" x14ac:dyDescent="0.25">
      <c r="A50" s="145" t="s">
        <v>29</v>
      </c>
      <c r="B50" s="145" t="s">
        <v>30</v>
      </c>
      <c r="C50" s="146" t="s">
        <v>31</v>
      </c>
      <c r="D50" s="146" t="s">
        <v>32</v>
      </c>
    </row>
    <row r="51" spans="1:5" x14ac:dyDescent="0.25">
      <c r="A51" s="148"/>
      <c r="B51" s="149"/>
      <c r="C51" s="150"/>
      <c r="D51" s="150"/>
      <c r="E51" s="189"/>
    </row>
    <row r="52" spans="1:5" x14ac:dyDescent="0.25">
      <c r="A52" s="162">
        <v>270</v>
      </c>
      <c r="B52" s="163" t="s">
        <v>134</v>
      </c>
      <c r="C52" s="164">
        <f>(596)*(1.33)</f>
        <v>792.68000000000006</v>
      </c>
      <c r="D52" s="165">
        <f>A52*C52</f>
        <v>214023.6</v>
      </c>
      <c r="E52" s="189"/>
    </row>
    <row r="53" spans="1:5" x14ac:dyDescent="0.25">
      <c r="A53" s="162">
        <v>270</v>
      </c>
      <c r="B53" s="163" t="s">
        <v>80</v>
      </c>
      <c r="C53" s="164">
        <f>(736)*(1.33)</f>
        <v>978.88000000000011</v>
      </c>
      <c r="D53" s="165">
        <f>A53*C53</f>
        <v>264297.60000000003</v>
      </c>
      <c r="E53" s="189"/>
    </row>
    <row r="54" spans="1:5" x14ac:dyDescent="0.25">
      <c r="A54" s="162">
        <v>270</v>
      </c>
      <c r="B54" s="163" t="s">
        <v>135</v>
      </c>
      <c r="C54" s="164">
        <f>(842)*(1.3)</f>
        <v>1094.6000000000001</v>
      </c>
      <c r="D54" s="165">
        <f>A54*C54</f>
        <v>295542.00000000006</v>
      </c>
    </row>
    <row r="55" spans="1:5" x14ac:dyDescent="0.25">
      <c r="A55" s="162">
        <v>270</v>
      </c>
      <c r="B55" s="163" t="s">
        <v>136</v>
      </c>
      <c r="C55" s="164">
        <f>(1050)*(1.47)</f>
        <v>1543.5</v>
      </c>
      <c r="D55" s="165">
        <f>A55*C55</f>
        <v>416745</v>
      </c>
    </row>
    <row r="56" spans="1:5" x14ac:dyDescent="0.25">
      <c r="A56" s="204"/>
      <c r="B56" s="206"/>
      <c r="C56" s="207"/>
      <c r="D56" s="205"/>
    </row>
    <row r="57" spans="1:5" ht="26.4" x14ac:dyDescent="0.25">
      <c r="A57" s="145" t="s">
        <v>29</v>
      </c>
      <c r="B57" s="145" t="s">
        <v>30</v>
      </c>
      <c r="C57" s="146" t="s">
        <v>31</v>
      </c>
      <c r="D57" s="146" t="s">
        <v>32</v>
      </c>
      <c r="E57" s="189"/>
    </row>
    <row r="58" spans="1:5" x14ac:dyDescent="0.25">
      <c r="A58" s="148"/>
      <c r="B58" s="149"/>
      <c r="C58" s="150"/>
      <c r="D58" s="150"/>
      <c r="E58" s="189"/>
    </row>
    <row r="59" spans="1:5" x14ac:dyDescent="0.25">
      <c r="A59" s="157">
        <v>1</v>
      </c>
      <c r="B59" s="158" t="s">
        <v>77</v>
      </c>
      <c r="C59" s="159">
        <f>(4500)*(1.5)</f>
        <v>6750</v>
      </c>
      <c r="D59" s="154">
        <f t="shared" ref="D59:D61" si="8">A59*C59</f>
        <v>6750</v>
      </c>
      <c r="E59" s="189"/>
    </row>
    <row r="60" spans="1:5" x14ac:dyDescent="0.25">
      <c r="A60" s="157">
        <v>1</v>
      </c>
      <c r="B60" s="158" t="s">
        <v>78</v>
      </c>
      <c r="C60" s="159">
        <f>(6188)*(1.51)</f>
        <v>9343.8799999999992</v>
      </c>
      <c r="D60" s="154">
        <f t="shared" si="8"/>
        <v>9343.8799999999992</v>
      </c>
    </row>
    <row r="61" spans="1:5" x14ac:dyDescent="0.25">
      <c r="A61" s="162">
        <v>1</v>
      </c>
      <c r="B61" s="163" t="s">
        <v>137</v>
      </c>
      <c r="C61" s="184">
        <f>(480*20.5)*1.3</f>
        <v>12792</v>
      </c>
      <c r="D61" s="165">
        <f t="shared" si="8"/>
        <v>12792</v>
      </c>
      <c r="E61" s="189"/>
    </row>
    <row r="62" spans="1:5" x14ac:dyDescent="0.25">
      <c r="A62" s="208"/>
      <c r="B62" s="204"/>
      <c r="C62" s="205"/>
      <c r="D62" s="209"/>
      <c r="E62" s="189"/>
    </row>
    <row r="63" spans="1:5" ht="26.4" x14ac:dyDescent="0.25">
      <c r="A63" s="162">
        <v>1</v>
      </c>
      <c r="B63" s="163" t="s">
        <v>138</v>
      </c>
      <c r="C63" s="210">
        <v>35627</v>
      </c>
      <c r="D63" s="165">
        <f>A63*C63</f>
        <v>35627</v>
      </c>
    </row>
    <row r="64" spans="1:5" ht="26.4" x14ac:dyDescent="0.25">
      <c r="A64" s="162">
        <v>1</v>
      </c>
      <c r="B64" s="163" t="s">
        <v>139</v>
      </c>
      <c r="C64" s="210">
        <v>37861</v>
      </c>
      <c r="D64" s="165">
        <f>A64*C64</f>
        <v>37861</v>
      </c>
    </row>
    <row r="65" spans="1:4" x14ac:dyDescent="0.25">
      <c r="A65" s="162">
        <v>1</v>
      </c>
      <c r="B65" s="163" t="s">
        <v>140</v>
      </c>
      <c r="C65" s="184">
        <f>(2576.78*21)*(1.3)</f>
        <v>70346.094000000012</v>
      </c>
      <c r="D65" s="165">
        <f>A65*C65</f>
        <v>70346.094000000012</v>
      </c>
    </row>
    <row r="66" spans="1:4" x14ac:dyDescent="0.25">
      <c r="A66" s="211">
        <v>1</v>
      </c>
      <c r="B66" s="212" t="s">
        <v>141</v>
      </c>
      <c r="C66" s="210">
        <f>9650*1.32</f>
        <v>12738</v>
      </c>
      <c r="D66" s="213">
        <f>A66*C66</f>
        <v>12738</v>
      </c>
    </row>
    <row r="67" spans="1:4" ht="26.4" x14ac:dyDescent="0.25">
      <c r="A67" s="211"/>
      <c r="B67" s="212" t="s">
        <v>142</v>
      </c>
      <c r="C67" s="210"/>
      <c r="D67" s="213"/>
    </row>
    <row r="68" spans="1:4" x14ac:dyDescent="0.25">
      <c r="A68" s="204"/>
      <c r="B68" s="206"/>
      <c r="C68" s="214"/>
      <c r="D68" s="215"/>
    </row>
    <row r="69" spans="1:4" ht="13.8" x14ac:dyDescent="0.25">
      <c r="B69" s="103" t="s">
        <v>15</v>
      </c>
    </row>
    <row r="70" spans="1:4" ht="15" x14ac:dyDescent="0.25">
      <c r="A70" s="106"/>
      <c r="B70" s="216" t="s">
        <v>42</v>
      </c>
    </row>
    <row r="71" spans="1:4" ht="41.4" x14ac:dyDescent="0.25">
      <c r="A71" s="106"/>
      <c r="B71" s="216" t="s">
        <v>143</v>
      </c>
      <c r="C71" s="109"/>
      <c r="D71" s="110"/>
    </row>
    <row r="72" spans="1:4" ht="15" x14ac:dyDescent="0.25">
      <c r="A72" s="106"/>
      <c r="B72" s="103" t="s">
        <v>18</v>
      </c>
      <c r="C72" s="109"/>
      <c r="D72" s="110"/>
    </row>
    <row r="73" spans="1:4" ht="15" x14ac:dyDescent="0.25">
      <c r="A73" s="106"/>
      <c r="B73" s="188" t="s">
        <v>144</v>
      </c>
      <c r="C73" s="109"/>
      <c r="D73" s="109"/>
    </row>
    <row r="74" spans="1:4" ht="15" x14ac:dyDescent="0.25">
      <c r="A74" s="106"/>
      <c r="B74" s="217" t="s">
        <v>20</v>
      </c>
      <c r="C74" s="109"/>
      <c r="D74" s="109"/>
    </row>
    <row r="75" spans="1:4" ht="13.8" x14ac:dyDescent="0.25">
      <c r="B75" s="103" t="s">
        <v>21</v>
      </c>
      <c r="D75" s="105"/>
    </row>
    <row r="76" spans="1:4" ht="15" x14ac:dyDescent="0.25">
      <c r="A76" s="106"/>
      <c r="B76" s="180" t="s">
        <v>145</v>
      </c>
      <c r="C76" s="109"/>
      <c r="D76" s="110"/>
    </row>
    <row r="77" spans="1:4" ht="15" x14ac:dyDescent="0.25">
      <c r="A77" s="106"/>
      <c r="B77" s="180" t="s">
        <v>44</v>
      </c>
      <c r="C77" s="109"/>
      <c r="D77" s="110"/>
    </row>
    <row r="78" spans="1:4" ht="15" x14ac:dyDescent="0.25">
      <c r="A78" s="106"/>
      <c r="B78" s="180" t="s">
        <v>45</v>
      </c>
      <c r="D78" s="181"/>
    </row>
    <row r="79" spans="1:4" ht="33.6" x14ac:dyDescent="0.4">
      <c r="A79" s="106"/>
      <c r="B79" s="218" t="s">
        <v>23</v>
      </c>
      <c r="C79" s="109"/>
      <c r="D79" s="109"/>
    </row>
    <row r="80" spans="1:4" ht="16.8" x14ac:dyDescent="0.4">
      <c r="A80" s="106"/>
      <c r="B80" s="219"/>
      <c r="C80" s="220"/>
      <c r="D80" s="220"/>
    </row>
    <row r="81" spans="1:4" ht="13.8" x14ac:dyDescent="0.25">
      <c r="A81" s="115" t="s">
        <v>0</v>
      </c>
      <c r="B81" s="181"/>
      <c r="C81" s="181"/>
      <c r="D81" s="108"/>
    </row>
    <row r="82" spans="1:4" ht="13.8" x14ac:dyDescent="0.25">
      <c r="A82" s="221"/>
      <c r="B82" s="181"/>
      <c r="C82" s="181"/>
      <c r="D82" s="108"/>
    </row>
    <row r="83" spans="1:4" x14ac:dyDescent="0.25">
      <c r="A83" s="222"/>
      <c r="B83" s="223"/>
      <c r="C83" s="181"/>
      <c r="D83" s="108"/>
    </row>
    <row r="84" spans="1:4" ht="15" x14ac:dyDescent="0.35">
      <c r="A84" s="222"/>
      <c r="B84" s="224"/>
      <c r="C84" s="181"/>
      <c r="D84" s="181"/>
    </row>
    <row r="85" spans="1:4" x14ac:dyDescent="0.25">
      <c r="A85" s="225"/>
    </row>
    <row r="86" spans="1:4" x14ac:dyDescent="0.25">
      <c r="A86" s="226" t="s">
        <v>0</v>
      </c>
    </row>
    <row r="87" spans="1:4" x14ac:dyDescent="0.25">
      <c r="A87" s="108" t="s">
        <v>0</v>
      </c>
    </row>
  </sheetData>
  <mergeCells count="2">
    <mergeCell ref="A4:D4"/>
    <mergeCell ref="B28:D28"/>
  </mergeCells>
  <printOptions horizontalCentered="1"/>
  <pageMargins left="0.59055118110236227" right="0.59055118110236227" top="0.19685039370078741" bottom="0.19685039370078741" header="0.19685039370078741" footer="0.19685039370078741"/>
  <pageSetup paperSize="9" scale="59" fitToWidth="0" orientation="portrait" r:id="rId1"/>
  <headerFooter alignWithMargins="0">
    <oddFooter>Página &amp;P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85D5B-D2D3-454C-9DEB-468FC8B76537}">
  <sheetPr>
    <tabColor theme="4" tint="-0.249977111117893"/>
    <pageSetUpPr fitToPage="1"/>
  </sheetPr>
  <dimension ref="A1:G65"/>
  <sheetViews>
    <sheetView topLeftCell="A18" zoomScaleNormal="100" workbookViewId="0">
      <selection activeCell="B65" sqref="B65"/>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67</v>
      </c>
      <c r="B8" s="228"/>
      <c r="C8" s="229"/>
      <c r="D8" s="229"/>
    </row>
    <row r="9" spans="1:7" s="10" customFormat="1" ht="19.2" x14ac:dyDescent="0.45">
      <c r="A9" s="227" t="s">
        <v>146</v>
      </c>
      <c r="B9" s="228"/>
      <c r="C9" s="229"/>
      <c r="D9" s="229"/>
    </row>
    <row r="10" spans="1:7" s="10" customFormat="1" ht="19.2" x14ac:dyDescent="0.45">
      <c r="A10" s="227" t="s">
        <v>147</v>
      </c>
      <c r="B10" s="228"/>
      <c r="C10" s="229"/>
      <c r="D10" s="229"/>
    </row>
    <row r="11" spans="1:7" s="10" customFormat="1" ht="19.2" x14ac:dyDescent="0.45">
      <c r="A11" s="227" t="s">
        <v>70</v>
      </c>
      <c r="B11" s="228"/>
      <c r="C11" s="230"/>
      <c r="D11" s="229"/>
    </row>
    <row r="12" spans="1:7" s="10" customFormat="1" ht="15" customHeight="1" x14ac:dyDescent="0.45">
      <c r="A12" s="227" t="s">
        <v>148</v>
      </c>
      <c r="B12" s="228"/>
      <c r="C12" s="230"/>
      <c r="D12" s="229"/>
    </row>
    <row r="13" spans="1:7" s="10" customFormat="1" ht="15" customHeight="1" x14ac:dyDescent="0.45">
      <c r="A13" s="227" t="s">
        <v>6</v>
      </c>
      <c r="B13" s="231"/>
      <c r="C13" s="232"/>
      <c r="D13" s="233"/>
    </row>
    <row r="14" spans="1:7" s="10" customFormat="1" ht="15" customHeight="1" x14ac:dyDescent="0.45">
      <c r="A14" s="234" t="s">
        <v>149</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7" s="191" customFormat="1" ht="54" customHeight="1" x14ac:dyDescent="0.25">
      <c r="A17" s="238">
        <v>1</v>
      </c>
      <c r="B17" s="239" t="s">
        <v>151</v>
      </c>
      <c r="C17" s="240">
        <f>((100800+22173)*1.2)+20000+15000</f>
        <v>182567.6</v>
      </c>
      <c r="D17" s="241">
        <f>A17*C17</f>
        <v>182567.6</v>
      </c>
      <c r="E17" s="190"/>
      <c r="F17" s="108"/>
      <c r="G17" s="108"/>
    </row>
    <row r="18" spans="1:7" ht="91.5" customHeight="1" x14ac:dyDescent="0.25">
      <c r="A18" s="238">
        <v>17</v>
      </c>
      <c r="B18" s="239" t="s">
        <v>152</v>
      </c>
      <c r="C18" s="240">
        <f>(20759*1.2)+10000+882.36</f>
        <v>35793.160000000003</v>
      </c>
      <c r="D18" s="241">
        <f t="shared" ref="D18:D24" si="0">A18*C18</f>
        <v>608483.72000000009</v>
      </c>
      <c r="E18" s="189"/>
    </row>
    <row r="19" spans="1:7" ht="30" customHeight="1" x14ac:dyDescent="0.25">
      <c r="A19" s="238">
        <v>1</v>
      </c>
      <c r="B19" s="239" t="s">
        <v>153</v>
      </c>
      <c r="C19" s="240">
        <f>(161322*1.2)+10000+10000</f>
        <v>213586.4</v>
      </c>
      <c r="D19" s="241">
        <f>A19*C19</f>
        <v>213586.4</v>
      </c>
      <c r="E19" s="189"/>
    </row>
    <row r="20" spans="1:7" ht="52.5" customHeight="1" x14ac:dyDescent="0.25">
      <c r="A20" s="238">
        <v>1</v>
      </c>
      <c r="B20" s="239" t="s">
        <v>154</v>
      </c>
      <c r="C20" s="240">
        <f>(34726*1.2)+10000</f>
        <v>51671.199999999997</v>
      </c>
      <c r="D20" s="241">
        <f t="shared" si="0"/>
        <v>51671.199999999997</v>
      </c>
      <c r="E20" s="189"/>
    </row>
    <row r="21" spans="1:7" ht="13.5" customHeight="1" x14ac:dyDescent="0.25">
      <c r="A21" s="238">
        <v>1</v>
      </c>
      <c r="B21" s="242" t="s">
        <v>155</v>
      </c>
      <c r="C21" s="240">
        <v>25000</v>
      </c>
      <c r="D21" s="241">
        <f t="shared" si="0"/>
        <v>25000</v>
      </c>
      <c r="E21" s="189"/>
    </row>
    <row r="22" spans="1:7" ht="13.5" customHeight="1" x14ac:dyDescent="0.25">
      <c r="A22" s="238">
        <v>1</v>
      </c>
      <c r="B22" s="242" t="s">
        <v>156</v>
      </c>
      <c r="C22" s="240">
        <v>3500</v>
      </c>
      <c r="D22" s="241">
        <f t="shared" si="0"/>
        <v>3500</v>
      </c>
      <c r="E22" s="189"/>
    </row>
    <row r="23" spans="1:7" ht="13.5" customHeight="1" x14ac:dyDescent="0.25">
      <c r="A23" s="238">
        <v>1</v>
      </c>
      <c r="B23" s="242" t="s">
        <v>157</v>
      </c>
      <c r="C23" s="240">
        <v>12000</v>
      </c>
      <c r="D23" s="241">
        <f t="shared" si="0"/>
        <v>12000</v>
      </c>
      <c r="E23" s="189"/>
    </row>
    <row r="24" spans="1:7" ht="13.5" customHeight="1" x14ac:dyDescent="0.25">
      <c r="A24" s="238">
        <v>1</v>
      </c>
      <c r="B24" s="242" t="s">
        <v>158</v>
      </c>
      <c r="C24" s="240">
        <v>15000</v>
      </c>
      <c r="D24" s="241">
        <f t="shared" si="0"/>
        <v>15000</v>
      </c>
      <c r="E24" s="189"/>
    </row>
    <row r="25" spans="1:7" ht="13.5" customHeight="1" x14ac:dyDescent="0.25">
      <c r="A25" s="238"/>
      <c r="B25" s="243" t="s">
        <v>159</v>
      </c>
      <c r="C25" s="240"/>
      <c r="D25" s="241"/>
      <c r="E25" s="189"/>
    </row>
    <row r="26" spans="1:7" x14ac:dyDescent="0.25">
      <c r="A26" s="244"/>
      <c r="B26" s="245"/>
      <c r="C26" s="246"/>
      <c r="D26" s="247"/>
      <c r="E26" s="189"/>
    </row>
    <row r="27" spans="1:7" x14ac:dyDescent="0.25">
      <c r="A27" s="248"/>
      <c r="B27" s="248"/>
      <c r="C27" s="249" t="s">
        <v>160</v>
      </c>
      <c r="D27" s="247">
        <f>SUM(D16:D26)</f>
        <v>1111808.9200000002</v>
      </c>
      <c r="E27" s="189"/>
    </row>
    <row r="28" spans="1:7" x14ac:dyDescent="0.25">
      <c r="A28" s="250"/>
      <c r="B28" s="250"/>
      <c r="C28" s="249" t="s">
        <v>161</v>
      </c>
      <c r="D28" s="247">
        <f>D27*0.16</f>
        <v>177889.42720000003</v>
      </c>
      <c r="E28" s="189"/>
    </row>
    <row r="29" spans="1:7" ht="13.8" thickBot="1" x14ac:dyDescent="0.3">
      <c r="A29" s="250"/>
      <c r="B29" s="250"/>
      <c r="C29" s="251" t="s">
        <v>162</v>
      </c>
      <c r="D29" s="252">
        <f>D27+D28</f>
        <v>1289698.3472000002</v>
      </c>
      <c r="E29" s="189"/>
    </row>
    <row r="30" spans="1:7" ht="13.8" thickBot="1" x14ac:dyDescent="0.3">
      <c r="A30" s="102"/>
      <c r="B30" s="1044" t="s">
        <v>163</v>
      </c>
      <c r="C30" s="1045"/>
      <c r="D30" s="1046"/>
    </row>
    <row r="31" spans="1:7" x14ac:dyDescent="0.25">
      <c r="A31" s="102"/>
      <c r="B31" s="201"/>
      <c r="C31" s="253"/>
      <c r="D31" s="254"/>
    </row>
    <row r="32" spans="1:7" ht="13.8" x14ac:dyDescent="0.25">
      <c r="A32" s="102"/>
      <c r="B32" s="100" t="s">
        <v>9</v>
      </c>
      <c r="C32" s="104"/>
      <c r="D32" s="105"/>
    </row>
    <row r="33" spans="1:5" ht="37.5" customHeight="1" x14ac:dyDescent="0.25">
      <c r="A33" s="102"/>
      <c r="B33" s="255" t="s">
        <v>164</v>
      </c>
      <c r="C33" s="104"/>
      <c r="D33" s="105"/>
    </row>
    <row r="34" spans="1:5" ht="17.25" customHeight="1" x14ac:dyDescent="0.25">
      <c r="A34" s="106"/>
      <c r="B34" s="100" t="s">
        <v>11</v>
      </c>
      <c r="D34" s="105"/>
    </row>
    <row r="35" spans="1:5" ht="15" x14ac:dyDescent="0.25">
      <c r="A35" s="106"/>
      <c r="B35" s="256" t="s">
        <v>12</v>
      </c>
      <c r="D35" s="105"/>
    </row>
    <row r="36" spans="1:5" ht="13.5" customHeight="1" x14ac:dyDescent="0.25">
      <c r="A36" s="106"/>
      <c r="B36" s="256" t="s">
        <v>13</v>
      </c>
      <c r="D36" s="105"/>
    </row>
    <row r="37" spans="1:5" ht="15" x14ac:dyDescent="0.25">
      <c r="A37" s="106"/>
      <c r="B37" s="256" t="s">
        <v>14</v>
      </c>
      <c r="D37" s="105"/>
    </row>
    <row r="38" spans="1:5" ht="13.8" x14ac:dyDescent="0.25">
      <c r="B38" s="103" t="s">
        <v>15</v>
      </c>
    </row>
    <row r="39" spans="1:5" ht="15" x14ac:dyDescent="0.25">
      <c r="A39" s="106"/>
      <c r="B39" s="216" t="s">
        <v>42</v>
      </c>
      <c r="E39" s="189"/>
    </row>
    <row r="40" spans="1:5" ht="41.4" x14ac:dyDescent="0.25">
      <c r="A40" s="106"/>
      <c r="B40" s="216" t="s">
        <v>165</v>
      </c>
      <c r="C40" s="109"/>
      <c r="D40" s="110"/>
      <c r="E40" s="189"/>
    </row>
    <row r="41" spans="1:5" ht="15" x14ac:dyDescent="0.25">
      <c r="A41" s="106"/>
      <c r="B41" s="103" t="s">
        <v>18</v>
      </c>
      <c r="C41" s="109"/>
      <c r="D41" s="110"/>
    </row>
    <row r="42" spans="1:5" ht="33.75" customHeight="1" x14ac:dyDescent="0.25">
      <c r="A42" s="106"/>
      <c r="B42" s="217" t="s">
        <v>166</v>
      </c>
      <c r="C42" s="109"/>
      <c r="D42" s="109"/>
    </row>
    <row r="43" spans="1:5" ht="15" x14ac:dyDescent="0.25">
      <c r="A43" s="106"/>
      <c r="B43" s="115" t="s">
        <v>167</v>
      </c>
      <c r="C43" s="109"/>
      <c r="D43" s="109"/>
    </row>
    <row r="44" spans="1:5" ht="15" x14ac:dyDescent="0.25">
      <c r="A44" s="106"/>
      <c r="B44" s="217" t="s">
        <v>20</v>
      </c>
      <c r="C44" s="109"/>
      <c r="D44" s="109"/>
    </row>
    <row r="45" spans="1:5" ht="13.8" x14ac:dyDescent="0.25">
      <c r="B45" s="103" t="s">
        <v>21</v>
      </c>
      <c r="D45" s="105"/>
    </row>
    <row r="46" spans="1:5" ht="15" x14ac:dyDescent="0.25">
      <c r="A46" s="106"/>
      <c r="B46" s="180" t="s">
        <v>168</v>
      </c>
      <c r="C46" s="109"/>
      <c r="D46" s="110"/>
    </row>
    <row r="47" spans="1:5" ht="15" x14ac:dyDescent="0.25">
      <c r="A47" s="106"/>
      <c r="B47" s="180" t="s">
        <v>44</v>
      </c>
      <c r="C47" s="109"/>
      <c r="D47" s="110"/>
    </row>
    <row r="48" spans="1:5" ht="13.8" x14ac:dyDescent="0.25">
      <c r="A48" s="115" t="s">
        <v>0</v>
      </c>
      <c r="B48" s="180" t="s">
        <v>45</v>
      </c>
      <c r="C48" s="109"/>
    </row>
    <row r="49" spans="1:4" ht="50.4" x14ac:dyDescent="0.4">
      <c r="A49" s="222"/>
      <c r="B49" s="218" t="s">
        <v>169</v>
      </c>
      <c r="C49" s="220"/>
      <c r="D49" s="108"/>
    </row>
    <row r="50" spans="1:4" x14ac:dyDescent="0.25">
      <c r="A50" s="222"/>
      <c r="B50" s="181"/>
      <c r="C50" s="181"/>
      <c r="D50" s="108"/>
    </row>
    <row r="51" spans="1:4" x14ac:dyDescent="0.25">
      <c r="A51" s="222"/>
      <c r="B51" s="181"/>
      <c r="C51" s="181"/>
      <c r="D51" s="108"/>
    </row>
    <row r="52" spans="1:4" x14ac:dyDescent="0.25">
      <c r="A52" s="225"/>
      <c r="B52" s="223"/>
      <c r="C52" s="181"/>
      <c r="D52" s="108"/>
    </row>
    <row r="53" spans="1:4" ht="15" x14ac:dyDescent="0.35">
      <c r="A53" s="226" t="s">
        <v>0</v>
      </c>
      <c r="B53" s="224"/>
      <c r="C53" s="181"/>
      <c r="D53" s="181"/>
    </row>
    <row r="54" spans="1:4" x14ac:dyDescent="0.25">
      <c r="A54" s="108" t="s">
        <v>0</v>
      </c>
    </row>
    <row r="56" spans="1:4" ht="12.75" customHeight="1" x14ac:dyDescent="0.25"/>
    <row r="60" spans="1:4" ht="16.5" customHeight="1" x14ac:dyDescent="0.25"/>
    <row r="64" spans="1:4" ht="15.75" customHeight="1" x14ac:dyDescent="0.25"/>
    <row r="65" ht="15" customHeight="1" x14ac:dyDescent="0.25"/>
  </sheetData>
  <mergeCells count="3">
    <mergeCell ref="A4:D4"/>
    <mergeCell ref="A15:D15"/>
    <mergeCell ref="B30:D30"/>
  </mergeCells>
  <printOptions horizontalCentered="1"/>
  <pageMargins left="0.59055118110236227" right="0.59055118110236227" top="0.19685039370078741" bottom="0.19685039370078741" header="0.19685039370078741" footer="0.19685039370078741"/>
  <pageSetup paperSize="9" scale="66" fitToWidth="0" orientation="portrait" r:id="rId1"/>
  <headerFooter alignWithMargins="0">
    <oddFooter>Página &amp;P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2E0D-9D44-4081-B756-58F05723A9A7}">
  <sheetPr>
    <tabColor theme="4" tint="-0.249977111117893"/>
  </sheetPr>
  <dimension ref="A1:I55"/>
  <sheetViews>
    <sheetView topLeftCell="A13" zoomScaleNormal="100" workbookViewId="0">
      <selection activeCell="B65" sqref="B65"/>
    </sheetView>
  </sheetViews>
  <sheetFormatPr baseColWidth="10" defaultColWidth="11.44140625" defaultRowHeight="13.2" x14ac:dyDescent="0.25"/>
  <cols>
    <col min="1" max="1" width="6.44140625" style="108" customWidth="1"/>
    <col min="2" max="2" width="67.109375" style="108" customWidth="1"/>
    <col min="3" max="3" width="11.88671875" style="107" customWidth="1"/>
    <col min="4" max="4" width="13.5546875" style="107" customWidth="1"/>
    <col min="5" max="16384" width="11.44140625" style="108"/>
  </cols>
  <sheetData>
    <row r="1" spans="1:9" ht="81" customHeight="1" x14ac:dyDescent="0.25">
      <c r="A1" s="108" t="s">
        <v>0</v>
      </c>
      <c r="C1" s="185"/>
    </row>
    <row r="2" spans="1:9" ht="16.8" x14ac:dyDescent="0.4">
      <c r="A2" s="57" t="s">
        <v>170</v>
      </c>
      <c r="B2" s="10"/>
      <c r="C2" s="58"/>
      <c r="D2" s="58"/>
      <c r="E2" s="10"/>
      <c r="F2" s="10"/>
    </row>
    <row r="3" spans="1:9" ht="16.8" x14ac:dyDescent="0.4">
      <c r="A3" s="57" t="s">
        <v>171</v>
      </c>
      <c r="B3" s="10"/>
      <c r="C3" s="58"/>
      <c r="D3" s="58"/>
      <c r="E3" s="10"/>
      <c r="F3" s="10"/>
    </row>
    <row r="4" spans="1:9" s="10" customFormat="1" ht="16.8" x14ac:dyDescent="0.4">
      <c r="A4" s="57" t="s">
        <v>172</v>
      </c>
      <c r="C4" s="59"/>
      <c r="D4" s="58"/>
    </row>
    <row r="5" spans="1:9" s="10" customFormat="1" ht="16.8" x14ac:dyDescent="0.4">
      <c r="A5" s="57" t="s">
        <v>173</v>
      </c>
      <c r="C5" s="59"/>
      <c r="D5" s="58"/>
    </row>
    <row r="6" spans="1:9" s="10" customFormat="1" ht="14.25" customHeight="1" x14ac:dyDescent="0.4">
      <c r="A6" s="57" t="s">
        <v>6</v>
      </c>
      <c r="B6" s="61"/>
      <c r="C6" s="62"/>
      <c r="D6" s="63"/>
    </row>
    <row r="7" spans="1:9" s="10" customFormat="1" ht="16.8" x14ac:dyDescent="0.4">
      <c r="A7" s="257" t="s">
        <v>174</v>
      </c>
      <c r="B7" s="258"/>
      <c r="C7" s="62"/>
      <c r="D7" s="259"/>
    </row>
    <row r="8" spans="1:9" s="10" customFormat="1" ht="26.4" x14ac:dyDescent="0.4">
      <c r="A8" s="260" t="s">
        <v>29</v>
      </c>
      <c r="B8" s="260" t="s">
        <v>175</v>
      </c>
      <c r="C8" s="261" t="s">
        <v>31</v>
      </c>
      <c r="D8" s="261" t="s">
        <v>32</v>
      </c>
      <c r="E8" s="189"/>
    </row>
    <row r="9" spans="1:9" s="10" customFormat="1" ht="8.25" customHeight="1" x14ac:dyDescent="0.4">
      <c r="A9" s="262"/>
      <c r="B9" s="263"/>
      <c r="C9" s="264"/>
      <c r="D9" s="264"/>
      <c r="E9" s="190"/>
      <c r="F9" s="108"/>
    </row>
    <row r="10" spans="1:9" s="10" customFormat="1" ht="16.8" x14ac:dyDescent="0.4">
      <c r="A10" s="265">
        <v>1</v>
      </c>
      <c r="B10" s="266" t="s">
        <v>176</v>
      </c>
      <c r="C10" s="267">
        <v>15600</v>
      </c>
      <c r="D10" s="268">
        <f>A10*C10</f>
        <v>15600</v>
      </c>
      <c r="E10" s="190"/>
      <c r="F10" s="191"/>
    </row>
    <row r="11" spans="1:9" s="10" customFormat="1" ht="16.8" x14ac:dyDescent="0.4">
      <c r="A11" s="269"/>
      <c r="B11" s="270" t="s">
        <v>177</v>
      </c>
      <c r="C11" s="267"/>
      <c r="D11" s="268"/>
      <c r="E11" s="190"/>
      <c r="F11" s="108"/>
    </row>
    <row r="12" spans="1:9" s="10" customFormat="1" ht="15" customHeight="1" x14ac:dyDescent="0.4">
      <c r="A12" s="269"/>
      <c r="B12" s="270" t="s">
        <v>178</v>
      </c>
      <c r="C12" s="267"/>
      <c r="D12" s="268"/>
      <c r="E12" s="190"/>
      <c r="F12" s="191"/>
    </row>
    <row r="13" spans="1:9" s="10" customFormat="1" ht="16.8" x14ac:dyDescent="0.4">
      <c r="A13" s="271">
        <v>1</v>
      </c>
      <c r="B13" s="272" t="s">
        <v>179</v>
      </c>
      <c r="C13" s="273">
        <f>(1648.5*20.5)*1.3</f>
        <v>43932.525000000001</v>
      </c>
      <c r="D13" s="268">
        <f>A13*C13</f>
        <v>43932.525000000001</v>
      </c>
      <c r="E13" s="190"/>
      <c r="F13" s="191"/>
      <c r="G13" s="108"/>
      <c r="H13" s="188"/>
      <c r="I13" s="188"/>
    </row>
    <row r="14" spans="1:9" s="10" customFormat="1" ht="16.8" x14ac:dyDescent="0.4">
      <c r="A14" s="274"/>
      <c r="B14" s="275" t="s">
        <v>180</v>
      </c>
      <c r="C14" s="273"/>
      <c r="D14" s="268"/>
      <c r="E14" s="190"/>
      <c r="F14" s="276"/>
      <c r="G14" s="191"/>
      <c r="H14" s="108"/>
      <c r="I14" s="108"/>
    </row>
    <row r="15" spans="1:9" s="188" customFormat="1" ht="15.6" x14ac:dyDescent="0.25">
      <c r="A15" s="274">
        <v>1</v>
      </c>
      <c r="B15" s="275" t="s">
        <v>181</v>
      </c>
      <c r="C15" s="273">
        <f>(700*20.5)*1.3</f>
        <v>18655</v>
      </c>
      <c r="D15" s="268">
        <f>A15*C15</f>
        <v>18655</v>
      </c>
      <c r="E15" s="189"/>
      <c r="F15" s="108"/>
      <c r="G15" s="108"/>
      <c r="H15" s="191"/>
      <c r="I15" s="191"/>
    </row>
    <row r="16" spans="1:9" ht="15.6" x14ac:dyDescent="0.25">
      <c r="A16" s="265">
        <v>1</v>
      </c>
      <c r="B16" s="266" t="s">
        <v>182</v>
      </c>
      <c r="C16" s="267">
        <v>15600</v>
      </c>
      <c r="D16" s="268">
        <f>A16*C16</f>
        <v>15600</v>
      </c>
      <c r="E16" s="190"/>
      <c r="F16" s="190"/>
      <c r="G16" s="191"/>
    </row>
    <row r="17" spans="1:7" s="191" customFormat="1" ht="15.75" customHeight="1" x14ac:dyDescent="0.3">
      <c r="A17" s="269"/>
      <c r="B17" s="270" t="s">
        <v>177</v>
      </c>
      <c r="C17" s="267"/>
      <c r="D17" s="268"/>
      <c r="E17" s="189"/>
      <c r="F17" s="108"/>
      <c r="G17" s="108"/>
    </row>
    <row r="18" spans="1:7" ht="15.6" x14ac:dyDescent="0.3">
      <c r="A18" s="269"/>
      <c r="B18" s="270" t="s">
        <v>183</v>
      </c>
      <c r="C18" s="267"/>
      <c r="D18" s="268"/>
      <c r="E18" s="189"/>
    </row>
    <row r="19" spans="1:7" ht="15.6" x14ac:dyDescent="0.3">
      <c r="A19" s="277">
        <v>1</v>
      </c>
      <c r="B19" s="270" t="s">
        <v>184</v>
      </c>
      <c r="C19" s="278">
        <v>3510</v>
      </c>
      <c r="D19" s="268">
        <f>A19*C19</f>
        <v>3510</v>
      </c>
      <c r="E19" s="189"/>
    </row>
    <row r="20" spans="1:7" ht="15.6" x14ac:dyDescent="0.3">
      <c r="A20" s="277"/>
      <c r="B20" s="270" t="s">
        <v>185</v>
      </c>
      <c r="C20" s="278"/>
      <c r="D20" s="268"/>
      <c r="E20" s="189"/>
    </row>
    <row r="21" spans="1:7" ht="31.2" x14ac:dyDescent="0.25">
      <c r="A21" s="277"/>
      <c r="B21" s="279" t="s">
        <v>186</v>
      </c>
      <c r="C21" s="278"/>
      <c r="D21" s="268"/>
      <c r="E21" s="189"/>
    </row>
    <row r="22" spans="1:7" ht="31.2" x14ac:dyDescent="0.25">
      <c r="A22" s="280">
        <v>1</v>
      </c>
      <c r="B22" s="281" t="s">
        <v>78</v>
      </c>
      <c r="C22" s="282">
        <f>(6188)*(1.3)</f>
        <v>8044.4000000000005</v>
      </c>
      <c r="D22" s="283">
        <f>A22*C22</f>
        <v>8044.4000000000005</v>
      </c>
      <c r="E22" s="189"/>
    </row>
    <row r="23" spans="1:7" ht="15.6" x14ac:dyDescent="0.25">
      <c r="A23" s="280">
        <v>1</v>
      </c>
      <c r="B23" s="281" t="s">
        <v>85</v>
      </c>
      <c r="C23" s="284">
        <v>2134</v>
      </c>
      <c r="D23" s="285">
        <f>A23*C23</f>
        <v>2134</v>
      </c>
      <c r="E23" s="189"/>
    </row>
    <row r="24" spans="1:7" ht="31.2" x14ac:dyDescent="0.25">
      <c r="A24" s="280">
        <v>130</v>
      </c>
      <c r="B24" s="281" t="s">
        <v>34</v>
      </c>
      <c r="C24" s="284">
        <v>16.12</v>
      </c>
      <c r="D24" s="285">
        <f>A24*C24</f>
        <v>2095.6</v>
      </c>
      <c r="E24" s="189"/>
    </row>
    <row r="25" spans="1:7" ht="15.6" x14ac:dyDescent="0.3">
      <c r="A25" s="277">
        <v>1</v>
      </c>
      <c r="B25" s="270" t="s">
        <v>187</v>
      </c>
      <c r="C25" s="278">
        <v>2000</v>
      </c>
      <c r="D25" s="268">
        <f>A25*C25</f>
        <v>2000</v>
      </c>
      <c r="E25" s="189"/>
    </row>
    <row r="26" spans="1:7" ht="15.6" x14ac:dyDescent="0.25">
      <c r="A26" s="286"/>
      <c r="B26" s="206"/>
      <c r="C26" s="287" t="s">
        <v>188</v>
      </c>
      <c r="D26" s="288">
        <f>SUM(D10:D25)</f>
        <v>111571.52499999999</v>
      </c>
      <c r="E26" s="189"/>
    </row>
    <row r="27" spans="1:7" ht="15.6" x14ac:dyDescent="0.3">
      <c r="A27" s="102"/>
      <c r="B27" s="289" t="s">
        <v>189</v>
      </c>
      <c r="C27" s="290" t="s">
        <v>90</v>
      </c>
      <c r="D27" s="291">
        <f>D26*0.16</f>
        <v>17851.444</v>
      </c>
    </row>
    <row r="28" spans="1:7" ht="16.2" thickBot="1" x14ac:dyDescent="0.35">
      <c r="A28" s="102"/>
      <c r="B28" s="289" t="s">
        <v>190</v>
      </c>
      <c r="C28" s="292" t="s">
        <v>40</v>
      </c>
      <c r="D28" s="293">
        <f>D26+D27</f>
        <v>129422.969</v>
      </c>
    </row>
    <row r="29" spans="1:7" ht="13.8" thickBot="1" x14ac:dyDescent="0.3">
      <c r="A29" s="276"/>
      <c r="B29" s="1047" t="s">
        <v>191</v>
      </c>
      <c r="C29" s="1048"/>
      <c r="D29" s="1049"/>
    </row>
    <row r="30" spans="1:7" ht="17.399999999999999" x14ac:dyDescent="0.25">
      <c r="A30" s="102"/>
      <c r="B30" s="294" t="s">
        <v>10</v>
      </c>
      <c r="C30" s="253"/>
      <c r="D30" s="254"/>
    </row>
    <row r="31" spans="1:7" ht="15" x14ac:dyDescent="0.25">
      <c r="A31" s="106"/>
      <c r="B31" s="103" t="s">
        <v>11</v>
      </c>
      <c r="C31" s="104"/>
      <c r="D31" s="105"/>
    </row>
    <row r="32" spans="1:7" ht="15" x14ac:dyDescent="0.25">
      <c r="A32" s="106"/>
      <c r="B32" s="123" t="s">
        <v>13</v>
      </c>
      <c r="D32" s="105"/>
    </row>
    <row r="33" spans="1:4" ht="13.8" x14ac:dyDescent="0.25">
      <c r="B33" s="103" t="s">
        <v>15</v>
      </c>
    </row>
    <row r="34" spans="1:4" ht="13.5" customHeight="1" x14ac:dyDescent="0.25">
      <c r="A34" s="106"/>
      <c r="B34" s="295" t="s">
        <v>192</v>
      </c>
      <c r="C34" s="109"/>
      <c r="D34" s="110"/>
    </row>
    <row r="35" spans="1:4" ht="41.4" x14ac:dyDescent="0.25">
      <c r="A35" s="106"/>
      <c r="B35" s="295" t="s">
        <v>43</v>
      </c>
      <c r="C35" s="109"/>
      <c r="D35" s="110"/>
    </row>
    <row r="36" spans="1:4" ht="13.5" customHeight="1" x14ac:dyDescent="0.25">
      <c r="A36" s="106"/>
      <c r="B36" s="103" t="s">
        <v>18</v>
      </c>
      <c r="C36" s="109"/>
    </row>
    <row r="37" spans="1:4" ht="15" x14ac:dyDescent="0.25">
      <c r="A37" s="106"/>
      <c r="B37" s="296" t="s">
        <v>193</v>
      </c>
      <c r="C37" s="220"/>
    </row>
    <row r="38" spans="1:4" ht="15" x14ac:dyDescent="0.25">
      <c r="A38" s="106"/>
      <c r="B38" s="297" t="s">
        <v>20</v>
      </c>
      <c r="C38" s="109"/>
      <c r="D38" s="108"/>
    </row>
    <row r="39" spans="1:4" ht="13.8" x14ac:dyDescent="0.25">
      <c r="B39" s="103" t="s">
        <v>21</v>
      </c>
      <c r="C39" s="220"/>
      <c r="D39" s="108"/>
    </row>
    <row r="40" spans="1:4" ht="15" x14ac:dyDescent="0.25">
      <c r="A40" s="106"/>
      <c r="B40" s="122" t="s">
        <v>194</v>
      </c>
      <c r="C40" s="181"/>
      <c r="D40" s="108"/>
    </row>
    <row r="41" spans="1:4" ht="14.25" customHeight="1" x14ac:dyDescent="0.25">
      <c r="A41" s="106"/>
      <c r="B41" s="123" t="s">
        <v>44</v>
      </c>
      <c r="C41" s="181"/>
      <c r="D41" s="181"/>
    </row>
    <row r="42" spans="1:4" ht="15" x14ac:dyDescent="0.25">
      <c r="A42" s="106"/>
      <c r="B42" s="298" t="s">
        <v>45</v>
      </c>
      <c r="D42" s="181"/>
    </row>
    <row r="43" spans="1:4" ht="16.5" customHeight="1" x14ac:dyDescent="0.25"/>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29:D29"/>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4F04-4447-4116-9AA9-AB48A2D761E2}">
  <sheetPr>
    <tabColor theme="4" tint="-0.249977111117893"/>
  </sheetPr>
  <dimension ref="A1:I55"/>
  <sheetViews>
    <sheetView topLeftCell="A5" zoomScaleNormal="100" workbookViewId="0">
      <selection activeCell="B65" sqref="B65"/>
    </sheetView>
  </sheetViews>
  <sheetFormatPr baseColWidth="10" defaultColWidth="11.44140625" defaultRowHeight="13.2" x14ac:dyDescent="0.25"/>
  <cols>
    <col min="1" max="1" width="6.44140625" style="108" customWidth="1"/>
    <col min="2" max="2" width="67.109375" style="108" customWidth="1"/>
    <col min="3" max="3" width="11.88671875" style="107" customWidth="1"/>
    <col min="4" max="4" width="13.5546875" style="107" customWidth="1"/>
    <col min="5" max="16384" width="11.44140625" style="108"/>
  </cols>
  <sheetData>
    <row r="1" spans="1:9" ht="81" customHeight="1" x14ac:dyDescent="0.25">
      <c r="A1" s="108" t="s">
        <v>0</v>
      </c>
      <c r="C1" s="185"/>
    </row>
    <row r="2" spans="1:9" ht="16.8" x14ac:dyDescent="0.4">
      <c r="A2" s="57" t="s">
        <v>170</v>
      </c>
      <c r="B2" s="10"/>
      <c r="C2" s="58"/>
      <c r="D2" s="58"/>
      <c r="E2" s="10"/>
      <c r="F2" s="10"/>
    </row>
    <row r="3" spans="1:9" ht="16.8" x14ac:dyDescent="0.4">
      <c r="A3" s="57" t="s">
        <v>171</v>
      </c>
      <c r="B3" s="10"/>
      <c r="C3" s="58"/>
      <c r="D3" s="58"/>
      <c r="E3" s="10"/>
      <c r="F3" s="10"/>
    </row>
    <row r="4" spans="1:9" s="10" customFormat="1" ht="16.8" x14ac:dyDescent="0.4">
      <c r="A4" s="57" t="s">
        <v>172</v>
      </c>
      <c r="C4" s="59"/>
      <c r="D4" s="58"/>
    </row>
    <row r="5" spans="1:9" s="10" customFormat="1" ht="16.8" x14ac:dyDescent="0.4">
      <c r="A5" s="57" t="s">
        <v>173</v>
      </c>
      <c r="C5" s="59"/>
      <c r="D5" s="58"/>
    </row>
    <row r="6" spans="1:9" s="10" customFormat="1" ht="14.25" customHeight="1" x14ac:dyDescent="0.4">
      <c r="A6" s="57" t="s">
        <v>6</v>
      </c>
      <c r="B6" s="61"/>
      <c r="C6" s="62"/>
      <c r="D6" s="63"/>
    </row>
    <row r="7" spans="1:9" s="10" customFormat="1" ht="16.8" x14ac:dyDescent="0.4">
      <c r="A7" s="257" t="s">
        <v>174</v>
      </c>
      <c r="B7" s="258"/>
      <c r="C7" s="62"/>
      <c r="D7" s="259"/>
    </row>
    <row r="8" spans="1:9" s="10" customFormat="1" ht="26.4" x14ac:dyDescent="0.4">
      <c r="A8" s="260" t="s">
        <v>29</v>
      </c>
      <c r="B8" s="260" t="s">
        <v>175</v>
      </c>
      <c r="C8" s="261" t="s">
        <v>31</v>
      </c>
      <c r="D8" s="261" t="s">
        <v>32</v>
      </c>
      <c r="E8" s="189"/>
    </row>
    <row r="9" spans="1:9" s="10" customFormat="1" ht="8.25" customHeight="1" x14ac:dyDescent="0.4">
      <c r="A9" s="262"/>
      <c r="B9" s="263"/>
      <c r="C9" s="264"/>
      <c r="D9" s="264"/>
      <c r="E9" s="190"/>
      <c r="F9" s="108"/>
    </row>
    <row r="10" spans="1:9" s="10" customFormat="1" ht="16.8" x14ac:dyDescent="0.4">
      <c r="A10" s="265">
        <v>1</v>
      </c>
      <c r="B10" s="266" t="s">
        <v>176</v>
      </c>
      <c r="C10" s="267">
        <v>15600</v>
      </c>
      <c r="D10" s="268">
        <f>A10*C10</f>
        <v>15600</v>
      </c>
      <c r="E10" s="190"/>
      <c r="F10" s="191"/>
    </row>
    <row r="11" spans="1:9" s="10" customFormat="1" ht="16.8" x14ac:dyDescent="0.4">
      <c r="A11" s="269"/>
      <c r="B11" s="270" t="s">
        <v>177</v>
      </c>
      <c r="C11" s="267"/>
      <c r="D11" s="268"/>
      <c r="E11" s="190"/>
      <c r="F11" s="108"/>
    </row>
    <row r="12" spans="1:9" s="10" customFormat="1" ht="15" customHeight="1" x14ac:dyDescent="0.4">
      <c r="A12" s="269"/>
      <c r="B12" s="270" t="s">
        <v>178</v>
      </c>
      <c r="C12" s="267"/>
      <c r="D12" s="268"/>
      <c r="E12" s="190"/>
      <c r="F12" s="191"/>
    </row>
    <row r="13" spans="1:9" s="10" customFormat="1" ht="16.8" x14ac:dyDescent="0.4">
      <c r="A13" s="271">
        <v>1</v>
      </c>
      <c r="B13" s="272" t="s">
        <v>179</v>
      </c>
      <c r="C13" s="273">
        <f>(42030)*1.3</f>
        <v>54639</v>
      </c>
      <c r="D13" s="268">
        <f>A13*C13</f>
        <v>54639</v>
      </c>
      <c r="E13" s="190"/>
      <c r="F13" s="191"/>
      <c r="G13" s="108"/>
      <c r="H13" s="188"/>
      <c r="I13" s="188"/>
    </row>
    <row r="14" spans="1:9" s="10" customFormat="1" ht="16.8" x14ac:dyDescent="0.4">
      <c r="A14" s="274"/>
      <c r="B14" s="275" t="s">
        <v>195</v>
      </c>
      <c r="C14" s="273"/>
      <c r="D14" s="268"/>
      <c r="E14" s="190"/>
      <c r="F14" s="276"/>
      <c r="G14" s="191"/>
      <c r="H14" s="108"/>
      <c r="I14" s="108"/>
    </row>
    <row r="15" spans="1:9" s="188" customFormat="1" ht="31.2" x14ac:dyDescent="0.25">
      <c r="A15" s="274">
        <v>1</v>
      </c>
      <c r="B15" s="275" t="s">
        <v>196</v>
      </c>
      <c r="C15" s="273">
        <f>(41890)*1.3</f>
        <v>54457</v>
      </c>
      <c r="D15" s="268">
        <f>A15*C15</f>
        <v>54457</v>
      </c>
      <c r="E15" s="189"/>
      <c r="F15" s="108"/>
      <c r="G15" s="108"/>
      <c r="H15" s="191"/>
      <c r="I15" s="191"/>
    </row>
    <row r="16" spans="1:9" ht="15.6" x14ac:dyDescent="0.25">
      <c r="A16" s="265">
        <v>1</v>
      </c>
      <c r="B16" s="266" t="s">
        <v>182</v>
      </c>
      <c r="C16" s="267">
        <v>15600</v>
      </c>
      <c r="D16" s="268">
        <f>A16*C16</f>
        <v>15600</v>
      </c>
      <c r="E16" s="190"/>
      <c r="F16" s="190"/>
      <c r="G16" s="191"/>
    </row>
    <row r="17" spans="1:7" s="191" customFormat="1" ht="15.75" customHeight="1" x14ac:dyDescent="0.3">
      <c r="A17" s="269"/>
      <c r="B17" s="270" t="s">
        <v>177</v>
      </c>
      <c r="C17" s="267"/>
      <c r="D17" s="268"/>
      <c r="E17" s="189"/>
      <c r="F17" s="108"/>
      <c r="G17" s="108"/>
    </row>
    <row r="18" spans="1:7" ht="15.6" x14ac:dyDescent="0.3">
      <c r="A18" s="269"/>
      <c r="B18" s="270" t="s">
        <v>183</v>
      </c>
      <c r="C18" s="267"/>
      <c r="D18" s="268"/>
      <c r="E18" s="189"/>
    </row>
    <row r="19" spans="1:7" ht="31.2" x14ac:dyDescent="0.25">
      <c r="A19" s="280">
        <v>1</v>
      </c>
      <c r="B19" s="281" t="s">
        <v>197</v>
      </c>
      <c r="C19" s="282">
        <f>(650*20.5)*1.25+6000</f>
        <v>22656.25</v>
      </c>
      <c r="D19" s="285">
        <f>A19*C19</f>
        <v>22656.25</v>
      </c>
      <c r="E19" s="189"/>
    </row>
    <row r="20" spans="1:7" ht="15.6" x14ac:dyDescent="0.3">
      <c r="A20" s="277">
        <v>1</v>
      </c>
      <c r="B20" s="270" t="s">
        <v>184</v>
      </c>
      <c r="C20" s="278">
        <v>3510</v>
      </c>
      <c r="D20" s="268">
        <f>A20*C20</f>
        <v>3510</v>
      </c>
      <c r="E20" s="189"/>
    </row>
    <row r="21" spans="1:7" ht="15.6" x14ac:dyDescent="0.3">
      <c r="A21" s="277"/>
      <c r="B21" s="270" t="s">
        <v>185</v>
      </c>
      <c r="C21" s="278"/>
      <c r="D21" s="268"/>
      <c r="E21" s="189"/>
    </row>
    <row r="22" spans="1:7" ht="31.2" x14ac:dyDescent="0.25">
      <c r="A22" s="277"/>
      <c r="B22" s="279" t="s">
        <v>186</v>
      </c>
      <c r="C22" s="278"/>
      <c r="D22" s="268"/>
      <c r="E22" s="189"/>
    </row>
    <row r="23" spans="1:7" ht="15.6" x14ac:dyDescent="0.25">
      <c r="A23" s="280">
        <v>1</v>
      </c>
      <c r="B23" s="281" t="s">
        <v>85</v>
      </c>
      <c r="C23" s="284">
        <v>2134</v>
      </c>
      <c r="D23" s="285">
        <f t="shared" ref="D23" si="0">A23*C23</f>
        <v>2134</v>
      </c>
      <c r="E23" s="189"/>
    </row>
    <row r="24" spans="1:7" ht="15.6" x14ac:dyDescent="0.3">
      <c r="A24" s="277">
        <v>1</v>
      </c>
      <c r="B24" s="270" t="s">
        <v>187</v>
      </c>
      <c r="C24" s="278">
        <v>2000</v>
      </c>
      <c r="D24" s="268">
        <f>A24*C24</f>
        <v>2000</v>
      </c>
      <c r="E24" s="189"/>
    </row>
    <row r="25" spans="1:7" ht="15.6" x14ac:dyDescent="0.25">
      <c r="A25" s="286"/>
      <c r="B25" s="206"/>
      <c r="C25" s="287" t="s">
        <v>188</v>
      </c>
      <c r="D25" s="288">
        <f>SUM(D10:D24)</f>
        <v>170596.25</v>
      </c>
    </row>
    <row r="26" spans="1:7" ht="15.6" x14ac:dyDescent="0.3">
      <c r="A26" s="102"/>
      <c r="B26" s="299"/>
      <c r="C26" s="290" t="s">
        <v>90</v>
      </c>
      <c r="D26" s="291">
        <f>D25*0.16</f>
        <v>27295.4</v>
      </c>
    </row>
    <row r="27" spans="1:7" ht="16.2" thickBot="1" x14ac:dyDescent="0.35">
      <c r="A27" s="102"/>
      <c r="B27" s="299"/>
      <c r="C27" s="292" t="s">
        <v>40</v>
      </c>
      <c r="D27" s="293">
        <f>D25+D26</f>
        <v>197891.65</v>
      </c>
    </row>
    <row r="28" spans="1:7" ht="13.8" thickBot="1" x14ac:dyDescent="0.3">
      <c r="A28" s="276"/>
      <c r="B28" s="1047" t="s">
        <v>198</v>
      </c>
      <c r="C28" s="1048"/>
      <c r="D28" s="1049"/>
    </row>
    <row r="29" spans="1:7" ht="17.399999999999999" x14ac:dyDescent="0.25">
      <c r="A29" s="102"/>
      <c r="B29" s="294" t="s">
        <v>10</v>
      </c>
      <c r="C29" s="253"/>
      <c r="D29" s="254"/>
    </row>
    <row r="30" spans="1:7" ht="15" x14ac:dyDescent="0.25">
      <c r="A30" s="106"/>
      <c r="B30" s="103" t="s">
        <v>11</v>
      </c>
      <c r="C30" s="104"/>
      <c r="D30" s="105"/>
    </row>
    <row r="31" spans="1:7" ht="15" x14ac:dyDescent="0.25">
      <c r="A31" s="106"/>
      <c r="B31" s="123" t="s">
        <v>13</v>
      </c>
      <c r="D31" s="105"/>
    </row>
    <row r="32" spans="1:7" ht="13.8" x14ac:dyDescent="0.25">
      <c r="B32" s="103" t="s">
        <v>15</v>
      </c>
    </row>
    <row r="33" spans="1:4" ht="15" x14ac:dyDescent="0.25">
      <c r="A33" s="106"/>
      <c r="B33" s="295" t="s">
        <v>199</v>
      </c>
      <c r="C33" s="109"/>
      <c r="D33" s="110"/>
    </row>
    <row r="34" spans="1:4" ht="13.5" customHeight="1" x14ac:dyDescent="0.25">
      <c r="A34" s="106"/>
      <c r="B34" s="295" t="s">
        <v>43</v>
      </c>
      <c r="C34" s="109"/>
      <c r="D34" s="110"/>
    </row>
    <row r="35" spans="1:4" ht="15" x14ac:dyDescent="0.25">
      <c r="A35" s="106"/>
      <c r="B35" s="103" t="s">
        <v>18</v>
      </c>
      <c r="C35" s="109"/>
    </row>
    <row r="36" spans="1:4" ht="13.5" customHeight="1" x14ac:dyDescent="0.25">
      <c r="A36" s="106"/>
      <c r="B36" s="296" t="s">
        <v>193</v>
      </c>
      <c r="C36" s="220"/>
    </row>
    <row r="37" spans="1:4" ht="15" x14ac:dyDescent="0.25">
      <c r="A37" s="106"/>
      <c r="B37" s="297" t="s">
        <v>200</v>
      </c>
      <c r="C37" s="109"/>
      <c r="D37" s="108"/>
    </row>
    <row r="38" spans="1:4" ht="13.8" x14ac:dyDescent="0.25">
      <c r="B38" s="103" t="s">
        <v>21</v>
      </c>
      <c r="C38" s="220"/>
      <c r="D38" s="108"/>
    </row>
    <row r="39" spans="1:4" ht="15" x14ac:dyDescent="0.25">
      <c r="A39" s="106"/>
      <c r="B39" s="122" t="s">
        <v>201</v>
      </c>
      <c r="C39" s="181"/>
      <c r="D39" s="108"/>
    </row>
    <row r="40" spans="1:4" ht="15" x14ac:dyDescent="0.25">
      <c r="A40" s="106"/>
      <c r="B40" s="123" t="s">
        <v>44</v>
      </c>
      <c r="C40" s="181"/>
      <c r="D40" s="181"/>
    </row>
    <row r="41" spans="1:4" ht="14.25" customHeight="1" x14ac:dyDescent="0.25">
      <c r="A41" s="106"/>
      <c r="B41" s="298" t="s">
        <v>45</v>
      </c>
      <c r="D41" s="181"/>
    </row>
    <row r="43" spans="1:4" ht="16.5" customHeight="1" x14ac:dyDescent="0.25"/>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28:D2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1FBD-C410-4061-843A-6391537329ED}">
  <sheetPr>
    <tabColor theme="4" tint="-0.249977111117893"/>
    <pageSetUpPr fitToPage="1"/>
  </sheetPr>
  <dimension ref="A1:F72"/>
  <sheetViews>
    <sheetView topLeftCell="A15" zoomScale="115" zoomScaleNormal="115" workbookViewId="0">
      <selection activeCell="B65" sqref="B65"/>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1</v>
      </c>
      <c r="B7" s="8"/>
      <c r="C7" s="9"/>
      <c r="D7" s="9"/>
    </row>
    <row r="8" spans="1:6" s="4" customFormat="1" ht="19.2" x14ac:dyDescent="0.45">
      <c r="A8" s="7" t="s">
        <v>2</v>
      </c>
      <c r="B8" s="8"/>
      <c r="C8" s="9"/>
      <c r="D8" s="9"/>
    </row>
    <row r="9" spans="1:6" s="4" customFormat="1" ht="19.2" x14ac:dyDescent="0.45">
      <c r="A9" s="7" t="s">
        <v>3</v>
      </c>
      <c r="B9" s="8"/>
      <c r="C9" s="9"/>
      <c r="D9" s="9"/>
    </row>
    <row r="10" spans="1:6" s="4" customFormat="1" ht="19.2" x14ac:dyDescent="0.45">
      <c r="A10" s="7" t="s">
        <v>202</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
      <c r="A13" s="16" t="s">
        <v>204</v>
      </c>
      <c r="B13" s="13"/>
      <c r="C13" s="14"/>
      <c r="D13" s="15"/>
    </row>
    <row r="14" spans="1:6" s="4" customFormat="1" ht="11.25" customHeight="1" x14ac:dyDescent="0.4">
      <c r="A14" s="1031" t="s">
        <v>73</v>
      </c>
      <c r="B14" s="1032"/>
      <c r="C14" s="1033"/>
      <c r="D14" s="1034"/>
      <c r="E14" s="17"/>
      <c r="F14" s="17"/>
    </row>
    <row r="15" spans="1:6" s="17" customFormat="1" ht="13.8" x14ac:dyDescent="0.25">
      <c r="A15" s="145" t="s">
        <v>29</v>
      </c>
      <c r="B15" s="145" t="s">
        <v>30</v>
      </c>
      <c r="C15" s="146" t="s">
        <v>31</v>
      </c>
      <c r="D15" s="146" t="s">
        <v>32</v>
      </c>
      <c r="E15" s="147"/>
      <c r="F15" s="1"/>
    </row>
    <row r="16" spans="1:6" x14ac:dyDescent="0.25">
      <c r="A16" s="148"/>
      <c r="B16" s="149"/>
      <c r="C16" s="150"/>
      <c r="D16" s="150"/>
      <c r="E16" s="25"/>
      <c r="F16" s="26"/>
    </row>
    <row r="17" spans="1:5" s="26" customFormat="1" ht="16.5" customHeight="1" x14ac:dyDescent="0.25">
      <c r="A17" s="151">
        <v>1</v>
      </c>
      <c r="B17" s="152" t="s">
        <v>205</v>
      </c>
      <c r="C17" s="153">
        <f>(204291)*(1.3)</f>
        <v>265578.3</v>
      </c>
      <c r="D17" s="154">
        <f t="shared" ref="D17:D45" si="0">A17*C17</f>
        <v>265578.3</v>
      </c>
      <c r="E17" s="25"/>
    </row>
    <row r="18" spans="1:5" ht="13.5" customHeight="1" x14ac:dyDescent="0.25">
      <c r="A18" s="155"/>
      <c r="B18" s="156" t="s">
        <v>206</v>
      </c>
      <c r="C18" s="153"/>
      <c r="D18" s="154"/>
      <c r="E18" s="147"/>
    </row>
    <row r="19" spans="1:5" ht="13.5" customHeight="1" x14ac:dyDescent="0.25">
      <c r="A19" s="155">
        <v>1</v>
      </c>
      <c r="B19" s="156" t="s">
        <v>207</v>
      </c>
      <c r="C19" s="153">
        <f>(152974)*(1.3)</f>
        <v>198866.2</v>
      </c>
      <c r="D19" s="154">
        <f t="shared" si="0"/>
        <v>198866.2</v>
      </c>
      <c r="E19" s="147"/>
    </row>
    <row r="20" spans="1:5" ht="13.5" customHeight="1" x14ac:dyDescent="0.25">
      <c r="A20" s="157">
        <v>2</v>
      </c>
      <c r="B20" s="158" t="s">
        <v>35</v>
      </c>
      <c r="C20" s="159">
        <f>(5150)*(1.7)</f>
        <v>8755</v>
      </c>
      <c r="D20" s="154">
        <f t="shared" si="0"/>
        <v>17510</v>
      </c>
      <c r="E20" s="147"/>
    </row>
    <row r="21" spans="1:5" ht="13.5" customHeight="1" x14ac:dyDescent="0.25">
      <c r="A21" s="157">
        <v>3</v>
      </c>
      <c r="B21" s="158" t="s">
        <v>208</v>
      </c>
      <c r="C21" s="159">
        <f>(11896)*(1.4)</f>
        <v>16654.399999999998</v>
      </c>
      <c r="D21" s="154">
        <f t="shared" si="0"/>
        <v>49963.199999999997</v>
      </c>
      <c r="E21" s="147"/>
    </row>
    <row r="22" spans="1:5" x14ac:dyDescent="0.25">
      <c r="A22" s="157">
        <v>58</v>
      </c>
      <c r="B22" s="158" t="s">
        <v>209</v>
      </c>
      <c r="C22" s="160">
        <f>(5640)*(1.2)</f>
        <v>6768</v>
      </c>
      <c r="D22" s="161">
        <f t="shared" si="0"/>
        <v>392544</v>
      </c>
      <c r="E22" s="147"/>
    </row>
    <row r="23" spans="1:5" x14ac:dyDescent="0.25">
      <c r="A23" s="157">
        <v>360</v>
      </c>
      <c r="B23" s="158" t="s">
        <v>81</v>
      </c>
      <c r="C23" s="160">
        <v>100</v>
      </c>
      <c r="D23" s="161">
        <f t="shared" si="0"/>
        <v>36000</v>
      </c>
      <c r="E23" s="147"/>
    </row>
    <row r="24" spans="1:5" x14ac:dyDescent="0.25">
      <c r="A24" s="157"/>
      <c r="B24" s="158" t="s">
        <v>82</v>
      </c>
      <c r="C24" s="160"/>
      <c r="D24" s="161"/>
      <c r="E24" s="147"/>
    </row>
    <row r="25" spans="1:5" x14ac:dyDescent="0.25">
      <c r="A25" s="157">
        <v>2</v>
      </c>
      <c r="B25" s="158" t="s">
        <v>83</v>
      </c>
      <c r="C25" s="160">
        <v>5378</v>
      </c>
      <c r="D25" s="161">
        <f t="shared" si="0"/>
        <v>10756</v>
      </c>
      <c r="E25" s="147"/>
    </row>
    <row r="26" spans="1:5" x14ac:dyDescent="0.25">
      <c r="A26" s="157"/>
      <c r="B26" s="158" t="s">
        <v>84</v>
      </c>
      <c r="C26" s="160"/>
      <c r="D26" s="161"/>
      <c r="E26" s="147"/>
    </row>
    <row r="27" spans="1:5" ht="13.5" customHeight="1" x14ac:dyDescent="0.25">
      <c r="A27" s="157">
        <v>3</v>
      </c>
      <c r="B27" s="158" t="s">
        <v>85</v>
      </c>
      <c r="C27" s="160">
        <v>2134</v>
      </c>
      <c r="D27" s="161">
        <f t="shared" si="0"/>
        <v>6402</v>
      </c>
      <c r="E27" s="147"/>
    </row>
    <row r="28" spans="1:5" ht="13.5" customHeight="1" x14ac:dyDescent="0.25">
      <c r="A28" s="157">
        <v>350</v>
      </c>
      <c r="B28" s="158" t="s">
        <v>34</v>
      </c>
      <c r="C28" s="160">
        <v>16.12</v>
      </c>
      <c r="D28" s="161">
        <f>A28*C28</f>
        <v>5642</v>
      </c>
      <c r="E28" s="147"/>
    </row>
    <row r="29" spans="1:5" x14ac:dyDescent="0.25">
      <c r="A29" s="157">
        <v>1</v>
      </c>
      <c r="B29" s="158" t="s">
        <v>210</v>
      </c>
      <c r="C29" s="159">
        <f>(6205.5*21)*1.3</f>
        <v>169410.15</v>
      </c>
      <c r="D29" s="161">
        <f t="shared" si="0"/>
        <v>169410.15</v>
      </c>
      <c r="E29" s="147"/>
    </row>
    <row r="30" spans="1:5" ht="26.4" x14ac:dyDescent="0.25">
      <c r="A30" s="157">
        <v>1</v>
      </c>
      <c r="B30" s="158" t="s">
        <v>211</v>
      </c>
      <c r="C30" s="159">
        <v>29087</v>
      </c>
      <c r="D30" s="161">
        <f t="shared" si="0"/>
        <v>29087</v>
      </c>
      <c r="E30" s="147"/>
    </row>
    <row r="31" spans="1:5" x14ac:dyDescent="0.25">
      <c r="A31" s="162">
        <v>1</v>
      </c>
      <c r="B31" s="163" t="s">
        <v>212</v>
      </c>
      <c r="C31" s="184">
        <v>10912</v>
      </c>
      <c r="D31" s="165">
        <f t="shared" si="0"/>
        <v>10912</v>
      </c>
      <c r="E31" s="147"/>
    </row>
    <row r="32" spans="1:5" ht="52.8" x14ac:dyDescent="0.25">
      <c r="A32" s="157">
        <v>1</v>
      </c>
      <c r="B32" s="158" t="s">
        <v>103</v>
      </c>
      <c r="C32" s="159">
        <f>(20969+3400)*1.32</f>
        <v>32167.08</v>
      </c>
      <c r="D32" s="161">
        <f t="shared" si="0"/>
        <v>32167.08</v>
      </c>
      <c r="E32" s="147"/>
    </row>
    <row r="33" spans="1:5" x14ac:dyDescent="0.25">
      <c r="A33" s="157">
        <v>1</v>
      </c>
      <c r="B33" s="158" t="s">
        <v>213</v>
      </c>
      <c r="C33" s="160">
        <f>6700*1.4</f>
        <v>9380</v>
      </c>
      <c r="D33" s="161">
        <f t="shared" si="0"/>
        <v>9380</v>
      </c>
      <c r="E33" s="147"/>
    </row>
    <row r="34" spans="1:5" x14ac:dyDescent="0.25">
      <c r="A34" s="157">
        <v>2</v>
      </c>
      <c r="B34" s="158" t="s">
        <v>214</v>
      </c>
      <c r="C34" s="160">
        <f>2700*1.4</f>
        <v>3779.9999999999995</v>
      </c>
      <c r="D34" s="161">
        <f t="shared" si="0"/>
        <v>7559.9999999999991</v>
      </c>
      <c r="E34" s="147"/>
    </row>
    <row r="35" spans="1:5" x14ac:dyDescent="0.25">
      <c r="A35" s="157">
        <v>1</v>
      </c>
      <c r="B35" s="158" t="s">
        <v>105</v>
      </c>
      <c r="C35" s="160">
        <v>1543</v>
      </c>
      <c r="D35" s="161">
        <f t="shared" si="0"/>
        <v>1543</v>
      </c>
      <c r="E35" s="147"/>
    </row>
    <row r="36" spans="1:5" x14ac:dyDescent="0.25">
      <c r="A36" s="157">
        <v>1</v>
      </c>
      <c r="B36" s="158" t="s">
        <v>215</v>
      </c>
      <c r="C36" s="160">
        <f>5775.57*1.4</f>
        <v>8085.7979999999989</v>
      </c>
      <c r="D36" s="161">
        <f t="shared" si="0"/>
        <v>8085.7979999999989</v>
      </c>
      <c r="E36" s="147"/>
    </row>
    <row r="37" spans="1:5" x14ac:dyDescent="0.25">
      <c r="A37" s="157">
        <v>1</v>
      </c>
      <c r="B37" s="158" t="s">
        <v>216</v>
      </c>
      <c r="C37" s="160">
        <f>3100*1.4</f>
        <v>4340</v>
      </c>
      <c r="D37" s="161">
        <f t="shared" si="0"/>
        <v>4340</v>
      </c>
      <c r="E37" s="147"/>
    </row>
    <row r="38" spans="1:5" x14ac:dyDescent="0.25">
      <c r="A38" s="157">
        <v>1</v>
      </c>
      <c r="B38" s="158" t="s">
        <v>217</v>
      </c>
      <c r="C38" s="160">
        <f>4010*1.4</f>
        <v>5614</v>
      </c>
      <c r="D38" s="161">
        <f t="shared" si="0"/>
        <v>5614</v>
      </c>
      <c r="E38" s="147"/>
    </row>
    <row r="39" spans="1:5" x14ac:dyDescent="0.25">
      <c r="A39" s="157">
        <v>1</v>
      </c>
      <c r="B39" s="158" t="s">
        <v>108</v>
      </c>
      <c r="C39" s="160">
        <f>2467*1.4</f>
        <v>3453.7999999999997</v>
      </c>
      <c r="D39" s="161">
        <f t="shared" si="0"/>
        <v>3453.7999999999997</v>
      </c>
      <c r="E39" s="147"/>
    </row>
    <row r="40" spans="1:5" x14ac:dyDescent="0.25">
      <c r="A40" s="157">
        <v>8</v>
      </c>
      <c r="B40" s="158" t="s">
        <v>218</v>
      </c>
      <c r="C40" s="160">
        <f>27.41*1.4</f>
        <v>38.373999999999995</v>
      </c>
      <c r="D40" s="161">
        <f t="shared" si="0"/>
        <v>306.99199999999996</v>
      </c>
      <c r="E40" s="147"/>
    </row>
    <row r="41" spans="1:5" x14ac:dyDescent="0.25">
      <c r="A41" s="157">
        <v>1</v>
      </c>
      <c r="B41" s="158" t="s">
        <v>219</v>
      </c>
      <c r="C41" s="160">
        <f>23.97*1.39</f>
        <v>33.318299999999994</v>
      </c>
      <c r="D41" s="161">
        <f t="shared" si="0"/>
        <v>33.318299999999994</v>
      </c>
      <c r="E41" s="147"/>
    </row>
    <row r="42" spans="1:5" ht="28.5" customHeight="1" x14ac:dyDescent="0.25">
      <c r="A42" s="157">
        <v>1</v>
      </c>
      <c r="B42" s="158" t="s">
        <v>112</v>
      </c>
      <c r="C42" s="160">
        <v>32091</v>
      </c>
      <c r="D42" s="161">
        <f t="shared" si="0"/>
        <v>32091</v>
      </c>
      <c r="E42" s="147"/>
    </row>
    <row r="43" spans="1:5" x14ac:dyDescent="0.25">
      <c r="A43" s="157">
        <v>56</v>
      </c>
      <c r="B43" s="158" t="s">
        <v>113</v>
      </c>
      <c r="C43" s="160">
        <f>56</f>
        <v>56</v>
      </c>
      <c r="D43" s="161">
        <f t="shared" si="0"/>
        <v>3136</v>
      </c>
      <c r="E43" s="147"/>
    </row>
    <row r="44" spans="1:5" ht="13.5" customHeight="1" x14ac:dyDescent="0.25">
      <c r="A44" s="157">
        <v>6</v>
      </c>
      <c r="B44" s="158" t="s">
        <v>114</v>
      </c>
      <c r="C44" s="160">
        <f>14.8*1.5</f>
        <v>22.200000000000003</v>
      </c>
      <c r="D44" s="161">
        <f t="shared" si="0"/>
        <v>133.20000000000002</v>
      </c>
      <c r="E44" s="147"/>
    </row>
    <row r="45" spans="1:5" x14ac:dyDescent="0.25">
      <c r="A45" s="157">
        <v>1</v>
      </c>
      <c r="B45" s="158" t="s">
        <v>88</v>
      </c>
      <c r="C45" s="160">
        <v>3500</v>
      </c>
      <c r="D45" s="161">
        <f t="shared" si="0"/>
        <v>3500</v>
      </c>
      <c r="E45" s="147"/>
    </row>
    <row r="46" spans="1:5" x14ac:dyDescent="0.25">
      <c r="A46" s="157"/>
      <c r="B46" s="158" t="s">
        <v>89</v>
      </c>
      <c r="C46" s="160"/>
      <c r="D46" s="161"/>
      <c r="E46" s="147"/>
    </row>
    <row r="47" spans="1:5" x14ac:dyDescent="0.25">
      <c r="A47" s="32"/>
      <c r="B47" s="166"/>
      <c r="C47" s="167" t="s">
        <v>38</v>
      </c>
      <c r="D47" s="168">
        <f>SUM(D17:D46)</f>
        <v>1304015.0382999999</v>
      </c>
      <c r="E47" s="147"/>
    </row>
    <row r="48" spans="1:5" x14ac:dyDescent="0.25">
      <c r="A48" s="33"/>
      <c r="B48" s="33"/>
      <c r="C48" s="167" t="s">
        <v>90</v>
      </c>
      <c r="D48" s="168">
        <f>D47*0.16</f>
        <v>208642.406128</v>
      </c>
      <c r="E48" s="147"/>
    </row>
    <row r="49" spans="1:5" ht="13.8" thickBot="1" x14ac:dyDescent="0.3">
      <c r="A49" s="33"/>
      <c r="B49" s="170"/>
      <c r="C49" s="171" t="s">
        <v>40</v>
      </c>
      <c r="D49" s="172">
        <f>D47+D48</f>
        <v>1512657.4444279999</v>
      </c>
      <c r="E49" s="169"/>
    </row>
    <row r="50" spans="1:5" ht="13.8" thickBot="1" x14ac:dyDescent="0.3">
      <c r="A50" s="33"/>
      <c r="B50" s="1035" t="s">
        <v>220</v>
      </c>
      <c r="C50" s="1036"/>
      <c r="D50" s="1037"/>
    </row>
    <row r="51" spans="1:5" ht="13.8" x14ac:dyDescent="0.25">
      <c r="A51" s="33"/>
      <c r="B51" s="173" t="s">
        <v>9</v>
      </c>
      <c r="C51" s="174"/>
      <c r="D51" s="175"/>
    </row>
    <row r="52" spans="1:5" ht="15.75" customHeight="1" x14ac:dyDescent="0.25">
      <c r="A52" s="176"/>
      <c r="B52" s="177" t="s">
        <v>10</v>
      </c>
      <c r="C52" s="169"/>
      <c r="D52" s="41"/>
    </row>
    <row r="53" spans="1:5" ht="15" x14ac:dyDescent="0.25">
      <c r="A53" s="178"/>
      <c r="B53" s="40" t="s">
        <v>11</v>
      </c>
      <c r="D53" s="41"/>
    </row>
    <row r="54" spans="1:5" ht="15" x14ac:dyDescent="0.25">
      <c r="A54" s="178"/>
      <c r="B54" s="131" t="s">
        <v>12</v>
      </c>
      <c r="D54" s="41"/>
    </row>
    <row r="55" spans="1:5" ht="15" x14ac:dyDescent="0.25">
      <c r="A55" s="178"/>
      <c r="B55" s="131" t="s">
        <v>13</v>
      </c>
      <c r="D55" s="41"/>
    </row>
    <row r="56" spans="1:5" ht="15" x14ac:dyDescent="0.25">
      <c r="A56" s="178"/>
      <c r="B56" s="131" t="s">
        <v>14</v>
      </c>
      <c r="D56" s="41"/>
    </row>
    <row r="57" spans="1:5" ht="16.5" customHeight="1" x14ac:dyDescent="0.25">
      <c r="A57" s="129"/>
      <c r="B57" s="40" t="s">
        <v>15</v>
      </c>
    </row>
    <row r="58" spans="1:5" ht="15" x14ac:dyDescent="0.25">
      <c r="A58" s="178"/>
      <c r="B58" s="36" t="s">
        <v>42</v>
      </c>
    </row>
    <row r="59" spans="1:5" ht="27.6" x14ac:dyDescent="0.25">
      <c r="A59" s="178"/>
      <c r="B59" s="36" t="s">
        <v>43</v>
      </c>
      <c r="C59" s="38"/>
      <c r="D59" s="39"/>
    </row>
    <row r="60" spans="1:5" ht="15" x14ac:dyDescent="0.25">
      <c r="A60" s="178"/>
      <c r="B60" s="40" t="s">
        <v>18</v>
      </c>
      <c r="C60" s="38"/>
      <c r="D60" s="39"/>
    </row>
    <row r="61" spans="1:5" ht="15" x14ac:dyDescent="0.25">
      <c r="A61" s="178"/>
      <c r="B61" s="134" t="s">
        <v>221</v>
      </c>
      <c r="C61" s="38"/>
      <c r="D61" s="38"/>
    </row>
    <row r="62" spans="1:5" ht="15" customHeight="1" x14ac:dyDescent="0.25">
      <c r="A62" s="178"/>
      <c r="B62" s="135" t="s">
        <v>20</v>
      </c>
      <c r="C62" s="38"/>
      <c r="D62" s="38"/>
    </row>
    <row r="63" spans="1:5" ht="13.8" x14ac:dyDescent="0.25">
      <c r="A63" s="129"/>
      <c r="B63" s="40" t="s">
        <v>21</v>
      </c>
      <c r="D63" s="41"/>
    </row>
    <row r="64" spans="1:5" ht="15" x14ac:dyDescent="0.25">
      <c r="A64" s="178"/>
      <c r="B64" s="179" t="s">
        <v>222</v>
      </c>
      <c r="C64" s="38"/>
      <c r="D64" s="39"/>
    </row>
    <row r="65" spans="1:4" ht="15" x14ac:dyDescent="0.25">
      <c r="A65" s="178"/>
      <c r="B65" s="131" t="s">
        <v>44</v>
      </c>
      <c r="C65" s="38"/>
      <c r="D65" s="39"/>
    </row>
    <row r="66" spans="1:4" ht="33.6" x14ac:dyDescent="0.25">
      <c r="A66" s="182" t="s">
        <v>0</v>
      </c>
      <c r="B66" s="183" t="s">
        <v>23</v>
      </c>
      <c r="C66" s="38"/>
      <c r="D66" s="38"/>
    </row>
    <row r="67" spans="1:4" ht="16.8" x14ac:dyDescent="0.4">
      <c r="A67" s="43"/>
      <c r="B67" s="44"/>
      <c r="C67" s="45"/>
      <c r="D67" s="45"/>
    </row>
    <row r="68" spans="1:4" x14ac:dyDescent="0.25">
      <c r="A68" s="46"/>
      <c r="B68" s="47"/>
      <c r="C68" s="47"/>
      <c r="D68" s="1"/>
    </row>
    <row r="69" spans="1:4" x14ac:dyDescent="0.25">
      <c r="A69" s="46"/>
      <c r="B69" s="47"/>
      <c r="C69" s="47"/>
      <c r="D69" s="1"/>
    </row>
    <row r="70" spans="1:4" x14ac:dyDescent="0.25">
      <c r="A70" s="48"/>
      <c r="B70" s="49"/>
      <c r="C70" s="47"/>
      <c r="D70" s="1"/>
    </row>
    <row r="71" spans="1:4" ht="15" x14ac:dyDescent="0.35">
      <c r="A71" s="50" t="s">
        <v>0</v>
      </c>
      <c r="B71" s="51"/>
      <c r="C71" s="47"/>
      <c r="D71" s="47"/>
    </row>
    <row r="72" spans="1:4" x14ac:dyDescent="0.25">
      <c r="A72" s="1" t="s">
        <v>0</v>
      </c>
    </row>
  </sheetData>
  <mergeCells count="3">
    <mergeCell ref="A4:D4"/>
    <mergeCell ref="A14:D14"/>
    <mergeCell ref="B50:D50"/>
  </mergeCells>
  <printOptions horizontalCentered="1"/>
  <pageMargins left="0.25" right="0.25" top="0.75" bottom="0.75" header="0.3" footer="0.3"/>
  <pageSetup paperSize="9" scale="64" fitToWidth="0" orientation="portrait" r:id="rId1"/>
  <headerFooter alignWithMargins="0">
    <oddFooter>Página &amp;P de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2293-78B3-40C5-8676-3E98F536C027}">
  <sheetPr>
    <tabColor theme="4" tint="-0.249977111117893"/>
    <pageSetUpPr fitToPage="1"/>
  </sheetPr>
  <dimension ref="A1:G64"/>
  <sheetViews>
    <sheetView topLeftCell="A16" zoomScaleNormal="100" workbookViewId="0">
      <selection activeCell="B65" sqref="B65"/>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223</v>
      </c>
      <c r="B8" s="228"/>
      <c r="C8" s="229"/>
      <c r="D8" s="229"/>
    </row>
    <row r="9" spans="1:7" s="10" customFormat="1" ht="19.2" x14ac:dyDescent="0.45">
      <c r="A9" s="227" t="s">
        <v>224</v>
      </c>
      <c r="B9" s="228"/>
      <c r="C9" s="229"/>
      <c r="D9" s="229"/>
    </row>
    <row r="10" spans="1:7" s="10" customFormat="1" ht="19.2" x14ac:dyDescent="0.45">
      <c r="A10" s="227" t="s">
        <v>225</v>
      </c>
      <c r="B10" s="228"/>
      <c r="C10" s="229"/>
      <c r="D10" s="229"/>
    </row>
    <row r="11" spans="1:7" s="10" customFormat="1" ht="19.2" x14ac:dyDescent="0.45">
      <c r="A11" s="227" t="s">
        <v>226</v>
      </c>
      <c r="B11" s="228"/>
      <c r="C11" s="230"/>
      <c r="D11" s="229"/>
    </row>
    <row r="12" spans="1:7" s="10" customFormat="1" ht="15" customHeight="1" x14ac:dyDescent="0.45">
      <c r="A12" s="227" t="s">
        <v>227</v>
      </c>
      <c r="B12" s="228"/>
      <c r="C12" s="230"/>
      <c r="D12" s="229"/>
    </row>
    <row r="13" spans="1:7" s="10" customFormat="1" ht="15" customHeight="1" x14ac:dyDescent="0.45">
      <c r="A13" s="227" t="s">
        <v>6</v>
      </c>
      <c r="B13" s="231"/>
      <c r="C13" s="232"/>
      <c r="D13" s="233"/>
    </row>
    <row r="14" spans="1:7" s="10" customFormat="1" ht="15" customHeight="1" x14ac:dyDescent="0.45">
      <c r="A14" s="234" t="s">
        <v>228</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7" s="191" customFormat="1" ht="39.6" x14ac:dyDescent="0.25">
      <c r="A17" s="238">
        <v>1</v>
      </c>
      <c r="B17" s="300" t="s">
        <v>229</v>
      </c>
      <c r="C17" s="240">
        <f>((302000+22173)*1)+10000+30000</f>
        <v>364173</v>
      </c>
      <c r="D17" s="241">
        <f t="shared" ref="D17:D23" si="0">A17*C17</f>
        <v>364173</v>
      </c>
      <c r="E17" s="190"/>
      <c r="F17" s="108"/>
      <c r="G17" s="108"/>
    </row>
    <row r="18" spans="1:7" ht="66" x14ac:dyDescent="0.25">
      <c r="A18" s="238">
        <v>9</v>
      </c>
      <c r="B18" s="300" t="s">
        <v>152</v>
      </c>
      <c r="C18" s="240">
        <f>(20759*1.15)+10000+1666.66</f>
        <v>35539.51</v>
      </c>
      <c r="D18" s="241">
        <f t="shared" si="0"/>
        <v>319855.59000000003</v>
      </c>
      <c r="E18" s="189"/>
    </row>
    <row r="19" spans="1:7" ht="39.6" x14ac:dyDescent="0.25">
      <c r="A19" s="238">
        <v>1</v>
      </c>
      <c r="B19" s="300" t="s">
        <v>230</v>
      </c>
      <c r="C19" s="240">
        <f>(78989*1.2)+30000+2000</f>
        <v>126786.8</v>
      </c>
      <c r="D19" s="241">
        <f t="shared" si="0"/>
        <v>126786.8</v>
      </c>
      <c r="E19" s="189"/>
    </row>
    <row r="20" spans="1:7" ht="13.5" customHeight="1" x14ac:dyDescent="0.25">
      <c r="A20" s="238">
        <v>1</v>
      </c>
      <c r="B20" s="301" t="s">
        <v>155</v>
      </c>
      <c r="C20" s="240">
        <v>24754</v>
      </c>
      <c r="D20" s="241">
        <f t="shared" si="0"/>
        <v>24754</v>
      </c>
      <c r="E20" s="189"/>
    </row>
    <row r="21" spans="1:7" ht="13.5" customHeight="1" x14ac:dyDescent="0.25">
      <c r="A21" s="238">
        <v>1</v>
      </c>
      <c r="B21" s="301" t="s">
        <v>231</v>
      </c>
      <c r="C21" s="240">
        <v>3500</v>
      </c>
      <c r="D21" s="241">
        <f t="shared" si="0"/>
        <v>3500</v>
      </c>
      <c r="E21" s="189"/>
    </row>
    <row r="22" spans="1:7" ht="13.5" customHeight="1" x14ac:dyDescent="0.25">
      <c r="A22" s="238">
        <v>1</v>
      </c>
      <c r="B22" s="301" t="s">
        <v>232</v>
      </c>
      <c r="C22" s="240">
        <v>12000</v>
      </c>
      <c r="D22" s="241">
        <f t="shared" si="0"/>
        <v>12000</v>
      </c>
      <c r="E22" s="189"/>
    </row>
    <row r="23" spans="1:7" ht="13.5" customHeight="1" x14ac:dyDescent="0.25">
      <c r="A23" s="238">
        <v>1</v>
      </c>
      <c r="B23" s="301" t="s">
        <v>233</v>
      </c>
      <c r="C23" s="240">
        <v>11000</v>
      </c>
      <c r="D23" s="241">
        <f t="shared" si="0"/>
        <v>11000</v>
      </c>
      <c r="E23" s="189"/>
    </row>
    <row r="24" spans="1:7" ht="13.5" customHeight="1" x14ac:dyDescent="0.25">
      <c r="A24" s="238"/>
      <c r="B24" s="302" t="s">
        <v>159</v>
      </c>
      <c r="C24" s="240"/>
      <c r="D24" s="241"/>
      <c r="E24" s="189"/>
    </row>
    <row r="25" spans="1:7" x14ac:dyDescent="0.25">
      <c r="A25" s="244"/>
      <c r="B25" s="245"/>
      <c r="C25" s="246"/>
      <c r="D25" s="247"/>
      <c r="E25" s="189"/>
    </row>
    <row r="26" spans="1:7" x14ac:dyDescent="0.25">
      <c r="A26" s="248"/>
      <c r="B26" s="248"/>
      <c r="C26" s="249" t="s">
        <v>160</v>
      </c>
      <c r="D26" s="247">
        <f>SUM(D16:D25)</f>
        <v>862069.39000000013</v>
      </c>
      <c r="E26" s="189"/>
    </row>
    <row r="27" spans="1:7" x14ac:dyDescent="0.25">
      <c r="A27" s="250"/>
      <c r="B27" s="250"/>
      <c r="C27" s="249" t="s">
        <v>161</v>
      </c>
      <c r="D27" s="247">
        <f>D26*0.16</f>
        <v>137931.10240000003</v>
      </c>
      <c r="E27" s="189"/>
    </row>
    <row r="28" spans="1:7" ht="13.8" thickBot="1" x14ac:dyDescent="0.3">
      <c r="A28" s="250"/>
      <c r="B28" s="250"/>
      <c r="C28" s="251" t="s">
        <v>162</v>
      </c>
      <c r="D28" s="252">
        <f>D26+D27</f>
        <v>1000000.4924000001</v>
      </c>
      <c r="E28" s="189"/>
    </row>
    <row r="29" spans="1:7" ht="13.8" thickBot="1" x14ac:dyDescent="0.3">
      <c r="A29" s="102"/>
      <c r="B29" s="1044" t="s">
        <v>234</v>
      </c>
      <c r="C29" s="1045"/>
      <c r="D29" s="1046"/>
    </row>
    <row r="30" spans="1:7" x14ac:dyDescent="0.25">
      <c r="A30" s="102"/>
      <c r="B30" s="201"/>
      <c r="C30" s="253"/>
      <c r="D30" s="254"/>
    </row>
    <row r="31" spans="1:7" ht="13.8" x14ac:dyDescent="0.25">
      <c r="A31" s="102"/>
      <c r="B31" s="100" t="s">
        <v>9</v>
      </c>
      <c r="C31" s="104"/>
      <c r="D31" s="105"/>
    </row>
    <row r="32" spans="1:7" ht="13.5" customHeight="1" x14ac:dyDescent="0.25">
      <c r="A32" s="102"/>
      <c r="B32" s="303" t="s">
        <v>10</v>
      </c>
      <c r="C32" s="104"/>
      <c r="D32" s="105"/>
    </row>
    <row r="33" spans="1:5" ht="17.25" customHeight="1" x14ac:dyDescent="0.25">
      <c r="A33" s="106"/>
      <c r="B33" s="100" t="s">
        <v>11</v>
      </c>
      <c r="D33" s="105"/>
    </row>
    <row r="34" spans="1:5" ht="15" x14ac:dyDescent="0.25">
      <c r="A34" s="106"/>
      <c r="B34" s="256" t="s">
        <v>235</v>
      </c>
      <c r="D34" s="105"/>
    </row>
    <row r="35" spans="1:5" ht="13.5" customHeight="1" x14ac:dyDescent="0.25">
      <c r="A35" s="106"/>
      <c r="B35" s="256" t="s">
        <v>13</v>
      </c>
      <c r="D35" s="105"/>
    </row>
    <row r="36" spans="1:5" ht="15" x14ac:dyDescent="0.25">
      <c r="A36" s="106"/>
      <c r="B36" s="256" t="s">
        <v>14</v>
      </c>
      <c r="D36" s="105"/>
    </row>
    <row r="37" spans="1:5" ht="13.8" x14ac:dyDescent="0.25">
      <c r="B37" s="103" t="s">
        <v>15</v>
      </c>
    </row>
    <row r="38" spans="1:5" ht="15" x14ac:dyDescent="0.25">
      <c r="A38" s="106"/>
      <c r="B38" s="216" t="s">
        <v>42</v>
      </c>
      <c r="E38" s="189"/>
    </row>
    <row r="39" spans="1:5" ht="41.4" x14ac:dyDescent="0.25">
      <c r="A39" s="106"/>
      <c r="B39" s="216" t="s">
        <v>165</v>
      </c>
      <c r="C39" s="109"/>
      <c r="D39" s="110"/>
      <c r="E39" s="189"/>
    </row>
    <row r="40" spans="1:5" ht="15" x14ac:dyDescent="0.25">
      <c r="A40" s="106"/>
      <c r="B40" s="103" t="s">
        <v>18</v>
      </c>
      <c r="C40" s="109"/>
      <c r="D40" s="110"/>
    </row>
    <row r="41" spans="1:5" ht="33.75" customHeight="1" x14ac:dyDescent="0.25">
      <c r="A41" s="106"/>
      <c r="B41" s="217" t="s">
        <v>166</v>
      </c>
      <c r="C41" s="109"/>
      <c r="D41" s="109"/>
    </row>
    <row r="42" spans="1:5" ht="15" x14ac:dyDescent="0.25">
      <c r="A42" s="106"/>
      <c r="B42" s="115" t="s">
        <v>167</v>
      </c>
      <c r="C42" s="109"/>
      <c r="D42" s="109"/>
    </row>
    <row r="43" spans="1:5" ht="15" x14ac:dyDescent="0.25">
      <c r="A43" s="106"/>
      <c r="B43" s="217" t="s">
        <v>20</v>
      </c>
      <c r="C43" s="109"/>
      <c r="D43" s="109"/>
    </row>
    <row r="44" spans="1:5" ht="13.8" x14ac:dyDescent="0.25">
      <c r="B44" s="103" t="s">
        <v>21</v>
      </c>
      <c r="D44" s="105"/>
    </row>
    <row r="45" spans="1:5" ht="15" x14ac:dyDescent="0.25">
      <c r="A45" s="106"/>
      <c r="B45" s="180" t="s">
        <v>168</v>
      </c>
      <c r="C45" s="109"/>
      <c r="D45" s="110"/>
    </row>
    <row r="46" spans="1:5" ht="15" x14ac:dyDescent="0.25">
      <c r="A46" s="106"/>
      <c r="B46" s="180" t="s">
        <v>44</v>
      </c>
      <c r="C46" s="109"/>
      <c r="D46" s="110"/>
    </row>
    <row r="47" spans="1:5" ht="13.8" x14ac:dyDescent="0.25">
      <c r="A47" s="115" t="s">
        <v>0</v>
      </c>
      <c r="B47" s="180" t="s">
        <v>45</v>
      </c>
      <c r="C47" s="109"/>
    </row>
    <row r="48" spans="1:5" ht="50.4" x14ac:dyDescent="0.4">
      <c r="A48" s="222"/>
      <c r="B48" s="218" t="s">
        <v>169</v>
      </c>
      <c r="C48" s="220"/>
      <c r="D48" s="108"/>
    </row>
    <row r="49" spans="1:4" x14ac:dyDescent="0.25">
      <c r="A49" s="222"/>
      <c r="B49" s="181"/>
      <c r="C49" s="181"/>
      <c r="D49" s="108"/>
    </row>
    <row r="50" spans="1:4" x14ac:dyDescent="0.25">
      <c r="A50" s="222"/>
      <c r="B50" s="181"/>
      <c r="C50" s="181"/>
      <c r="D50" s="108"/>
    </row>
    <row r="51" spans="1:4" x14ac:dyDescent="0.25">
      <c r="A51" s="225"/>
      <c r="B51" s="223"/>
      <c r="C51" s="181"/>
      <c r="D51" s="108"/>
    </row>
    <row r="52" spans="1:4" ht="15" x14ac:dyDescent="0.35">
      <c r="A52" s="226" t="s">
        <v>0</v>
      </c>
      <c r="B52" s="224"/>
      <c r="C52" s="181"/>
      <c r="D52" s="181"/>
    </row>
    <row r="53" spans="1:4" x14ac:dyDescent="0.25">
      <c r="A53" s="108" t="s">
        <v>0</v>
      </c>
    </row>
    <row r="55" spans="1:4" ht="12.75" customHeight="1" x14ac:dyDescent="0.25"/>
    <row r="59" spans="1:4" ht="16.5" customHeight="1" x14ac:dyDescent="0.25"/>
    <row r="63" spans="1:4" ht="15.75" customHeight="1" x14ac:dyDescent="0.25"/>
    <row r="64" spans="1:4" ht="15" customHeight="1" x14ac:dyDescent="0.25"/>
  </sheetData>
  <mergeCells count="3">
    <mergeCell ref="A4:D4"/>
    <mergeCell ref="A15:D15"/>
    <mergeCell ref="B29:D29"/>
  </mergeCells>
  <printOptions horizontalCentered="1"/>
  <pageMargins left="0.59055118110236227" right="0.59055118110236227" top="0.19685039370078741" bottom="0.19685039370078741" header="0.19685039370078741" footer="0.19685039370078741"/>
  <pageSetup paperSize="9" scale="71" fitToWidth="0" orientation="portrait" r:id="rId1"/>
  <headerFooter alignWithMargins="0">
    <oddFooter>Página &amp;P de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B1C5F-DC53-4C47-A99D-B881D65E030E}">
  <sheetPr>
    <tabColor theme="4" tint="-0.249977111117893"/>
    <pageSetUpPr fitToPage="1"/>
  </sheetPr>
  <dimension ref="A1:F71"/>
  <sheetViews>
    <sheetView topLeftCell="A17" zoomScale="115" zoomScaleNormal="115" workbookViewId="0">
      <selection activeCell="B26" sqref="B26"/>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137" t="s">
        <v>236</v>
      </c>
      <c r="B7" s="138"/>
      <c r="C7" s="139"/>
      <c r="D7" s="139"/>
    </row>
    <row r="8" spans="1:6" s="4" customFormat="1" ht="16.8" x14ac:dyDescent="0.4">
      <c r="A8" s="137" t="s">
        <v>237</v>
      </c>
      <c r="B8" s="138"/>
      <c r="C8" s="139"/>
      <c r="D8" s="139"/>
    </row>
    <row r="9" spans="1:6" s="4" customFormat="1" ht="16.8" x14ac:dyDescent="0.4">
      <c r="A9" s="137" t="s">
        <v>238</v>
      </c>
      <c r="B9" s="138"/>
      <c r="C9" s="139"/>
      <c r="D9" s="139"/>
    </row>
    <row r="10" spans="1:6" s="4" customFormat="1" ht="16.8" x14ac:dyDescent="0.4">
      <c r="A10" s="137" t="s">
        <v>239</v>
      </c>
      <c r="B10" s="138"/>
      <c r="C10" s="140"/>
      <c r="D10" s="139"/>
    </row>
    <row r="11" spans="1:6" s="4" customFormat="1" ht="16.8" x14ac:dyDescent="0.4">
      <c r="A11" s="137" t="s">
        <v>240</v>
      </c>
      <c r="B11" s="138"/>
      <c r="C11" s="140"/>
      <c r="D11" s="139"/>
    </row>
    <row r="12" spans="1:6" s="4" customFormat="1" ht="15" customHeight="1" x14ac:dyDescent="0.4">
      <c r="A12" s="137" t="s">
        <v>6</v>
      </c>
      <c r="B12" s="141"/>
      <c r="C12" s="142"/>
      <c r="D12" s="143"/>
    </row>
    <row r="13" spans="1:6" s="4" customFormat="1" ht="15" customHeight="1" x14ac:dyDescent="0.4">
      <c r="A13" s="144" t="s">
        <v>241</v>
      </c>
      <c r="B13" s="141"/>
      <c r="C13" s="142"/>
      <c r="D13" s="143"/>
    </row>
    <row r="14" spans="1:6" s="4" customFormat="1" ht="11.25" customHeight="1" x14ac:dyDescent="0.4">
      <c r="A14" s="1031" t="s">
        <v>73</v>
      </c>
      <c r="B14" s="1032"/>
      <c r="C14" s="1033"/>
      <c r="D14" s="1034"/>
      <c r="E14" s="17"/>
      <c r="F14" s="17"/>
    </row>
    <row r="15" spans="1:6" s="17" customFormat="1" ht="13.8" x14ac:dyDescent="0.25">
      <c r="A15" s="145" t="s">
        <v>29</v>
      </c>
      <c r="B15" s="145" t="s">
        <v>30</v>
      </c>
      <c r="C15" s="146" t="s">
        <v>31</v>
      </c>
      <c r="D15" s="146" t="s">
        <v>32</v>
      </c>
      <c r="E15" s="147"/>
      <c r="F15" s="1"/>
    </row>
    <row r="16" spans="1:6" x14ac:dyDescent="0.25">
      <c r="A16" s="148"/>
      <c r="B16" s="149"/>
      <c r="C16" s="150"/>
      <c r="D16" s="150"/>
      <c r="E16" s="25"/>
      <c r="F16" s="26"/>
    </row>
    <row r="17" spans="1:5" s="26" customFormat="1" ht="16.5" customHeight="1" x14ac:dyDescent="0.25">
      <c r="A17" s="151">
        <v>1</v>
      </c>
      <c r="B17" s="152" t="s">
        <v>242</v>
      </c>
      <c r="C17" s="153">
        <f>(47124)*(1.3)</f>
        <v>61261.200000000004</v>
      </c>
      <c r="D17" s="154">
        <f t="shared" ref="D17:D44" si="0">A17*C17</f>
        <v>61261.200000000004</v>
      </c>
      <c r="E17" s="25"/>
    </row>
    <row r="18" spans="1:5" ht="13.5" customHeight="1" x14ac:dyDescent="0.25">
      <c r="A18" s="155"/>
      <c r="B18" s="156" t="s">
        <v>243</v>
      </c>
      <c r="C18" s="153"/>
      <c r="D18" s="154"/>
      <c r="E18" s="147"/>
    </row>
    <row r="19" spans="1:5" ht="13.5" customHeight="1" x14ac:dyDescent="0.25">
      <c r="A19" s="155">
        <v>1</v>
      </c>
      <c r="B19" s="156" t="s">
        <v>244</v>
      </c>
      <c r="C19" s="153">
        <f>(64206)*(1.3)</f>
        <v>83467.8</v>
      </c>
      <c r="D19" s="154">
        <f t="shared" si="0"/>
        <v>83467.8</v>
      </c>
      <c r="E19" s="147"/>
    </row>
    <row r="20" spans="1:5" ht="13.5" customHeight="1" x14ac:dyDescent="0.25">
      <c r="A20" s="157">
        <v>1</v>
      </c>
      <c r="B20" s="158" t="s">
        <v>245</v>
      </c>
      <c r="C20" s="159">
        <f>(4500)*(1.3)</f>
        <v>5850</v>
      </c>
      <c r="D20" s="154">
        <f t="shared" si="0"/>
        <v>5850</v>
      </c>
      <c r="E20" s="147"/>
    </row>
    <row r="21" spans="1:5" ht="13.5" customHeight="1" x14ac:dyDescent="0.25">
      <c r="A21" s="157">
        <v>1</v>
      </c>
      <c r="B21" s="158" t="s">
        <v>78</v>
      </c>
      <c r="C21" s="159">
        <f>(6334)*(1.3)</f>
        <v>8234.2000000000007</v>
      </c>
      <c r="D21" s="154">
        <f t="shared" si="0"/>
        <v>8234.2000000000007</v>
      </c>
      <c r="E21" s="147"/>
    </row>
    <row r="22" spans="1:5" x14ac:dyDescent="0.25">
      <c r="A22" s="157">
        <v>20</v>
      </c>
      <c r="B22" s="158" t="s">
        <v>98</v>
      </c>
      <c r="C22" s="160">
        <f>(3725)*(1.3)</f>
        <v>4842.5</v>
      </c>
      <c r="D22" s="161">
        <f t="shared" si="0"/>
        <v>96850</v>
      </c>
      <c r="E22" s="147"/>
    </row>
    <row r="23" spans="1:5" x14ac:dyDescent="0.25">
      <c r="A23" s="162">
        <v>135</v>
      </c>
      <c r="B23" s="163" t="s">
        <v>246</v>
      </c>
      <c r="C23" s="164">
        <f>(19.5*20.5)*(1.3)</f>
        <v>519.67500000000007</v>
      </c>
      <c r="D23" s="165">
        <f>A23*C23</f>
        <v>70156.125000000015</v>
      </c>
      <c r="E23" s="147"/>
    </row>
    <row r="24" spans="1:5" x14ac:dyDescent="0.25">
      <c r="A24" s="157">
        <v>122</v>
      </c>
      <c r="B24" s="158" t="s">
        <v>81</v>
      </c>
      <c r="C24" s="160">
        <v>65</v>
      </c>
      <c r="D24" s="161">
        <f t="shared" si="0"/>
        <v>7930</v>
      </c>
      <c r="E24" s="147"/>
    </row>
    <row r="25" spans="1:5" x14ac:dyDescent="0.25">
      <c r="A25" s="157"/>
      <c r="B25" s="158" t="s">
        <v>82</v>
      </c>
      <c r="C25" s="160"/>
      <c r="D25" s="161"/>
      <c r="E25" s="147"/>
    </row>
    <row r="26" spans="1:5" x14ac:dyDescent="0.25">
      <c r="A26" s="157">
        <v>1</v>
      </c>
      <c r="B26" s="158" t="s">
        <v>83</v>
      </c>
      <c r="C26" s="160">
        <v>3650</v>
      </c>
      <c r="D26" s="161">
        <f t="shared" si="0"/>
        <v>3650</v>
      </c>
      <c r="E26" s="147"/>
    </row>
    <row r="27" spans="1:5" ht="13.5" customHeight="1" x14ac:dyDescent="0.25">
      <c r="A27" s="157"/>
      <c r="B27" s="158" t="s">
        <v>84</v>
      </c>
      <c r="C27" s="160"/>
      <c r="D27" s="161"/>
      <c r="E27" s="147"/>
    </row>
    <row r="28" spans="1:5" ht="13.5" customHeight="1" x14ac:dyDescent="0.25">
      <c r="A28" s="157">
        <v>1</v>
      </c>
      <c r="B28" s="158" t="s">
        <v>85</v>
      </c>
      <c r="C28" s="160">
        <v>2134</v>
      </c>
      <c r="D28" s="161">
        <f t="shared" si="0"/>
        <v>2134</v>
      </c>
      <c r="E28" s="147"/>
    </row>
    <row r="29" spans="1:5" x14ac:dyDescent="0.25">
      <c r="A29" s="157">
        <v>125</v>
      </c>
      <c r="B29" s="158" t="s">
        <v>34</v>
      </c>
      <c r="C29" s="160">
        <v>16.12</v>
      </c>
      <c r="D29" s="161">
        <f>A29*C29</f>
        <v>2015.0000000000002</v>
      </c>
      <c r="E29" s="147"/>
    </row>
    <row r="30" spans="1:5" x14ac:dyDescent="0.25">
      <c r="A30" s="157">
        <v>1</v>
      </c>
      <c r="B30" s="158" t="s">
        <v>247</v>
      </c>
      <c r="C30" s="159">
        <f>(48968)*1.35</f>
        <v>66106.8</v>
      </c>
      <c r="D30" s="161">
        <f t="shared" si="0"/>
        <v>66106.8</v>
      </c>
      <c r="E30" s="147"/>
    </row>
    <row r="31" spans="1:5" ht="26.4" x14ac:dyDescent="0.25">
      <c r="A31" s="157">
        <v>1</v>
      </c>
      <c r="B31" s="158" t="s">
        <v>248</v>
      </c>
      <c r="C31" s="159">
        <v>14532</v>
      </c>
      <c r="D31" s="161">
        <f t="shared" si="0"/>
        <v>14532</v>
      </c>
      <c r="E31" s="147"/>
    </row>
    <row r="32" spans="1:5" x14ac:dyDescent="0.25">
      <c r="A32" s="162">
        <v>1</v>
      </c>
      <c r="B32" s="163" t="s">
        <v>102</v>
      </c>
      <c r="C32" s="184">
        <f>(11172)*(1.2)</f>
        <v>13406.4</v>
      </c>
      <c r="D32" s="165">
        <f t="shared" si="0"/>
        <v>13406.4</v>
      </c>
      <c r="E32" s="147"/>
    </row>
    <row r="33" spans="1:5" ht="52.8" x14ac:dyDescent="0.25">
      <c r="A33" s="157">
        <v>1</v>
      </c>
      <c r="B33" s="158" t="s">
        <v>103</v>
      </c>
      <c r="C33" s="159">
        <v>13621</v>
      </c>
      <c r="D33" s="161">
        <f t="shared" si="0"/>
        <v>13621</v>
      </c>
      <c r="E33" s="147"/>
    </row>
    <row r="34" spans="1:5" x14ac:dyDescent="0.25">
      <c r="A34" s="157">
        <v>1</v>
      </c>
      <c r="B34" s="158" t="s">
        <v>249</v>
      </c>
      <c r="C34" s="160">
        <f>5500*1.4</f>
        <v>7699.9999999999991</v>
      </c>
      <c r="D34" s="161">
        <f t="shared" si="0"/>
        <v>7699.9999999999991</v>
      </c>
      <c r="E34" s="147"/>
    </row>
    <row r="35" spans="1:5" x14ac:dyDescent="0.25">
      <c r="A35" s="157">
        <v>2</v>
      </c>
      <c r="B35" s="158" t="s">
        <v>104</v>
      </c>
      <c r="C35" s="160">
        <f>2700*1.4</f>
        <v>3779.9999999999995</v>
      </c>
      <c r="D35" s="161">
        <f t="shared" si="0"/>
        <v>7559.9999999999991</v>
      </c>
      <c r="E35" s="147"/>
    </row>
    <row r="36" spans="1:5" x14ac:dyDescent="0.25">
      <c r="A36" s="157">
        <v>1</v>
      </c>
      <c r="B36" s="158" t="s">
        <v>105</v>
      </c>
      <c r="C36" s="160">
        <v>1543</v>
      </c>
      <c r="D36" s="161">
        <f t="shared" si="0"/>
        <v>1543</v>
      </c>
      <c r="E36" s="147"/>
    </row>
    <row r="37" spans="1:5" x14ac:dyDescent="0.25">
      <c r="A37" s="157">
        <v>1</v>
      </c>
      <c r="B37" s="158" t="s">
        <v>106</v>
      </c>
      <c r="C37" s="160">
        <f>4500*1.4</f>
        <v>6300</v>
      </c>
      <c r="D37" s="161">
        <f t="shared" si="0"/>
        <v>6300</v>
      </c>
      <c r="E37" s="147"/>
    </row>
    <row r="38" spans="1:5" x14ac:dyDescent="0.25">
      <c r="A38" s="157">
        <v>1</v>
      </c>
      <c r="B38" s="158" t="s">
        <v>107</v>
      </c>
      <c r="C38" s="160">
        <f>2900*1.4</f>
        <v>4059.9999999999995</v>
      </c>
      <c r="D38" s="161">
        <f t="shared" si="0"/>
        <v>4059.9999999999995</v>
      </c>
      <c r="E38" s="147"/>
    </row>
    <row r="39" spans="1:5" x14ac:dyDescent="0.25">
      <c r="A39" s="157">
        <v>1</v>
      </c>
      <c r="B39" s="158" t="s">
        <v>108</v>
      </c>
      <c r="C39" s="160">
        <f>2502*1.4</f>
        <v>3502.7999999999997</v>
      </c>
      <c r="D39" s="161">
        <f t="shared" si="0"/>
        <v>3502.7999999999997</v>
      </c>
      <c r="E39" s="147"/>
    </row>
    <row r="40" spans="1:5" x14ac:dyDescent="0.25">
      <c r="A40" s="157">
        <v>1</v>
      </c>
      <c r="B40" s="158" t="s">
        <v>109</v>
      </c>
      <c r="C40" s="160">
        <f>2467*1.4</f>
        <v>3453.7999999999997</v>
      </c>
      <c r="D40" s="161">
        <f t="shared" si="0"/>
        <v>3453.7999999999997</v>
      </c>
      <c r="E40" s="147"/>
    </row>
    <row r="41" spans="1:5" x14ac:dyDescent="0.25">
      <c r="A41" s="157">
        <v>8</v>
      </c>
      <c r="B41" s="158" t="s">
        <v>110</v>
      </c>
      <c r="C41" s="160">
        <f>27.41*1.4</f>
        <v>38.373999999999995</v>
      </c>
      <c r="D41" s="161">
        <f t="shared" si="0"/>
        <v>306.99199999999996</v>
      </c>
      <c r="E41" s="147"/>
    </row>
    <row r="42" spans="1:5" x14ac:dyDescent="0.25">
      <c r="A42" s="157">
        <v>1</v>
      </c>
      <c r="B42" s="158" t="s">
        <v>111</v>
      </c>
      <c r="C42" s="160">
        <f>23.97*1.39</f>
        <v>33.318299999999994</v>
      </c>
      <c r="D42" s="161">
        <f t="shared" si="0"/>
        <v>33.318299999999994</v>
      </c>
      <c r="E42" s="147"/>
    </row>
    <row r="43" spans="1:5" ht="26.25" customHeight="1" x14ac:dyDescent="0.25">
      <c r="A43" s="157">
        <v>1</v>
      </c>
      <c r="B43" s="158" t="s">
        <v>112</v>
      </c>
      <c r="C43" s="160">
        <v>19091</v>
      </c>
      <c r="D43" s="161">
        <f t="shared" si="0"/>
        <v>19091</v>
      </c>
      <c r="E43" s="147"/>
    </row>
    <row r="44" spans="1:5" x14ac:dyDescent="0.25">
      <c r="A44" s="157">
        <v>1</v>
      </c>
      <c r="B44" s="158" t="s">
        <v>88</v>
      </c>
      <c r="C44" s="160">
        <v>2300</v>
      </c>
      <c r="D44" s="161">
        <f t="shared" si="0"/>
        <v>2300</v>
      </c>
      <c r="E44" s="147"/>
    </row>
    <row r="45" spans="1:5" x14ac:dyDescent="0.25">
      <c r="A45" s="157"/>
      <c r="B45" s="158" t="s">
        <v>89</v>
      </c>
      <c r="C45" s="160"/>
      <c r="D45" s="161"/>
      <c r="E45" s="147"/>
    </row>
    <row r="46" spans="1:5" x14ac:dyDescent="0.25">
      <c r="A46" s="32"/>
      <c r="B46" s="166"/>
      <c r="C46" s="167" t="s">
        <v>38</v>
      </c>
      <c r="D46" s="168">
        <f>SUM(D17:D45)</f>
        <v>505065.43530000001</v>
      </c>
      <c r="E46" s="147"/>
    </row>
    <row r="47" spans="1:5" x14ac:dyDescent="0.25">
      <c r="A47" s="33"/>
      <c r="B47" s="166"/>
      <c r="C47" s="167" t="s">
        <v>250</v>
      </c>
      <c r="D47" s="168">
        <f>D46*0.96</f>
        <v>484862.81788799999</v>
      </c>
      <c r="E47" s="147"/>
    </row>
    <row r="48" spans="1:5" x14ac:dyDescent="0.25">
      <c r="A48" s="33"/>
      <c r="B48" s="33"/>
      <c r="C48" s="167" t="s">
        <v>90</v>
      </c>
      <c r="D48" s="168">
        <f>D47*0.16</f>
        <v>77578.050862079996</v>
      </c>
      <c r="E48" s="147"/>
    </row>
    <row r="49" spans="1:5" ht="13.8" thickBot="1" x14ac:dyDescent="0.3">
      <c r="A49" s="33"/>
      <c r="B49" s="170"/>
      <c r="C49" s="171" t="s">
        <v>40</v>
      </c>
      <c r="D49" s="172">
        <f>D47+D48</f>
        <v>562440.86875008</v>
      </c>
      <c r="E49" s="169"/>
    </row>
    <row r="50" spans="1:5" ht="13.8" thickBot="1" x14ac:dyDescent="0.3">
      <c r="A50" s="176"/>
      <c r="B50" s="1035" t="s">
        <v>251</v>
      </c>
      <c r="C50" s="1036"/>
      <c r="D50" s="1037"/>
    </row>
    <row r="51" spans="1:5" ht="15" x14ac:dyDescent="0.25">
      <c r="A51" s="178"/>
      <c r="B51" s="173" t="s">
        <v>9</v>
      </c>
      <c r="C51" s="174"/>
      <c r="D51" s="175"/>
    </row>
    <row r="52" spans="1:5" ht="15.75" customHeight="1" x14ac:dyDescent="0.25">
      <c r="A52" s="178"/>
      <c r="B52" s="177" t="s">
        <v>10</v>
      </c>
      <c r="C52" s="169"/>
      <c r="D52" s="41"/>
    </row>
    <row r="53" spans="1:5" ht="15" x14ac:dyDescent="0.25">
      <c r="A53" s="178"/>
      <c r="B53" s="40" t="s">
        <v>11</v>
      </c>
      <c r="D53" s="41"/>
    </row>
    <row r="54" spans="1:5" ht="15" x14ac:dyDescent="0.25">
      <c r="A54" s="178"/>
      <c r="B54" s="131" t="s">
        <v>12</v>
      </c>
      <c r="D54" s="41"/>
    </row>
    <row r="55" spans="1:5" ht="13.8" x14ac:dyDescent="0.25">
      <c r="A55" s="129"/>
      <c r="B55" s="131" t="s">
        <v>13</v>
      </c>
      <c r="D55" s="41"/>
    </row>
    <row r="56" spans="1:5" ht="15" x14ac:dyDescent="0.25">
      <c r="A56" s="178"/>
      <c r="B56" s="131" t="s">
        <v>14</v>
      </c>
      <c r="D56" s="41"/>
    </row>
    <row r="57" spans="1:5" ht="16.5" customHeight="1" x14ac:dyDescent="0.25">
      <c r="A57" s="178"/>
      <c r="B57" s="40" t="s">
        <v>15</v>
      </c>
    </row>
    <row r="58" spans="1:5" ht="15" x14ac:dyDescent="0.25">
      <c r="A58" s="178"/>
      <c r="B58" s="36" t="s">
        <v>42</v>
      </c>
    </row>
    <row r="59" spans="1:5" ht="27.6" x14ac:dyDescent="0.25">
      <c r="A59" s="178"/>
      <c r="B59" s="36" t="s">
        <v>43</v>
      </c>
      <c r="C59" s="38"/>
      <c r="D59" s="39"/>
    </row>
    <row r="60" spans="1:5" ht="15" x14ac:dyDescent="0.25">
      <c r="A60" s="178"/>
      <c r="B60" s="40" t="s">
        <v>18</v>
      </c>
      <c r="C60" s="38"/>
      <c r="D60" s="39"/>
    </row>
    <row r="61" spans="1:5" ht="13.8" x14ac:dyDescent="0.25">
      <c r="A61" s="129"/>
      <c r="B61" s="134" t="s">
        <v>92</v>
      </c>
      <c r="C61" s="38"/>
      <c r="D61" s="38"/>
    </row>
    <row r="62" spans="1:5" ht="15" customHeight="1" x14ac:dyDescent="0.25">
      <c r="A62" s="178"/>
      <c r="B62" s="135" t="s">
        <v>20</v>
      </c>
      <c r="C62" s="38"/>
      <c r="D62" s="38"/>
    </row>
    <row r="63" spans="1:5" ht="15" x14ac:dyDescent="0.25">
      <c r="A63" s="178"/>
      <c r="B63" s="40" t="s">
        <v>21</v>
      </c>
      <c r="D63" s="41"/>
    </row>
    <row r="64" spans="1:5" ht="13.8" x14ac:dyDescent="0.25">
      <c r="A64" s="182" t="s">
        <v>0</v>
      </c>
      <c r="B64" s="179" t="s">
        <v>252</v>
      </c>
      <c r="C64" s="38"/>
      <c r="D64" s="39"/>
    </row>
    <row r="65" spans="1:4" ht="13.8" x14ac:dyDescent="0.25">
      <c r="A65" s="43"/>
      <c r="B65" s="131" t="s">
        <v>44</v>
      </c>
      <c r="C65" s="38"/>
      <c r="D65" s="39"/>
    </row>
    <row r="66" spans="1:4" ht="33.6" x14ac:dyDescent="0.25">
      <c r="A66" s="46"/>
      <c r="B66" s="183" t="s">
        <v>23</v>
      </c>
      <c r="C66" s="38"/>
      <c r="D66" s="38"/>
    </row>
    <row r="67" spans="1:4" ht="16.8" x14ac:dyDescent="0.4">
      <c r="A67" s="46"/>
      <c r="B67" s="44"/>
      <c r="C67" s="45"/>
      <c r="D67" s="45"/>
    </row>
    <row r="68" spans="1:4" x14ac:dyDescent="0.25">
      <c r="A68" s="48"/>
      <c r="B68" s="47"/>
      <c r="C68" s="47"/>
      <c r="D68" s="1"/>
    </row>
    <row r="69" spans="1:4" x14ac:dyDescent="0.25">
      <c r="A69" s="50" t="s">
        <v>0</v>
      </c>
      <c r="B69" s="47"/>
      <c r="C69" s="47"/>
      <c r="D69" s="1"/>
    </row>
    <row r="70" spans="1:4" x14ac:dyDescent="0.25">
      <c r="A70" s="1" t="s">
        <v>0</v>
      </c>
      <c r="B70" s="49"/>
      <c r="C70" s="47"/>
      <c r="D70" s="1"/>
    </row>
    <row r="71" spans="1:4" ht="15" x14ac:dyDescent="0.35">
      <c r="B71" s="51"/>
      <c r="C71" s="47"/>
      <c r="D71" s="47"/>
    </row>
  </sheetData>
  <mergeCells count="3">
    <mergeCell ref="A4:D4"/>
    <mergeCell ref="A14:D14"/>
    <mergeCell ref="B50:D50"/>
  </mergeCells>
  <printOptions horizontalCentered="1"/>
  <pageMargins left="0.25" right="0.25" top="0.75" bottom="0.75" header="0.3" footer="0.3"/>
  <pageSetup paperSize="9" scale="66" fitToWidth="0" orientation="portrait" r:id="rId1"/>
  <headerFooter alignWithMargins="0">
    <oddFooter>Página &amp;P de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AB32-3E4D-4C23-B919-EC9C4CDEDA50}">
  <sheetPr>
    <pageSetUpPr fitToPage="1"/>
  </sheetPr>
  <dimension ref="A1:E67"/>
  <sheetViews>
    <sheetView topLeftCell="A7" zoomScaleNormal="100" workbookViewId="0">
      <selection activeCell="D16" sqref="D16:D1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399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73" t="s">
        <v>400</v>
      </c>
      <c r="C16" s="74">
        <f>(1817/2)*21*1.35</f>
        <v>25755.975000000002</v>
      </c>
      <c r="D16" s="75">
        <f>A16*C16</f>
        <v>25755.975000000002</v>
      </c>
      <c r="E16" s="76"/>
    </row>
    <row r="17" spans="1:5" ht="15.6" x14ac:dyDescent="0.25">
      <c r="A17" s="72">
        <v>1</v>
      </c>
      <c r="B17" s="73" t="s">
        <v>257</v>
      </c>
      <c r="C17" s="74">
        <f>(1354/2)*21*1.35</f>
        <v>19192.95</v>
      </c>
      <c r="D17" s="75">
        <f>C17*A17</f>
        <v>19192.95</v>
      </c>
      <c r="E17" s="76"/>
    </row>
    <row r="18" spans="1:5" ht="51.75" customHeight="1" x14ac:dyDescent="0.25">
      <c r="A18" s="72">
        <v>1</v>
      </c>
      <c r="B18" s="73" t="s">
        <v>258</v>
      </c>
      <c r="C18" s="74">
        <v>14100</v>
      </c>
      <c r="D18" s="75">
        <f>A18*C18</f>
        <v>14100</v>
      </c>
      <c r="E18" s="76"/>
    </row>
    <row r="19" spans="1:5" ht="28.5" customHeight="1" x14ac:dyDescent="0.25">
      <c r="A19" s="72">
        <v>1</v>
      </c>
      <c r="B19" s="73" t="s">
        <v>259</v>
      </c>
      <c r="C19" s="74">
        <v>4100</v>
      </c>
      <c r="D19" s="75">
        <f>A19*C19</f>
        <v>4100</v>
      </c>
      <c r="E19" s="76"/>
    </row>
    <row r="20" spans="1:5" ht="12" customHeight="1" x14ac:dyDescent="0.25">
      <c r="A20" s="72"/>
      <c r="B20" s="75"/>
      <c r="C20" s="75"/>
      <c r="D20" s="75"/>
      <c r="E20" s="76"/>
    </row>
    <row r="21" spans="1:5" ht="18.75" customHeight="1" x14ac:dyDescent="0.25">
      <c r="A21" s="89"/>
      <c r="B21" s="90"/>
      <c r="C21" s="304" t="s">
        <v>38</v>
      </c>
      <c r="D21" s="75">
        <f>SUM(D16:D20)</f>
        <v>63148.925000000003</v>
      </c>
      <c r="E21" s="76"/>
    </row>
    <row r="22" spans="1:5" ht="18.75" customHeight="1" x14ac:dyDescent="0.3">
      <c r="A22" s="92"/>
      <c r="B22" s="90" t="s">
        <v>260</v>
      </c>
      <c r="C22" s="305" t="s">
        <v>39</v>
      </c>
      <c r="D22" s="75">
        <f>D21*0.16</f>
        <v>10103.828000000001</v>
      </c>
      <c r="E22" s="76"/>
    </row>
    <row r="23" spans="1:5" ht="18.75" customHeight="1" thickBot="1" x14ac:dyDescent="0.35">
      <c r="A23" s="92"/>
      <c r="B23" s="90"/>
      <c r="C23" s="306" t="s">
        <v>40</v>
      </c>
      <c r="D23" s="95">
        <f>D21+D22</f>
        <v>73252.752999999997</v>
      </c>
      <c r="E23" s="76"/>
    </row>
    <row r="24" spans="1:5" ht="18.75" customHeight="1" thickBot="1" x14ac:dyDescent="0.3">
      <c r="A24" s="92"/>
      <c r="B24" s="1023" t="s">
        <v>398</v>
      </c>
      <c r="C24" s="1024"/>
      <c r="D24" s="1025"/>
      <c r="E24" s="76"/>
    </row>
    <row r="25" spans="1:5" s="96" customFormat="1" ht="18.75" customHeight="1" x14ac:dyDescent="0.25">
      <c r="A25" s="307"/>
      <c r="B25" s="308"/>
      <c r="C25" s="308"/>
      <c r="D25" s="308"/>
      <c r="E25" s="309"/>
    </row>
    <row r="26" spans="1:5" ht="15.75" customHeight="1" x14ac:dyDescent="0.25">
      <c r="B26" s="97" t="s">
        <v>9</v>
      </c>
      <c r="C26" s="98"/>
      <c r="D26" s="99"/>
    </row>
    <row r="27" spans="1:5" s="96" customFormat="1" ht="15" customHeight="1" x14ac:dyDescent="0.25">
      <c r="A27" s="52"/>
      <c r="B27" s="255"/>
    </row>
    <row r="28" spans="1:5" s="96" customFormat="1" ht="15.75" customHeight="1" x14ac:dyDescent="0.25">
      <c r="B28" s="100" t="s">
        <v>11</v>
      </c>
      <c r="C28" s="76"/>
    </row>
    <row r="29" spans="1:5" ht="13.5" customHeight="1" x14ac:dyDescent="0.25">
      <c r="A29" s="101"/>
      <c r="B29" s="256" t="s">
        <v>12</v>
      </c>
      <c r="C29" s="52"/>
      <c r="D29" s="52"/>
    </row>
    <row r="30" spans="1:5" ht="13.5" customHeight="1" x14ac:dyDescent="0.25">
      <c r="A30" s="101"/>
      <c r="B30" s="256" t="s">
        <v>13</v>
      </c>
      <c r="C30" s="52"/>
      <c r="D30" s="52"/>
    </row>
    <row r="31" spans="1:5" ht="13.5" customHeight="1" x14ac:dyDescent="0.25">
      <c r="A31" s="101"/>
      <c r="B31" s="256" t="s">
        <v>14</v>
      </c>
      <c r="C31" s="52"/>
      <c r="D31" s="52"/>
    </row>
    <row r="32" spans="1:5" ht="13.8" x14ac:dyDescent="0.25">
      <c r="A32" s="102"/>
      <c r="B32" s="103" t="s">
        <v>15</v>
      </c>
      <c r="C32" s="52"/>
      <c r="D32" s="52"/>
    </row>
    <row r="33" spans="1:4" ht="13.8" x14ac:dyDescent="0.25">
      <c r="A33" s="102"/>
      <c r="B33" s="216" t="s">
        <v>42</v>
      </c>
      <c r="C33" s="104"/>
      <c r="D33" s="105"/>
    </row>
    <row r="34" spans="1:4" ht="13.5" customHeight="1" x14ac:dyDescent="0.25">
      <c r="A34" s="106"/>
      <c r="B34" s="216" t="s">
        <v>43</v>
      </c>
      <c r="C34" s="104"/>
      <c r="D34" s="105"/>
    </row>
    <row r="35" spans="1:4" ht="13.5" customHeight="1" x14ac:dyDescent="0.25">
      <c r="A35" s="106"/>
      <c r="B35" s="103" t="s">
        <v>18</v>
      </c>
      <c r="C35" s="107"/>
      <c r="D35" s="105"/>
    </row>
    <row r="36" spans="1:4" ht="13.5" customHeight="1" x14ac:dyDescent="0.25">
      <c r="A36" s="106"/>
      <c r="B36" s="188" t="s">
        <v>261</v>
      </c>
      <c r="C36" s="107"/>
      <c r="D36" s="105"/>
    </row>
    <row r="37" spans="1:4" ht="13.5" customHeight="1" x14ac:dyDescent="0.25">
      <c r="A37" s="106"/>
      <c r="B37" s="217" t="s">
        <v>20</v>
      </c>
      <c r="C37" s="107"/>
      <c r="D37" s="105"/>
    </row>
    <row r="38" spans="1:4" ht="13.5" customHeight="1" x14ac:dyDescent="0.25">
      <c r="A38" s="108"/>
      <c r="B38" s="103" t="s">
        <v>21</v>
      </c>
      <c r="C38" s="107"/>
      <c r="D38" s="105"/>
    </row>
    <row r="39" spans="1:4" ht="15" x14ac:dyDescent="0.25">
      <c r="A39" s="106"/>
      <c r="B39" s="310" t="s">
        <v>262</v>
      </c>
      <c r="C39" s="107"/>
      <c r="D39" s="107"/>
    </row>
    <row r="40" spans="1:4" ht="15" x14ac:dyDescent="0.25">
      <c r="A40" s="106"/>
      <c r="B40" s="180" t="s">
        <v>44</v>
      </c>
      <c r="C40" s="107"/>
      <c r="D40" s="107"/>
    </row>
    <row r="41" spans="1:4" ht="15" x14ac:dyDescent="0.25">
      <c r="A41" s="106"/>
      <c r="B41" s="180" t="s">
        <v>45</v>
      </c>
      <c r="C41" s="109"/>
      <c r="D41" s="110"/>
    </row>
    <row r="42" spans="1:4" ht="33.6" x14ac:dyDescent="0.4">
      <c r="A42" s="106"/>
      <c r="B42" s="218"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58" spans="1:4" ht="15.75" customHeight="1" x14ac:dyDescent="0.25"/>
    <row r="62" spans="1:4" ht="16.5" customHeight="1" x14ac:dyDescent="0.25"/>
    <row r="66" ht="24" customHeight="1" x14ac:dyDescent="0.25"/>
    <row r="67" ht="24" customHeight="1" x14ac:dyDescent="0.25"/>
  </sheetData>
  <mergeCells count="3">
    <mergeCell ref="A4:D4"/>
    <mergeCell ref="A13:D13"/>
    <mergeCell ref="B24:D24"/>
  </mergeCells>
  <pageMargins left="0.25" right="0.25" top="0.75" bottom="0.75" header="0.3" footer="0.3"/>
  <pageSetup scale="63"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DD84-42CB-40AF-B316-7B43D00F4C4A}">
  <sheetPr>
    <pageSetUpPr fitToPage="1"/>
  </sheetPr>
  <dimension ref="A1:E63"/>
  <sheetViews>
    <sheetView topLeftCell="A12" zoomScaleNormal="100" workbookViewId="0">
      <selection activeCell="A16" sqref="A16:D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256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263</v>
      </c>
      <c r="C16" s="74">
        <v>25000</v>
      </c>
      <c r="D16" s="75">
        <f>A16*C16</f>
        <v>25000</v>
      </c>
      <c r="E16" s="76"/>
    </row>
    <row r="17" spans="1:5" ht="15.6" x14ac:dyDescent="0.25">
      <c r="A17" s="72"/>
      <c r="B17" s="75"/>
      <c r="C17" s="75"/>
      <c r="D17" s="75"/>
      <c r="E17" s="76"/>
    </row>
    <row r="18" spans="1:5" ht="18.75" customHeight="1" x14ac:dyDescent="0.25">
      <c r="A18" s="89"/>
      <c r="B18" s="90"/>
      <c r="C18" s="304" t="s">
        <v>38</v>
      </c>
      <c r="D18" s="75">
        <f>SUM(D16:D16)</f>
        <v>25000</v>
      </c>
      <c r="E18" s="76"/>
    </row>
    <row r="19" spans="1:5" ht="18.75" customHeight="1" x14ac:dyDescent="0.3">
      <c r="A19" s="92"/>
      <c r="B19" s="90" t="s">
        <v>260</v>
      </c>
      <c r="C19" s="305" t="s">
        <v>39</v>
      </c>
      <c r="D19" s="75">
        <f>D18*0.16</f>
        <v>4000</v>
      </c>
      <c r="E19" s="76"/>
    </row>
    <row r="20" spans="1:5" ht="18.75" customHeight="1" thickBot="1" x14ac:dyDescent="0.35">
      <c r="A20" s="92"/>
      <c r="B20" s="90"/>
      <c r="C20" s="306" t="s">
        <v>40</v>
      </c>
      <c r="D20" s="95">
        <f>D18+D19</f>
        <v>29000</v>
      </c>
      <c r="E20" s="76"/>
    </row>
    <row r="21" spans="1:5" ht="18.75" customHeight="1" thickBot="1" x14ac:dyDescent="0.3">
      <c r="A21" s="92"/>
      <c r="B21" s="1023" t="s">
        <v>264</v>
      </c>
      <c r="C21" s="1024"/>
      <c r="D21" s="1025"/>
      <c r="E21" s="76"/>
    </row>
    <row r="22" spans="1:5" ht="15.75" customHeight="1" x14ac:dyDescent="0.25">
      <c r="B22" s="97" t="s">
        <v>9</v>
      </c>
      <c r="C22" s="98"/>
      <c r="D22" s="99"/>
    </row>
    <row r="23" spans="1:5" s="96" customFormat="1" ht="65.25" customHeight="1" x14ac:dyDescent="0.25">
      <c r="A23" s="52"/>
      <c r="B23" s="311" t="s">
        <v>265</v>
      </c>
      <c r="C23" s="76"/>
    </row>
    <row r="24" spans="1:5" s="96" customFormat="1" ht="15.75" customHeight="1" x14ac:dyDescent="0.25">
      <c r="B24" s="100" t="s">
        <v>11</v>
      </c>
    </row>
    <row r="25" spans="1:5" ht="13.5" customHeight="1" x14ac:dyDescent="0.25">
      <c r="A25" s="101"/>
      <c r="B25" s="256" t="s">
        <v>12</v>
      </c>
      <c r="C25" s="52"/>
      <c r="D25" s="52"/>
    </row>
    <row r="26" spans="1:5" ht="13.5" customHeight="1" x14ac:dyDescent="0.25">
      <c r="A26" s="101"/>
      <c r="B26" s="256" t="s">
        <v>13</v>
      </c>
      <c r="C26" s="52"/>
      <c r="D26" s="52"/>
    </row>
    <row r="27" spans="1:5" ht="13.5" customHeight="1" x14ac:dyDescent="0.25">
      <c r="A27" s="101"/>
      <c r="B27" s="256" t="s">
        <v>14</v>
      </c>
      <c r="C27" s="52"/>
      <c r="D27" s="52"/>
    </row>
    <row r="28" spans="1:5" ht="13.8" x14ac:dyDescent="0.25">
      <c r="A28" s="102"/>
      <c r="B28" s="103" t="s">
        <v>15</v>
      </c>
      <c r="C28" s="52"/>
      <c r="D28" s="52"/>
    </row>
    <row r="29" spans="1:5" ht="13.8" x14ac:dyDescent="0.25">
      <c r="A29" s="102"/>
      <c r="B29" s="216" t="s">
        <v>42</v>
      </c>
      <c r="C29" s="104"/>
      <c r="D29" s="105"/>
    </row>
    <row r="30" spans="1:5" ht="13.5" customHeight="1" x14ac:dyDescent="0.25">
      <c r="A30" s="106"/>
      <c r="B30" s="216" t="s">
        <v>43</v>
      </c>
      <c r="C30" s="104"/>
      <c r="D30" s="105"/>
    </row>
    <row r="31" spans="1:5" ht="13.5" customHeight="1" x14ac:dyDescent="0.25">
      <c r="A31" s="106"/>
      <c r="B31" s="103" t="s">
        <v>18</v>
      </c>
      <c r="C31" s="107"/>
      <c r="D31" s="105"/>
    </row>
    <row r="32" spans="1:5" ht="13.5" customHeight="1" x14ac:dyDescent="0.25">
      <c r="A32" s="106"/>
      <c r="B32" s="188" t="s">
        <v>266</v>
      </c>
      <c r="C32" s="107"/>
      <c r="D32" s="105"/>
    </row>
    <row r="33" spans="1:4" ht="13.5" customHeight="1" x14ac:dyDescent="0.25">
      <c r="A33" s="106"/>
      <c r="B33" s="217" t="s">
        <v>20</v>
      </c>
      <c r="C33" s="107"/>
      <c r="D33" s="105"/>
    </row>
    <row r="34" spans="1:4" ht="13.5" customHeight="1" x14ac:dyDescent="0.25">
      <c r="A34" s="108"/>
      <c r="B34" s="103" t="s">
        <v>21</v>
      </c>
      <c r="C34" s="107"/>
      <c r="D34" s="105"/>
    </row>
    <row r="35" spans="1:4" ht="15" x14ac:dyDescent="0.25">
      <c r="A35" s="106"/>
      <c r="B35" s="310" t="s">
        <v>262</v>
      </c>
      <c r="C35" s="107"/>
      <c r="D35" s="107"/>
    </row>
    <row r="36" spans="1:4" ht="15" x14ac:dyDescent="0.25">
      <c r="A36" s="106"/>
      <c r="B36" s="180" t="s">
        <v>44</v>
      </c>
      <c r="C36" s="107"/>
      <c r="D36" s="107"/>
    </row>
    <row r="37" spans="1:4" ht="15" x14ac:dyDescent="0.25">
      <c r="A37" s="106"/>
      <c r="B37" s="180" t="s">
        <v>45</v>
      </c>
      <c r="C37" s="109"/>
      <c r="D37" s="110"/>
    </row>
    <row r="38" spans="1:4" ht="33.6" x14ac:dyDescent="0.4">
      <c r="A38" s="106"/>
      <c r="B38" s="218" t="s">
        <v>23</v>
      </c>
      <c r="C38" s="109"/>
      <c r="D38" s="110"/>
    </row>
    <row r="39" spans="1:4" ht="16.8" x14ac:dyDescent="0.4">
      <c r="A39" s="106"/>
      <c r="B39" s="111"/>
      <c r="C39" s="109"/>
      <c r="D39" s="109"/>
    </row>
    <row r="40" spans="1:4" ht="13.8"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54" spans="1:4" ht="15.75" customHeight="1" x14ac:dyDescent="0.25"/>
    <row r="58" spans="1:4" ht="16.5" customHeight="1" x14ac:dyDescent="0.25"/>
    <row r="62" spans="1:4" ht="24" customHeight="1" x14ac:dyDescent="0.25"/>
    <row r="63" spans="1:4" ht="24" customHeight="1" x14ac:dyDescent="0.25"/>
  </sheetData>
  <mergeCells count="3">
    <mergeCell ref="A4:D4"/>
    <mergeCell ref="A13:D13"/>
    <mergeCell ref="B21:D21"/>
  </mergeCells>
  <pageMargins left="0.25" right="0.25" top="0.75" bottom="0.75" header="0.3" footer="0.3"/>
  <pageSetup scale="6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719F-56B4-42F6-974E-482FE7AFB225}">
  <sheetPr>
    <pageSetUpPr fitToPage="1"/>
  </sheetPr>
  <dimension ref="A1:E66"/>
  <sheetViews>
    <sheetView topLeftCell="A9" zoomScaleNormal="100" workbookViewId="0">
      <selection activeCell="B65" sqref="B65"/>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256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267</v>
      </c>
      <c r="C16" s="74">
        <v>54000</v>
      </c>
      <c r="D16" s="75">
        <f>A16*C16</f>
        <v>54000</v>
      </c>
      <c r="E16" s="76"/>
    </row>
    <row r="17" spans="1:5" ht="15.6" x14ac:dyDescent="0.25">
      <c r="A17" s="72">
        <v>2</v>
      </c>
      <c r="B17" s="73" t="s">
        <v>268</v>
      </c>
      <c r="C17" s="74">
        <v>6797</v>
      </c>
      <c r="D17" s="75">
        <f>C17*A17</f>
        <v>13594</v>
      </c>
      <c r="E17" s="76"/>
    </row>
    <row r="18" spans="1:5" ht="15.6" x14ac:dyDescent="0.25">
      <c r="A18" s="72">
        <v>1</v>
      </c>
      <c r="B18" s="73" t="s">
        <v>269</v>
      </c>
      <c r="C18" s="74">
        <v>5664</v>
      </c>
      <c r="D18" s="75">
        <f>A18*C18</f>
        <v>5664</v>
      </c>
      <c r="E18" s="76"/>
    </row>
    <row r="19" spans="1:5" ht="15.6" x14ac:dyDescent="0.25">
      <c r="A19" s="72">
        <v>3</v>
      </c>
      <c r="B19" s="73" t="s">
        <v>270</v>
      </c>
      <c r="C19" s="74">
        <v>320</v>
      </c>
      <c r="D19" s="75">
        <f>A19*C19</f>
        <v>960</v>
      </c>
      <c r="E19" s="76"/>
    </row>
    <row r="20" spans="1:5" ht="9.75" customHeight="1" x14ac:dyDescent="0.25">
      <c r="A20" s="72"/>
      <c r="B20" s="75"/>
      <c r="C20" s="75"/>
      <c r="D20" s="75"/>
      <c r="E20" s="76"/>
    </row>
    <row r="21" spans="1:5" ht="18.75" customHeight="1" x14ac:dyDescent="0.25">
      <c r="A21" s="89"/>
      <c r="B21" s="90"/>
      <c r="C21" s="304" t="s">
        <v>38</v>
      </c>
      <c r="D21" s="75">
        <f>SUM(D16:D19)</f>
        <v>74218</v>
      </c>
      <c r="E21" s="76"/>
    </row>
    <row r="22" spans="1:5" ht="18.75" customHeight="1" x14ac:dyDescent="0.3">
      <c r="A22" s="92"/>
      <c r="B22" s="90" t="s">
        <v>260</v>
      </c>
      <c r="C22" s="305" t="s">
        <v>39</v>
      </c>
      <c r="D22" s="75">
        <f>D21*0.16</f>
        <v>11874.880000000001</v>
      </c>
      <c r="E22" s="76"/>
    </row>
    <row r="23" spans="1:5" ht="18.75" customHeight="1" thickBot="1" x14ac:dyDescent="0.35">
      <c r="A23" s="92"/>
      <c r="B23" s="90"/>
      <c r="C23" s="306" t="s">
        <v>40</v>
      </c>
      <c r="D23" s="95">
        <f>D21+D22</f>
        <v>86092.88</v>
      </c>
      <c r="E23" s="76"/>
    </row>
    <row r="24" spans="1:5" ht="18.75" customHeight="1" thickBot="1" x14ac:dyDescent="0.3">
      <c r="A24" s="92"/>
      <c r="B24" s="1023" t="s">
        <v>271</v>
      </c>
      <c r="C24" s="1024"/>
      <c r="D24" s="1025"/>
      <c r="E24" s="76"/>
    </row>
    <row r="25" spans="1:5" ht="15.75" customHeight="1" x14ac:dyDescent="0.25">
      <c r="B25" s="97" t="s">
        <v>9</v>
      </c>
      <c r="C25" s="98"/>
      <c r="D25" s="99"/>
    </row>
    <row r="26" spans="1:5" s="96" customFormat="1" ht="19.5" customHeight="1" x14ac:dyDescent="0.25">
      <c r="A26" s="52"/>
      <c r="B26" s="255"/>
      <c r="C26" s="76"/>
    </row>
    <row r="27" spans="1:5" s="96" customFormat="1" ht="15.75" customHeight="1" x14ac:dyDescent="0.25">
      <c r="B27" s="100" t="s">
        <v>11</v>
      </c>
    </row>
    <row r="28" spans="1:5" ht="13.5" customHeight="1" x14ac:dyDescent="0.25">
      <c r="A28" s="101"/>
      <c r="B28" s="256" t="s">
        <v>12</v>
      </c>
      <c r="C28" s="52"/>
      <c r="D28" s="52"/>
    </row>
    <row r="29" spans="1:5" ht="13.5" customHeight="1" x14ac:dyDescent="0.25">
      <c r="A29" s="101"/>
      <c r="B29" s="256" t="s">
        <v>13</v>
      </c>
      <c r="C29" s="52"/>
      <c r="D29" s="52"/>
    </row>
    <row r="30" spans="1:5" ht="13.5" customHeight="1" x14ac:dyDescent="0.25">
      <c r="A30" s="101"/>
      <c r="B30" s="256" t="s">
        <v>14</v>
      </c>
      <c r="C30" s="52"/>
      <c r="D30" s="52"/>
    </row>
    <row r="31" spans="1:5" ht="13.8" x14ac:dyDescent="0.25">
      <c r="A31" s="102"/>
      <c r="B31" s="103" t="s">
        <v>15</v>
      </c>
      <c r="C31" s="52"/>
      <c r="D31" s="52"/>
    </row>
    <row r="32" spans="1:5" ht="13.8" x14ac:dyDescent="0.25">
      <c r="A32" s="102"/>
      <c r="B32" s="216" t="s">
        <v>42</v>
      </c>
      <c r="C32" s="104"/>
      <c r="D32" s="105"/>
    </row>
    <row r="33" spans="1:4" ht="13.5" customHeight="1" x14ac:dyDescent="0.25">
      <c r="A33" s="106"/>
      <c r="B33" s="216" t="s">
        <v>43</v>
      </c>
      <c r="C33" s="104"/>
      <c r="D33" s="105"/>
    </row>
    <row r="34" spans="1:4" ht="13.5" customHeight="1" x14ac:dyDescent="0.25">
      <c r="A34" s="106"/>
      <c r="B34" s="103" t="s">
        <v>18</v>
      </c>
      <c r="C34" s="107"/>
      <c r="D34" s="105"/>
    </row>
    <row r="35" spans="1:4" ht="13.5" customHeight="1" x14ac:dyDescent="0.25">
      <c r="A35" s="106"/>
      <c r="B35" s="188" t="s">
        <v>272</v>
      </c>
      <c r="C35" s="107"/>
      <c r="D35" s="105"/>
    </row>
    <row r="36" spans="1:4" ht="13.5" customHeight="1" x14ac:dyDescent="0.25">
      <c r="A36" s="106"/>
      <c r="B36" s="217" t="s">
        <v>20</v>
      </c>
      <c r="C36" s="107"/>
      <c r="D36" s="105"/>
    </row>
    <row r="37" spans="1:4" ht="13.5" customHeight="1" x14ac:dyDescent="0.25">
      <c r="A37" s="108"/>
      <c r="B37" s="103" t="s">
        <v>21</v>
      </c>
      <c r="C37" s="107"/>
      <c r="D37" s="105"/>
    </row>
    <row r="38" spans="1:4" ht="15" x14ac:dyDescent="0.25">
      <c r="A38" s="106"/>
      <c r="B38" s="310" t="s">
        <v>262</v>
      </c>
      <c r="C38" s="107"/>
      <c r="D38" s="107"/>
    </row>
    <row r="39" spans="1:4" ht="15" x14ac:dyDescent="0.25">
      <c r="A39" s="106"/>
      <c r="B39" s="180" t="s">
        <v>44</v>
      </c>
      <c r="C39" s="107"/>
      <c r="D39" s="107"/>
    </row>
    <row r="40" spans="1:4" ht="15" x14ac:dyDescent="0.25">
      <c r="A40" s="106"/>
      <c r="B40" s="180" t="s">
        <v>45</v>
      </c>
      <c r="C40" s="109"/>
      <c r="D40" s="110"/>
    </row>
    <row r="41" spans="1:4" ht="33.6" x14ac:dyDescent="0.4">
      <c r="A41" s="106"/>
      <c r="B41" s="218"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4:D24"/>
  </mergeCells>
  <pageMargins left="0.25" right="0.25" top="0.75" bottom="0.75" header="0.3" footer="0.3"/>
  <pageSetup scale="6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B2B6-4FCB-4444-8425-9A181C1C2AE0}">
  <sheetPr>
    <pageSetUpPr fitToPage="1"/>
  </sheetPr>
  <dimension ref="A1:E66"/>
  <sheetViews>
    <sheetView topLeftCell="A4" zoomScaleNormal="100" workbookViewId="0">
      <selection activeCell="B21" sqref="B21:D21"/>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273</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274</v>
      </c>
      <c r="C16" s="74">
        <v>24500</v>
      </c>
      <c r="D16" s="75">
        <f>A16*C16</f>
        <v>24500</v>
      </c>
      <c r="E16" s="76"/>
    </row>
    <row r="17" spans="1:5" ht="15.6" x14ac:dyDescent="0.25">
      <c r="A17" s="72"/>
      <c r="B17" s="75"/>
      <c r="C17" s="75"/>
      <c r="D17" s="75"/>
      <c r="E17" s="76"/>
    </row>
    <row r="18" spans="1:5" ht="15.6" x14ac:dyDescent="0.25">
      <c r="A18" s="89"/>
      <c r="B18" s="90"/>
      <c r="C18" s="304" t="s">
        <v>38</v>
      </c>
      <c r="D18" s="75">
        <f>SUM(D16:D16)</f>
        <v>24500</v>
      </c>
      <c r="E18" s="76"/>
    </row>
    <row r="19" spans="1:5" ht="15.6" x14ac:dyDescent="0.3">
      <c r="A19" s="92"/>
      <c r="B19" s="90"/>
      <c r="C19" s="305" t="s">
        <v>39</v>
      </c>
      <c r="D19" s="75">
        <f>D18*0.16</f>
        <v>3920</v>
      </c>
      <c r="E19" s="76"/>
    </row>
    <row r="20" spans="1:5" ht="16.2" thickBot="1" x14ac:dyDescent="0.35">
      <c r="A20" s="92"/>
      <c r="B20" s="90"/>
      <c r="C20" s="306" t="s">
        <v>40</v>
      </c>
      <c r="D20" s="95">
        <f>D18+D19</f>
        <v>28420</v>
      </c>
      <c r="E20" s="76"/>
    </row>
    <row r="21" spans="1:5" ht="18.75" customHeight="1" thickBot="1" x14ac:dyDescent="0.3">
      <c r="A21" s="92"/>
      <c r="B21" s="1023" t="s">
        <v>275</v>
      </c>
      <c r="C21" s="1024"/>
      <c r="D21" s="1025"/>
      <c r="E21" s="76"/>
    </row>
    <row r="22" spans="1:5" ht="18.75" customHeight="1" x14ac:dyDescent="0.25">
      <c r="B22" s="97" t="s">
        <v>9</v>
      </c>
      <c r="C22" s="98"/>
      <c r="D22" s="99"/>
    </row>
    <row r="23" spans="1:5" ht="18.75" customHeight="1" x14ac:dyDescent="0.25">
      <c r="B23" s="255"/>
      <c r="C23" s="76"/>
      <c r="D23" s="96"/>
      <c r="E23" s="96"/>
    </row>
    <row r="24" spans="1:5" ht="18.75" customHeight="1" x14ac:dyDescent="0.25">
      <c r="A24" s="96"/>
      <c r="B24" s="100" t="s">
        <v>11</v>
      </c>
      <c r="C24" s="96"/>
      <c r="D24" s="96"/>
      <c r="E24" s="96"/>
    </row>
    <row r="25" spans="1:5" ht="15.75" customHeight="1" x14ac:dyDescent="0.25">
      <c r="A25" s="101"/>
      <c r="B25" s="256" t="s">
        <v>12</v>
      </c>
      <c r="C25" s="52"/>
      <c r="D25" s="52"/>
    </row>
    <row r="26" spans="1:5" s="96" customFormat="1" ht="19.5" customHeight="1" x14ac:dyDescent="0.25">
      <c r="A26" s="101"/>
      <c r="B26" s="256" t="s">
        <v>13</v>
      </c>
      <c r="C26" s="52"/>
      <c r="D26" s="52"/>
      <c r="E26" s="52"/>
    </row>
    <row r="27" spans="1:5" s="96" customFormat="1" ht="15.75" customHeight="1" x14ac:dyDescent="0.25">
      <c r="A27" s="101"/>
      <c r="B27" s="256" t="s">
        <v>14</v>
      </c>
      <c r="C27" s="52"/>
      <c r="D27" s="52"/>
      <c r="E27" s="52"/>
    </row>
    <row r="28" spans="1:5" ht="13.5" customHeight="1" x14ac:dyDescent="0.25">
      <c r="A28" s="102"/>
      <c r="B28" s="103" t="s">
        <v>15</v>
      </c>
      <c r="C28" s="52"/>
      <c r="D28" s="52"/>
    </row>
    <row r="29" spans="1:5" ht="13.5" customHeight="1" x14ac:dyDescent="0.25">
      <c r="A29" s="102"/>
      <c r="B29" s="216" t="s">
        <v>42</v>
      </c>
      <c r="C29" s="104"/>
      <c r="D29" s="105"/>
    </row>
    <row r="30" spans="1:5" ht="13.5" customHeight="1" x14ac:dyDescent="0.25">
      <c r="A30" s="106"/>
      <c r="B30" s="216" t="s">
        <v>43</v>
      </c>
      <c r="C30" s="104"/>
      <c r="D30" s="105"/>
    </row>
    <row r="31" spans="1:5" ht="15" x14ac:dyDescent="0.25">
      <c r="A31" s="106"/>
      <c r="B31" s="103" t="s">
        <v>18</v>
      </c>
      <c r="C31" s="107"/>
      <c r="D31" s="105"/>
    </row>
    <row r="32" spans="1:5" ht="15" x14ac:dyDescent="0.25">
      <c r="A32" s="106"/>
      <c r="B32" s="188" t="s">
        <v>272</v>
      </c>
      <c r="C32" s="107"/>
      <c r="D32" s="105"/>
    </row>
    <row r="33" spans="1:4" ht="13.5" customHeight="1" x14ac:dyDescent="0.25">
      <c r="A33" s="106"/>
      <c r="B33" s="217" t="s">
        <v>20</v>
      </c>
      <c r="C33" s="107"/>
      <c r="D33" s="105"/>
    </row>
    <row r="34" spans="1:4" ht="13.5" customHeight="1" x14ac:dyDescent="0.25">
      <c r="A34" s="108"/>
      <c r="B34" s="103" t="s">
        <v>21</v>
      </c>
      <c r="C34" s="107"/>
      <c r="D34" s="105"/>
    </row>
    <row r="35" spans="1:4" ht="13.5" customHeight="1" x14ac:dyDescent="0.25">
      <c r="A35" s="106"/>
      <c r="B35" s="310" t="s">
        <v>262</v>
      </c>
      <c r="C35" s="107"/>
      <c r="D35" s="107"/>
    </row>
    <row r="36" spans="1:4" ht="13.5" customHeight="1" x14ac:dyDescent="0.25">
      <c r="A36" s="106"/>
      <c r="B36" s="180" t="s">
        <v>44</v>
      </c>
      <c r="C36" s="107"/>
      <c r="D36" s="107"/>
    </row>
    <row r="37" spans="1:4" ht="13.5" customHeight="1" x14ac:dyDescent="0.25">
      <c r="A37" s="106"/>
      <c r="B37" s="180" t="s">
        <v>45</v>
      </c>
      <c r="C37" s="109"/>
      <c r="D37" s="110"/>
    </row>
    <row r="38" spans="1:4" ht="33.6" x14ac:dyDescent="0.4">
      <c r="A38" s="106"/>
      <c r="B38" s="218" t="s">
        <v>23</v>
      </c>
      <c r="C38" s="109"/>
      <c r="D38" s="110"/>
    </row>
    <row r="39" spans="1:4" ht="16.8" x14ac:dyDescent="0.4">
      <c r="A39" s="106"/>
      <c r="B39" s="111"/>
      <c r="C39" s="109"/>
      <c r="D39" s="109"/>
    </row>
    <row r="40" spans="1:4" ht="13.8"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1:D21"/>
  </mergeCells>
  <pageMargins left="0.25" right="0.25" top="0.75" bottom="0.75" header="0.3" footer="0.3"/>
  <pageSetup scale="6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722AE-3123-4153-B754-6764A2BEE668}">
  <sheetPr>
    <pageSetUpPr fitToPage="1"/>
  </sheetPr>
  <dimension ref="A1:E67"/>
  <sheetViews>
    <sheetView topLeftCell="A9" zoomScaleNormal="100" workbookViewId="0">
      <selection activeCell="B22" sqref="B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88671875" style="54" bestFit="1"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276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20.25" customHeight="1" x14ac:dyDescent="0.25">
      <c r="A16" s="72">
        <v>1</v>
      </c>
      <c r="B16" s="312" t="s">
        <v>277</v>
      </c>
      <c r="C16" s="74">
        <v>24500</v>
      </c>
      <c r="D16" s="75">
        <f>A16*C16</f>
        <v>24500</v>
      </c>
      <c r="E16" s="76"/>
    </row>
    <row r="17" spans="1:5" ht="45" x14ac:dyDescent="0.25">
      <c r="A17" s="72">
        <v>1</v>
      </c>
      <c r="B17" s="312" t="s">
        <v>278</v>
      </c>
      <c r="C17" s="74">
        <f>200*8500</f>
        <v>1700000</v>
      </c>
      <c r="D17" s="75">
        <f>C17*A17</f>
        <v>1700000</v>
      </c>
      <c r="E17" s="76"/>
    </row>
    <row r="18" spans="1:5" ht="90" x14ac:dyDescent="0.25">
      <c r="A18" s="72">
        <v>1</v>
      </c>
      <c r="B18" s="312" t="s">
        <v>279</v>
      </c>
      <c r="C18" s="74">
        <v>630000</v>
      </c>
      <c r="D18" s="75">
        <f>A18*C18</f>
        <v>630000</v>
      </c>
      <c r="E18" s="76"/>
    </row>
    <row r="19" spans="1:5" ht="9.75" customHeight="1" x14ac:dyDescent="0.25">
      <c r="A19" s="72"/>
      <c r="B19" s="75"/>
      <c r="C19" s="75"/>
      <c r="D19" s="75"/>
      <c r="E19" s="76"/>
    </row>
    <row r="20" spans="1:5" ht="15.6" x14ac:dyDescent="0.25">
      <c r="A20" s="89"/>
      <c r="B20" s="90"/>
      <c r="C20" s="304" t="s">
        <v>38</v>
      </c>
      <c r="D20" s="75">
        <f>SUM(D16:D18)</f>
        <v>2354500</v>
      </c>
      <c r="E20" s="76"/>
    </row>
    <row r="21" spans="1:5" ht="15.6" x14ac:dyDescent="0.3">
      <c r="A21" s="92"/>
      <c r="B21" s="90"/>
      <c r="C21" s="305" t="s">
        <v>39</v>
      </c>
      <c r="D21" s="75">
        <f>D20*0.16</f>
        <v>376720</v>
      </c>
      <c r="E21" s="76"/>
    </row>
    <row r="22" spans="1:5" ht="16.2" thickBot="1" x14ac:dyDescent="0.35">
      <c r="A22" s="92"/>
      <c r="B22" s="90"/>
      <c r="C22" s="306" t="s">
        <v>40</v>
      </c>
      <c r="D22" s="95">
        <f>D20+D21</f>
        <v>2731220</v>
      </c>
      <c r="E22" s="76"/>
    </row>
    <row r="23" spans="1:5" ht="18.75" customHeight="1" thickBot="1" x14ac:dyDescent="0.3">
      <c r="A23" s="92"/>
      <c r="B23" s="1023" t="s">
        <v>280</v>
      </c>
      <c r="C23" s="1024"/>
      <c r="D23" s="1025"/>
      <c r="E23" s="76"/>
    </row>
    <row r="24" spans="1:5" ht="18.75" customHeight="1" x14ac:dyDescent="0.25">
      <c r="A24" s="307"/>
      <c r="B24" s="308"/>
      <c r="C24" s="308"/>
      <c r="D24" s="308"/>
      <c r="E24" s="309"/>
    </row>
    <row r="25" spans="1:5" s="96" customFormat="1" ht="18.75" customHeight="1" x14ac:dyDescent="0.25">
      <c r="A25" s="52"/>
      <c r="B25" s="97" t="s">
        <v>9</v>
      </c>
      <c r="C25" s="98"/>
      <c r="D25" s="99"/>
      <c r="E25" s="52"/>
    </row>
    <row r="26" spans="1:5" ht="15.75" customHeight="1" x14ac:dyDescent="0.25">
      <c r="B26" s="255"/>
      <c r="C26" s="96"/>
      <c r="D26" s="96"/>
      <c r="E26" s="96"/>
    </row>
    <row r="27" spans="1:5" s="96" customFormat="1" ht="15" customHeight="1" x14ac:dyDescent="0.25">
      <c r="B27" s="103" t="s">
        <v>11</v>
      </c>
      <c r="C27" s="76"/>
    </row>
    <row r="28" spans="1:5" s="96" customFormat="1" ht="15.75" customHeight="1" x14ac:dyDescent="0.25">
      <c r="A28" s="101"/>
      <c r="B28" s="123" t="s">
        <v>12</v>
      </c>
      <c r="C28" s="52"/>
      <c r="D28" s="52"/>
      <c r="E28" s="52"/>
    </row>
    <row r="29" spans="1:5" ht="13.5" customHeight="1" x14ac:dyDescent="0.25">
      <c r="A29" s="101"/>
      <c r="B29" s="123" t="s">
        <v>13</v>
      </c>
      <c r="C29" s="52"/>
      <c r="D29" s="52"/>
    </row>
    <row r="30" spans="1:5" ht="13.5" customHeight="1" x14ac:dyDescent="0.25">
      <c r="A30" s="101"/>
      <c r="B30" s="123" t="s">
        <v>14</v>
      </c>
      <c r="C30" s="52"/>
      <c r="D30" s="52"/>
    </row>
    <row r="31" spans="1:5" ht="13.5" customHeight="1" x14ac:dyDescent="0.25">
      <c r="A31" s="102"/>
      <c r="B31" s="103" t="s">
        <v>15</v>
      </c>
      <c r="C31" s="52"/>
      <c r="D31" s="52"/>
    </row>
    <row r="32" spans="1:5" ht="13.8" x14ac:dyDescent="0.25">
      <c r="A32" s="102"/>
      <c r="B32" s="295" t="s">
        <v>42</v>
      </c>
      <c r="C32" s="104"/>
      <c r="D32" s="105"/>
    </row>
    <row r="33" spans="1:4" ht="27.6" x14ac:dyDescent="0.25">
      <c r="A33" s="106"/>
      <c r="B33" s="295" t="s">
        <v>43</v>
      </c>
      <c r="C33" s="104"/>
      <c r="D33" s="105"/>
    </row>
    <row r="34" spans="1:4" ht="13.5" customHeight="1" x14ac:dyDescent="0.25">
      <c r="A34" s="106"/>
      <c r="B34" s="103" t="s">
        <v>18</v>
      </c>
      <c r="C34" s="107"/>
      <c r="D34" s="105"/>
    </row>
    <row r="35" spans="1:4" ht="13.5" customHeight="1" x14ac:dyDescent="0.25">
      <c r="A35" s="106"/>
      <c r="B35" s="313" t="s">
        <v>281</v>
      </c>
      <c r="C35" s="107"/>
      <c r="D35" s="105"/>
    </row>
    <row r="36" spans="1:4" ht="13.5" customHeight="1" x14ac:dyDescent="0.25">
      <c r="A36" s="106"/>
      <c r="B36" s="297" t="s">
        <v>20</v>
      </c>
      <c r="C36" s="107"/>
      <c r="D36" s="105"/>
    </row>
    <row r="37" spans="1:4" ht="13.5" customHeight="1" x14ac:dyDescent="0.25">
      <c r="A37" s="108"/>
      <c r="B37" s="103" t="s">
        <v>21</v>
      </c>
      <c r="C37" s="107"/>
      <c r="D37" s="105"/>
    </row>
    <row r="38" spans="1:4" ht="13.5" customHeight="1" x14ac:dyDescent="0.25">
      <c r="A38" s="106"/>
      <c r="B38" s="122" t="s">
        <v>262</v>
      </c>
      <c r="C38" s="107"/>
      <c r="D38" s="107"/>
    </row>
    <row r="39" spans="1:4" ht="15" x14ac:dyDescent="0.25">
      <c r="A39" s="106"/>
      <c r="B39" s="123" t="s">
        <v>44</v>
      </c>
      <c r="C39" s="107"/>
      <c r="D39" s="107"/>
    </row>
    <row r="40" spans="1:4" ht="15" x14ac:dyDescent="0.25">
      <c r="A40" s="106"/>
      <c r="B40" s="123" t="s">
        <v>45</v>
      </c>
      <c r="C40" s="109"/>
      <c r="D40" s="110"/>
    </row>
    <row r="41" spans="1:4" ht="33.6" x14ac:dyDescent="0.25">
      <c r="A41" s="106"/>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8" spans="1:4" ht="15.75" customHeight="1" x14ac:dyDescent="0.25"/>
    <row r="62" spans="1:4" ht="16.5" customHeight="1" x14ac:dyDescent="0.25"/>
    <row r="66" ht="24" customHeight="1" x14ac:dyDescent="0.25"/>
    <row r="67" ht="24" customHeight="1" x14ac:dyDescent="0.25"/>
  </sheetData>
  <mergeCells count="3">
    <mergeCell ref="A4:D4"/>
    <mergeCell ref="A13:D13"/>
    <mergeCell ref="B23:D23"/>
  </mergeCells>
  <pageMargins left="0.25" right="0.25" top="0.75" bottom="0.75" header="0.3" footer="0.3"/>
  <pageSetup scale="63"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F3CE-ACF1-47DB-B31D-41B879891289}">
  <sheetPr>
    <tabColor theme="4" tint="-0.249977111117893"/>
  </sheetPr>
  <dimension ref="A1:I55"/>
  <sheetViews>
    <sheetView topLeftCell="A9" zoomScaleNormal="100" workbookViewId="0">
      <selection activeCell="E22" sqref="E22"/>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369</v>
      </c>
      <c r="C4" s="58"/>
      <c r="D4" s="58"/>
    </row>
    <row r="5" spans="1:9" s="10" customFormat="1" ht="16.8" x14ac:dyDescent="0.4">
      <c r="A5" s="57" t="s">
        <v>370</v>
      </c>
      <c r="C5" s="58"/>
      <c r="D5" s="58"/>
    </row>
    <row r="6" spans="1:9" s="10" customFormat="1" ht="16.8" x14ac:dyDescent="0.4">
      <c r="A6" s="57" t="s">
        <v>371</v>
      </c>
      <c r="C6" s="59"/>
      <c r="D6" s="58"/>
    </row>
    <row r="7" spans="1:9" s="10" customFormat="1" ht="16.8" x14ac:dyDescent="0.4">
      <c r="A7" s="57" t="s">
        <v>372</v>
      </c>
      <c r="C7" s="59"/>
      <c r="D7" s="58"/>
    </row>
    <row r="8" spans="1:9" s="10" customFormat="1" ht="16.8" x14ac:dyDescent="0.4">
      <c r="A8" s="57" t="s">
        <v>6</v>
      </c>
      <c r="B8" s="61"/>
      <c r="C8" s="62"/>
      <c r="D8" s="63"/>
    </row>
    <row r="9" spans="1:9" s="10" customFormat="1" ht="16.8" x14ac:dyDescent="0.4">
      <c r="A9" s="60" t="s">
        <v>373</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182</v>
      </c>
      <c r="C12" s="376">
        <v>29310</v>
      </c>
      <c r="D12" s="377">
        <f>A12*C12</f>
        <v>29310</v>
      </c>
      <c r="E12" s="190"/>
      <c r="F12" s="191"/>
    </row>
    <row r="13" spans="1:9" s="10" customFormat="1" ht="16.8" x14ac:dyDescent="0.4">
      <c r="A13" s="378"/>
      <c r="B13" s="379" t="s">
        <v>374</v>
      </c>
      <c r="C13" s="376"/>
      <c r="D13" s="377"/>
      <c r="E13" s="190"/>
      <c r="F13" s="191"/>
      <c r="G13" s="188"/>
      <c r="H13" s="188"/>
      <c r="I13" s="188"/>
    </row>
    <row r="14" spans="1:9" s="10" customFormat="1" ht="16.8" x14ac:dyDescent="0.4">
      <c r="A14" s="378"/>
      <c r="B14" s="379" t="s">
        <v>178</v>
      </c>
      <c r="C14" s="376"/>
      <c r="D14" s="377"/>
      <c r="E14" s="190"/>
      <c r="F14" s="191"/>
      <c r="G14" s="108"/>
      <c r="H14" s="108"/>
      <c r="I14" s="108"/>
    </row>
    <row r="15" spans="1:9" s="188" customFormat="1" ht="14.4" x14ac:dyDescent="0.3">
      <c r="A15" s="380">
        <v>1</v>
      </c>
      <c r="B15" s="379" t="s">
        <v>375</v>
      </c>
      <c r="C15" s="381">
        <v>4000</v>
      </c>
      <c r="D15" s="377">
        <f>A15*C15</f>
        <v>4000</v>
      </c>
      <c r="E15" s="190"/>
      <c r="F15" s="276"/>
      <c r="G15" s="191"/>
      <c r="H15" s="191"/>
      <c r="I15" s="191"/>
    </row>
    <row r="16" spans="1:9" ht="14.4" x14ac:dyDescent="0.25">
      <c r="A16" s="374">
        <v>1</v>
      </c>
      <c r="B16" s="375" t="s">
        <v>182</v>
      </c>
      <c r="C16" s="376">
        <v>29310</v>
      </c>
      <c r="D16" s="377">
        <f>A16*C16</f>
        <v>29310</v>
      </c>
      <c r="E16" s="190"/>
    </row>
    <row r="17" spans="1:6" s="191" customFormat="1" ht="15.75" customHeight="1" x14ac:dyDescent="0.3">
      <c r="A17" s="378"/>
      <c r="B17" s="379" t="s">
        <v>374</v>
      </c>
      <c r="C17" s="376"/>
      <c r="D17" s="377"/>
      <c r="E17" s="190"/>
    </row>
    <row r="18" spans="1:6" ht="14.4" x14ac:dyDescent="0.3">
      <c r="A18" s="378"/>
      <c r="B18" s="379" t="s">
        <v>376</v>
      </c>
      <c r="C18" s="376"/>
      <c r="D18" s="377"/>
      <c r="E18" s="190"/>
    </row>
    <row r="19" spans="1:6" ht="14.4" x14ac:dyDescent="0.3">
      <c r="A19" s="378"/>
      <c r="B19" s="379" t="s">
        <v>377</v>
      </c>
      <c r="C19" s="376"/>
      <c r="D19" s="377"/>
      <c r="E19" s="190"/>
      <c r="F19" s="191"/>
    </row>
    <row r="20" spans="1:6" ht="14.4" x14ac:dyDescent="0.3">
      <c r="A20" s="380">
        <v>2.5</v>
      </c>
      <c r="B20" s="379" t="s">
        <v>378</v>
      </c>
      <c r="C20" s="381">
        <v>2198</v>
      </c>
      <c r="D20" s="377">
        <f>A20*C20</f>
        <v>5495</v>
      </c>
      <c r="E20" s="190"/>
      <c r="F20" s="191"/>
    </row>
    <row r="21" spans="1:6" ht="14.4" x14ac:dyDescent="0.3">
      <c r="A21" s="380">
        <v>12</v>
      </c>
      <c r="B21" s="379" t="s">
        <v>379</v>
      </c>
      <c r="C21" s="381">
        <v>31</v>
      </c>
      <c r="D21" s="377">
        <f>A21*C21</f>
        <v>372</v>
      </c>
      <c r="E21" s="190"/>
      <c r="F21" s="191"/>
    </row>
    <row r="22" spans="1:6" x14ac:dyDescent="0.25">
      <c r="A22" s="286"/>
      <c r="B22" s="206"/>
      <c r="C22" s="382" t="s">
        <v>188</v>
      </c>
      <c r="D22" s="404">
        <f>SUM(D12:D21)</f>
        <v>68487</v>
      </c>
      <c r="E22" s="189"/>
      <c r="F22" s="276"/>
    </row>
    <row r="23" spans="1:6" x14ac:dyDescent="0.25">
      <c r="A23" s="102"/>
      <c r="B23" s="383" t="s">
        <v>380</v>
      </c>
      <c r="C23" s="384" t="s">
        <v>90</v>
      </c>
      <c r="D23" s="405">
        <f>D22*0.16</f>
        <v>10957.92</v>
      </c>
      <c r="E23" s="189"/>
    </row>
    <row r="24" spans="1:6" ht="13.8" thickBot="1" x14ac:dyDescent="0.3">
      <c r="A24" s="102"/>
      <c r="B24" s="385" t="s">
        <v>381</v>
      </c>
      <c r="C24" s="386" t="s">
        <v>40</v>
      </c>
      <c r="D24" s="406">
        <f>D22+D23</f>
        <v>79444.92</v>
      </c>
      <c r="E24" s="189"/>
      <c r="F24" s="190"/>
    </row>
    <row r="25" spans="1:6" ht="13.8" thickBot="1" x14ac:dyDescent="0.3">
      <c r="A25" s="276"/>
      <c r="B25" s="1050" t="s">
        <v>382</v>
      </c>
      <c r="C25" s="1051"/>
      <c r="D25" s="1052"/>
      <c r="E25" s="189"/>
    </row>
    <row r="26" spans="1:6" ht="17.399999999999999" x14ac:dyDescent="0.25">
      <c r="A26" s="383"/>
      <c r="B26" s="387" t="s">
        <v>10</v>
      </c>
      <c r="C26" s="388"/>
      <c r="D26" s="389"/>
    </row>
    <row r="27" spans="1:6" ht="15" x14ac:dyDescent="0.25">
      <c r="A27" s="390"/>
      <c r="B27" s="103" t="s">
        <v>11</v>
      </c>
      <c r="C27" s="388"/>
      <c r="D27" s="389"/>
    </row>
    <row r="28" spans="1:6" ht="15" x14ac:dyDescent="0.25">
      <c r="A28" s="390"/>
      <c r="B28" s="123" t="s">
        <v>13</v>
      </c>
      <c r="C28" s="391"/>
      <c r="D28" s="389"/>
    </row>
    <row r="29" spans="1:6" ht="13.8" x14ac:dyDescent="0.25">
      <c r="A29" s="392"/>
      <c r="B29" s="103" t="s">
        <v>15</v>
      </c>
      <c r="C29" s="391"/>
      <c r="D29" s="391"/>
    </row>
    <row r="30" spans="1:6" ht="27.6" x14ac:dyDescent="0.25">
      <c r="A30" s="390"/>
      <c r="B30" s="295" t="s">
        <v>192</v>
      </c>
      <c r="C30" s="393"/>
      <c r="D30" s="394"/>
    </row>
    <row r="31" spans="1:6" ht="42" customHeight="1" x14ac:dyDescent="0.25">
      <c r="A31" s="390"/>
      <c r="B31" s="295" t="s">
        <v>43</v>
      </c>
      <c r="C31" s="393"/>
      <c r="D31" s="394"/>
    </row>
    <row r="32" spans="1:6" ht="15" x14ac:dyDescent="0.25">
      <c r="A32" s="390"/>
      <c r="B32" s="103" t="s">
        <v>18</v>
      </c>
      <c r="C32" s="393"/>
      <c r="D32" s="391"/>
    </row>
    <row r="33" spans="1:4" ht="15" x14ac:dyDescent="0.25">
      <c r="A33" s="390"/>
      <c r="B33" s="313" t="s">
        <v>383</v>
      </c>
      <c r="C33" s="393"/>
      <c r="D33" s="391"/>
    </row>
    <row r="34" spans="1:4" ht="13.5" customHeight="1" x14ac:dyDescent="0.25">
      <c r="A34" s="390"/>
      <c r="B34" s="297" t="s">
        <v>20</v>
      </c>
      <c r="C34" s="393"/>
      <c r="D34" s="392"/>
    </row>
    <row r="35" spans="1:4" ht="15.75" customHeight="1" x14ac:dyDescent="0.25">
      <c r="A35" s="392"/>
      <c r="B35" s="103" t="s">
        <v>21</v>
      </c>
      <c r="C35" s="393"/>
      <c r="D35" s="392"/>
    </row>
    <row r="36" spans="1:4" ht="13.5" customHeight="1" x14ac:dyDescent="0.25">
      <c r="A36" s="390"/>
      <c r="B36" s="122" t="s">
        <v>384</v>
      </c>
      <c r="C36" s="395"/>
      <c r="D36" s="392"/>
    </row>
    <row r="37" spans="1:4" ht="15" x14ac:dyDescent="0.25">
      <c r="A37" s="390"/>
      <c r="B37" s="123" t="s">
        <v>44</v>
      </c>
      <c r="C37" s="395"/>
      <c r="D37" s="395"/>
    </row>
    <row r="38" spans="1:4" ht="15" x14ac:dyDescent="0.25">
      <c r="A38" s="390"/>
      <c r="B38" s="123" t="s">
        <v>45</v>
      </c>
      <c r="C38" s="391"/>
      <c r="D38" s="395"/>
    </row>
    <row r="41" spans="1:4" ht="14.25" customHeight="1" x14ac:dyDescent="0.25"/>
    <row r="43" spans="1:4" ht="16.5" customHeight="1" x14ac:dyDescent="0.25"/>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25:D25"/>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9EE8-2E8B-4B05-BB8B-137290B37625}">
  <sheetPr>
    <tabColor theme="4" tint="-0.249977111117893"/>
    <pageSetUpPr fitToPage="1"/>
  </sheetPr>
  <dimension ref="A1:G43"/>
  <sheetViews>
    <sheetView topLeftCell="A14" zoomScaleNormal="100" workbookViewId="0">
      <selection activeCell="C18" sqref="C18"/>
    </sheetView>
  </sheetViews>
  <sheetFormatPr baseColWidth="10" defaultColWidth="11.44140625" defaultRowHeight="13.2" x14ac:dyDescent="0.25"/>
  <cols>
    <col min="1" max="1" width="6" style="1" customWidth="1"/>
    <col min="2" max="2" width="74.5546875" style="1" customWidth="1"/>
    <col min="3" max="3" width="12.6640625" style="3" bestFit="1" customWidth="1"/>
    <col min="4" max="4" width="14" style="3" bestFit="1"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4</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16" t="s">
        <v>56</v>
      </c>
      <c r="B13" s="13"/>
      <c r="C13" s="14"/>
      <c r="D13" s="15"/>
      <c r="E13" s="17"/>
      <c r="F13" s="17"/>
    </row>
    <row r="14" spans="1:7" s="4" customFormat="1" ht="16.8" x14ac:dyDescent="0.4">
      <c r="A14" s="18"/>
      <c r="B14" s="19" t="s">
        <v>7</v>
      </c>
      <c r="C14" s="20"/>
      <c r="D14" s="20"/>
      <c r="E14" s="1"/>
      <c r="F14" s="1"/>
    </row>
    <row r="15" spans="1:7" s="17" customFormat="1" ht="45" x14ac:dyDescent="0.25">
      <c r="A15" s="21">
        <v>1</v>
      </c>
      <c r="B15" s="22" t="s">
        <v>57</v>
      </c>
      <c r="C15" s="23">
        <f>(22334.04+1851.58+217.52+2500)+25000</f>
        <v>51903.14</v>
      </c>
      <c r="D15" s="24">
        <f t="shared" ref="D15:D17" si="0">A15*C15</f>
        <v>51903.14</v>
      </c>
      <c r="E15" s="25"/>
      <c r="F15" s="26"/>
    </row>
    <row r="16" spans="1:7" ht="75" x14ac:dyDescent="0.25">
      <c r="A16" s="27">
        <v>1</v>
      </c>
      <c r="B16" s="28" t="s">
        <v>58</v>
      </c>
      <c r="C16" s="29">
        <f>49246.8*1.2</f>
        <v>59096.160000000003</v>
      </c>
      <c r="D16" s="30">
        <f t="shared" si="0"/>
        <v>59096.160000000003</v>
      </c>
      <c r="F16" s="26"/>
    </row>
    <row r="17" spans="1:6" s="26" customFormat="1" ht="60" x14ac:dyDescent="0.25">
      <c r="A17" s="27">
        <v>1</v>
      </c>
      <c r="B17" s="28" t="s">
        <v>60</v>
      </c>
      <c r="C17" s="31">
        <f>12434*1.2</f>
        <v>14920.8</v>
      </c>
      <c r="D17" s="30">
        <f t="shared" si="0"/>
        <v>14920.8</v>
      </c>
      <c r="E17" s="1"/>
    </row>
    <row r="18" spans="1:6" ht="75" x14ac:dyDescent="0.25">
      <c r="A18" s="27">
        <v>1</v>
      </c>
      <c r="B18" s="28" t="s">
        <v>61</v>
      </c>
      <c r="C18" s="31"/>
      <c r="D18" s="30">
        <f t="shared" ref="D18:D19" si="1">A18*C18</f>
        <v>0</v>
      </c>
      <c r="F18" s="26"/>
    </row>
    <row r="19" spans="1:6" ht="15.6" x14ac:dyDescent="0.25">
      <c r="A19" s="27">
        <v>1</v>
      </c>
      <c r="B19" s="28" t="s">
        <v>59</v>
      </c>
      <c r="C19" s="31">
        <v>7500</v>
      </c>
      <c r="D19" s="30">
        <f t="shared" si="1"/>
        <v>7500</v>
      </c>
      <c r="F19" s="26"/>
    </row>
    <row r="20" spans="1:6" ht="15.6" x14ac:dyDescent="0.25">
      <c r="A20" s="89"/>
      <c r="B20" s="90"/>
      <c r="C20" s="91" t="s">
        <v>38</v>
      </c>
      <c r="D20" s="75">
        <f>SUM(D15:D19)</f>
        <v>133420.1</v>
      </c>
      <c r="F20" s="26"/>
    </row>
    <row r="21" spans="1:6" ht="15.6" x14ac:dyDescent="0.3">
      <c r="A21" s="92"/>
      <c r="B21" s="90"/>
      <c r="C21" s="93" t="s">
        <v>39</v>
      </c>
      <c r="D21" s="75">
        <f>D20*0.16</f>
        <v>21347.216</v>
      </c>
    </row>
    <row r="22" spans="1:6" ht="16.2" thickBot="1" x14ac:dyDescent="0.35">
      <c r="A22" s="92"/>
      <c r="B22" s="90"/>
      <c r="C22" s="94" t="s">
        <v>40</v>
      </c>
      <c r="D22" s="95">
        <f>D20+D21</f>
        <v>154767.31599999999</v>
      </c>
    </row>
    <row r="23" spans="1:6" ht="16.2" thickBot="1" x14ac:dyDescent="0.3">
      <c r="A23" s="92"/>
      <c r="B23" s="1023" t="s">
        <v>54</v>
      </c>
      <c r="C23" s="1024"/>
      <c r="D23" s="1025"/>
    </row>
    <row r="24" spans="1:6" ht="15" x14ac:dyDescent="0.25">
      <c r="A24" s="34"/>
      <c r="B24" s="35" t="s">
        <v>11</v>
      </c>
      <c r="C24" s="129"/>
      <c r="D24" s="1"/>
    </row>
    <row r="25" spans="1:6" ht="15" x14ac:dyDescent="0.25">
      <c r="A25" s="34"/>
      <c r="B25" s="130" t="s">
        <v>12</v>
      </c>
      <c r="C25" s="129"/>
      <c r="D25" s="1"/>
    </row>
    <row r="26" spans="1:6" ht="15" x14ac:dyDescent="0.25">
      <c r="A26" s="34"/>
      <c r="B26" s="131" t="s">
        <v>13</v>
      </c>
      <c r="C26" s="129"/>
      <c r="D26" s="1"/>
    </row>
    <row r="27" spans="1:6" ht="15" x14ac:dyDescent="0.25">
      <c r="A27" s="34"/>
      <c r="B27" s="130" t="s">
        <v>14</v>
      </c>
      <c r="C27" s="129"/>
      <c r="D27" s="1"/>
    </row>
    <row r="28" spans="1:6" ht="13.8" x14ac:dyDescent="0.25">
      <c r="B28" s="35" t="s">
        <v>15</v>
      </c>
      <c r="C28" s="129"/>
      <c r="D28" s="1"/>
    </row>
    <row r="29" spans="1:6" ht="27.6" x14ac:dyDescent="0.25">
      <c r="A29" s="34"/>
      <c r="B29" s="36" t="s">
        <v>16</v>
      </c>
      <c r="C29" s="132"/>
      <c r="D29" s="37"/>
    </row>
    <row r="30" spans="1:6" ht="27.6" x14ac:dyDescent="0.25">
      <c r="A30" s="34"/>
      <c r="B30" s="36" t="s">
        <v>17</v>
      </c>
      <c r="C30" s="133"/>
      <c r="D30" s="39"/>
    </row>
    <row r="31" spans="1:6" ht="15" x14ac:dyDescent="0.25">
      <c r="A31" s="34"/>
      <c r="B31" s="40" t="s">
        <v>18</v>
      </c>
      <c r="C31" s="133"/>
      <c r="D31" s="39"/>
    </row>
    <row r="32" spans="1:6" ht="15" x14ac:dyDescent="0.25">
      <c r="A32" s="34"/>
      <c r="B32" s="134" t="s">
        <v>19</v>
      </c>
      <c r="C32" s="133"/>
      <c r="D32" s="38"/>
    </row>
    <row r="33" spans="1:4" ht="15" x14ac:dyDescent="0.25">
      <c r="A33" s="34"/>
      <c r="B33" s="135" t="s">
        <v>20</v>
      </c>
      <c r="C33" s="133"/>
      <c r="D33" s="38"/>
    </row>
    <row r="34" spans="1:4" ht="13.8" x14ac:dyDescent="0.25">
      <c r="B34" s="40" t="s">
        <v>21</v>
      </c>
      <c r="C34" s="136"/>
      <c r="D34" s="41"/>
    </row>
    <row r="35" spans="1:4" ht="15" x14ac:dyDescent="0.25">
      <c r="A35" s="106"/>
      <c r="B35" s="122" t="s">
        <v>52</v>
      </c>
      <c r="C35" s="133"/>
      <c r="D35" s="39"/>
    </row>
    <row r="36" spans="1:4" ht="15" x14ac:dyDescent="0.25">
      <c r="A36" s="106"/>
      <c r="B36" s="123" t="s">
        <v>44</v>
      </c>
      <c r="C36" s="133"/>
      <c r="D36" s="39"/>
    </row>
    <row r="37" spans="1:4" ht="15" x14ac:dyDescent="0.25">
      <c r="A37" s="106"/>
      <c r="B37" s="123" t="s">
        <v>45</v>
      </c>
      <c r="C37" s="133"/>
      <c r="D37" s="38"/>
    </row>
    <row r="38" spans="1:4" ht="50.4" x14ac:dyDescent="0.4">
      <c r="A38" s="106"/>
      <c r="B38" s="128" t="s">
        <v>23</v>
      </c>
      <c r="C38" s="45"/>
      <c r="D38" s="45"/>
    </row>
    <row r="39" spans="1:4" x14ac:dyDescent="0.25">
      <c r="A39" s="46"/>
      <c r="B39" s="47"/>
      <c r="C39" s="47"/>
      <c r="D39" s="1"/>
    </row>
    <row r="40" spans="1:4" x14ac:dyDescent="0.25">
      <c r="A40" s="46"/>
      <c r="B40" s="47"/>
      <c r="C40" s="47"/>
      <c r="D40" s="1"/>
    </row>
    <row r="41" spans="1:4" x14ac:dyDescent="0.25">
      <c r="A41" s="48"/>
      <c r="B41" s="49"/>
      <c r="C41" s="47"/>
      <c r="D41" s="1"/>
    </row>
    <row r="42" spans="1:4" ht="15" x14ac:dyDescent="0.35">
      <c r="A42" s="50" t="s">
        <v>0</v>
      </c>
      <c r="B42" s="51"/>
      <c r="C42" s="47"/>
      <c r="D42" s="47"/>
    </row>
    <row r="43" spans="1:4" x14ac:dyDescent="0.25">
      <c r="A43" s="1" t="s">
        <v>0</v>
      </c>
    </row>
  </sheetData>
  <mergeCells count="2">
    <mergeCell ref="A4:D4"/>
    <mergeCell ref="B23:D23"/>
  </mergeCells>
  <printOptions horizontalCentered="1"/>
  <pageMargins left="0.25" right="0.25" top="0.75" bottom="0.75" header="0.3" footer="0.3"/>
  <pageSetup scale="68" fitToWidth="0" orientation="portrait" r:id="rId1"/>
  <headerFooter alignWithMargins="0">
    <oddFooter>Página &amp;P de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6201-51FC-4328-A3C6-9A0F12EE611E}">
  <sheetPr>
    <pageSetUpPr fitToPage="1"/>
  </sheetPr>
  <dimension ref="A1:E66"/>
  <sheetViews>
    <sheetView zoomScaleNormal="100" workbookViewId="0">
      <selection activeCell="B19" sqref="B1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401</v>
      </c>
      <c r="B8" s="10"/>
      <c r="C8" s="58"/>
      <c r="D8" s="58"/>
    </row>
    <row r="9" spans="1:5" s="55" customFormat="1" ht="16.8" x14ac:dyDescent="0.4">
      <c r="A9" s="57" t="s">
        <v>402</v>
      </c>
      <c r="B9" s="10"/>
      <c r="C9" s="58"/>
      <c r="D9" s="58"/>
    </row>
    <row r="10" spans="1:5" s="55" customFormat="1" ht="16.8" x14ac:dyDescent="0.4">
      <c r="A10" s="57" t="s">
        <v>403</v>
      </c>
      <c r="B10" s="10"/>
      <c r="C10" s="58"/>
      <c r="D10" s="58"/>
    </row>
    <row r="11" spans="1:5" s="55" customFormat="1" ht="16.8" x14ac:dyDescent="0.4">
      <c r="A11" s="57" t="s">
        <v>404</v>
      </c>
      <c r="B11" s="10"/>
      <c r="C11" s="59"/>
      <c r="D11" s="58"/>
    </row>
    <row r="12" spans="1:5" s="55" customFormat="1" ht="15" customHeight="1" x14ac:dyDescent="0.4">
      <c r="A12" s="60" t="s">
        <v>399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405</v>
      </c>
      <c r="C16" s="74">
        <v>21700</v>
      </c>
      <c r="D16" s="75">
        <f>A16*C16</f>
        <v>21700</v>
      </c>
      <c r="E16" s="76"/>
    </row>
    <row r="17" spans="1:5" ht="12.75" customHeight="1" x14ac:dyDescent="0.25">
      <c r="A17" s="72"/>
      <c r="B17" s="75"/>
      <c r="C17" s="75"/>
      <c r="D17" s="75"/>
      <c r="E17" s="76"/>
    </row>
    <row r="18" spans="1:5" ht="15.6" x14ac:dyDescent="0.25">
      <c r="A18" s="89"/>
      <c r="B18" s="407" t="s">
        <v>406</v>
      </c>
      <c r="C18" s="304" t="s">
        <v>38</v>
      </c>
      <c r="D18" s="75">
        <f>SUM(D16:D16)</f>
        <v>21700</v>
      </c>
      <c r="E18" s="76"/>
    </row>
    <row r="19" spans="1:5" ht="15.6" x14ac:dyDescent="0.3">
      <c r="A19" s="92"/>
      <c r="B19" s="407" t="s">
        <v>407</v>
      </c>
      <c r="C19" s="305" t="s">
        <v>39</v>
      </c>
      <c r="D19" s="75">
        <f>D18*0.16</f>
        <v>3472</v>
      </c>
      <c r="E19" s="76"/>
    </row>
    <row r="20" spans="1:5" ht="16.2" thickBot="1" x14ac:dyDescent="0.35">
      <c r="A20" s="92"/>
      <c r="B20" s="407" t="s">
        <v>408</v>
      </c>
      <c r="C20" s="306" t="s">
        <v>40</v>
      </c>
      <c r="D20" s="95">
        <f>D18+D19</f>
        <v>25172</v>
      </c>
      <c r="E20" s="76"/>
    </row>
    <row r="21" spans="1:5" ht="18.75" customHeight="1" thickBot="1" x14ac:dyDescent="0.3">
      <c r="A21" s="92"/>
      <c r="B21" s="1023" t="s">
        <v>415</v>
      </c>
      <c r="C21" s="1024"/>
      <c r="D21" s="1025"/>
      <c r="E21" s="76"/>
    </row>
    <row r="22" spans="1:5" ht="13.8" x14ac:dyDescent="0.25">
      <c r="B22" s="97" t="s">
        <v>9</v>
      </c>
      <c r="C22" s="98"/>
      <c r="D22" s="99"/>
    </row>
    <row r="23" spans="1:5" ht="12" customHeight="1" x14ac:dyDescent="0.25">
      <c r="B23" s="255"/>
      <c r="C23" s="76"/>
      <c r="D23" s="96"/>
      <c r="E23" s="96"/>
    </row>
    <row r="24" spans="1:5" ht="13.8" x14ac:dyDescent="0.25">
      <c r="A24" s="96"/>
      <c r="B24" s="103" t="s">
        <v>11</v>
      </c>
      <c r="C24" s="96"/>
      <c r="D24" s="96"/>
      <c r="E24" s="96"/>
    </row>
    <row r="25" spans="1:5" ht="15" x14ac:dyDescent="0.25">
      <c r="A25" s="101"/>
      <c r="B25" s="123" t="s">
        <v>411</v>
      </c>
      <c r="C25" s="52"/>
      <c r="D25" s="52"/>
    </row>
    <row r="26" spans="1:5" s="96" customFormat="1" ht="15" x14ac:dyDescent="0.25">
      <c r="A26" s="101"/>
      <c r="B26" s="123" t="s">
        <v>412</v>
      </c>
      <c r="C26" s="52"/>
      <c r="D26" s="52"/>
      <c r="E26" s="52"/>
    </row>
    <row r="27" spans="1:5" s="96" customFormat="1" ht="15.75" customHeight="1" x14ac:dyDescent="0.25">
      <c r="A27" s="101"/>
      <c r="B27" s="123" t="s">
        <v>413</v>
      </c>
      <c r="C27" s="52"/>
      <c r="D27" s="52"/>
      <c r="E27" s="52"/>
    </row>
    <row r="28" spans="1:5" ht="13.5" customHeight="1" x14ac:dyDescent="0.25">
      <c r="A28" s="102"/>
      <c r="B28" s="123" t="s">
        <v>414</v>
      </c>
      <c r="C28" s="52"/>
      <c r="D28" s="52"/>
    </row>
    <row r="29" spans="1:5" ht="13.5" customHeight="1" x14ac:dyDescent="0.25">
      <c r="A29" s="106"/>
      <c r="B29" s="103" t="s">
        <v>15</v>
      </c>
      <c r="C29" s="104"/>
      <c r="D29" s="105"/>
    </row>
    <row r="30" spans="1:5" ht="13.5" customHeight="1" x14ac:dyDescent="0.25">
      <c r="A30" s="106"/>
      <c r="B30" s="295" t="s">
        <v>42</v>
      </c>
      <c r="C30" s="107"/>
      <c r="D30" s="105"/>
    </row>
    <row r="31" spans="1:5" ht="27.6" x14ac:dyDescent="0.25">
      <c r="A31" s="106"/>
      <c r="B31" s="295" t="s">
        <v>43</v>
      </c>
      <c r="C31" s="107"/>
      <c r="D31" s="105"/>
    </row>
    <row r="32" spans="1:5" ht="15" x14ac:dyDescent="0.25">
      <c r="A32" s="106"/>
      <c r="B32" s="103" t="s">
        <v>18</v>
      </c>
      <c r="C32" s="107"/>
      <c r="D32" s="105"/>
    </row>
    <row r="33" spans="1:4" ht="13.5" customHeight="1" x14ac:dyDescent="0.25">
      <c r="A33" s="108"/>
      <c r="B33" s="313" t="s">
        <v>410</v>
      </c>
      <c r="C33" s="107"/>
      <c r="D33" s="105"/>
    </row>
    <row r="34" spans="1:4" ht="13.5" customHeight="1" x14ac:dyDescent="0.25">
      <c r="A34" s="106"/>
      <c r="B34" s="297" t="s">
        <v>20</v>
      </c>
      <c r="C34" s="107"/>
      <c r="D34" s="107"/>
    </row>
    <row r="35" spans="1:4" ht="13.5" customHeight="1" x14ac:dyDescent="0.25">
      <c r="A35" s="106"/>
      <c r="B35" s="103" t="s">
        <v>21</v>
      </c>
      <c r="C35" s="107"/>
      <c r="D35" s="107"/>
    </row>
    <row r="36" spans="1:4" ht="13.5" customHeight="1" x14ac:dyDescent="0.25">
      <c r="A36" s="106"/>
      <c r="B36" s="122" t="s">
        <v>409</v>
      </c>
      <c r="C36" s="109"/>
      <c r="D36" s="110"/>
    </row>
    <row r="37" spans="1:4" ht="13.5" customHeight="1" x14ac:dyDescent="0.25">
      <c r="A37" s="106"/>
      <c r="B37" s="123" t="s">
        <v>44</v>
      </c>
      <c r="C37" s="109"/>
      <c r="D37" s="110"/>
    </row>
    <row r="38" spans="1:4" ht="15" x14ac:dyDescent="0.25">
      <c r="A38" s="106"/>
      <c r="B38" s="123" t="s">
        <v>45</v>
      </c>
      <c r="C38" s="109"/>
      <c r="D38" s="109"/>
    </row>
    <row r="39" spans="1:4" ht="33.6" x14ac:dyDescent="0.25">
      <c r="A39" s="108"/>
      <c r="B39" s="314" t="s">
        <v>23</v>
      </c>
      <c r="C39" s="109"/>
      <c r="D39" s="109"/>
    </row>
    <row r="40" spans="1:4" ht="16.8" x14ac:dyDescent="0.4">
      <c r="A40" s="106"/>
      <c r="B40" s="111"/>
      <c r="C40" s="107"/>
      <c r="D40" s="105"/>
    </row>
    <row r="41" spans="1:4" ht="15" x14ac:dyDescent="0.25">
      <c r="A41" s="106"/>
      <c r="B41" s="112"/>
      <c r="C41" s="109"/>
      <c r="D41" s="110"/>
    </row>
    <row r="42" spans="1:4" ht="15" x14ac:dyDescent="0.25">
      <c r="A42" s="106"/>
      <c r="B42" s="112"/>
      <c r="C42" s="109"/>
      <c r="D42" s="110"/>
    </row>
    <row r="43" spans="1:4" ht="13.8" x14ac:dyDescent="0.25">
      <c r="A43" s="115" t="s">
        <v>0</v>
      </c>
      <c r="B43" s="113"/>
      <c r="C43" s="109"/>
      <c r="D43" s="110"/>
    </row>
    <row r="44" spans="1:4" ht="15" x14ac:dyDescent="0.35">
      <c r="A44" s="116"/>
      <c r="B44" s="114"/>
      <c r="C44" s="109"/>
      <c r="D44" s="109"/>
    </row>
    <row r="45" spans="1:4" ht="13.8" x14ac:dyDescent="0.25">
      <c r="A45" s="117"/>
      <c r="C45" s="118"/>
      <c r="D45" s="118"/>
    </row>
    <row r="46" spans="1:4" x14ac:dyDescent="0.25">
      <c r="A46" s="117"/>
      <c r="C46" s="112"/>
      <c r="D46" s="52"/>
    </row>
    <row r="47" spans="1:4" x14ac:dyDescent="0.25">
      <c r="A47" s="119"/>
      <c r="C47" s="112"/>
      <c r="D47" s="52"/>
    </row>
    <row r="48" spans="1:4" x14ac:dyDescent="0.25">
      <c r="A48" s="120" t="s">
        <v>0</v>
      </c>
      <c r="C48" s="112"/>
      <c r="D48" s="52"/>
    </row>
    <row r="49" spans="1:4" x14ac:dyDescent="0.25">
      <c r="A49" s="52" t="s">
        <v>0</v>
      </c>
      <c r="C49" s="112"/>
      <c r="D49"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1:D21"/>
  </mergeCells>
  <pageMargins left="0.25" right="0.25" top="0.75" bottom="0.75" header="0.3" footer="0.3"/>
  <pageSetup scale="6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69BC-5920-445C-B8F1-3A4F30B732F5}">
  <sheetPr>
    <tabColor theme="4" tint="-0.249977111117893"/>
    <pageSetUpPr fitToPage="1"/>
  </sheetPr>
  <dimension ref="A1:G57"/>
  <sheetViews>
    <sheetView zoomScaleNormal="100" workbookViewId="0">
      <selection activeCell="B8" sqref="B8"/>
    </sheetView>
  </sheetViews>
  <sheetFormatPr baseColWidth="10" defaultColWidth="11.44140625" defaultRowHeight="13.2" x14ac:dyDescent="0.25"/>
  <cols>
    <col min="1" max="1" width="6" style="108" customWidth="1"/>
    <col min="2" max="2" width="69.5546875" style="108" customWidth="1"/>
    <col min="3" max="3" width="12.664062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24</v>
      </c>
      <c r="B7" s="228"/>
      <c r="C7" s="229"/>
      <c r="D7" s="229"/>
    </row>
    <row r="8" spans="1:7" s="10" customFormat="1" ht="19.2" x14ac:dyDescent="0.45">
      <c r="A8" s="227" t="s">
        <v>432</v>
      </c>
      <c r="B8" s="228"/>
      <c r="C8" s="229"/>
      <c r="D8" s="229"/>
    </row>
    <row r="9" spans="1:7" s="10" customFormat="1" ht="19.2" x14ac:dyDescent="0.45">
      <c r="A9" s="227" t="s">
        <v>433</v>
      </c>
      <c r="B9" s="228"/>
      <c r="C9" s="229"/>
      <c r="D9" s="229"/>
    </row>
    <row r="10" spans="1:7" s="10" customFormat="1" ht="19.2" x14ac:dyDescent="0.45">
      <c r="A10" s="227" t="s">
        <v>434</v>
      </c>
      <c r="B10" s="228"/>
      <c r="C10" s="230"/>
      <c r="D10" s="229"/>
    </row>
    <row r="11" spans="1:7" s="10" customFormat="1" ht="19.2" x14ac:dyDescent="0.45">
      <c r="A11" s="227" t="s">
        <v>6</v>
      </c>
      <c r="B11" s="228"/>
      <c r="C11" s="230"/>
      <c r="D11" s="229"/>
    </row>
    <row r="12" spans="1:7" s="10" customFormat="1" ht="16.5" customHeight="1" x14ac:dyDescent="0.45">
      <c r="A12" s="234" t="s">
        <v>435</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412" customFormat="1" ht="72" customHeight="1" x14ac:dyDescent="0.25">
      <c r="A15" s="155">
        <v>1</v>
      </c>
      <c r="B15" s="409" t="s">
        <v>436</v>
      </c>
      <c r="C15" s="397">
        <f>21900*1.35</f>
        <v>29565.000000000004</v>
      </c>
      <c r="D15" s="398">
        <f>A15*C15</f>
        <v>29565.000000000004</v>
      </c>
      <c r="E15" s="410"/>
      <c r="F15" s="411"/>
      <c r="G15" s="411"/>
    </row>
    <row r="16" spans="1:7" s="191" customFormat="1" x14ac:dyDescent="0.25">
      <c r="A16" s="399"/>
      <c r="B16" s="400"/>
      <c r="C16" s="401"/>
      <c r="D16" s="154"/>
      <c r="E16" s="189"/>
      <c r="F16" s="108"/>
      <c r="G16" s="108"/>
    </row>
    <row r="17" spans="1:5" x14ac:dyDescent="0.25">
      <c r="A17" s="250"/>
      <c r="B17" s="402"/>
      <c r="C17" s="403" t="s">
        <v>160</v>
      </c>
      <c r="D17" s="154">
        <f>SUM(D14:D16)</f>
        <v>29565.000000000004</v>
      </c>
      <c r="E17" s="189"/>
    </row>
    <row r="18" spans="1:5" x14ac:dyDescent="0.25">
      <c r="A18" s="250"/>
      <c r="B18" s="250"/>
      <c r="C18" s="403" t="s">
        <v>392</v>
      </c>
      <c r="D18" s="154">
        <f>D17*0.16</f>
        <v>4730.4000000000005</v>
      </c>
      <c r="E18" s="189"/>
    </row>
    <row r="19" spans="1:5" ht="13.8" thickBot="1" x14ac:dyDescent="0.3">
      <c r="A19" s="250"/>
      <c r="B19" s="250"/>
      <c r="C19" s="403" t="s">
        <v>162</v>
      </c>
      <c r="D19" s="154">
        <f>D17+D18</f>
        <v>34295.4</v>
      </c>
      <c r="E19" s="189"/>
    </row>
    <row r="20" spans="1:5" ht="13.8" thickBot="1" x14ac:dyDescent="0.3">
      <c r="A20" s="102"/>
      <c r="B20" s="1057" t="s">
        <v>437</v>
      </c>
      <c r="C20" s="1058"/>
      <c r="D20" s="1059"/>
      <c r="E20" s="189"/>
    </row>
    <row r="21" spans="1:5" x14ac:dyDescent="0.25">
      <c r="A21" s="102"/>
      <c r="B21" s="201"/>
      <c r="C21" s="253"/>
      <c r="D21" s="254"/>
      <c r="E21" s="189"/>
    </row>
    <row r="22" spans="1:5" ht="13.8" x14ac:dyDescent="0.25">
      <c r="A22" s="102"/>
      <c r="B22" s="103" t="s">
        <v>9</v>
      </c>
      <c r="C22" s="104"/>
      <c r="D22" s="105"/>
      <c r="E22" s="189"/>
    </row>
    <row r="23" spans="1:5" ht="13.8" x14ac:dyDescent="0.25">
      <c r="A23" s="102"/>
      <c r="B23" s="413" t="s">
        <v>10</v>
      </c>
      <c r="C23" s="104"/>
      <c r="D23" s="105"/>
    </row>
    <row r="24" spans="1:5" ht="15" x14ac:dyDescent="0.25">
      <c r="A24" s="106"/>
      <c r="B24" s="103" t="s">
        <v>11</v>
      </c>
      <c r="D24" s="105"/>
    </row>
    <row r="25" spans="1:5" ht="15" x14ac:dyDescent="0.25">
      <c r="A25" s="106"/>
      <c r="B25" s="123" t="s">
        <v>438</v>
      </c>
      <c r="D25" s="105"/>
    </row>
    <row r="26" spans="1:5" ht="13.5" customHeight="1" x14ac:dyDescent="0.25">
      <c r="A26" s="106"/>
      <c r="B26" s="123" t="s">
        <v>13</v>
      </c>
      <c r="D26" s="105"/>
    </row>
    <row r="27" spans="1:5" ht="17.25" customHeight="1" x14ac:dyDescent="0.25">
      <c r="A27" s="106"/>
      <c r="B27" s="123" t="s">
        <v>14</v>
      </c>
      <c r="D27" s="105"/>
    </row>
    <row r="28" spans="1:5" ht="13.8" x14ac:dyDescent="0.25">
      <c r="B28" s="103" t="s">
        <v>15</v>
      </c>
    </row>
    <row r="29" spans="1:5" ht="13.5" customHeight="1" x14ac:dyDescent="0.25">
      <c r="A29" s="106"/>
      <c r="B29" s="295" t="s">
        <v>395</v>
      </c>
    </row>
    <row r="30" spans="1:5" ht="27.6" x14ac:dyDescent="0.25">
      <c r="A30" s="106"/>
      <c r="B30" s="295" t="s">
        <v>17</v>
      </c>
      <c r="C30" s="109"/>
      <c r="D30" s="110"/>
    </row>
    <row r="31" spans="1:5" ht="15" x14ac:dyDescent="0.25">
      <c r="A31" s="106"/>
      <c r="B31" s="103" t="s">
        <v>18</v>
      </c>
      <c r="C31" s="109"/>
      <c r="D31" s="110"/>
      <c r="E31" s="189"/>
    </row>
    <row r="32" spans="1:5" ht="15" x14ac:dyDescent="0.25">
      <c r="A32" s="106"/>
      <c r="B32" s="313" t="s">
        <v>439</v>
      </c>
      <c r="C32" s="109"/>
      <c r="D32" s="109"/>
      <c r="E32" s="189"/>
    </row>
    <row r="33" spans="1:4" ht="15" x14ac:dyDescent="0.25">
      <c r="A33" s="106"/>
      <c r="B33" s="297" t="s">
        <v>20</v>
      </c>
      <c r="C33" s="109"/>
      <c r="D33" s="109"/>
    </row>
    <row r="34" spans="1:4" ht="13.8" x14ac:dyDescent="0.25">
      <c r="B34" s="103" t="s">
        <v>21</v>
      </c>
      <c r="D34" s="105"/>
    </row>
    <row r="35" spans="1:4" ht="15" x14ac:dyDescent="0.25">
      <c r="A35" s="106"/>
      <c r="B35" s="179" t="s">
        <v>222</v>
      </c>
      <c r="C35" s="109"/>
      <c r="D35" s="110"/>
    </row>
    <row r="36" spans="1:4" ht="15" x14ac:dyDescent="0.25">
      <c r="A36" s="106"/>
      <c r="B36" s="123" t="s">
        <v>44</v>
      </c>
      <c r="C36" s="109"/>
      <c r="D36" s="110"/>
    </row>
    <row r="37" spans="1:4" ht="13.8" x14ac:dyDescent="0.25">
      <c r="A37" s="115" t="s">
        <v>0</v>
      </c>
      <c r="B37" s="123" t="s">
        <v>45</v>
      </c>
      <c r="C37" s="109"/>
    </row>
    <row r="38" spans="1:4" ht="50.4" x14ac:dyDescent="0.25">
      <c r="A38" s="222"/>
      <c r="B38" s="314" t="s">
        <v>169</v>
      </c>
      <c r="C38" s="220"/>
      <c r="D38" s="108"/>
    </row>
    <row r="39" spans="1:4" x14ac:dyDescent="0.25">
      <c r="A39" s="222"/>
      <c r="B39" s="181"/>
      <c r="C39" s="181"/>
      <c r="D39" s="108"/>
    </row>
    <row r="40" spans="1:4" x14ac:dyDescent="0.25">
      <c r="A40" s="222"/>
      <c r="B40" s="181"/>
      <c r="C40" s="181"/>
      <c r="D40" s="108"/>
    </row>
    <row r="41" spans="1:4" x14ac:dyDescent="0.25">
      <c r="A41" s="225"/>
      <c r="B41" s="223"/>
      <c r="C41" s="181"/>
      <c r="D41" s="108"/>
    </row>
    <row r="42" spans="1:4" ht="15" x14ac:dyDescent="0.35">
      <c r="A42" s="226" t="s">
        <v>0</v>
      </c>
      <c r="B42" s="224"/>
      <c r="C42" s="181"/>
      <c r="D42" s="181"/>
    </row>
    <row r="43" spans="1:4" x14ac:dyDescent="0.25">
      <c r="A43" s="108" t="s">
        <v>0</v>
      </c>
    </row>
    <row r="48" spans="1:4" ht="12.75" customHeight="1" x14ac:dyDescent="0.25"/>
    <row r="52" ht="16.5" customHeight="1" x14ac:dyDescent="0.25"/>
    <row r="56" ht="15.75" customHeight="1" x14ac:dyDescent="0.25"/>
    <row r="57" ht="15" customHeight="1" x14ac:dyDescent="0.25"/>
  </sheetData>
  <mergeCells count="3">
    <mergeCell ref="A4:D4"/>
    <mergeCell ref="A13:D13"/>
    <mergeCell ref="B20:D20"/>
  </mergeCells>
  <printOptions horizontalCentered="1"/>
  <pageMargins left="0.25" right="0.25" top="0.75" bottom="0.75" header="0.3" footer="0.3"/>
  <pageSetup paperSize="9" scale="75" fitToWidth="0" orientation="portrait" r:id="rId1"/>
  <headerFooter alignWithMargins="0">
    <oddFooter>Página &amp;P de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84EF-5EA3-4C4C-8BF7-071AE540CAFC}">
  <sheetPr>
    <tabColor theme="4" tint="-0.249977111117893"/>
    <pageSetUpPr fitToPage="1"/>
  </sheetPr>
  <dimension ref="A1:G44"/>
  <sheetViews>
    <sheetView topLeftCell="A16" zoomScaleNormal="100" workbookViewId="0">
      <selection activeCell="B25" sqref="B25"/>
    </sheetView>
  </sheetViews>
  <sheetFormatPr baseColWidth="10" defaultColWidth="11.44140625" defaultRowHeight="13.2" x14ac:dyDescent="0.25"/>
  <cols>
    <col min="1" max="1" width="6" style="1" customWidth="1"/>
    <col min="2" max="2" width="68.77734375" style="1" customWidth="1"/>
    <col min="3" max="3" width="12.6640625" style="3" bestFit="1" customWidth="1"/>
    <col min="4" max="4" width="14" style="3" bestFit="1"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4</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414" t="s">
        <v>56</v>
      </c>
      <c r="B13" s="415"/>
      <c r="C13" s="14"/>
      <c r="D13" s="416"/>
      <c r="E13" s="17"/>
      <c r="F13" s="17"/>
    </row>
    <row r="14" spans="1:7" s="4" customFormat="1" ht="16.8" x14ac:dyDescent="0.4">
      <c r="A14" s="419"/>
      <c r="B14" s="420" t="s">
        <v>7</v>
      </c>
      <c r="C14" s="421"/>
      <c r="D14" s="421"/>
      <c r="E14" s="147"/>
      <c r="F14" s="1"/>
    </row>
    <row r="15" spans="1:7" s="17" customFormat="1" ht="60" x14ac:dyDescent="0.25">
      <c r="A15" s="422">
        <v>1</v>
      </c>
      <c r="B15" s="423" t="s">
        <v>57</v>
      </c>
      <c r="C15" s="424">
        <f>((22334.04+1851.58+217.52+2500)*1.35)+25000</f>
        <v>61319.239000000009</v>
      </c>
      <c r="D15" s="425">
        <f t="shared" ref="D15:D20" si="0">A15*C15</f>
        <v>61319.239000000009</v>
      </c>
      <c r="E15" s="25"/>
      <c r="F15" s="26"/>
    </row>
    <row r="16" spans="1:7" ht="90" x14ac:dyDescent="0.25">
      <c r="A16" s="72">
        <v>1</v>
      </c>
      <c r="B16" s="73" t="s">
        <v>58</v>
      </c>
      <c r="C16" s="74">
        <f>49246.8*1.2</f>
        <v>59096.160000000003</v>
      </c>
      <c r="D16" s="75">
        <f t="shared" si="0"/>
        <v>59096.160000000003</v>
      </c>
      <c r="E16" s="147"/>
      <c r="F16" s="26"/>
    </row>
    <row r="17" spans="1:6" s="26" customFormat="1" ht="60" x14ac:dyDescent="0.25">
      <c r="A17" s="72">
        <v>1</v>
      </c>
      <c r="B17" s="73" t="s">
        <v>60</v>
      </c>
      <c r="C17" s="74">
        <f>12434*1.2</f>
        <v>14920.8</v>
      </c>
      <c r="D17" s="75">
        <f t="shared" si="0"/>
        <v>14920.8</v>
      </c>
      <c r="E17" s="147"/>
    </row>
    <row r="18" spans="1:6" ht="105" x14ac:dyDescent="0.25">
      <c r="A18" s="72">
        <v>1</v>
      </c>
      <c r="B18" s="73" t="s">
        <v>451</v>
      </c>
      <c r="C18" s="74">
        <f>(1700+3725+4800+3300)*1.25</f>
        <v>16906.25</v>
      </c>
      <c r="D18" s="75">
        <f t="shared" si="0"/>
        <v>16906.25</v>
      </c>
      <c r="E18" s="147"/>
      <c r="F18" s="26"/>
    </row>
    <row r="19" spans="1:6" ht="75" x14ac:dyDescent="0.25">
      <c r="A19" s="72">
        <v>1</v>
      </c>
      <c r="B19" s="73" t="s">
        <v>440</v>
      </c>
      <c r="C19" s="74">
        <v>44992</v>
      </c>
      <c r="D19" s="75">
        <f t="shared" si="0"/>
        <v>44992</v>
      </c>
      <c r="E19" s="147"/>
      <c r="F19" s="26"/>
    </row>
    <row r="20" spans="1:6" ht="15.6" x14ac:dyDescent="0.25">
      <c r="A20" s="72">
        <v>1</v>
      </c>
      <c r="B20" s="73" t="s">
        <v>59</v>
      </c>
      <c r="C20" s="74">
        <v>7500</v>
      </c>
      <c r="D20" s="75">
        <f t="shared" si="0"/>
        <v>7500</v>
      </c>
      <c r="F20" s="26"/>
    </row>
    <row r="21" spans="1:6" ht="15.6" x14ac:dyDescent="0.25">
      <c r="A21" s="89"/>
      <c r="B21" s="90"/>
      <c r="C21" s="417" t="s">
        <v>38</v>
      </c>
      <c r="D21" s="418">
        <f>SUM(D15:D20)</f>
        <v>204734.44899999999</v>
      </c>
    </row>
    <row r="22" spans="1:6" ht="15.6" x14ac:dyDescent="0.3">
      <c r="A22" s="92"/>
      <c r="B22" s="90"/>
      <c r="C22" s="93" t="s">
        <v>39</v>
      </c>
      <c r="D22" s="75">
        <f>D21*0.16</f>
        <v>32757.511839999999</v>
      </c>
    </row>
    <row r="23" spans="1:6" ht="16.2" thickBot="1" x14ac:dyDescent="0.35">
      <c r="A23" s="92"/>
      <c r="B23" s="90"/>
      <c r="C23" s="94" t="s">
        <v>40</v>
      </c>
      <c r="D23" s="95">
        <f>D21+D22</f>
        <v>237491.96083999999</v>
      </c>
    </row>
    <row r="24" spans="1:6" ht="16.2" thickBot="1" x14ac:dyDescent="0.3">
      <c r="A24" s="92"/>
      <c r="B24" s="1023" t="s">
        <v>452</v>
      </c>
      <c r="C24" s="1024"/>
      <c r="D24" s="1025"/>
    </row>
    <row r="25" spans="1:6" ht="15" x14ac:dyDescent="0.25">
      <c r="A25" s="34"/>
      <c r="B25" s="35" t="s">
        <v>11</v>
      </c>
      <c r="C25" s="129"/>
      <c r="D25" s="1"/>
    </row>
    <row r="26" spans="1:6" ht="15" x14ac:dyDescent="0.25">
      <c r="A26" s="34"/>
      <c r="B26" s="130" t="s">
        <v>12</v>
      </c>
      <c r="C26" s="129"/>
      <c r="D26" s="1"/>
    </row>
    <row r="27" spans="1:6" ht="15" x14ac:dyDescent="0.25">
      <c r="A27" s="34"/>
      <c r="B27" s="131" t="s">
        <v>13</v>
      </c>
      <c r="C27" s="129"/>
      <c r="D27" s="1"/>
    </row>
    <row r="28" spans="1:6" ht="15" x14ac:dyDescent="0.25">
      <c r="A28" s="34"/>
      <c r="B28" s="130" t="s">
        <v>14</v>
      </c>
      <c r="C28" s="129"/>
      <c r="D28" s="1"/>
    </row>
    <row r="29" spans="1:6" ht="13.8" x14ac:dyDescent="0.25">
      <c r="B29" s="35" t="s">
        <v>15</v>
      </c>
      <c r="C29" s="129"/>
      <c r="D29" s="1"/>
    </row>
    <row r="30" spans="1:6" ht="27.6" x14ac:dyDescent="0.25">
      <c r="A30" s="34"/>
      <c r="B30" s="36" t="s">
        <v>16</v>
      </c>
      <c r="C30" s="132"/>
      <c r="D30" s="37"/>
    </row>
    <row r="31" spans="1:6" ht="27.6" x14ac:dyDescent="0.25">
      <c r="A31" s="34"/>
      <c r="B31" s="36" t="s">
        <v>17</v>
      </c>
      <c r="C31" s="133"/>
      <c r="D31" s="39"/>
    </row>
    <row r="32" spans="1:6" ht="15" x14ac:dyDescent="0.25">
      <c r="A32" s="34"/>
      <c r="B32" s="40" t="s">
        <v>18</v>
      </c>
      <c r="C32" s="133"/>
      <c r="D32" s="39"/>
    </row>
    <row r="33" spans="1:4" ht="15" x14ac:dyDescent="0.25">
      <c r="A33" s="34"/>
      <c r="B33" s="134" t="s">
        <v>19</v>
      </c>
      <c r="C33" s="133"/>
      <c r="D33" s="38"/>
    </row>
    <row r="34" spans="1:4" ht="15" x14ac:dyDescent="0.25">
      <c r="A34" s="34"/>
      <c r="B34" s="135" t="s">
        <v>20</v>
      </c>
      <c r="C34" s="133"/>
      <c r="D34" s="38"/>
    </row>
    <row r="35" spans="1:4" ht="13.8" x14ac:dyDescent="0.25">
      <c r="B35" s="40" t="s">
        <v>21</v>
      </c>
      <c r="C35" s="136"/>
      <c r="D35" s="41"/>
    </row>
    <row r="36" spans="1:4" ht="15" x14ac:dyDescent="0.25">
      <c r="A36" s="106"/>
      <c r="B36" s="122" t="s">
        <v>52</v>
      </c>
      <c r="C36" s="133"/>
      <c r="D36" s="39"/>
    </row>
    <row r="37" spans="1:4" ht="15" x14ac:dyDescent="0.25">
      <c r="A37" s="106"/>
      <c r="B37" s="123" t="s">
        <v>44</v>
      </c>
      <c r="C37" s="133"/>
      <c r="D37" s="39"/>
    </row>
    <row r="38" spans="1:4" ht="15" x14ac:dyDescent="0.25">
      <c r="A38" s="106"/>
      <c r="B38" s="123" t="s">
        <v>45</v>
      </c>
      <c r="C38" s="133"/>
      <c r="D38" s="38"/>
    </row>
    <row r="39" spans="1:4" ht="50.4" x14ac:dyDescent="0.4">
      <c r="A39" s="106"/>
      <c r="B39" s="128" t="s">
        <v>23</v>
      </c>
      <c r="C39" s="45"/>
      <c r="D39" s="45"/>
    </row>
    <row r="40" spans="1:4" x14ac:dyDescent="0.25">
      <c r="A40" s="46"/>
      <c r="B40" s="47"/>
      <c r="C40" s="47"/>
      <c r="D40" s="1"/>
    </row>
    <row r="41" spans="1:4" x14ac:dyDescent="0.25">
      <c r="A41" s="46"/>
      <c r="B41" s="47"/>
      <c r="C41" s="47"/>
      <c r="D41" s="1"/>
    </row>
    <row r="42" spans="1:4" x14ac:dyDescent="0.25">
      <c r="A42" s="48"/>
      <c r="B42" s="49"/>
      <c r="C42" s="47"/>
      <c r="D42" s="1"/>
    </row>
    <row r="43" spans="1:4" ht="15" x14ac:dyDescent="0.35">
      <c r="A43" s="50" t="s">
        <v>0</v>
      </c>
      <c r="B43" s="51"/>
      <c r="C43" s="47"/>
      <c r="D43" s="47"/>
    </row>
    <row r="44" spans="1:4" x14ac:dyDescent="0.25">
      <c r="A44" s="1" t="s">
        <v>0</v>
      </c>
    </row>
  </sheetData>
  <mergeCells count="2">
    <mergeCell ref="A4:D4"/>
    <mergeCell ref="B24:D24"/>
  </mergeCells>
  <printOptions horizontalCentered="1"/>
  <pageMargins left="0.25" right="0.25" top="0.75" bottom="0.75" header="0.3" footer="0.3"/>
  <pageSetup scale="75" fitToHeight="0" orientation="portrait" r:id="rId1"/>
  <headerFooter alignWithMargins="0">
    <oddFooter>Página &amp;P de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258B-FAB2-44EB-844B-FB2D5C1F4D32}">
  <sheetPr>
    <tabColor theme="4" tint="-0.249977111117893"/>
    <pageSetUpPr fitToPage="1"/>
  </sheetPr>
  <dimension ref="A1:G41"/>
  <sheetViews>
    <sheetView topLeftCell="A8" zoomScaleNormal="100" workbookViewId="0">
      <selection activeCell="D16" sqref="D16"/>
    </sheetView>
  </sheetViews>
  <sheetFormatPr baseColWidth="10" defaultColWidth="11.44140625" defaultRowHeight="13.2" x14ac:dyDescent="0.25"/>
  <cols>
    <col min="1" max="1" width="6" style="1" customWidth="1"/>
    <col min="2" max="2" width="68.77734375" style="1" customWidth="1"/>
    <col min="3" max="3" width="12.6640625" style="3" bestFit="1" customWidth="1"/>
    <col min="4" max="4" width="14" style="3" bestFit="1"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4</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414" t="s">
        <v>56</v>
      </c>
      <c r="B13" s="415"/>
      <c r="C13" s="14"/>
      <c r="D13" s="416"/>
      <c r="E13" s="17"/>
      <c r="F13" s="17"/>
    </row>
    <row r="14" spans="1:7" s="4" customFormat="1" ht="16.8" x14ac:dyDescent="0.4">
      <c r="A14" s="419"/>
      <c r="B14" s="420" t="s">
        <v>7</v>
      </c>
      <c r="C14" s="421"/>
      <c r="D14" s="421"/>
      <c r="E14" s="147"/>
      <c r="F14" s="1"/>
    </row>
    <row r="15" spans="1:7" s="17" customFormat="1" ht="60" x14ac:dyDescent="0.25">
      <c r="A15" s="422">
        <v>1</v>
      </c>
      <c r="B15" s="423" t="s">
        <v>57</v>
      </c>
      <c r="C15" s="424">
        <f>((22334.04+1851.58+217.52+2500)*1.35)+25000</f>
        <v>61319.239000000009</v>
      </c>
      <c r="D15" s="425">
        <f t="shared" ref="D15:D17" si="0">A15*C15</f>
        <v>61319.239000000009</v>
      </c>
      <c r="E15" s="25"/>
      <c r="F15" s="26"/>
    </row>
    <row r="16" spans="1:7" ht="105" x14ac:dyDescent="0.25">
      <c r="A16" s="72">
        <v>1</v>
      </c>
      <c r="B16" s="73" t="s">
        <v>451</v>
      </c>
      <c r="C16" s="74">
        <f>(1700+3725+4800+3300)*1.25</f>
        <v>16906.25</v>
      </c>
      <c r="D16" s="75">
        <f t="shared" si="0"/>
        <v>16906.25</v>
      </c>
      <c r="E16" s="147"/>
      <c r="F16" s="26"/>
    </row>
    <row r="17" spans="1:6" s="26" customFormat="1" ht="75" x14ac:dyDescent="0.25">
      <c r="A17" s="72">
        <v>1</v>
      </c>
      <c r="B17" s="73" t="s">
        <v>440</v>
      </c>
      <c r="C17" s="74">
        <v>44992</v>
      </c>
      <c r="D17" s="75">
        <f t="shared" si="0"/>
        <v>44992</v>
      </c>
      <c r="E17" s="147"/>
    </row>
    <row r="18" spans="1:6" ht="15.6" x14ac:dyDescent="0.25">
      <c r="A18" s="89"/>
      <c r="B18" s="90"/>
      <c r="C18" s="417" t="s">
        <v>38</v>
      </c>
      <c r="D18" s="418">
        <f>SUM(D15:D17)</f>
        <v>123217.489</v>
      </c>
      <c r="F18" s="26"/>
    </row>
    <row r="19" spans="1:6" ht="15.6" x14ac:dyDescent="0.3">
      <c r="A19" s="92"/>
      <c r="B19" s="90"/>
      <c r="C19" s="93" t="s">
        <v>39</v>
      </c>
      <c r="D19" s="75">
        <f>D18*0.16</f>
        <v>19714.79824</v>
      </c>
      <c r="F19" s="26"/>
    </row>
    <row r="20" spans="1:6" ht="16.2" thickBot="1" x14ac:dyDescent="0.35">
      <c r="A20" s="92"/>
      <c r="B20" s="90"/>
      <c r="C20" s="94" t="s">
        <v>40</v>
      </c>
      <c r="D20" s="95">
        <f>D18+D19</f>
        <v>142932.28724000001</v>
      </c>
      <c r="F20" s="26"/>
    </row>
    <row r="21" spans="1:6" ht="16.2" thickBot="1" x14ac:dyDescent="0.3">
      <c r="A21" s="92"/>
      <c r="B21" s="1023" t="s">
        <v>454</v>
      </c>
      <c r="C21" s="1024"/>
      <c r="D21" s="1025"/>
    </row>
    <row r="22" spans="1:6" ht="15" x14ac:dyDescent="0.25">
      <c r="A22" s="34"/>
      <c r="B22" s="35" t="s">
        <v>11</v>
      </c>
      <c r="C22" s="129"/>
      <c r="D22" s="1"/>
    </row>
    <row r="23" spans="1:6" ht="15" x14ac:dyDescent="0.25">
      <c r="A23" s="34"/>
      <c r="B23" s="130" t="s">
        <v>12</v>
      </c>
      <c r="C23" s="129"/>
      <c r="D23" s="1"/>
    </row>
    <row r="24" spans="1:6" ht="15" x14ac:dyDescent="0.25">
      <c r="A24" s="34"/>
      <c r="B24" s="131" t="s">
        <v>13</v>
      </c>
      <c r="C24" s="129"/>
      <c r="D24" s="1"/>
    </row>
    <row r="25" spans="1:6" ht="15" x14ac:dyDescent="0.25">
      <c r="A25" s="34"/>
      <c r="B25" s="130" t="s">
        <v>14</v>
      </c>
      <c r="C25" s="129"/>
      <c r="D25" s="1"/>
    </row>
    <row r="26" spans="1:6" ht="13.8" x14ac:dyDescent="0.25">
      <c r="B26" s="35" t="s">
        <v>15</v>
      </c>
      <c r="C26" s="129"/>
      <c r="D26" s="1"/>
    </row>
    <row r="27" spans="1:6" ht="27.6" x14ac:dyDescent="0.25">
      <c r="A27" s="34"/>
      <c r="B27" s="36" t="s">
        <v>16</v>
      </c>
      <c r="C27" s="132"/>
      <c r="D27" s="37"/>
    </row>
    <row r="28" spans="1:6" ht="27.6" x14ac:dyDescent="0.25">
      <c r="A28" s="34"/>
      <c r="B28" s="36" t="s">
        <v>17</v>
      </c>
      <c r="C28" s="133"/>
      <c r="D28" s="39"/>
    </row>
    <row r="29" spans="1:6" ht="15" x14ac:dyDescent="0.25">
      <c r="A29" s="34"/>
      <c r="B29" s="40" t="s">
        <v>18</v>
      </c>
      <c r="C29" s="133"/>
      <c r="D29" s="39"/>
    </row>
    <row r="30" spans="1:6" ht="15" x14ac:dyDescent="0.25">
      <c r="A30" s="34"/>
      <c r="B30" s="134" t="s">
        <v>19</v>
      </c>
      <c r="C30" s="133"/>
      <c r="D30" s="38"/>
    </row>
    <row r="31" spans="1:6" ht="15" x14ac:dyDescent="0.25">
      <c r="A31" s="34"/>
      <c r="B31" s="135" t="s">
        <v>20</v>
      </c>
      <c r="C31" s="133"/>
      <c r="D31" s="38"/>
    </row>
    <row r="32" spans="1:6" ht="13.8" x14ac:dyDescent="0.25">
      <c r="B32" s="40" t="s">
        <v>21</v>
      </c>
      <c r="C32" s="136"/>
      <c r="D32" s="41"/>
    </row>
    <row r="33" spans="1:4" ht="15" x14ac:dyDescent="0.25">
      <c r="A33" s="106"/>
      <c r="B33" s="122" t="s">
        <v>52</v>
      </c>
      <c r="C33" s="133"/>
      <c r="D33" s="39"/>
    </row>
    <row r="34" spans="1:4" ht="15" x14ac:dyDescent="0.25">
      <c r="A34" s="106"/>
      <c r="B34" s="123" t="s">
        <v>44</v>
      </c>
      <c r="C34" s="133"/>
      <c r="D34" s="39"/>
    </row>
    <row r="35" spans="1:4" ht="15" x14ac:dyDescent="0.25">
      <c r="A35" s="106"/>
      <c r="B35" s="123" t="s">
        <v>45</v>
      </c>
      <c r="C35" s="133"/>
      <c r="D35" s="38"/>
    </row>
    <row r="36" spans="1:4" ht="50.4" x14ac:dyDescent="0.4">
      <c r="A36" s="106"/>
      <c r="B36" s="128" t="s">
        <v>23</v>
      </c>
      <c r="C36" s="45"/>
      <c r="D36" s="45"/>
    </row>
    <row r="37" spans="1:4" x14ac:dyDescent="0.25">
      <c r="A37" s="46"/>
      <c r="B37" s="47"/>
      <c r="C37" s="47"/>
      <c r="D37" s="1"/>
    </row>
    <row r="38" spans="1:4" x14ac:dyDescent="0.25">
      <c r="A38" s="46"/>
      <c r="B38" s="47"/>
      <c r="C38" s="47"/>
      <c r="D38" s="1"/>
    </row>
    <row r="39" spans="1:4" x14ac:dyDescent="0.25">
      <c r="A39" s="48"/>
      <c r="B39" s="49"/>
      <c r="C39" s="47"/>
      <c r="D39" s="1"/>
    </row>
    <row r="40" spans="1:4" ht="15" x14ac:dyDescent="0.35">
      <c r="A40" s="50" t="s">
        <v>0</v>
      </c>
      <c r="B40" s="51"/>
      <c r="C40" s="47"/>
      <c r="D40" s="47"/>
    </row>
    <row r="41" spans="1:4" x14ac:dyDescent="0.25">
      <c r="A41" s="1" t="s">
        <v>0</v>
      </c>
    </row>
  </sheetData>
  <mergeCells count="2">
    <mergeCell ref="A4:D4"/>
    <mergeCell ref="B21:D21"/>
  </mergeCells>
  <printOptions horizontalCentered="1"/>
  <pageMargins left="0.25" right="0.25" top="0.75" bottom="0.75" header="0.3" footer="0.3"/>
  <pageSetup fitToHeight="0" orientation="portrait" r:id="rId1"/>
  <headerFooter alignWithMargins="0">
    <oddFooter>Página &amp;P de &amp;N</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86FD-F401-4179-9CD2-E728E7A90E0C}">
  <sheetPr>
    <tabColor theme="4" tint="-0.249977111117893"/>
    <pageSetUpPr fitToPage="1"/>
  </sheetPr>
  <dimension ref="A1:G39"/>
  <sheetViews>
    <sheetView topLeftCell="A7" zoomScaleNormal="100" workbookViewId="0">
      <selection activeCell="C16" sqref="C16"/>
    </sheetView>
  </sheetViews>
  <sheetFormatPr baseColWidth="10" defaultColWidth="11.44140625" defaultRowHeight="13.2" x14ac:dyDescent="0.25"/>
  <cols>
    <col min="1" max="1" width="6" style="1" customWidth="1"/>
    <col min="2" max="2" width="68.77734375" style="1" customWidth="1"/>
    <col min="3" max="3" width="12.6640625" style="3" bestFit="1" customWidth="1"/>
    <col min="4" max="4" width="14" style="3" bestFit="1"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4</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414" t="s">
        <v>56</v>
      </c>
      <c r="B13" s="415"/>
      <c r="C13" s="14"/>
      <c r="D13" s="416"/>
      <c r="E13" s="17"/>
      <c r="F13" s="17"/>
    </row>
    <row r="14" spans="1:7" s="4" customFormat="1" ht="16.8" x14ac:dyDescent="0.4">
      <c r="A14" s="419"/>
      <c r="B14" s="420" t="s">
        <v>7</v>
      </c>
      <c r="C14" s="421"/>
      <c r="D14" s="421"/>
      <c r="E14" s="147"/>
      <c r="F14" s="1"/>
    </row>
    <row r="15" spans="1:7" s="17" customFormat="1" ht="90" x14ac:dyDescent="0.25">
      <c r="A15" s="72">
        <v>1</v>
      </c>
      <c r="B15" s="73" t="s">
        <v>58</v>
      </c>
      <c r="C15" s="74">
        <f>49246.8*1.2</f>
        <v>59096.160000000003</v>
      </c>
      <c r="D15" s="75">
        <f t="shared" ref="D15:D17" si="0">A15*C15</f>
        <v>59096.160000000003</v>
      </c>
      <c r="E15" s="25"/>
      <c r="F15" s="26"/>
    </row>
    <row r="16" spans="1:7" ht="60" x14ac:dyDescent="0.25">
      <c r="A16" s="72">
        <v>1</v>
      </c>
      <c r="B16" s="73" t="s">
        <v>60</v>
      </c>
      <c r="C16" s="74">
        <f>12434*1.2</f>
        <v>14920.8</v>
      </c>
      <c r="D16" s="75">
        <f t="shared" si="0"/>
        <v>14920.8</v>
      </c>
      <c r="E16" s="147"/>
      <c r="F16" s="26"/>
    </row>
    <row r="17" spans="1:6" s="26" customFormat="1" ht="15.6" x14ac:dyDescent="0.25">
      <c r="A17" s="72">
        <v>1</v>
      </c>
      <c r="B17" s="73" t="s">
        <v>59</v>
      </c>
      <c r="C17" s="74">
        <v>7500</v>
      </c>
      <c r="D17" s="75">
        <f t="shared" si="0"/>
        <v>7500</v>
      </c>
      <c r="E17" s="147"/>
    </row>
    <row r="18" spans="1:6" ht="16.2" thickBot="1" x14ac:dyDescent="0.3">
      <c r="A18" s="89"/>
      <c r="B18" s="90"/>
      <c r="C18" s="417" t="s">
        <v>38</v>
      </c>
      <c r="D18" s="418">
        <f>SUM(D15:D17)</f>
        <v>81516.960000000006</v>
      </c>
      <c r="E18" s="147"/>
      <c r="F18" s="26"/>
    </row>
    <row r="19" spans="1:6" ht="16.2" thickBot="1" x14ac:dyDescent="0.3">
      <c r="A19" s="92"/>
      <c r="B19" s="1023" t="s">
        <v>453</v>
      </c>
      <c r="C19" s="1024"/>
      <c r="D19" s="1025"/>
      <c r="F19" s="26"/>
    </row>
    <row r="20" spans="1:6" ht="15" x14ac:dyDescent="0.25">
      <c r="A20" s="34"/>
      <c r="B20" s="35" t="s">
        <v>11</v>
      </c>
      <c r="C20" s="129"/>
      <c r="D20" s="1"/>
      <c r="F20" s="26"/>
    </row>
    <row r="21" spans="1:6" ht="15" x14ac:dyDescent="0.25">
      <c r="A21" s="34"/>
      <c r="B21" s="130" t="s">
        <v>12</v>
      </c>
      <c r="C21" s="129"/>
      <c r="D21" s="1"/>
    </row>
    <row r="22" spans="1:6" ht="15" x14ac:dyDescent="0.25">
      <c r="A22" s="34"/>
      <c r="B22" s="131" t="s">
        <v>13</v>
      </c>
      <c r="C22" s="129"/>
      <c r="D22" s="1"/>
    </row>
    <row r="23" spans="1:6" ht="15" x14ac:dyDescent="0.25">
      <c r="A23" s="34"/>
      <c r="B23" s="130" t="s">
        <v>14</v>
      </c>
      <c r="C23" s="129"/>
      <c r="D23" s="1"/>
    </row>
    <row r="24" spans="1:6" ht="13.8" x14ac:dyDescent="0.25">
      <c r="B24" s="35" t="s">
        <v>15</v>
      </c>
      <c r="C24" s="129"/>
      <c r="D24" s="1"/>
    </row>
    <row r="25" spans="1:6" ht="27.6" x14ac:dyDescent="0.25">
      <c r="A25" s="34"/>
      <c r="B25" s="36" t="s">
        <v>16</v>
      </c>
      <c r="C25" s="132"/>
      <c r="D25" s="37"/>
    </row>
    <row r="26" spans="1:6" ht="27.6" x14ac:dyDescent="0.25">
      <c r="A26" s="34"/>
      <c r="B26" s="36" t="s">
        <v>17</v>
      </c>
      <c r="C26" s="133"/>
      <c r="D26" s="39"/>
    </row>
    <row r="27" spans="1:6" ht="15" x14ac:dyDescent="0.25">
      <c r="A27" s="34"/>
      <c r="B27" s="40" t="s">
        <v>18</v>
      </c>
      <c r="C27" s="133"/>
      <c r="D27" s="39"/>
    </row>
    <row r="28" spans="1:6" ht="15" x14ac:dyDescent="0.25">
      <c r="A28" s="34"/>
      <c r="B28" s="134" t="s">
        <v>19</v>
      </c>
      <c r="C28" s="133"/>
      <c r="D28" s="38"/>
    </row>
    <row r="29" spans="1:6" ht="15" x14ac:dyDescent="0.25">
      <c r="A29" s="34"/>
      <c r="B29" s="135" t="s">
        <v>20</v>
      </c>
      <c r="C29" s="133"/>
      <c r="D29" s="38"/>
    </row>
    <row r="30" spans="1:6" ht="13.8" x14ac:dyDescent="0.25">
      <c r="B30" s="40" t="s">
        <v>21</v>
      </c>
      <c r="C30" s="136"/>
      <c r="D30" s="41"/>
    </row>
    <row r="31" spans="1:6" ht="15" x14ac:dyDescent="0.25">
      <c r="A31" s="106"/>
      <c r="B31" s="122" t="s">
        <v>52</v>
      </c>
      <c r="C31" s="133"/>
      <c r="D31" s="39"/>
    </row>
    <row r="32" spans="1:6" ht="15" x14ac:dyDescent="0.25">
      <c r="A32" s="106"/>
      <c r="B32" s="123" t="s">
        <v>44</v>
      </c>
      <c r="C32" s="133"/>
      <c r="D32" s="39"/>
    </row>
    <row r="33" spans="1:4" ht="15" x14ac:dyDescent="0.25">
      <c r="A33" s="106"/>
      <c r="B33" s="123" t="s">
        <v>45</v>
      </c>
      <c r="C33" s="133"/>
      <c r="D33" s="38"/>
    </row>
    <row r="34" spans="1:4" ht="50.4" x14ac:dyDescent="0.4">
      <c r="A34" s="106"/>
      <c r="B34" s="128" t="s">
        <v>23</v>
      </c>
      <c r="C34" s="45"/>
      <c r="D34" s="45"/>
    </row>
    <row r="35" spans="1:4" x14ac:dyDescent="0.25">
      <c r="A35" s="46"/>
      <c r="B35" s="47"/>
      <c r="C35" s="47"/>
      <c r="D35" s="1"/>
    </row>
    <row r="36" spans="1:4" x14ac:dyDescent="0.25">
      <c r="A36" s="46"/>
      <c r="B36" s="47"/>
      <c r="C36" s="47"/>
      <c r="D36" s="1"/>
    </row>
    <row r="37" spans="1:4" x14ac:dyDescent="0.25">
      <c r="A37" s="48"/>
      <c r="B37" s="49"/>
      <c r="C37" s="47"/>
      <c r="D37" s="1"/>
    </row>
    <row r="38" spans="1:4" ht="15" x14ac:dyDescent="0.35">
      <c r="A38" s="50" t="s">
        <v>0</v>
      </c>
      <c r="B38" s="51"/>
      <c r="C38" s="47"/>
      <c r="D38" s="47"/>
    </row>
    <row r="39" spans="1:4" x14ac:dyDescent="0.25">
      <c r="A39" s="1" t="s">
        <v>0</v>
      </c>
    </row>
  </sheetData>
  <mergeCells count="2">
    <mergeCell ref="A4:D4"/>
    <mergeCell ref="B19:D19"/>
  </mergeCells>
  <printOptions horizontalCentered="1"/>
  <pageMargins left="0.25" right="0.25" top="0.75" bottom="0.75" header="0.3" footer="0.3"/>
  <pageSetup fitToHeight="0" orientation="portrait" r:id="rId1"/>
  <headerFooter alignWithMargins="0">
    <oddFooter>Página &amp;P de &amp;N</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3E62-4FB8-4218-AADF-208700A13CF7}">
  <sheetPr>
    <tabColor theme="4" tint="-0.249977111117893"/>
    <pageSetUpPr fitToPage="1"/>
  </sheetPr>
  <dimension ref="A1:F80"/>
  <sheetViews>
    <sheetView topLeftCell="A29" zoomScaleNormal="100" workbookViewId="0">
      <selection activeCell="B23" sqref="B23"/>
    </sheetView>
  </sheetViews>
  <sheetFormatPr baseColWidth="10" defaultColWidth="11.44140625" defaultRowHeight="13.2" x14ac:dyDescent="0.25"/>
  <cols>
    <col min="1" max="1" width="6" style="108" customWidth="1"/>
    <col min="2" max="2" width="100.33203125" style="108" customWidth="1"/>
    <col min="3" max="3" width="12.6640625" style="107" customWidth="1"/>
    <col min="4" max="4" width="14.5546875" style="107" customWidth="1"/>
    <col min="5" max="16384" width="11.441406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57" t="s">
        <v>485</v>
      </c>
      <c r="C8" s="58"/>
      <c r="D8" s="58"/>
    </row>
    <row r="9" spans="1:5" s="10" customFormat="1" ht="16.8" x14ac:dyDescent="0.4">
      <c r="A9" s="57" t="s">
        <v>486</v>
      </c>
      <c r="C9" s="58"/>
      <c r="D9" s="58"/>
    </row>
    <row r="10" spans="1:5" s="10" customFormat="1" ht="16.8" x14ac:dyDescent="0.4">
      <c r="A10" s="57" t="s">
        <v>461</v>
      </c>
      <c r="C10" s="58"/>
      <c r="D10" s="58"/>
    </row>
    <row r="11" spans="1:5" s="10" customFormat="1" ht="16.8" x14ac:dyDescent="0.4">
      <c r="A11" s="57" t="s">
        <v>487</v>
      </c>
      <c r="C11" s="59"/>
      <c r="D11" s="58"/>
    </row>
    <row r="12" spans="1:5" s="10" customFormat="1" ht="15" customHeight="1" x14ac:dyDescent="0.4">
      <c r="A12" s="60" t="s">
        <v>462</v>
      </c>
      <c r="B12" s="61"/>
      <c r="C12" s="62"/>
      <c r="D12" s="63"/>
    </row>
    <row r="13" spans="1:5" s="10" customFormat="1" ht="15" customHeight="1" x14ac:dyDescent="0.4">
      <c r="A13" s="137" t="s">
        <v>6</v>
      </c>
      <c r="B13" s="141"/>
      <c r="C13" s="142"/>
      <c r="D13" s="143"/>
    </row>
    <row r="14" spans="1:5" s="10" customFormat="1" ht="16.8" x14ac:dyDescent="0.4">
      <c r="A14" s="144" t="s">
        <v>455</v>
      </c>
      <c r="B14" s="141"/>
      <c r="C14" s="142"/>
      <c r="D14" s="143"/>
      <c r="E14" s="186"/>
    </row>
    <row r="15" spans="1:5" s="188" customFormat="1" ht="13.8" x14ac:dyDescent="0.25">
      <c r="A15" s="148"/>
      <c r="B15" s="149"/>
      <c r="C15" s="150"/>
      <c r="D15" s="150"/>
      <c r="E15" s="187"/>
    </row>
    <row r="16" spans="1:5" x14ac:dyDescent="0.25">
      <c r="A16" s="155">
        <v>1</v>
      </c>
      <c r="B16" s="396" t="s">
        <v>473</v>
      </c>
      <c r="C16" s="397">
        <f>54884*1.3</f>
        <v>71349.2</v>
      </c>
      <c r="D16" s="398">
        <f>A16*C16</f>
        <v>71349.2</v>
      </c>
      <c r="E16" s="189"/>
    </row>
    <row r="17" spans="1:6" s="191" customFormat="1" ht="15.75" customHeight="1" x14ac:dyDescent="0.25">
      <c r="A17" s="155">
        <v>1</v>
      </c>
      <c r="B17" s="396" t="s">
        <v>474</v>
      </c>
      <c r="C17" s="153">
        <f>(2100.3*20.56*1.3)</f>
        <v>56136.818399999996</v>
      </c>
      <c r="D17" s="398">
        <f>A17*C17</f>
        <v>56136.818399999996</v>
      </c>
      <c r="E17" s="190"/>
    </row>
    <row r="18" spans="1:6" ht="13.5" customHeight="1" x14ac:dyDescent="0.25">
      <c r="A18" s="151">
        <v>1</v>
      </c>
      <c r="B18" s="152" t="s">
        <v>475</v>
      </c>
      <c r="C18" s="153"/>
      <c r="D18" s="154"/>
      <c r="E18" s="190"/>
    </row>
    <row r="19" spans="1:6" ht="13.5" customHeight="1" x14ac:dyDescent="0.25">
      <c r="A19" s="155"/>
      <c r="B19" s="156" t="s">
        <v>481</v>
      </c>
      <c r="C19" s="153">
        <f>(3905.5*20.5)*(1.3)</f>
        <v>104081.575</v>
      </c>
      <c r="D19" s="154"/>
      <c r="E19" s="189"/>
    </row>
    <row r="20" spans="1:6" ht="13.5" customHeight="1" x14ac:dyDescent="0.25">
      <c r="A20" s="151">
        <v>1</v>
      </c>
      <c r="B20" s="152" t="s">
        <v>477</v>
      </c>
      <c r="C20" s="153">
        <f>(5880.5*20.56)*(1.3)</f>
        <v>157174.00399999999</v>
      </c>
      <c r="D20" s="154">
        <f t="shared" ref="D20" si="0">A20*C20</f>
        <v>157174.00399999999</v>
      </c>
      <c r="E20" s="190"/>
    </row>
    <row r="21" spans="1:6" ht="13.5" customHeight="1" x14ac:dyDescent="0.25">
      <c r="A21" s="155"/>
      <c r="B21" s="156" t="s">
        <v>456</v>
      </c>
      <c r="C21" s="153"/>
      <c r="D21" s="154"/>
      <c r="E21" s="189"/>
      <c r="F21" s="192"/>
    </row>
    <row r="22" spans="1:6" ht="13.5" customHeight="1" x14ac:dyDescent="0.25">
      <c r="A22" s="151">
        <v>1</v>
      </c>
      <c r="B22" s="152" t="s">
        <v>475</v>
      </c>
      <c r="C22" s="153">
        <f>(3840.5*20.5)*(1.3)</f>
        <v>102349.325</v>
      </c>
      <c r="D22" s="154">
        <f t="shared" ref="D22" si="1">A22*C22</f>
        <v>102349.325</v>
      </c>
      <c r="E22" s="189"/>
    </row>
    <row r="23" spans="1:6" ht="13.5" customHeight="1" x14ac:dyDescent="0.25">
      <c r="A23" s="155"/>
      <c r="B23" s="156" t="s">
        <v>476</v>
      </c>
      <c r="C23" s="153"/>
      <c r="D23" s="154"/>
    </row>
    <row r="24" spans="1:6" ht="13.5" customHeight="1" x14ac:dyDescent="0.25">
      <c r="A24" s="198"/>
      <c r="B24" s="199"/>
      <c r="C24" s="197"/>
      <c r="D24" s="200"/>
      <c r="E24" s="189"/>
    </row>
    <row r="25" spans="1:6" ht="18" customHeight="1" x14ac:dyDescent="0.25">
      <c r="A25" s="145" t="s">
        <v>29</v>
      </c>
      <c r="B25" s="145" t="s">
        <v>30</v>
      </c>
      <c r="C25" s="146" t="s">
        <v>31</v>
      </c>
      <c r="D25" s="146" t="s">
        <v>32</v>
      </c>
      <c r="E25" s="189"/>
    </row>
    <row r="26" spans="1:6" x14ac:dyDescent="0.25">
      <c r="A26" s="148"/>
      <c r="B26" s="149"/>
      <c r="C26" s="150"/>
      <c r="D26" s="150"/>
      <c r="E26" s="189"/>
    </row>
    <row r="27" spans="1:6" ht="13.5" customHeight="1" x14ac:dyDescent="0.25">
      <c r="A27" s="155">
        <v>1</v>
      </c>
      <c r="B27" s="156" t="s">
        <v>479</v>
      </c>
      <c r="C27" s="153">
        <f>(1608.11*20.56*1.3)</f>
        <v>42981.564079999996</v>
      </c>
      <c r="D27" s="154">
        <f t="shared" ref="D27" si="2">A27*C27</f>
        <v>42981.564079999996</v>
      </c>
      <c r="E27" s="189"/>
    </row>
    <row r="28" spans="1:6" x14ac:dyDescent="0.25">
      <c r="A28" s="155">
        <v>1</v>
      </c>
      <c r="B28" s="156" t="s">
        <v>480</v>
      </c>
      <c r="C28" s="153">
        <f>(31322*1.3)</f>
        <v>40718.6</v>
      </c>
      <c r="D28" s="154">
        <f t="shared" ref="D28" si="3">A28*C28</f>
        <v>40718.6</v>
      </c>
      <c r="E28" s="189"/>
    </row>
    <row r="29" spans="1:6" x14ac:dyDescent="0.25">
      <c r="A29" s="155">
        <v>1</v>
      </c>
      <c r="B29" s="156" t="s">
        <v>478</v>
      </c>
      <c r="C29" s="153">
        <f>(69994)*(1.3)</f>
        <v>90992.2</v>
      </c>
      <c r="D29" s="154">
        <f t="shared" ref="D29" si="4">A29*C29</f>
        <v>90992.2</v>
      </c>
      <c r="E29" s="189"/>
    </row>
    <row r="30" spans="1:6" x14ac:dyDescent="0.25">
      <c r="A30" s="198"/>
      <c r="B30" s="198"/>
      <c r="C30" s="201"/>
      <c r="D30" s="202"/>
      <c r="E30" s="189"/>
    </row>
    <row r="31" spans="1:6" ht="26.4" x14ac:dyDescent="0.25">
      <c r="A31" s="145" t="s">
        <v>29</v>
      </c>
      <c r="B31" s="145" t="s">
        <v>30</v>
      </c>
      <c r="C31" s="146" t="s">
        <v>31</v>
      </c>
      <c r="D31" s="146" t="s">
        <v>32</v>
      </c>
      <c r="E31" s="189"/>
    </row>
    <row r="32" spans="1:6" x14ac:dyDescent="0.25">
      <c r="A32" s="148"/>
      <c r="B32" s="149"/>
      <c r="C32" s="150"/>
      <c r="D32" s="150"/>
      <c r="E32" s="189"/>
    </row>
    <row r="33" spans="1:5" x14ac:dyDescent="0.25">
      <c r="A33" s="162">
        <v>1</v>
      </c>
      <c r="B33" s="163" t="s">
        <v>212</v>
      </c>
      <c r="C33" s="184">
        <f>(9300)*(1.5)</f>
        <v>13950</v>
      </c>
      <c r="D33" s="165">
        <f t="shared" ref="D33:D36" si="5">A33*C33</f>
        <v>13950</v>
      </c>
      <c r="E33" s="189"/>
    </row>
    <row r="34" spans="1:5" x14ac:dyDescent="0.25">
      <c r="A34" s="203">
        <v>1</v>
      </c>
      <c r="B34" s="163" t="s">
        <v>457</v>
      </c>
      <c r="C34" s="184">
        <f>22400*1.3</f>
        <v>29120</v>
      </c>
      <c r="D34" s="165">
        <f t="shared" si="5"/>
        <v>29120</v>
      </c>
      <c r="E34" s="189"/>
    </row>
    <row r="35" spans="1:5" ht="26.4" x14ac:dyDescent="0.25">
      <c r="A35" s="157">
        <v>1</v>
      </c>
      <c r="B35" s="158" t="s">
        <v>458</v>
      </c>
      <c r="C35" s="159">
        <f>(1667*21)*1.34</f>
        <v>46909.380000000005</v>
      </c>
      <c r="D35" s="161">
        <f t="shared" si="5"/>
        <v>46909.380000000005</v>
      </c>
      <c r="E35" s="189"/>
    </row>
    <row r="36" spans="1:5" x14ac:dyDescent="0.25">
      <c r="A36" s="162">
        <v>1</v>
      </c>
      <c r="B36" s="163" t="s">
        <v>459</v>
      </c>
      <c r="C36" s="184">
        <f>(1811*20.2)*1.3</f>
        <v>47556.86</v>
      </c>
      <c r="D36" s="165">
        <f t="shared" si="5"/>
        <v>47556.86</v>
      </c>
    </row>
    <row r="37" spans="1:5" x14ac:dyDescent="0.25">
      <c r="A37" s="204"/>
      <c r="B37" s="204"/>
      <c r="C37" s="205"/>
      <c r="D37" s="205"/>
      <c r="E37" s="189"/>
    </row>
    <row r="38" spans="1:5" ht="26.4" x14ac:dyDescent="0.25">
      <c r="A38" s="145" t="s">
        <v>29</v>
      </c>
      <c r="B38" s="145" t="s">
        <v>30</v>
      </c>
      <c r="C38" s="146" t="s">
        <v>31</v>
      </c>
      <c r="D38" s="146" t="s">
        <v>32</v>
      </c>
      <c r="E38" s="189"/>
    </row>
    <row r="39" spans="1:5" x14ac:dyDescent="0.25">
      <c r="A39" s="148"/>
      <c r="B39" s="149"/>
      <c r="C39" s="150"/>
      <c r="D39" s="150"/>
      <c r="E39" s="189"/>
    </row>
    <row r="40" spans="1:5" x14ac:dyDescent="0.25">
      <c r="A40" s="157">
        <v>260</v>
      </c>
      <c r="B40" s="158" t="s">
        <v>34</v>
      </c>
      <c r="C40" s="160">
        <v>16.12</v>
      </c>
      <c r="D40" s="161">
        <f>A40*C40</f>
        <v>4191.2</v>
      </c>
    </row>
    <row r="41" spans="1:5" x14ac:dyDescent="0.25">
      <c r="A41" s="157">
        <v>260</v>
      </c>
      <c r="B41" s="158" t="s">
        <v>86</v>
      </c>
      <c r="C41" s="160">
        <v>36.869999999999997</v>
      </c>
      <c r="D41" s="161">
        <f t="shared" ref="D41" si="6">A41*C41</f>
        <v>9586.1999999999989</v>
      </c>
    </row>
    <row r="42" spans="1:5" x14ac:dyDescent="0.25">
      <c r="A42" s="204"/>
      <c r="B42" s="204"/>
      <c r="C42" s="205"/>
      <c r="D42" s="205"/>
    </row>
    <row r="43" spans="1:5" ht="26.4" x14ac:dyDescent="0.25">
      <c r="A43" s="145" t="s">
        <v>29</v>
      </c>
      <c r="B43" s="145" t="s">
        <v>30</v>
      </c>
      <c r="C43" s="146" t="s">
        <v>31</v>
      </c>
      <c r="D43" s="146" t="s">
        <v>32</v>
      </c>
      <c r="E43" s="189"/>
    </row>
    <row r="44" spans="1:5" x14ac:dyDescent="0.25">
      <c r="A44" s="148"/>
      <c r="B44" s="149"/>
      <c r="C44" s="150"/>
      <c r="D44" s="150"/>
      <c r="E44" s="189"/>
    </row>
    <row r="45" spans="1:5" x14ac:dyDescent="0.25">
      <c r="A45" s="162">
        <v>270</v>
      </c>
      <c r="B45" s="163" t="s">
        <v>134</v>
      </c>
      <c r="C45" s="164">
        <f>(596)*(1.33)</f>
        <v>792.68000000000006</v>
      </c>
      <c r="D45" s="165">
        <f>A45*C45</f>
        <v>214023.6</v>
      </c>
      <c r="E45" s="189"/>
    </row>
    <row r="46" spans="1:5" x14ac:dyDescent="0.25">
      <c r="A46" s="162">
        <v>270</v>
      </c>
      <c r="B46" s="163" t="s">
        <v>80</v>
      </c>
      <c r="C46" s="164">
        <f>(736)*(1.33)</f>
        <v>978.88000000000011</v>
      </c>
      <c r="D46" s="165">
        <f>A46*C46</f>
        <v>264297.60000000003</v>
      </c>
    </row>
    <row r="47" spans="1:5" x14ac:dyDescent="0.25">
      <c r="A47" s="162">
        <v>270</v>
      </c>
      <c r="B47" s="163" t="s">
        <v>135</v>
      </c>
      <c r="C47" s="164">
        <f>(842)*(1.3)</f>
        <v>1094.6000000000001</v>
      </c>
      <c r="D47" s="165">
        <f>A47*C47</f>
        <v>295542.00000000006</v>
      </c>
      <c r="E47" s="189"/>
    </row>
    <row r="48" spans="1:5" x14ac:dyDescent="0.25">
      <c r="A48" s="162">
        <v>270</v>
      </c>
      <c r="B48" s="163" t="s">
        <v>136</v>
      </c>
      <c r="C48" s="164">
        <f>(1050)*(1.47)</f>
        <v>1543.5</v>
      </c>
      <c r="D48" s="165">
        <f>A48*C48</f>
        <v>416745</v>
      </c>
      <c r="E48" s="189"/>
    </row>
    <row r="49" spans="1:4" x14ac:dyDescent="0.25">
      <c r="A49" s="204"/>
      <c r="B49" s="206"/>
      <c r="C49" s="207"/>
      <c r="D49" s="205"/>
    </row>
    <row r="50" spans="1:4" ht="26.4" x14ac:dyDescent="0.25">
      <c r="A50" s="145" t="s">
        <v>29</v>
      </c>
      <c r="B50" s="145" t="s">
        <v>30</v>
      </c>
      <c r="C50" s="146" t="s">
        <v>31</v>
      </c>
      <c r="D50" s="146" t="s">
        <v>32</v>
      </c>
    </row>
    <row r="51" spans="1:4" x14ac:dyDescent="0.25">
      <c r="A51" s="148"/>
      <c r="B51" s="149"/>
      <c r="C51" s="150"/>
      <c r="D51" s="150"/>
    </row>
    <row r="52" spans="1:4" x14ac:dyDescent="0.25">
      <c r="A52" s="157">
        <v>1</v>
      </c>
      <c r="B52" s="158" t="s">
        <v>35</v>
      </c>
      <c r="C52" s="159">
        <f>(5150)*(2)</f>
        <v>10300</v>
      </c>
      <c r="D52" s="154">
        <f t="shared" ref="D52:D54" si="7">A52*C52</f>
        <v>10300</v>
      </c>
    </row>
    <row r="53" spans="1:4" x14ac:dyDescent="0.25">
      <c r="A53" s="157">
        <v>1</v>
      </c>
      <c r="B53" s="158" t="s">
        <v>208</v>
      </c>
      <c r="C53" s="159">
        <f>(11896)*(1.51)</f>
        <v>17962.96</v>
      </c>
      <c r="D53" s="154">
        <f t="shared" si="7"/>
        <v>17962.96</v>
      </c>
    </row>
    <row r="54" spans="1:4" x14ac:dyDescent="0.25">
      <c r="A54" s="162">
        <v>1</v>
      </c>
      <c r="B54" s="163" t="s">
        <v>460</v>
      </c>
      <c r="C54" s="184">
        <f>(1109*20.5)*1.3</f>
        <v>29554.850000000002</v>
      </c>
      <c r="D54" s="165">
        <f t="shared" si="7"/>
        <v>29554.850000000002</v>
      </c>
    </row>
    <row r="55" spans="1:4" x14ac:dyDescent="0.25">
      <c r="A55" s="208"/>
      <c r="B55" s="204"/>
      <c r="C55" s="205"/>
      <c r="D55" s="209"/>
    </row>
    <row r="56" spans="1:4" ht="26.4" x14ac:dyDescent="0.25">
      <c r="A56" s="162">
        <v>1</v>
      </c>
      <c r="B56" s="163" t="s">
        <v>138</v>
      </c>
      <c r="C56" s="210">
        <v>35627</v>
      </c>
      <c r="D56" s="165">
        <f>A56*C56</f>
        <v>35627</v>
      </c>
    </row>
    <row r="57" spans="1:4" ht="26.4" x14ac:dyDescent="0.25">
      <c r="A57" s="162">
        <v>1</v>
      </c>
      <c r="B57" s="163" t="s">
        <v>139</v>
      </c>
      <c r="C57" s="210">
        <v>37861</v>
      </c>
      <c r="D57" s="165">
        <f>A57*C57</f>
        <v>37861</v>
      </c>
    </row>
    <row r="58" spans="1:4" x14ac:dyDescent="0.25">
      <c r="A58" s="162">
        <v>1</v>
      </c>
      <c r="B58" s="163" t="s">
        <v>140</v>
      </c>
      <c r="C58" s="184">
        <f>(2576.78*21)*(1.3)</f>
        <v>70346.094000000012</v>
      </c>
      <c r="D58" s="165">
        <f>A58*C58</f>
        <v>70346.094000000012</v>
      </c>
    </row>
    <row r="59" spans="1:4" x14ac:dyDescent="0.25">
      <c r="A59" s="211">
        <v>1</v>
      </c>
      <c r="B59" s="212" t="s">
        <v>141</v>
      </c>
      <c r="C59" s="210">
        <f>9650*1.32</f>
        <v>12738</v>
      </c>
      <c r="D59" s="213">
        <f>A59*C59</f>
        <v>12738</v>
      </c>
    </row>
    <row r="60" spans="1:4" ht="26.4" x14ac:dyDescent="0.25">
      <c r="A60" s="211"/>
      <c r="B60" s="212" t="s">
        <v>142</v>
      </c>
      <c r="C60" s="210"/>
      <c r="D60" s="213"/>
    </row>
    <row r="61" spans="1:4" x14ac:dyDescent="0.25">
      <c r="A61" s="204"/>
      <c r="B61" s="206"/>
      <c r="C61" s="214"/>
      <c r="D61" s="215"/>
    </row>
    <row r="62" spans="1:4" ht="13.8" x14ac:dyDescent="0.25">
      <c r="B62" s="103" t="s">
        <v>15</v>
      </c>
    </row>
    <row r="63" spans="1:4" ht="15" x14ac:dyDescent="0.25">
      <c r="A63" s="106"/>
      <c r="B63" s="295" t="s">
        <v>42</v>
      </c>
    </row>
    <row r="64" spans="1:4" ht="41.4" x14ac:dyDescent="0.25">
      <c r="A64" s="106"/>
      <c r="B64" s="295" t="s">
        <v>143</v>
      </c>
      <c r="C64" s="109"/>
      <c r="D64" s="110"/>
    </row>
    <row r="65" spans="1:4" ht="15" x14ac:dyDescent="0.25">
      <c r="A65" s="106"/>
      <c r="B65" s="103" t="s">
        <v>18</v>
      </c>
      <c r="C65" s="109"/>
      <c r="D65" s="110"/>
    </row>
    <row r="66" spans="1:4" ht="15" x14ac:dyDescent="0.25">
      <c r="A66" s="106"/>
      <c r="B66" s="313" t="s">
        <v>144</v>
      </c>
      <c r="C66" s="109"/>
      <c r="D66" s="109"/>
    </row>
    <row r="67" spans="1:4" ht="15" x14ac:dyDescent="0.25">
      <c r="A67" s="106"/>
      <c r="B67" s="297" t="s">
        <v>20</v>
      </c>
      <c r="C67" s="109"/>
      <c r="D67" s="109"/>
    </row>
    <row r="68" spans="1:4" ht="13.8" x14ac:dyDescent="0.25">
      <c r="B68" s="103" t="s">
        <v>21</v>
      </c>
      <c r="D68" s="105"/>
    </row>
    <row r="69" spans="1:4" ht="15" x14ac:dyDescent="0.25">
      <c r="A69" s="106"/>
      <c r="B69" s="123" t="s">
        <v>145</v>
      </c>
      <c r="C69" s="109"/>
      <c r="D69" s="110"/>
    </row>
    <row r="70" spans="1:4" ht="15" x14ac:dyDescent="0.25">
      <c r="A70" s="106"/>
      <c r="B70" s="123" t="s">
        <v>44</v>
      </c>
      <c r="C70" s="109"/>
      <c r="D70" s="110"/>
    </row>
    <row r="71" spans="1:4" ht="15" x14ac:dyDescent="0.25">
      <c r="A71" s="106"/>
      <c r="B71" s="123" t="s">
        <v>45</v>
      </c>
      <c r="D71" s="181"/>
    </row>
    <row r="72" spans="1:4" ht="33.6" x14ac:dyDescent="0.4">
      <c r="A72" s="106"/>
      <c r="B72" s="218" t="s">
        <v>23</v>
      </c>
      <c r="C72" s="109"/>
      <c r="D72" s="109"/>
    </row>
    <row r="73" spans="1:4" ht="16.8" x14ac:dyDescent="0.4">
      <c r="A73" s="106"/>
      <c r="B73" s="219"/>
      <c r="C73" s="220"/>
      <c r="D73" s="220"/>
    </row>
    <row r="74" spans="1:4" ht="13.8" x14ac:dyDescent="0.25">
      <c r="A74" s="115" t="s">
        <v>0</v>
      </c>
      <c r="B74" s="181"/>
      <c r="C74" s="181"/>
      <c r="D74" s="108"/>
    </row>
    <row r="75" spans="1:4" ht="13.8" x14ac:dyDescent="0.25">
      <c r="A75" s="221"/>
      <c r="B75" s="181"/>
      <c r="C75" s="181"/>
      <c r="D75" s="108"/>
    </row>
    <row r="76" spans="1:4" x14ac:dyDescent="0.25">
      <c r="A76" s="222"/>
      <c r="B76" s="223"/>
      <c r="C76" s="181"/>
      <c r="D76" s="108"/>
    </row>
    <row r="77" spans="1:4" ht="15" x14ac:dyDescent="0.35">
      <c r="A77" s="222"/>
      <c r="B77" s="224"/>
      <c r="C77" s="181"/>
      <c r="D77" s="181"/>
    </row>
    <row r="78" spans="1:4" x14ac:dyDescent="0.25">
      <c r="A78" s="225"/>
    </row>
    <row r="79" spans="1:4" x14ac:dyDescent="0.25">
      <c r="A79" s="226" t="s">
        <v>0</v>
      </c>
    </row>
    <row r="80" spans="1:4" x14ac:dyDescent="0.25">
      <c r="A80" s="108"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3" fitToWidth="0" orientation="portrait" r:id="rId1"/>
  <headerFooter alignWithMargins="0">
    <oddFooter>Página &amp;P de &amp;N</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2FC68-BD84-4349-9549-CD408B1D5A74}">
  <sheetPr>
    <pageSetUpPr fitToPage="1"/>
  </sheetPr>
  <dimension ref="A1:F69"/>
  <sheetViews>
    <sheetView topLeftCell="A11" zoomScaleNormal="100" workbookViewId="0">
      <selection activeCell="A8" sqref="A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485</v>
      </c>
      <c r="B8" s="10"/>
      <c r="C8" s="58"/>
      <c r="D8" s="58"/>
    </row>
    <row r="9" spans="1:5" s="55" customFormat="1" ht="16.8" x14ac:dyDescent="0.4">
      <c r="A9" s="57" t="s">
        <v>486</v>
      </c>
      <c r="B9" s="10"/>
      <c r="C9" s="58"/>
      <c r="D9" s="58"/>
    </row>
    <row r="10" spans="1:5" s="55" customFormat="1" ht="16.8" x14ac:dyDescent="0.4">
      <c r="A10" s="57" t="s">
        <v>461</v>
      </c>
      <c r="B10" s="10"/>
      <c r="C10" s="58"/>
      <c r="D10" s="58"/>
    </row>
    <row r="11" spans="1:5" s="55" customFormat="1" ht="16.8" x14ac:dyDescent="0.4">
      <c r="A11" s="57" t="s">
        <v>487</v>
      </c>
      <c r="B11" s="10"/>
      <c r="C11" s="59"/>
      <c r="D11" s="58"/>
    </row>
    <row r="12" spans="1:5" s="55" customFormat="1" ht="15" customHeight="1" x14ac:dyDescent="0.4">
      <c r="A12" s="60" t="s">
        <v>462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469</v>
      </c>
      <c r="C16" s="74">
        <v>14000</v>
      </c>
      <c r="D16" s="75">
        <f>A16*C16</f>
        <v>14000</v>
      </c>
      <c r="E16" s="76"/>
    </row>
    <row r="17" spans="1:6" ht="31.2" x14ac:dyDescent="0.25">
      <c r="A17" s="77">
        <v>1</v>
      </c>
      <c r="B17" s="78" t="s">
        <v>466</v>
      </c>
      <c r="C17" s="79">
        <f>54884*1.3</f>
        <v>71349.2</v>
      </c>
      <c r="D17" s="80">
        <f>A17*C17</f>
        <v>71349.2</v>
      </c>
      <c r="E17" s="76"/>
    </row>
    <row r="18" spans="1:6" ht="33.75" customHeight="1" x14ac:dyDescent="0.25">
      <c r="A18" s="77">
        <v>1</v>
      </c>
      <c r="B18" s="81" t="s">
        <v>467</v>
      </c>
      <c r="C18" s="82">
        <f>(69994)*(1.3)</f>
        <v>90992.2</v>
      </c>
      <c r="D18" s="83">
        <f t="shared" ref="D18:D19" si="0">A18*C18</f>
        <v>90992.2</v>
      </c>
      <c r="E18" s="76"/>
    </row>
    <row r="19" spans="1:6" ht="30" x14ac:dyDescent="0.25">
      <c r="A19" s="77">
        <v>1</v>
      </c>
      <c r="B19" s="81" t="s">
        <v>472</v>
      </c>
      <c r="C19" s="82">
        <f>(625.11*20.56)*1.3+(4500)</f>
        <v>21207.94008</v>
      </c>
      <c r="D19" s="83">
        <f t="shared" si="0"/>
        <v>21207.94008</v>
      </c>
      <c r="E19" s="76"/>
    </row>
    <row r="20" spans="1:6" ht="30" x14ac:dyDescent="0.25">
      <c r="A20" s="72">
        <v>1</v>
      </c>
      <c r="B20" s="73" t="s">
        <v>33</v>
      </c>
      <c r="C20" s="74">
        <v>4600</v>
      </c>
      <c r="D20" s="75">
        <f>A20*C20</f>
        <v>4600</v>
      </c>
      <c r="E20" s="76"/>
    </row>
    <row r="21" spans="1:6" ht="15.6" x14ac:dyDescent="0.25">
      <c r="A21" s="84">
        <v>140</v>
      </c>
      <c r="B21" s="85" t="s">
        <v>34</v>
      </c>
      <c r="C21" s="86">
        <v>16.12</v>
      </c>
      <c r="D21" s="87">
        <f>A21*C21</f>
        <v>2256.8000000000002</v>
      </c>
      <c r="E21" s="76"/>
    </row>
    <row r="22" spans="1:6" ht="15.6" x14ac:dyDescent="0.25">
      <c r="A22" s="84">
        <v>1</v>
      </c>
      <c r="B22" s="85" t="s">
        <v>35</v>
      </c>
      <c r="C22" s="88">
        <f>(5150)*(2)</f>
        <v>10300</v>
      </c>
      <c r="D22" s="83">
        <f t="shared" ref="D22:D23" si="1">A22*C22</f>
        <v>10300</v>
      </c>
      <c r="E22" s="76"/>
    </row>
    <row r="23" spans="1:6" ht="15.6" x14ac:dyDescent="0.25">
      <c r="A23" s="84">
        <v>1</v>
      </c>
      <c r="B23" s="85" t="s">
        <v>208</v>
      </c>
      <c r="C23" s="88">
        <f>(11896)*(1.51)</f>
        <v>17962.96</v>
      </c>
      <c r="D23" s="83">
        <f t="shared" si="1"/>
        <v>17962.96</v>
      </c>
      <c r="E23" s="76"/>
    </row>
    <row r="24" spans="1:6" ht="15.6" x14ac:dyDescent="0.25">
      <c r="A24" s="72">
        <v>1</v>
      </c>
      <c r="B24" s="73" t="s">
        <v>36</v>
      </c>
      <c r="C24" s="74">
        <v>2209</v>
      </c>
      <c r="D24" s="75">
        <f>A24*C24</f>
        <v>2209</v>
      </c>
      <c r="E24" s="76"/>
    </row>
    <row r="25" spans="1:6" ht="45" x14ac:dyDescent="0.25">
      <c r="A25" s="72">
        <v>1</v>
      </c>
      <c r="B25" s="73" t="s">
        <v>468</v>
      </c>
      <c r="C25" s="74">
        <v>14000</v>
      </c>
      <c r="D25" s="75">
        <f>A25*C25</f>
        <v>14000</v>
      </c>
      <c r="E25" s="76"/>
    </row>
    <row r="26" spans="1:6" ht="18.75" customHeight="1" x14ac:dyDescent="0.25">
      <c r="A26" s="72"/>
      <c r="B26" s="75"/>
      <c r="C26" s="75"/>
      <c r="D26" s="75"/>
    </row>
    <row r="27" spans="1:6" ht="15.6" x14ac:dyDescent="0.25">
      <c r="A27" s="89"/>
      <c r="B27" s="90"/>
      <c r="C27" s="91" t="s">
        <v>38</v>
      </c>
      <c r="D27" s="75">
        <f>SUM(D16:D25)</f>
        <v>248878.10007999997</v>
      </c>
      <c r="E27" s="96"/>
    </row>
    <row r="28" spans="1:6" ht="15.75" customHeight="1" x14ac:dyDescent="0.3">
      <c r="A28" s="92"/>
      <c r="B28" s="90"/>
      <c r="C28" s="93" t="s">
        <v>39</v>
      </c>
      <c r="D28" s="75">
        <f>D27*0.16</f>
        <v>39820.496012799995</v>
      </c>
      <c r="E28" s="96"/>
      <c r="F28" s="96"/>
    </row>
    <row r="29" spans="1:6" s="96" customFormat="1" ht="16.2" thickBot="1" x14ac:dyDescent="0.35">
      <c r="A29" s="92"/>
      <c r="B29" s="90"/>
      <c r="C29" s="94" t="s">
        <v>40</v>
      </c>
      <c r="D29" s="95">
        <f>D27+D28</f>
        <v>288698.59609279997</v>
      </c>
      <c r="E29" s="52"/>
    </row>
    <row r="30" spans="1:6" s="96" customFormat="1" ht="15.75" customHeight="1" thickBot="1" x14ac:dyDescent="0.3">
      <c r="A30" s="92"/>
      <c r="B30" s="1023" t="s">
        <v>483</v>
      </c>
      <c r="C30" s="1024"/>
      <c r="D30" s="1025"/>
      <c r="E30" s="52"/>
      <c r="F30" s="52"/>
    </row>
    <row r="31" spans="1:6" ht="13.5" customHeight="1" x14ac:dyDescent="0.25">
      <c r="B31" s="370" t="s">
        <v>9</v>
      </c>
      <c r="C31" s="98"/>
      <c r="D31" s="99"/>
    </row>
    <row r="32" spans="1:6" ht="34.799999999999997" x14ac:dyDescent="0.25">
      <c r="B32" s="124" t="s">
        <v>484</v>
      </c>
      <c r="C32" s="76"/>
      <c r="D32" s="96"/>
    </row>
    <row r="33" spans="1:4" ht="13.5" customHeight="1" x14ac:dyDescent="0.25">
      <c r="A33" s="96"/>
      <c r="B33" s="103" t="s">
        <v>11</v>
      </c>
      <c r="C33" s="96"/>
      <c r="D33" s="96"/>
    </row>
    <row r="34" spans="1:4" ht="15" x14ac:dyDescent="0.25">
      <c r="A34" s="101"/>
      <c r="B34" s="123" t="s">
        <v>12</v>
      </c>
      <c r="C34" s="52"/>
      <c r="D34" s="52"/>
    </row>
    <row r="35" spans="1:4" ht="15" x14ac:dyDescent="0.25">
      <c r="A35" s="101"/>
      <c r="B35" s="123" t="s">
        <v>13</v>
      </c>
      <c r="C35" s="52"/>
      <c r="D35" s="52"/>
    </row>
    <row r="36" spans="1:4" ht="13.5" customHeight="1" x14ac:dyDescent="0.25">
      <c r="A36" s="101"/>
      <c r="B36" s="123" t="s">
        <v>14</v>
      </c>
      <c r="C36" s="52"/>
      <c r="D36" s="52"/>
    </row>
    <row r="37" spans="1:4" ht="13.5" customHeight="1" x14ac:dyDescent="0.25">
      <c r="A37" s="102"/>
      <c r="B37" s="103" t="s">
        <v>15</v>
      </c>
      <c r="C37" s="52"/>
      <c r="D37" s="52"/>
    </row>
    <row r="38" spans="1:4" ht="13.5" customHeight="1" x14ac:dyDescent="0.25">
      <c r="A38" s="102"/>
      <c r="B38" s="295" t="s">
        <v>42</v>
      </c>
      <c r="C38" s="104"/>
      <c r="D38" s="105"/>
    </row>
    <row r="39" spans="1:4" ht="13.5" customHeight="1" x14ac:dyDescent="0.25">
      <c r="A39" s="106"/>
      <c r="B39" s="295" t="s">
        <v>43</v>
      </c>
      <c r="C39" s="104"/>
      <c r="D39" s="105"/>
    </row>
    <row r="40" spans="1:4" ht="13.5" customHeight="1" x14ac:dyDescent="0.25">
      <c r="A40" s="106"/>
      <c r="B40" s="103" t="s">
        <v>18</v>
      </c>
      <c r="C40" s="107"/>
      <c r="D40" s="105"/>
    </row>
    <row r="41" spans="1:4" ht="15" x14ac:dyDescent="0.25">
      <c r="A41" s="106"/>
      <c r="B41" s="313" t="s">
        <v>410</v>
      </c>
      <c r="C41" s="107"/>
      <c r="D41" s="105"/>
    </row>
    <row r="42" spans="1:4" ht="15" x14ac:dyDescent="0.25">
      <c r="A42" s="106"/>
      <c r="B42" s="297" t="s">
        <v>20</v>
      </c>
      <c r="C42" s="107"/>
      <c r="D42" s="105"/>
    </row>
    <row r="43" spans="1:4" ht="13.8" x14ac:dyDescent="0.25">
      <c r="A43" s="108"/>
      <c r="B43" s="103" t="s">
        <v>21</v>
      </c>
      <c r="C43" s="107"/>
      <c r="D43" s="105"/>
    </row>
    <row r="44" spans="1:4" ht="15" x14ac:dyDescent="0.25">
      <c r="A44" s="106"/>
      <c r="B44" s="122" t="s">
        <v>262</v>
      </c>
      <c r="C44" s="107"/>
      <c r="D44" s="107"/>
    </row>
    <row r="45" spans="1:4" ht="15" x14ac:dyDescent="0.25">
      <c r="A45" s="106"/>
      <c r="B45" s="123" t="s">
        <v>44</v>
      </c>
      <c r="C45" s="107"/>
      <c r="D45" s="107"/>
    </row>
    <row r="46" spans="1:4" ht="15" x14ac:dyDescent="0.25">
      <c r="A46" s="106"/>
      <c r="B46" s="123" t="s">
        <v>45</v>
      </c>
      <c r="C46" s="109"/>
      <c r="D46" s="110"/>
    </row>
    <row r="47" spans="1:4" ht="33.6" x14ac:dyDescent="0.25">
      <c r="A47" s="106"/>
      <c r="B47" s="314" t="s">
        <v>23</v>
      </c>
      <c r="C47" s="109"/>
      <c r="D47" s="110"/>
    </row>
    <row r="48" spans="1:4" ht="16.8" x14ac:dyDescent="0.4">
      <c r="A48" s="106"/>
      <c r="B48" s="111"/>
      <c r="C48" s="109"/>
      <c r="D48" s="109"/>
    </row>
    <row r="49" spans="1:4" ht="13.8" x14ac:dyDescent="0.25">
      <c r="A49" s="108"/>
      <c r="B49" s="112"/>
      <c r="C49" s="109"/>
      <c r="D49" s="109"/>
    </row>
    <row r="50" spans="1:4" ht="15" x14ac:dyDescent="0.25">
      <c r="A50" s="106"/>
      <c r="B50" s="112"/>
      <c r="C50" s="107"/>
      <c r="D50" s="105"/>
    </row>
    <row r="51" spans="1:4" ht="15" x14ac:dyDescent="0.25">
      <c r="A51" s="106"/>
      <c r="B51" s="113"/>
      <c r="C51" s="109"/>
      <c r="D51" s="110"/>
    </row>
    <row r="52" spans="1:4" ht="16.2" x14ac:dyDescent="0.35">
      <c r="A52" s="106"/>
      <c r="B52" s="114"/>
      <c r="C52" s="109"/>
      <c r="D52" s="110"/>
    </row>
    <row r="53" spans="1:4" ht="13.8" x14ac:dyDescent="0.25">
      <c r="A53" s="115" t="s">
        <v>0</v>
      </c>
      <c r="C53" s="109"/>
      <c r="D53" s="110"/>
    </row>
    <row r="54" spans="1:4" ht="13.8" x14ac:dyDescent="0.25">
      <c r="A54" s="116"/>
      <c r="C54" s="109"/>
      <c r="D54" s="109"/>
    </row>
    <row r="55" spans="1:4" ht="13.8" x14ac:dyDescent="0.25">
      <c r="A55" s="117"/>
      <c r="C55" s="118"/>
      <c r="D55" s="118"/>
    </row>
    <row r="56" spans="1:4" x14ac:dyDescent="0.25">
      <c r="A56" s="117"/>
      <c r="C56" s="112"/>
      <c r="D56" s="52"/>
    </row>
    <row r="57" spans="1:4" x14ac:dyDescent="0.25">
      <c r="A57" s="119"/>
      <c r="C57" s="112"/>
      <c r="D57" s="52"/>
    </row>
    <row r="58" spans="1:4" x14ac:dyDescent="0.25">
      <c r="A58" s="120" t="s">
        <v>0</v>
      </c>
      <c r="C58" s="112"/>
      <c r="D58" s="52"/>
    </row>
    <row r="59" spans="1:4" x14ac:dyDescent="0.25">
      <c r="A59" s="52" t="s">
        <v>0</v>
      </c>
      <c r="C59" s="112"/>
      <c r="D59"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30:D30"/>
  </mergeCells>
  <pageMargins left="0.25" right="0.25" top="0.75" bottom="0.75" header="0.3" footer="0.3"/>
  <pageSetup fitToHeight="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D987-87B5-4734-8F4B-E7315CE984FB}">
  <sheetPr>
    <pageSetUpPr fitToPage="1"/>
  </sheetPr>
  <dimension ref="A1:E66"/>
  <sheetViews>
    <sheetView topLeftCell="A7" zoomScaleNormal="100" workbookViewId="0">
      <selection activeCell="A8" sqref="A8:B1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533</v>
      </c>
      <c r="B8" s="10"/>
      <c r="C8" s="58"/>
      <c r="D8" s="58"/>
    </row>
    <row r="9" spans="1:5" s="55" customFormat="1" ht="16.8" x14ac:dyDescent="0.4">
      <c r="A9" s="57" t="s">
        <v>534</v>
      </c>
      <c r="B9" s="10"/>
      <c r="C9" s="58"/>
      <c r="D9" s="58"/>
    </row>
    <row r="10" spans="1:5" s="55" customFormat="1" ht="16.8" x14ac:dyDescent="0.4">
      <c r="A10" s="57" t="s">
        <v>535</v>
      </c>
      <c r="B10" s="10"/>
      <c r="C10" s="58"/>
      <c r="D10" s="58"/>
    </row>
    <row r="11" spans="1:5" s="55" customFormat="1" ht="16.8" x14ac:dyDescent="0.4">
      <c r="A11" s="57" t="s">
        <v>536</v>
      </c>
      <c r="B11" s="10"/>
      <c r="C11" s="59"/>
      <c r="D11" s="58"/>
    </row>
    <row r="12" spans="1:5" s="55" customFormat="1" ht="15" customHeight="1" x14ac:dyDescent="0.4">
      <c r="A12" s="60" t="s">
        <v>537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497</v>
      </c>
      <c r="C16" s="74">
        <v>54000</v>
      </c>
      <c r="D16" s="75">
        <f>A16*C16</f>
        <v>54000</v>
      </c>
      <c r="E16" s="76"/>
    </row>
    <row r="17" spans="1:5" ht="15.6" x14ac:dyDescent="0.25">
      <c r="A17" s="72">
        <v>1</v>
      </c>
      <c r="B17" s="73" t="s">
        <v>268</v>
      </c>
      <c r="C17" s="74">
        <v>6797</v>
      </c>
      <c r="D17" s="75">
        <f>C17*A17</f>
        <v>6797</v>
      </c>
      <c r="E17" s="76"/>
    </row>
    <row r="18" spans="1:5" ht="15.6" x14ac:dyDescent="0.25">
      <c r="A18" s="72">
        <v>1</v>
      </c>
      <c r="B18" s="73" t="s">
        <v>269</v>
      </c>
      <c r="C18" s="74">
        <v>5664</v>
      </c>
      <c r="D18" s="75">
        <f>A18*C18</f>
        <v>5664</v>
      </c>
      <c r="E18" s="76"/>
    </row>
    <row r="19" spans="1:5" ht="15.6" x14ac:dyDescent="0.25">
      <c r="A19" s="72">
        <v>3</v>
      </c>
      <c r="B19" s="73" t="s">
        <v>270</v>
      </c>
      <c r="C19" s="74">
        <v>320</v>
      </c>
      <c r="D19" s="75">
        <f>A19*C19</f>
        <v>960</v>
      </c>
      <c r="E19" s="76"/>
    </row>
    <row r="20" spans="1:5" ht="9.75" customHeight="1" x14ac:dyDescent="0.25">
      <c r="A20" s="72"/>
      <c r="B20" s="75"/>
      <c r="C20" s="75"/>
      <c r="D20" s="75"/>
      <c r="E20" s="76"/>
    </row>
    <row r="21" spans="1:5" ht="15.6" x14ac:dyDescent="0.25">
      <c r="A21" s="89"/>
      <c r="B21" s="90"/>
      <c r="C21" s="304" t="s">
        <v>38</v>
      </c>
      <c r="D21" s="75">
        <f>SUM(D16:D19)</f>
        <v>67421</v>
      </c>
      <c r="E21" s="76"/>
    </row>
    <row r="22" spans="1:5" ht="15.6" x14ac:dyDescent="0.3">
      <c r="A22" s="92"/>
      <c r="B22" s="90"/>
      <c r="C22" s="305" t="s">
        <v>39</v>
      </c>
      <c r="D22" s="75">
        <f>D21*0.16</f>
        <v>10787.36</v>
      </c>
      <c r="E22" s="76"/>
    </row>
    <row r="23" spans="1:5" ht="16.2" thickBot="1" x14ac:dyDescent="0.35">
      <c r="A23" s="92"/>
      <c r="B23" s="90"/>
      <c r="C23" s="306" t="s">
        <v>40</v>
      </c>
      <c r="D23" s="95">
        <f>D21+D22</f>
        <v>78208.36</v>
      </c>
      <c r="E23" s="76"/>
    </row>
    <row r="24" spans="1:5" ht="16.2" thickBot="1" x14ac:dyDescent="0.3">
      <c r="A24" s="92"/>
      <c r="B24" s="1023" t="s">
        <v>503</v>
      </c>
      <c r="C24" s="1024"/>
      <c r="D24" s="1025"/>
      <c r="E24" s="76"/>
    </row>
    <row r="25" spans="1:5" ht="15.75" customHeight="1" x14ac:dyDescent="0.25">
      <c r="B25" s="97" t="s">
        <v>9</v>
      </c>
      <c r="C25" s="98"/>
      <c r="D25" s="99"/>
    </row>
    <row r="26" spans="1:5" s="96" customFormat="1" ht="19.5" customHeight="1" x14ac:dyDescent="0.25">
      <c r="A26" s="52"/>
      <c r="B26" s="255"/>
      <c r="C26" s="76"/>
    </row>
    <row r="27" spans="1:5" s="96" customFormat="1" ht="15.75" customHeight="1" x14ac:dyDescent="0.25">
      <c r="B27" s="103" t="s">
        <v>11</v>
      </c>
    </row>
    <row r="28" spans="1:5" ht="13.5" customHeight="1" x14ac:dyDescent="0.25">
      <c r="A28" s="101"/>
      <c r="B28" s="123" t="s">
        <v>12</v>
      </c>
      <c r="C28" s="52"/>
      <c r="D28" s="52"/>
    </row>
    <row r="29" spans="1:5" ht="13.5" customHeight="1" x14ac:dyDescent="0.25">
      <c r="A29" s="101"/>
      <c r="B29" s="123" t="s">
        <v>13</v>
      </c>
      <c r="C29" s="52"/>
      <c r="D29" s="52"/>
    </row>
    <row r="30" spans="1:5" ht="13.5" customHeight="1" x14ac:dyDescent="0.25">
      <c r="A30" s="101"/>
      <c r="B30" s="123" t="s">
        <v>14</v>
      </c>
      <c r="C30" s="52"/>
      <c r="D30" s="52"/>
    </row>
    <row r="31" spans="1:5" ht="13.8" x14ac:dyDescent="0.25">
      <c r="A31" s="102"/>
      <c r="B31" s="103" t="s">
        <v>15</v>
      </c>
      <c r="C31" s="52"/>
      <c r="D31" s="52"/>
    </row>
    <row r="32" spans="1:5" ht="13.8" x14ac:dyDescent="0.25">
      <c r="A32" s="102"/>
      <c r="B32" s="295" t="s">
        <v>42</v>
      </c>
      <c r="C32" s="104"/>
      <c r="D32" s="105"/>
    </row>
    <row r="33" spans="1:4" ht="13.5" customHeight="1" x14ac:dyDescent="0.25">
      <c r="A33" s="106"/>
      <c r="B33" s="295" t="s">
        <v>43</v>
      </c>
      <c r="C33" s="104"/>
      <c r="D33" s="105"/>
    </row>
    <row r="34" spans="1:4" ht="13.5" customHeight="1" x14ac:dyDescent="0.25">
      <c r="A34" s="106"/>
      <c r="B34" s="103" t="s">
        <v>18</v>
      </c>
      <c r="C34" s="107"/>
      <c r="D34" s="105"/>
    </row>
    <row r="35" spans="1:4" ht="13.5" customHeight="1" x14ac:dyDescent="0.25">
      <c r="A35" s="106"/>
      <c r="B35" s="313" t="s">
        <v>272</v>
      </c>
      <c r="C35" s="107"/>
      <c r="D35" s="105"/>
    </row>
    <row r="36" spans="1:4" ht="13.5" customHeight="1" x14ac:dyDescent="0.25">
      <c r="A36" s="106"/>
      <c r="B36" s="297" t="s">
        <v>20</v>
      </c>
      <c r="C36" s="107"/>
      <c r="D36" s="105"/>
    </row>
    <row r="37" spans="1:4" ht="13.5" customHeight="1" x14ac:dyDescent="0.25">
      <c r="A37" s="108"/>
      <c r="B37" s="103" t="s">
        <v>21</v>
      </c>
      <c r="C37" s="107"/>
      <c r="D37" s="105"/>
    </row>
    <row r="38" spans="1:4" ht="15" x14ac:dyDescent="0.25">
      <c r="A38" s="106"/>
      <c r="B38" s="122" t="s">
        <v>262</v>
      </c>
      <c r="C38" s="107"/>
      <c r="D38" s="107"/>
    </row>
    <row r="39" spans="1:4" ht="15" x14ac:dyDescent="0.25">
      <c r="A39" s="106"/>
      <c r="B39" s="123" t="s">
        <v>44</v>
      </c>
      <c r="C39" s="107"/>
      <c r="D39" s="107"/>
    </row>
    <row r="40" spans="1:4" ht="15" x14ac:dyDescent="0.25">
      <c r="A40" s="106"/>
      <c r="B40" s="123" t="s">
        <v>45</v>
      </c>
      <c r="C40" s="109"/>
      <c r="D40" s="110"/>
    </row>
    <row r="41" spans="1:4" ht="33.6" x14ac:dyDescent="0.25">
      <c r="A41" s="106"/>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4:D24"/>
  </mergeCells>
  <pageMargins left="0.25" right="0.25" top="0.75" bottom="0.75" header="0.3" footer="0.3"/>
  <pageSetup scale="61"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C1BE3-0E1D-46E6-A960-1C924F083A41}">
  <sheetPr>
    <tabColor theme="4" tint="-0.249977111117893"/>
    <pageSetUpPr fitToPage="1"/>
  </sheetPr>
  <dimension ref="A1:E62"/>
  <sheetViews>
    <sheetView topLeftCell="A4" zoomScaleNormal="100" workbookViewId="0">
      <selection activeCell="A8" sqref="A8:B12"/>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57" t="s">
        <v>533</v>
      </c>
      <c r="C8" s="58"/>
      <c r="D8" s="58"/>
    </row>
    <row r="9" spans="1:5" s="10" customFormat="1" ht="16.8" x14ac:dyDescent="0.4">
      <c r="A9" s="57" t="s">
        <v>534</v>
      </c>
      <c r="C9" s="58"/>
      <c r="D9" s="58"/>
    </row>
    <row r="10" spans="1:5" s="10" customFormat="1" ht="16.8" x14ac:dyDescent="0.4">
      <c r="A10" s="57" t="s">
        <v>535</v>
      </c>
      <c r="C10" s="58"/>
      <c r="D10" s="58"/>
    </row>
    <row r="11" spans="1:5" s="10" customFormat="1" ht="16.8" x14ac:dyDescent="0.4">
      <c r="A11" s="57" t="s">
        <v>536</v>
      </c>
      <c r="C11" s="59"/>
      <c r="D11" s="58"/>
    </row>
    <row r="12" spans="1:5" s="10" customFormat="1" ht="15" customHeight="1" x14ac:dyDescent="0.4">
      <c r="A12" s="60" t="s">
        <v>537</v>
      </c>
      <c r="B12" s="61"/>
      <c r="C12" s="59"/>
      <c r="D12" s="58"/>
    </row>
    <row r="13" spans="1:5" s="10" customFormat="1" ht="15" customHeight="1" x14ac:dyDescent="0.4">
      <c r="A13" s="1060" t="s">
        <v>498</v>
      </c>
      <c r="B13" s="1061"/>
      <c r="C13" s="1062"/>
      <c r="D13" s="1063"/>
      <c r="E13" s="188"/>
    </row>
    <row r="14" spans="1:5" s="10" customFormat="1" ht="15" customHeight="1" x14ac:dyDescent="0.4">
      <c r="A14" s="260" t="s">
        <v>29</v>
      </c>
      <c r="B14" s="260" t="s">
        <v>30</v>
      </c>
      <c r="C14" s="261" t="s">
        <v>31</v>
      </c>
      <c r="D14" s="261" t="s">
        <v>32</v>
      </c>
      <c r="E14" s="189"/>
    </row>
    <row r="15" spans="1:5" s="188" customFormat="1" ht="13.8" x14ac:dyDescent="0.25">
      <c r="A15" s="262"/>
      <c r="B15" s="263"/>
      <c r="C15" s="264"/>
      <c r="D15" s="264"/>
      <c r="E15" s="190"/>
    </row>
    <row r="16" spans="1:5" ht="52.8" x14ac:dyDescent="0.25">
      <c r="A16" s="445">
        <v>1</v>
      </c>
      <c r="B16" s="446" t="s">
        <v>499</v>
      </c>
      <c r="C16" s="447">
        <v>63000</v>
      </c>
      <c r="D16" s="448">
        <f>A16*C16</f>
        <v>63000</v>
      </c>
      <c r="E16" s="189"/>
    </row>
    <row r="17" spans="1:5" s="191" customFormat="1" ht="15.75" customHeight="1" x14ac:dyDescent="0.25">
      <c r="A17" s="445">
        <v>1</v>
      </c>
      <c r="B17" s="446" t="s">
        <v>500</v>
      </c>
      <c r="C17" s="447">
        <v>1150</v>
      </c>
      <c r="D17" s="448"/>
      <c r="E17" s="189"/>
    </row>
    <row r="18" spans="1:5" x14ac:dyDescent="0.25">
      <c r="A18" s="449"/>
      <c r="B18" s="450"/>
      <c r="C18" s="451" t="s">
        <v>188</v>
      </c>
      <c r="D18" s="452">
        <f>SUM(D16:D16)</f>
        <v>63000</v>
      </c>
      <c r="E18" s="189"/>
    </row>
    <row r="19" spans="1:5" x14ac:dyDescent="0.25">
      <c r="A19" s="453"/>
      <c r="B19" s="454" t="s">
        <v>380</v>
      </c>
      <c r="C19" s="455" t="s">
        <v>90</v>
      </c>
      <c r="D19" s="456">
        <f>D18*0.16</f>
        <v>10080</v>
      </c>
      <c r="E19" s="189"/>
    </row>
    <row r="20" spans="1:5" ht="13.8" thickBot="1" x14ac:dyDescent="0.3">
      <c r="A20" s="276"/>
      <c r="B20" s="385" t="s">
        <v>381</v>
      </c>
      <c r="C20" s="457" t="s">
        <v>40</v>
      </c>
      <c r="D20" s="458">
        <f>D18+D19</f>
        <v>73080</v>
      </c>
      <c r="E20" s="189"/>
    </row>
    <row r="21" spans="1:5" ht="13.5" customHeight="1" thickBot="1" x14ac:dyDescent="0.3">
      <c r="A21" s="102"/>
      <c r="B21" s="459" t="s">
        <v>504</v>
      </c>
      <c r="C21" s="460"/>
      <c r="D21" s="461"/>
      <c r="E21" s="189"/>
    </row>
    <row r="22" spans="1:5" ht="15" x14ac:dyDescent="0.25">
      <c r="A22" s="106"/>
      <c r="B22" s="97" t="s">
        <v>11</v>
      </c>
      <c r="C22" s="462"/>
      <c r="D22" s="254"/>
    </row>
    <row r="23" spans="1:5" ht="15" x14ac:dyDescent="0.25">
      <c r="A23" s="106"/>
      <c r="B23" s="123" t="s">
        <v>12</v>
      </c>
      <c r="D23" s="105"/>
      <c r="E23" s="189"/>
    </row>
    <row r="24" spans="1:5" ht="15" x14ac:dyDescent="0.25">
      <c r="A24" s="106"/>
      <c r="B24" s="123" t="s">
        <v>13</v>
      </c>
      <c r="D24" s="105"/>
    </row>
    <row r="25" spans="1:5" ht="15" x14ac:dyDescent="0.25">
      <c r="A25" s="106"/>
      <c r="B25" s="123" t="s">
        <v>14</v>
      </c>
      <c r="D25" s="105"/>
    </row>
    <row r="26" spans="1:5" ht="13.8" x14ac:dyDescent="0.25">
      <c r="B26" s="103" t="s">
        <v>15</v>
      </c>
    </row>
    <row r="27" spans="1:5" ht="27.6" x14ac:dyDescent="0.25">
      <c r="A27" s="106"/>
      <c r="B27" s="295" t="s">
        <v>42</v>
      </c>
    </row>
    <row r="28" spans="1:5" ht="41.4" x14ac:dyDescent="0.25">
      <c r="A28" s="106"/>
      <c r="B28" s="295" t="s">
        <v>43</v>
      </c>
      <c r="C28" s="109"/>
      <c r="D28" s="110"/>
    </row>
    <row r="29" spans="1:5" ht="13.5" customHeight="1" x14ac:dyDescent="0.25">
      <c r="A29" s="106"/>
      <c r="B29" s="103" t="s">
        <v>18</v>
      </c>
      <c r="C29" s="109"/>
      <c r="D29" s="110"/>
    </row>
    <row r="30" spans="1:5" ht="15" x14ac:dyDescent="0.25">
      <c r="A30" s="106"/>
      <c r="B30" s="296" t="s">
        <v>501</v>
      </c>
      <c r="C30" s="109"/>
      <c r="D30" s="109"/>
    </row>
    <row r="31" spans="1:5" ht="15" x14ac:dyDescent="0.25">
      <c r="A31" s="106"/>
      <c r="B31" s="297" t="s">
        <v>20</v>
      </c>
      <c r="C31" s="109"/>
      <c r="D31" s="109"/>
    </row>
    <row r="32" spans="1:5" ht="13.8" x14ac:dyDescent="0.25">
      <c r="B32" s="103" t="s">
        <v>21</v>
      </c>
      <c r="D32" s="105"/>
    </row>
    <row r="33" spans="1:4" ht="15" x14ac:dyDescent="0.25">
      <c r="A33" s="106"/>
      <c r="B33" s="122" t="s">
        <v>502</v>
      </c>
      <c r="C33" s="109"/>
      <c r="D33" s="110"/>
    </row>
    <row r="34" spans="1:4" ht="15.75" customHeight="1"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2">
    <mergeCell ref="A4:D4"/>
    <mergeCell ref="A13:D13"/>
  </mergeCells>
  <printOptions horizontalCentered="1"/>
  <pageMargins left="0.25" right="0.25" top="0.75" bottom="0.75" header="0.3" footer="0.3"/>
  <pageSetup paperSize="9" scale="93" fitToHeight="0" orientation="portrait" r:id="rId1"/>
  <headerFooter alignWithMargins="0">
    <oddFooter>Página &amp;P de &amp;N</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6D46-36F5-4EA2-8D68-59BDC99F2674}">
  <sheetPr>
    <pageSetUpPr fitToPage="1"/>
  </sheetPr>
  <dimension ref="A1:E66"/>
  <sheetViews>
    <sheetView zoomScaleNormal="100" workbookViewId="0">
      <selection activeCell="C16" sqref="C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533</v>
      </c>
      <c r="B8" s="10"/>
      <c r="C8" s="58"/>
      <c r="D8" s="58"/>
    </row>
    <row r="9" spans="1:5" s="55" customFormat="1" ht="16.8" x14ac:dyDescent="0.4">
      <c r="A9" s="57" t="s">
        <v>534</v>
      </c>
      <c r="B9" s="10"/>
      <c r="C9" s="58"/>
      <c r="D9" s="58"/>
    </row>
    <row r="10" spans="1:5" s="55" customFormat="1" ht="16.8" x14ac:dyDescent="0.4">
      <c r="A10" s="57" t="s">
        <v>535</v>
      </c>
      <c r="B10" s="10"/>
      <c r="C10" s="58"/>
      <c r="D10" s="58"/>
    </row>
    <row r="11" spans="1:5" s="55" customFormat="1" ht="16.8" x14ac:dyDescent="0.4">
      <c r="A11" s="57" t="s">
        <v>536</v>
      </c>
      <c r="B11" s="10"/>
      <c r="C11" s="59"/>
      <c r="D11" s="58"/>
    </row>
    <row r="12" spans="1:5" s="55" customFormat="1" ht="15" customHeight="1" x14ac:dyDescent="0.4">
      <c r="A12" s="60" t="s">
        <v>537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429">
        <v>1</v>
      </c>
      <c r="B16" s="73" t="s">
        <v>445</v>
      </c>
      <c r="C16" s="428">
        <f>(5500+(25*128))*(1.3)</f>
        <v>11310</v>
      </c>
      <c r="D16" s="75">
        <f>(5500+(25*128))*(1.3)</f>
        <v>11310</v>
      </c>
      <c r="E16" s="76"/>
    </row>
    <row r="17" spans="1:5" ht="12.6" customHeight="1" x14ac:dyDescent="0.25">
      <c r="A17" s="72"/>
      <c r="B17" s="75"/>
      <c r="C17" s="75"/>
      <c r="D17" s="75"/>
      <c r="E17" s="76"/>
    </row>
    <row r="18" spans="1:5" ht="15.6" x14ac:dyDescent="0.25">
      <c r="A18" s="89"/>
      <c r="B18" s="90"/>
      <c r="C18" s="304" t="s">
        <v>38</v>
      </c>
      <c r="D18" s="75">
        <f>SUM(D16:D16)</f>
        <v>11310</v>
      </c>
      <c r="E18" s="76"/>
    </row>
    <row r="19" spans="1:5" ht="15.6" x14ac:dyDescent="0.3">
      <c r="A19" s="92"/>
      <c r="B19" s="90"/>
      <c r="C19" s="305" t="s">
        <v>39</v>
      </c>
      <c r="D19" s="75">
        <f>D18*0.16</f>
        <v>1809.6000000000001</v>
      </c>
      <c r="E19" s="76"/>
    </row>
    <row r="20" spans="1:5" ht="16.2" thickBot="1" x14ac:dyDescent="0.35">
      <c r="A20" s="92"/>
      <c r="B20" s="90"/>
      <c r="C20" s="306" t="s">
        <v>40</v>
      </c>
      <c r="D20" s="95">
        <f>D18+D19</f>
        <v>13119.6</v>
      </c>
    </row>
    <row r="21" spans="1:5" ht="18.75" customHeight="1" thickBot="1" x14ac:dyDescent="0.3">
      <c r="A21" s="92"/>
      <c r="B21" s="1023" t="s">
        <v>538</v>
      </c>
      <c r="C21" s="1024"/>
      <c r="D21" s="1025"/>
      <c r="E21" s="96"/>
    </row>
    <row r="22" spans="1:5" ht="18.75" customHeight="1" x14ac:dyDescent="0.25">
      <c r="B22" s="97" t="s">
        <v>9</v>
      </c>
      <c r="C22" s="98"/>
      <c r="D22" s="99"/>
      <c r="E22" s="96"/>
    </row>
    <row r="23" spans="1:5" ht="18.75" customHeight="1" x14ac:dyDescent="0.25">
      <c r="B23" s="255"/>
      <c r="C23" s="76"/>
      <c r="D23" s="96"/>
    </row>
    <row r="24" spans="1:5" ht="18.75" customHeight="1" x14ac:dyDescent="0.25">
      <c r="A24" s="426"/>
      <c r="B24" s="103" t="s">
        <v>11</v>
      </c>
      <c r="C24" s="96"/>
      <c r="D24" s="96"/>
    </row>
    <row r="25" spans="1:5" ht="15.75" customHeight="1" x14ac:dyDescent="0.25">
      <c r="A25" s="427"/>
      <c r="B25" s="123" t="s">
        <v>12</v>
      </c>
      <c r="C25" s="52"/>
      <c r="D25" s="52"/>
    </row>
    <row r="26" spans="1:5" s="96" customFormat="1" ht="19.5" customHeight="1" x14ac:dyDescent="0.25">
      <c r="A26" s="427"/>
      <c r="B26" s="123" t="s">
        <v>13</v>
      </c>
      <c r="C26" s="52"/>
      <c r="D26" s="52"/>
      <c r="E26" s="52"/>
    </row>
    <row r="27" spans="1:5" s="96" customFormat="1" ht="15.75" customHeight="1" x14ac:dyDescent="0.25">
      <c r="A27" s="427"/>
      <c r="B27" s="123" t="s">
        <v>14</v>
      </c>
      <c r="C27" s="52"/>
      <c r="D27" s="52"/>
      <c r="E27" s="52"/>
    </row>
    <row r="28" spans="1:5" ht="13.5" customHeight="1" x14ac:dyDescent="0.25">
      <c r="A28" s="383"/>
      <c r="B28" s="103" t="s">
        <v>15</v>
      </c>
      <c r="C28" s="52"/>
      <c r="D28" s="52"/>
    </row>
    <row r="29" spans="1:5" ht="13.5" customHeight="1" x14ac:dyDescent="0.25">
      <c r="A29" s="383"/>
      <c r="B29" s="295" t="s">
        <v>42</v>
      </c>
      <c r="C29" s="104"/>
      <c r="D29" s="105"/>
    </row>
    <row r="30" spans="1:5" ht="13.5" customHeight="1" x14ac:dyDescent="0.25">
      <c r="A30" s="390"/>
      <c r="B30" s="295" t="s">
        <v>43</v>
      </c>
      <c r="C30" s="104"/>
      <c r="D30" s="105"/>
    </row>
    <row r="31" spans="1:5" ht="15" x14ac:dyDescent="0.25">
      <c r="A31" s="390"/>
      <c r="B31" s="103" t="s">
        <v>18</v>
      </c>
      <c r="C31" s="107"/>
      <c r="D31" s="105"/>
    </row>
    <row r="32" spans="1:5" ht="15" x14ac:dyDescent="0.25">
      <c r="A32" s="390"/>
      <c r="B32" s="313" t="s">
        <v>450</v>
      </c>
      <c r="C32" s="107"/>
      <c r="D32" s="105"/>
    </row>
    <row r="33" spans="1:4" ht="13.5" customHeight="1" x14ac:dyDescent="0.25">
      <c r="A33" s="390"/>
      <c r="B33" s="297" t="s">
        <v>20</v>
      </c>
      <c r="C33" s="107"/>
      <c r="D33" s="105"/>
    </row>
    <row r="34" spans="1:4" ht="13.5" customHeight="1" x14ac:dyDescent="0.25">
      <c r="A34" s="392"/>
      <c r="B34" s="103" t="s">
        <v>21</v>
      </c>
      <c r="C34" s="107"/>
      <c r="D34" s="105"/>
    </row>
    <row r="35" spans="1:4" ht="13.5" customHeight="1" x14ac:dyDescent="0.25">
      <c r="A35" s="390"/>
      <c r="B35" s="122" t="s">
        <v>262</v>
      </c>
      <c r="C35" s="107"/>
      <c r="D35" s="107"/>
    </row>
    <row r="36" spans="1:4" ht="13.5" customHeight="1" x14ac:dyDescent="0.25">
      <c r="A36" s="390"/>
      <c r="B36" s="123" t="s">
        <v>44</v>
      </c>
      <c r="C36" s="107"/>
      <c r="D36" s="107"/>
    </row>
    <row r="37" spans="1:4" ht="13.5" customHeight="1" x14ac:dyDescent="0.25">
      <c r="A37" s="390"/>
      <c r="B37" s="123" t="s">
        <v>45</v>
      </c>
      <c r="C37" s="109"/>
      <c r="D37" s="110"/>
    </row>
    <row r="38" spans="1:4" ht="33.6" x14ac:dyDescent="0.25">
      <c r="A38" s="390"/>
      <c r="B38" s="314" t="s">
        <v>23</v>
      </c>
      <c r="C38" s="109"/>
      <c r="D38" s="110"/>
    </row>
    <row r="39" spans="1:4" ht="16.8" x14ac:dyDescent="0.4">
      <c r="A39" s="106"/>
      <c r="B39" s="111"/>
      <c r="C39" s="109"/>
      <c r="D39" s="109"/>
    </row>
    <row r="40" spans="1:4" ht="13.8"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1:D21"/>
  </mergeCells>
  <pageMargins left="0.25" right="0.25" top="0.75" bottom="0.75" header="0.3" footer="0.3"/>
  <pageSetup scale="64" fitToHeight="0"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4DA9-587F-459A-A9FD-42937C82DE74}">
  <sheetPr>
    <tabColor theme="4" tint="-0.249977111117893"/>
    <pageSetUpPr fitToPage="1"/>
  </sheetPr>
  <dimension ref="A1:F75"/>
  <sheetViews>
    <sheetView topLeftCell="A27" zoomScaleNormal="100" workbookViewId="0">
      <selection activeCell="D31" sqref="D31:D32"/>
    </sheetView>
  </sheetViews>
  <sheetFormatPr baseColWidth="10" defaultColWidth="10.33203125" defaultRowHeight="13.2" x14ac:dyDescent="0.25"/>
  <cols>
    <col min="1" max="1" width="5.44140625" style="1" customWidth="1"/>
    <col min="2" max="2" width="94.21875" style="1" customWidth="1"/>
    <col min="3" max="3" width="14.6640625" style="3" customWidth="1"/>
    <col min="4" max="4" width="17.44140625" style="3" customWidth="1"/>
    <col min="5" max="16384" width="10.332031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57" t="s">
        <v>533</v>
      </c>
      <c r="B7" s="10"/>
      <c r="C7" s="139"/>
      <c r="D7" s="139"/>
    </row>
    <row r="8" spans="1:6" s="4" customFormat="1" ht="16.8" x14ac:dyDescent="0.4">
      <c r="A8" s="57" t="s">
        <v>534</v>
      </c>
      <c r="B8" s="10"/>
      <c r="C8" s="139"/>
      <c r="D8" s="139"/>
    </row>
    <row r="9" spans="1:6" s="4" customFormat="1" ht="16.8" x14ac:dyDescent="0.4">
      <c r="A9" s="57" t="s">
        <v>535</v>
      </c>
      <c r="B9" s="10"/>
      <c r="C9" s="139"/>
      <c r="D9" s="139"/>
    </row>
    <row r="10" spans="1:6" s="4" customFormat="1" ht="16.8" x14ac:dyDescent="0.4">
      <c r="A10" s="57" t="s">
        <v>536</v>
      </c>
      <c r="B10" s="10"/>
      <c r="C10" s="140"/>
      <c r="D10" s="139"/>
    </row>
    <row r="11" spans="1:6" s="4" customFormat="1" ht="16.8" x14ac:dyDescent="0.4">
      <c r="A11" s="60" t="s">
        <v>603</v>
      </c>
      <c r="B11" s="61"/>
      <c r="C11" s="140"/>
      <c r="D11" s="139"/>
    </row>
    <row r="12" spans="1:6" s="4" customFormat="1" ht="15" customHeight="1" x14ac:dyDescent="0.4">
      <c r="A12" s="137" t="s">
        <v>6</v>
      </c>
      <c r="B12" s="141"/>
      <c r="C12" s="142"/>
      <c r="D12" s="143"/>
    </row>
    <row r="13" spans="1:6" s="4" customFormat="1" ht="15" customHeight="1" x14ac:dyDescent="0.4">
      <c r="A13" s="145" t="s">
        <v>29</v>
      </c>
      <c r="B13" s="145" t="s">
        <v>30</v>
      </c>
      <c r="C13" s="146" t="s">
        <v>31</v>
      </c>
      <c r="D13" s="146" t="s">
        <v>32</v>
      </c>
    </row>
    <row r="14" spans="1:6" s="4" customFormat="1" ht="11.25" customHeight="1" x14ac:dyDescent="0.4">
      <c r="A14" s="148"/>
      <c r="B14" s="149"/>
      <c r="C14" s="150"/>
      <c r="D14" s="150"/>
      <c r="E14" s="17"/>
      <c r="F14" s="17"/>
    </row>
    <row r="15" spans="1:6" s="17" customFormat="1" ht="13.8" x14ac:dyDescent="0.25">
      <c r="A15" s="151">
        <v>1</v>
      </c>
      <c r="B15" s="152" t="s">
        <v>604</v>
      </c>
      <c r="C15" s="153">
        <f>(34270)*(1.3)</f>
        <v>44551</v>
      </c>
      <c r="D15" s="154">
        <f t="shared" ref="D15:D47" si="0">A15*C15</f>
        <v>44551</v>
      </c>
      <c r="E15" s="147"/>
      <c r="F15" s="1"/>
    </row>
    <row r="16" spans="1:6" x14ac:dyDescent="0.25">
      <c r="A16" s="155"/>
      <c r="B16" s="156" t="s">
        <v>243</v>
      </c>
      <c r="C16" s="153"/>
      <c r="D16" s="154"/>
      <c r="E16" s="25"/>
      <c r="F16" s="26"/>
    </row>
    <row r="17" spans="1:5" s="26" customFormat="1" x14ac:dyDescent="0.25">
      <c r="A17" s="155">
        <v>1</v>
      </c>
      <c r="B17" s="156" t="s">
        <v>605</v>
      </c>
      <c r="C17" s="153">
        <f>(55825)*(1.3)</f>
        <v>72572.5</v>
      </c>
      <c r="D17" s="154">
        <f t="shared" si="0"/>
        <v>72572.5</v>
      </c>
      <c r="E17" s="25"/>
    </row>
    <row r="18" spans="1:5" ht="13.5" customHeight="1" x14ac:dyDescent="0.25">
      <c r="A18" s="157">
        <v>1</v>
      </c>
      <c r="B18" s="158" t="s">
        <v>507</v>
      </c>
      <c r="C18" s="159">
        <f>(4632)*(1.3)</f>
        <v>6021.6</v>
      </c>
      <c r="D18" s="154">
        <f t="shared" si="0"/>
        <v>6021.6</v>
      </c>
      <c r="E18" s="147"/>
    </row>
    <row r="19" spans="1:5" ht="13.5" customHeight="1" x14ac:dyDescent="0.25">
      <c r="A19" s="157">
        <v>2</v>
      </c>
      <c r="B19" s="158" t="s">
        <v>606</v>
      </c>
      <c r="C19" s="159">
        <f>(4100)*(1.4)</f>
        <v>5740</v>
      </c>
      <c r="D19" s="154">
        <f t="shared" ref="D19" si="1">A19*C19</f>
        <v>11480</v>
      </c>
      <c r="E19" s="147"/>
    </row>
    <row r="20" spans="1:5" ht="13.5" customHeight="1" x14ac:dyDescent="0.25">
      <c r="A20" s="157">
        <v>35</v>
      </c>
      <c r="B20" s="158" t="s">
        <v>508</v>
      </c>
      <c r="C20" s="160">
        <f>(2340)*(1.3)</f>
        <v>3042</v>
      </c>
      <c r="D20" s="161">
        <f t="shared" si="0"/>
        <v>106470</v>
      </c>
      <c r="E20" s="147"/>
    </row>
    <row r="21" spans="1:5" ht="13.5" customHeight="1" x14ac:dyDescent="0.25">
      <c r="A21" s="162">
        <v>225</v>
      </c>
      <c r="B21" s="163" t="s">
        <v>607</v>
      </c>
      <c r="C21" s="164">
        <f>(264)*(1.3)</f>
        <v>343.2</v>
      </c>
      <c r="D21" s="165">
        <f>A21*C21</f>
        <v>77220</v>
      </c>
      <c r="E21" s="147"/>
    </row>
    <row r="22" spans="1:5" x14ac:dyDescent="0.25">
      <c r="A22" s="157">
        <v>210</v>
      </c>
      <c r="B22" s="158" t="s">
        <v>81</v>
      </c>
      <c r="C22" s="160">
        <v>70</v>
      </c>
      <c r="D22" s="161">
        <f t="shared" si="0"/>
        <v>14700</v>
      </c>
      <c r="E22" s="147"/>
    </row>
    <row r="23" spans="1:5" x14ac:dyDescent="0.25">
      <c r="A23" s="157"/>
      <c r="B23" s="158" t="s">
        <v>82</v>
      </c>
      <c r="C23" s="160"/>
      <c r="D23" s="161"/>
      <c r="E23" s="147"/>
    </row>
    <row r="24" spans="1:5" ht="17.399999999999999" customHeight="1" x14ac:dyDescent="0.25">
      <c r="A24" s="157">
        <v>1</v>
      </c>
      <c r="B24" s="158" t="s">
        <v>609</v>
      </c>
      <c r="C24" s="160">
        <v>4100</v>
      </c>
      <c r="D24" s="161">
        <f t="shared" si="0"/>
        <v>4100</v>
      </c>
      <c r="E24" s="147"/>
    </row>
    <row r="25" spans="1:5" ht="17.399999999999999" customHeight="1" x14ac:dyDescent="0.25">
      <c r="A25" s="157"/>
      <c r="B25" s="158" t="s">
        <v>608</v>
      </c>
      <c r="C25" s="160"/>
      <c r="D25" s="161"/>
      <c r="E25" s="147"/>
    </row>
    <row r="26" spans="1:5" x14ac:dyDescent="0.25">
      <c r="A26" s="157">
        <v>1</v>
      </c>
      <c r="B26" s="158" t="s">
        <v>85</v>
      </c>
      <c r="C26" s="160">
        <v>2134</v>
      </c>
      <c r="D26" s="161">
        <f t="shared" si="0"/>
        <v>2134</v>
      </c>
      <c r="E26" s="147"/>
    </row>
    <row r="27" spans="1:5" ht="13.5" customHeight="1" x14ac:dyDescent="0.25">
      <c r="A27" s="157">
        <v>210</v>
      </c>
      <c r="B27" s="158" t="s">
        <v>610</v>
      </c>
      <c r="C27" s="160">
        <v>17.87</v>
      </c>
      <c r="D27" s="161">
        <f t="shared" si="0"/>
        <v>3752.7000000000003</v>
      </c>
      <c r="E27" s="147"/>
    </row>
    <row r="28" spans="1:5" ht="13.5" customHeight="1" x14ac:dyDescent="0.25">
      <c r="A28" s="157">
        <v>1</v>
      </c>
      <c r="B28" s="158" t="s">
        <v>510</v>
      </c>
      <c r="C28" s="159">
        <f>(1926*20.5)*1.3</f>
        <v>51327.9</v>
      </c>
      <c r="D28" s="161">
        <f t="shared" si="0"/>
        <v>51327.9</v>
      </c>
      <c r="E28" s="147"/>
    </row>
    <row r="29" spans="1:5" ht="52.8" x14ac:dyDescent="0.25">
      <c r="A29" s="157">
        <v>1</v>
      </c>
      <c r="B29" s="158" t="s">
        <v>103</v>
      </c>
      <c r="C29" s="159">
        <v>6340</v>
      </c>
      <c r="D29" s="161">
        <f t="shared" si="0"/>
        <v>6340</v>
      </c>
      <c r="E29" s="147"/>
    </row>
    <row r="30" spans="1:5" x14ac:dyDescent="0.25">
      <c r="A30" s="157">
        <v>1</v>
      </c>
      <c r="B30" s="158" t="s">
        <v>512</v>
      </c>
      <c r="C30" s="160">
        <f>4200*1.4</f>
        <v>5880</v>
      </c>
      <c r="D30" s="161">
        <f t="shared" si="0"/>
        <v>5880</v>
      </c>
      <c r="E30" s="147"/>
    </row>
    <row r="31" spans="1:5" x14ac:dyDescent="0.25">
      <c r="A31" s="157"/>
      <c r="B31" s="158"/>
      <c r="C31" s="167" t="s">
        <v>38</v>
      </c>
      <c r="D31" s="168">
        <f>SUM(D15:D30)</f>
        <v>406549.7</v>
      </c>
      <c r="E31" s="147"/>
    </row>
    <row r="32" spans="1:5" x14ac:dyDescent="0.25">
      <c r="A32" s="157"/>
      <c r="B32" s="158"/>
      <c r="C32" s="167" t="s">
        <v>90</v>
      </c>
      <c r="D32" s="168">
        <f>D31*0.16</f>
        <v>65047.952000000005</v>
      </c>
      <c r="E32" s="147"/>
    </row>
    <row r="33" spans="1:5" x14ac:dyDescent="0.25">
      <c r="A33" s="157"/>
      <c r="B33" s="158"/>
      <c r="C33" s="171" t="s">
        <v>40</v>
      </c>
      <c r="D33" s="172">
        <f>D31+D32</f>
        <v>471597.652</v>
      </c>
      <c r="E33" s="147"/>
    </row>
    <row r="34" spans="1:5" x14ac:dyDescent="0.25">
      <c r="A34" s="157"/>
      <c r="B34" s="493" t="s">
        <v>602</v>
      </c>
      <c r="C34" s="160"/>
      <c r="D34" s="161"/>
      <c r="E34" s="147"/>
    </row>
    <row r="35" spans="1:5" x14ac:dyDescent="0.25">
      <c r="A35" s="157">
        <v>1</v>
      </c>
      <c r="B35" s="158" t="s">
        <v>611</v>
      </c>
      <c r="C35" s="160">
        <f>5997*1.4</f>
        <v>8395.7999999999993</v>
      </c>
      <c r="D35" s="161">
        <f t="shared" si="0"/>
        <v>8395.7999999999993</v>
      </c>
      <c r="E35" s="147"/>
    </row>
    <row r="36" spans="1:5" x14ac:dyDescent="0.25">
      <c r="A36" s="157">
        <v>2</v>
      </c>
      <c r="B36" s="158" t="s">
        <v>513</v>
      </c>
      <c r="C36" s="160">
        <f>2300*1.4</f>
        <v>3220</v>
      </c>
      <c r="D36" s="161">
        <f t="shared" si="0"/>
        <v>6440</v>
      </c>
      <c r="E36" s="147"/>
    </row>
    <row r="37" spans="1:5" x14ac:dyDescent="0.25">
      <c r="A37" s="157">
        <v>1</v>
      </c>
      <c r="B37" s="158" t="s">
        <v>105</v>
      </c>
      <c r="C37" s="160">
        <v>1543</v>
      </c>
      <c r="D37" s="161">
        <f t="shared" si="0"/>
        <v>1543</v>
      </c>
      <c r="E37" s="147"/>
    </row>
    <row r="38" spans="1:5" x14ac:dyDescent="0.25">
      <c r="A38" s="157">
        <v>1</v>
      </c>
      <c r="B38" s="158" t="s">
        <v>514</v>
      </c>
      <c r="C38" s="160">
        <f>4500*1.3</f>
        <v>5850</v>
      </c>
      <c r="D38" s="161">
        <f t="shared" si="0"/>
        <v>5850</v>
      </c>
      <c r="E38" s="147"/>
    </row>
    <row r="39" spans="1:5" x14ac:dyDescent="0.25">
      <c r="A39" s="157">
        <v>1</v>
      </c>
      <c r="B39" s="158" t="s">
        <v>515</v>
      </c>
      <c r="C39" s="160">
        <f>2900*1.3</f>
        <v>3770</v>
      </c>
      <c r="D39" s="161">
        <f t="shared" si="0"/>
        <v>3770</v>
      </c>
      <c r="E39" s="147"/>
    </row>
    <row r="40" spans="1:5" x14ac:dyDescent="0.25">
      <c r="A40" s="157">
        <v>1</v>
      </c>
      <c r="B40" s="158" t="s">
        <v>109</v>
      </c>
      <c r="C40" s="160">
        <f>2467*1.3</f>
        <v>3207.1</v>
      </c>
      <c r="D40" s="161">
        <f t="shared" si="0"/>
        <v>3207.1</v>
      </c>
      <c r="E40" s="147"/>
    </row>
    <row r="41" spans="1:5" x14ac:dyDescent="0.25">
      <c r="A41" s="157">
        <v>1</v>
      </c>
      <c r="B41" s="158" t="s">
        <v>516</v>
      </c>
      <c r="C41" s="160">
        <f>2267*1.3</f>
        <v>2947.1</v>
      </c>
      <c r="D41" s="161">
        <f t="shared" si="0"/>
        <v>2947.1</v>
      </c>
      <c r="E41" s="147"/>
    </row>
    <row r="42" spans="1:5" x14ac:dyDescent="0.25">
      <c r="A42" s="157">
        <v>8</v>
      </c>
      <c r="B42" s="158" t="s">
        <v>517</v>
      </c>
      <c r="C42" s="160">
        <f>22*1.4</f>
        <v>30.799999999999997</v>
      </c>
      <c r="D42" s="161">
        <f t="shared" si="0"/>
        <v>246.39999999999998</v>
      </c>
      <c r="E42" s="147"/>
    </row>
    <row r="43" spans="1:5" x14ac:dyDescent="0.25">
      <c r="A43" s="157">
        <v>1</v>
      </c>
      <c r="B43" s="158" t="s">
        <v>518</v>
      </c>
      <c r="C43" s="160">
        <f>19*1.39</f>
        <v>26.409999999999997</v>
      </c>
      <c r="D43" s="161">
        <f t="shared" si="0"/>
        <v>26.409999999999997</v>
      </c>
      <c r="E43" s="147"/>
    </row>
    <row r="44" spans="1:5" ht="39.6" x14ac:dyDescent="0.25">
      <c r="A44" s="157">
        <v>1</v>
      </c>
      <c r="B44" s="158" t="s">
        <v>112</v>
      </c>
      <c r="C44" s="160">
        <v>13421</v>
      </c>
      <c r="D44" s="161">
        <f t="shared" si="0"/>
        <v>13421</v>
      </c>
      <c r="E44" s="147"/>
    </row>
    <row r="45" spans="1:5" x14ac:dyDescent="0.25">
      <c r="A45" s="157">
        <v>56</v>
      </c>
      <c r="B45" s="158" t="s">
        <v>519</v>
      </c>
      <c r="C45" s="160">
        <v>28</v>
      </c>
      <c r="D45" s="161">
        <f t="shared" si="0"/>
        <v>1568</v>
      </c>
      <c r="E45" s="147"/>
    </row>
    <row r="46" spans="1:5" x14ac:dyDescent="0.25">
      <c r="A46" s="157">
        <v>6</v>
      </c>
      <c r="B46" s="158" t="s">
        <v>520</v>
      </c>
      <c r="C46" s="160">
        <v>14</v>
      </c>
      <c r="D46" s="161">
        <f t="shared" si="0"/>
        <v>84</v>
      </c>
      <c r="E46" s="147"/>
    </row>
    <row r="47" spans="1:5" ht="21" customHeight="1" x14ac:dyDescent="0.25">
      <c r="A47" s="157">
        <v>1</v>
      </c>
      <c r="B47" s="158" t="s">
        <v>88</v>
      </c>
      <c r="C47" s="160">
        <v>2300</v>
      </c>
      <c r="D47" s="161">
        <f t="shared" si="0"/>
        <v>2300</v>
      </c>
      <c r="E47" s="147"/>
    </row>
    <row r="48" spans="1:5" x14ac:dyDescent="0.25">
      <c r="A48" s="157"/>
      <c r="B48" s="158" t="s">
        <v>89</v>
      </c>
      <c r="C48" s="160"/>
      <c r="D48" s="161"/>
      <c r="E48" s="147"/>
    </row>
    <row r="49" spans="1:5" x14ac:dyDescent="0.25">
      <c r="A49" s="32"/>
      <c r="B49" s="166"/>
      <c r="C49" s="167" t="s">
        <v>38</v>
      </c>
      <c r="D49" s="168">
        <f>SUM(D35:D48)</f>
        <v>49798.81</v>
      </c>
      <c r="E49" s="147"/>
    </row>
    <row r="50" spans="1:5" x14ac:dyDescent="0.25">
      <c r="A50" s="33"/>
      <c r="B50" s="33"/>
      <c r="C50" s="167" t="s">
        <v>90</v>
      </c>
      <c r="D50" s="168">
        <f>D49*0.16</f>
        <v>7967.8095999999996</v>
      </c>
      <c r="E50" s="147"/>
    </row>
    <row r="51" spans="1:5" ht="13.8" thickBot="1" x14ac:dyDescent="0.3">
      <c r="A51" s="33"/>
      <c r="B51" s="170"/>
      <c r="C51" s="171" t="s">
        <v>40</v>
      </c>
      <c r="D51" s="172">
        <f>D49+D50</f>
        <v>57766.619599999998</v>
      </c>
      <c r="E51" s="147"/>
    </row>
    <row r="52" spans="1:5" ht="15.75" customHeight="1" thickBot="1" x14ac:dyDescent="0.3">
      <c r="A52" s="33"/>
      <c r="B52" s="1035" t="s">
        <v>521</v>
      </c>
      <c r="C52" s="1036"/>
      <c r="D52" s="1037"/>
      <c r="E52" s="147"/>
    </row>
    <row r="53" spans="1:5" ht="13.8" x14ac:dyDescent="0.25">
      <c r="A53" s="33"/>
      <c r="B53" s="173" t="s">
        <v>9</v>
      </c>
      <c r="C53" s="174"/>
      <c r="D53" s="175"/>
      <c r="E53" s="169"/>
    </row>
    <row r="54" spans="1:5" ht="17.399999999999999" x14ac:dyDescent="0.25">
      <c r="A54" s="176"/>
      <c r="B54" s="177" t="s">
        <v>10</v>
      </c>
      <c r="C54" s="169"/>
      <c r="D54" s="41"/>
    </row>
    <row r="55" spans="1:5" ht="15" x14ac:dyDescent="0.25">
      <c r="A55" s="178"/>
      <c r="B55" s="40" t="s">
        <v>11</v>
      </c>
      <c r="D55" s="41"/>
    </row>
    <row r="56" spans="1:5" ht="15" x14ac:dyDescent="0.25">
      <c r="A56" s="178"/>
      <c r="B56" s="131" t="s">
        <v>12</v>
      </c>
      <c r="D56" s="41"/>
    </row>
    <row r="57" spans="1:5" ht="16.5" customHeight="1" x14ac:dyDescent="0.25">
      <c r="A57" s="178"/>
      <c r="B57" s="131" t="s">
        <v>13</v>
      </c>
      <c r="D57" s="41"/>
    </row>
    <row r="58" spans="1:5" ht="15" x14ac:dyDescent="0.25">
      <c r="A58" s="178"/>
      <c r="B58" s="131" t="s">
        <v>14</v>
      </c>
      <c r="D58" s="41"/>
    </row>
    <row r="59" spans="1:5" ht="13.8" x14ac:dyDescent="0.25">
      <c r="A59" s="129"/>
      <c r="B59" s="40" t="s">
        <v>15</v>
      </c>
    </row>
    <row r="60" spans="1:5" ht="15" x14ac:dyDescent="0.25">
      <c r="A60" s="178"/>
      <c r="B60" s="36" t="s">
        <v>42</v>
      </c>
    </row>
    <row r="61" spans="1:5" ht="41.4" x14ac:dyDescent="0.25">
      <c r="A61" s="178"/>
      <c r="B61" s="36" t="s">
        <v>43</v>
      </c>
      <c r="C61" s="38"/>
      <c r="D61" s="39"/>
    </row>
    <row r="62" spans="1:5" ht="15" customHeight="1" x14ac:dyDescent="0.25">
      <c r="A62" s="178"/>
      <c r="B62" s="40" t="s">
        <v>18</v>
      </c>
      <c r="C62" s="38"/>
      <c r="D62" s="39"/>
    </row>
    <row r="63" spans="1:5" ht="15" x14ac:dyDescent="0.25">
      <c r="A63" s="178"/>
      <c r="B63" s="134" t="s">
        <v>92</v>
      </c>
      <c r="C63" s="38"/>
      <c r="D63" s="38"/>
    </row>
    <row r="64" spans="1:5" ht="15" x14ac:dyDescent="0.25">
      <c r="A64" s="178"/>
      <c r="B64" s="135" t="s">
        <v>20</v>
      </c>
      <c r="C64" s="38"/>
      <c r="D64" s="38"/>
    </row>
    <row r="65" spans="1:4" ht="13.8" x14ac:dyDescent="0.25">
      <c r="A65" s="129"/>
      <c r="B65" s="40" t="s">
        <v>21</v>
      </c>
      <c r="D65" s="41"/>
    </row>
    <row r="66" spans="1:4" ht="15" x14ac:dyDescent="0.25">
      <c r="A66" s="178"/>
      <c r="B66" s="179" t="s">
        <v>93</v>
      </c>
      <c r="C66" s="38"/>
      <c r="D66" s="39"/>
    </row>
    <row r="67" spans="1:4" ht="15" x14ac:dyDescent="0.25">
      <c r="A67" s="178"/>
      <c r="B67" s="131" t="s">
        <v>44</v>
      </c>
      <c r="C67" s="38"/>
      <c r="D67" s="39"/>
    </row>
    <row r="68" spans="1:4" ht="15" x14ac:dyDescent="0.25">
      <c r="A68" s="106"/>
      <c r="B68" s="180" t="s">
        <v>45</v>
      </c>
      <c r="C68" s="107"/>
      <c r="D68" s="181"/>
    </row>
    <row r="69" spans="1:4" ht="33.6" x14ac:dyDescent="0.25">
      <c r="A69" s="182" t="s">
        <v>0</v>
      </c>
      <c r="B69" s="183" t="s">
        <v>23</v>
      </c>
      <c r="C69" s="38"/>
      <c r="D69" s="38"/>
    </row>
    <row r="70" spans="1:4" ht="16.8" x14ac:dyDescent="0.4">
      <c r="A70" s="43"/>
      <c r="B70" s="44"/>
      <c r="C70" s="45"/>
      <c r="D70" s="45"/>
    </row>
    <row r="71" spans="1:4" x14ac:dyDescent="0.25">
      <c r="A71" s="46"/>
      <c r="B71" s="47"/>
      <c r="C71" s="47"/>
      <c r="D71" s="1"/>
    </row>
    <row r="72" spans="1:4" x14ac:dyDescent="0.25">
      <c r="A72" s="46"/>
      <c r="B72" s="47"/>
      <c r="C72" s="47"/>
      <c r="D72" s="1"/>
    </row>
    <row r="73" spans="1:4" x14ac:dyDescent="0.25">
      <c r="A73" s="48"/>
      <c r="B73" s="49"/>
      <c r="C73" s="47"/>
      <c r="D73" s="1"/>
    </row>
    <row r="74" spans="1:4" ht="15" x14ac:dyDescent="0.35">
      <c r="A74" s="50" t="s">
        <v>0</v>
      </c>
      <c r="B74" s="51"/>
      <c r="C74" s="47"/>
      <c r="D74" s="47"/>
    </row>
    <row r="75" spans="1:4" x14ac:dyDescent="0.25">
      <c r="A75" s="1" t="s">
        <v>0</v>
      </c>
    </row>
  </sheetData>
  <mergeCells count="2">
    <mergeCell ref="A4:D4"/>
    <mergeCell ref="B52:D52"/>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8255C-F320-449E-9607-B9878D9A1939}">
  <sheetPr>
    <tabColor theme="4" tint="-0.249977111117893"/>
    <pageSetUpPr fitToPage="1"/>
  </sheetPr>
  <dimension ref="A1:F70"/>
  <sheetViews>
    <sheetView topLeftCell="A10" zoomScaleNormal="100" workbookViewId="0">
      <selection activeCell="C15" sqref="C15"/>
    </sheetView>
  </sheetViews>
  <sheetFormatPr baseColWidth="10" defaultColWidth="10.33203125" defaultRowHeight="13.2" x14ac:dyDescent="0.25"/>
  <cols>
    <col min="1" max="1" width="5.44140625" style="1" customWidth="1"/>
    <col min="2" max="2" width="94.21875" style="1" customWidth="1"/>
    <col min="3" max="3" width="14.6640625" style="3" customWidth="1"/>
    <col min="4" max="4" width="17.44140625" style="3" customWidth="1"/>
    <col min="5" max="16384" width="10.332031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57" t="s">
        <v>533</v>
      </c>
      <c r="B7" s="10"/>
      <c r="C7" s="139"/>
      <c r="D7" s="139"/>
    </row>
    <row r="8" spans="1:6" s="4" customFormat="1" ht="16.8" x14ac:dyDescent="0.4">
      <c r="A8" s="57" t="s">
        <v>534</v>
      </c>
      <c r="B8" s="10"/>
      <c r="C8" s="139"/>
      <c r="D8" s="139"/>
    </row>
    <row r="9" spans="1:6" s="4" customFormat="1" ht="16.8" x14ac:dyDescent="0.4">
      <c r="A9" s="57" t="s">
        <v>535</v>
      </c>
      <c r="B9" s="10"/>
      <c r="C9" s="139"/>
      <c r="D9" s="139"/>
    </row>
    <row r="10" spans="1:6" s="4" customFormat="1" ht="16.8" x14ac:dyDescent="0.4">
      <c r="A10" s="57" t="s">
        <v>536</v>
      </c>
      <c r="B10" s="10"/>
      <c r="C10" s="140"/>
      <c r="D10" s="139"/>
    </row>
    <row r="11" spans="1:6" s="4" customFormat="1" ht="16.8" x14ac:dyDescent="0.4">
      <c r="A11" s="60" t="s">
        <v>537</v>
      </c>
      <c r="B11" s="61"/>
      <c r="C11" s="140"/>
      <c r="D11" s="139"/>
    </row>
    <row r="12" spans="1:6" s="4" customFormat="1" ht="15" customHeight="1" x14ac:dyDescent="0.4">
      <c r="A12" s="137" t="s">
        <v>6</v>
      </c>
      <c r="B12" s="141"/>
      <c r="C12" s="142"/>
      <c r="D12" s="143"/>
    </row>
    <row r="13" spans="1:6" s="4" customFormat="1" ht="15" customHeight="1" x14ac:dyDescent="0.4">
      <c r="A13" s="145" t="s">
        <v>29</v>
      </c>
      <c r="B13" s="145" t="s">
        <v>30</v>
      </c>
      <c r="C13" s="146" t="s">
        <v>31</v>
      </c>
      <c r="D13" s="146" t="s">
        <v>32</v>
      </c>
      <c r="E13" s="147"/>
    </row>
    <row r="14" spans="1:6" s="4" customFormat="1" ht="11.25" customHeight="1" x14ac:dyDescent="0.4">
      <c r="A14" s="148"/>
      <c r="B14" s="149"/>
      <c r="C14" s="150"/>
      <c r="D14" s="150"/>
      <c r="E14" s="25"/>
      <c r="F14" s="17"/>
    </row>
    <row r="15" spans="1:6" s="17" customFormat="1" ht="13.8" x14ac:dyDescent="0.25">
      <c r="A15" s="151">
        <v>1</v>
      </c>
      <c r="B15" s="152" t="s">
        <v>522</v>
      </c>
      <c r="C15" s="153">
        <f>(1038.5*21)*(1.3)</f>
        <v>28351.05</v>
      </c>
      <c r="D15" s="154">
        <f t="shared" ref="D15:D42" si="0">A15*C15</f>
        <v>28351.05</v>
      </c>
      <c r="E15" s="25"/>
      <c r="F15" s="1"/>
    </row>
    <row r="16" spans="1:6" x14ac:dyDescent="0.25">
      <c r="A16" s="155"/>
      <c r="B16" s="156" t="s">
        <v>523</v>
      </c>
      <c r="C16" s="153"/>
      <c r="D16" s="154"/>
      <c r="E16" s="147"/>
      <c r="F16" s="26"/>
    </row>
    <row r="17" spans="1:5" s="26" customFormat="1" ht="16.5" customHeight="1" x14ac:dyDescent="0.25">
      <c r="A17" s="155">
        <v>1</v>
      </c>
      <c r="B17" s="156" t="s">
        <v>524</v>
      </c>
      <c r="C17" s="153">
        <f>(734*21)*(1.3)</f>
        <v>20038.2</v>
      </c>
      <c r="D17" s="154">
        <f t="shared" si="0"/>
        <v>20038.2</v>
      </c>
      <c r="E17" s="147"/>
    </row>
    <row r="18" spans="1:5" ht="13.5" customHeight="1" x14ac:dyDescent="0.25">
      <c r="A18" s="157">
        <v>1</v>
      </c>
      <c r="B18" s="158" t="s">
        <v>525</v>
      </c>
      <c r="C18" s="159">
        <f>(4000)*(1.3)</f>
        <v>5200</v>
      </c>
      <c r="D18" s="154">
        <f t="shared" si="0"/>
        <v>5200</v>
      </c>
      <c r="E18" s="189"/>
    </row>
    <row r="19" spans="1:5" ht="13.5" customHeight="1" x14ac:dyDescent="0.25">
      <c r="A19" s="157">
        <v>18</v>
      </c>
      <c r="B19" s="158" t="s">
        <v>508</v>
      </c>
      <c r="C19" s="160">
        <f>(3725)*(1.3)</f>
        <v>4842.5</v>
      </c>
      <c r="D19" s="161">
        <f t="shared" si="0"/>
        <v>87165</v>
      </c>
      <c r="E19" s="147"/>
    </row>
    <row r="20" spans="1:5" ht="13.5" customHeight="1" x14ac:dyDescent="0.25">
      <c r="A20" s="162">
        <v>120</v>
      </c>
      <c r="B20" s="163" t="s">
        <v>509</v>
      </c>
      <c r="C20" s="164">
        <f>(106)*(1.3)</f>
        <v>137.80000000000001</v>
      </c>
      <c r="D20" s="165">
        <f>A20*C20</f>
        <v>16536</v>
      </c>
      <c r="E20" s="147"/>
    </row>
    <row r="21" spans="1:5" ht="13.5" customHeight="1" x14ac:dyDescent="0.25">
      <c r="A21" s="157">
        <v>110</v>
      </c>
      <c r="B21" s="158" t="s">
        <v>81</v>
      </c>
      <c r="C21" s="160">
        <v>60</v>
      </c>
      <c r="D21" s="161">
        <f t="shared" si="0"/>
        <v>6600</v>
      </c>
      <c r="E21" s="147"/>
    </row>
    <row r="22" spans="1:5" x14ac:dyDescent="0.25">
      <c r="A22" s="157"/>
      <c r="B22" s="158" t="s">
        <v>82</v>
      </c>
      <c r="C22" s="160"/>
      <c r="D22" s="161"/>
      <c r="E22" s="147"/>
    </row>
    <row r="23" spans="1:5" x14ac:dyDescent="0.25">
      <c r="A23" s="157">
        <v>1</v>
      </c>
      <c r="B23" s="158" t="s">
        <v>83</v>
      </c>
      <c r="C23" s="160">
        <v>4100</v>
      </c>
      <c r="D23" s="161">
        <f t="shared" si="0"/>
        <v>4100</v>
      </c>
      <c r="E23" s="147"/>
    </row>
    <row r="24" spans="1:5" ht="17.399999999999999" customHeight="1" x14ac:dyDescent="0.25">
      <c r="A24" s="157"/>
      <c r="B24" s="158" t="s">
        <v>84</v>
      </c>
      <c r="C24" s="160"/>
      <c r="D24" s="161"/>
      <c r="E24" s="147"/>
    </row>
    <row r="25" spans="1:5" x14ac:dyDescent="0.25">
      <c r="A25" s="157">
        <v>0.8</v>
      </c>
      <c r="B25" s="158" t="s">
        <v>85</v>
      </c>
      <c r="C25" s="160">
        <v>2134</v>
      </c>
      <c r="D25" s="161">
        <f t="shared" si="0"/>
        <v>1707.2</v>
      </c>
      <c r="E25" s="147"/>
    </row>
    <row r="26" spans="1:5" x14ac:dyDescent="0.25">
      <c r="A26" s="157">
        <v>110</v>
      </c>
      <c r="B26" s="158" t="s">
        <v>526</v>
      </c>
      <c r="C26" s="160">
        <v>18.399999999999999</v>
      </c>
      <c r="D26" s="161">
        <f t="shared" si="0"/>
        <v>2023.9999999999998</v>
      </c>
      <c r="E26" s="147"/>
    </row>
    <row r="27" spans="1:5" ht="13.5" customHeight="1" x14ac:dyDescent="0.25">
      <c r="A27" s="157">
        <v>1</v>
      </c>
      <c r="B27" s="158" t="s">
        <v>510</v>
      </c>
      <c r="C27" s="159">
        <f>(1760*20.15)*1.3</f>
        <v>46103.200000000004</v>
      </c>
      <c r="D27" s="161">
        <f t="shared" si="0"/>
        <v>46103.200000000004</v>
      </c>
      <c r="E27" s="147"/>
    </row>
    <row r="28" spans="1:5" ht="13.5" customHeight="1" x14ac:dyDescent="0.25">
      <c r="A28" s="157">
        <v>1</v>
      </c>
      <c r="B28" s="158" t="s">
        <v>527</v>
      </c>
      <c r="C28" s="159">
        <f>(6100)*1.3</f>
        <v>7930</v>
      </c>
      <c r="D28" s="161">
        <f t="shared" si="0"/>
        <v>7930</v>
      </c>
      <c r="E28" s="147"/>
    </row>
    <row r="29" spans="1:5" ht="52.8" x14ac:dyDescent="0.25">
      <c r="A29" s="157">
        <v>1</v>
      </c>
      <c r="B29" s="158" t="s">
        <v>103</v>
      </c>
      <c r="C29" s="159">
        <v>6340</v>
      </c>
      <c r="D29" s="161">
        <f t="shared" si="0"/>
        <v>6340</v>
      </c>
      <c r="E29" s="147"/>
    </row>
    <row r="30" spans="1:5" x14ac:dyDescent="0.25">
      <c r="A30" s="157">
        <v>1</v>
      </c>
      <c r="B30" s="158" t="s">
        <v>512</v>
      </c>
      <c r="C30" s="160">
        <f>4200*1.4</f>
        <v>5880</v>
      </c>
      <c r="D30" s="161">
        <f t="shared" si="0"/>
        <v>5880</v>
      </c>
      <c r="E30" s="147"/>
    </row>
    <row r="31" spans="1:5" x14ac:dyDescent="0.25">
      <c r="A31" s="157">
        <v>2</v>
      </c>
      <c r="B31" s="158" t="s">
        <v>513</v>
      </c>
      <c r="C31" s="160">
        <f>2300*1.4</f>
        <v>3220</v>
      </c>
      <c r="D31" s="161">
        <f t="shared" si="0"/>
        <v>6440</v>
      </c>
      <c r="E31" s="147"/>
    </row>
    <row r="32" spans="1:5" x14ac:dyDescent="0.25">
      <c r="A32" s="157">
        <v>1</v>
      </c>
      <c r="B32" s="158" t="s">
        <v>105</v>
      </c>
      <c r="C32" s="160">
        <v>1543</v>
      </c>
      <c r="D32" s="161">
        <f t="shared" si="0"/>
        <v>1543</v>
      </c>
      <c r="E32" s="147"/>
    </row>
    <row r="33" spans="1:5" x14ac:dyDescent="0.25">
      <c r="A33" s="157">
        <v>1</v>
      </c>
      <c r="B33" s="158" t="s">
        <v>514</v>
      </c>
      <c r="C33" s="160">
        <f>4500*1.3</f>
        <v>5850</v>
      </c>
      <c r="D33" s="161">
        <f t="shared" si="0"/>
        <v>5850</v>
      </c>
      <c r="E33" s="147"/>
    </row>
    <row r="34" spans="1:5" x14ac:dyDescent="0.25">
      <c r="A34" s="157">
        <v>1</v>
      </c>
      <c r="B34" s="158" t="s">
        <v>515</v>
      </c>
      <c r="C34" s="160">
        <f>2900*1.3</f>
        <v>3770</v>
      </c>
      <c r="D34" s="161">
        <f t="shared" si="0"/>
        <v>3770</v>
      </c>
      <c r="E34" s="147"/>
    </row>
    <row r="35" spans="1:5" x14ac:dyDescent="0.25">
      <c r="A35" s="157">
        <v>1</v>
      </c>
      <c r="B35" s="158" t="s">
        <v>109</v>
      </c>
      <c r="C35" s="160">
        <f>2467*1.3</f>
        <v>3207.1</v>
      </c>
      <c r="D35" s="161">
        <f t="shared" si="0"/>
        <v>3207.1</v>
      </c>
      <c r="E35" s="147"/>
    </row>
    <row r="36" spans="1:5" x14ac:dyDescent="0.25">
      <c r="A36" s="157">
        <v>1</v>
      </c>
      <c r="B36" s="158" t="s">
        <v>516</v>
      </c>
      <c r="C36" s="160">
        <f>2267*1.3</f>
        <v>2947.1</v>
      </c>
      <c r="D36" s="161">
        <f t="shared" si="0"/>
        <v>2947.1</v>
      </c>
      <c r="E36" s="147"/>
    </row>
    <row r="37" spans="1:5" x14ac:dyDescent="0.25">
      <c r="A37" s="157">
        <v>8</v>
      </c>
      <c r="B37" s="158" t="s">
        <v>517</v>
      </c>
      <c r="C37" s="160">
        <f>22*1.4</f>
        <v>30.799999999999997</v>
      </c>
      <c r="D37" s="161">
        <f t="shared" si="0"/>
        <v>246.39999999999998</v>
      </c>
      <c r="E37" s="147"/>
    </row>
    <row r="38" spans="1:5" x14ac:dyDescent="0.25">
      <c r="A38" s="157">
        <v>1</v>
      </c>
      <c r="B38" s="158" t="s">
        <v>518</v>
      </c>
      <c r="C38" s="160">
        <f>19*1.39</f>
        <v>26.409999999999997</v>
      </c>
      <c r="D38" s="161">
        <f t="shared" si="0"/>
        <v>26.409999999999997</v>
      </c>
      <c r="E38" s="147"/>
    </row>
    <row r="39" spans="1:5" ht="39.6" x14ac:dyDescent="0.25">
      <c r="A39" s="157">
        <v>1</v>
      </c>
      <c r="B39" s="158" t="s">
        <v>112</v>
      </c>
      <c r="C39" s="160">
        <v>13421</v>
      </c>
      <c r="D39" s="161">
        <f t="shared" si="0"/>
        <v>13421</v>
      </c>
      <c r="E39" s="147"/>
    </row>
    <row r="40" spans="1:5" x14ac:dyDescent="0.25">
      <c r="A40" s="157">
        <v>56</v>
      </c>
      <c r="B40" s="158" t="s">
        <v>519</v>
      </c>
      <c r="C40" s="160">
        <v>28</v>
      </c>
      <c r="D40" s="161">
        <f t="shared" si="0"/>
        <v>1568</v>
      </c>
      <c r="E40" s="147"/>
    </row>
    <row r="41" spans="1:5" x14ac:dyDescent="0.25">
      <c r="A41" s="157">
        <v>6</v>
      </c>
      <c r="B41" s="158" t="s">
        <v>520</v>
      </c>
      <c r="C41" s="160">
        <v>14</v>
      </c>
      <c r="D41" s="161">
        <f t="shared" si="0"/>
        <v>84</v>
      </c>
      <c r="E41" s="147"/>
    </row>
    <row r="42" spans="1:5" ht="19.2" customHeight="1" x14ac:dyDescent="0.25">
      <c r="A42" s="157">
        <v>1</v>
      </c>
      <c r="B42" s="158" t="s">
        <v>88</v>
      </c>
      <c r="C42" s="160">
        <v>2300</v>
      </c>
      <c r="D42" s="161">
        <f t="shared" si="0"/>
        <v>2300</v>
      </c>
      <c r="E42" s="147"/>
    </row>
    <row r="43" spans="1:5" x14ac:dyDescent="0.25">
      <c r="A43" s="157"/>
      <c r="B43" s="158" t="s">
        <v>89</v>
      </c>
      <c r="C43" s="160"/>
      <c r="D43" s="161"/>
      <c r="E43" s="147"/>
    </row>
    <row r="44" spans="1:5" x14ac:dyDescent="0.25">
      <c r="A44" s="32"/>
      <c r="B44" s="166"/>
      <c r="C44" s="167" t="s">
        <v>38</v>
      </c>
      <c r="D44" s="168">
        <f>SUM(D15:D43)</f>
        <v>279377.66000000003</v>
      </c>
      <c r="E44" s="147"/>
    </row>
    <row r="45" spans="1:5" x14ac:dyDescent="0.25">
      <c r="A45" s="33"/>
      <c r="B45" s="33"/>
      <c r="C45" s="167" t="s">
        <v>90</v>
      </c>
      <c r="D45" s="168">
        <f>D44*0.16</f>
        <v>44700.42560000001</v>
      </c>
      <c r="E45" s="169"/>
    </row>
    <row r="46" spans="1:5" ht="13.8" thickBot="1" x14ac:dyDescent="0.3">
      <c r="A46" s="33"/>
      <c r="B46" s="170"/>
      <c r="C46" s="171" t="s">
        <v>40</v>
      </c>
      <c r="D46" s="172">
        <f>D44+D45</f>
        <v>324078.08560000005</v>
      </c>
    </row>
    <row r="47" spans="1:5" ht="13.8" thickBot="1" x14ac:dyDescent="0.3">
      <c r="A47" s="33"/>
      <c r="B47" s="1035" t="s">
        <v>528</v>
      </c>
      <c r="C47" s="1036"/>
      <c r="D47" s="1037"/>
    </row>
    <row r="48" spans="1:5" ht="13.8" x14ac:dyDescent="0.25">
      <c r="A48" s="33"/>
      <c r="B48" s="173" t="s">
        <v>9</v>
      </c>
      <c r="C48" s="174"/>
      <c r="D48" s="175"/>
    </row>
    <row r="49" spans="1:4" ht="17.399999999999999" x14ac:dyDescent="0.25">
      <c r="A49" s="176"/>
      <c r="B49" s="177" t="s">
        <v>10</v>
      </c>
      <c r="C49" s="169"/>
      <c r="D49" s="41"/>
    </row>
    <row r="50" spans="1:4" ht="15" x14ac:dyDescent="0.25">
      <c r="A50" s="178"/>
      <c r="B50" s="40" t="s">
        <v>11</v>
      </c>
      <c r="D50" s="41"/>
    </row>
    <row r="51" spans="1:4" ht="15" x14ac:dyDescent="0.25">
      <c r="A51" s="178"/>
      <c r="B51" s="131" t="s">
        <v>12</v>
      </c>
      <c r="D51" s="41"/>
    </row>
    <row r="52" spans="1:4" ht="15.75" customHeight="1" x14ac:dyDescent="0.25">
      <c r="A52" s="178"/>
      <c r="B52" s="131" t="s">
        <v>13</v>
      </c>
      <c r="D52" s="41"/>
    </row>
    <row r="53" spans="1:4" ht="15" x14ac:dyDescent="0.25">
      <c r="A53" s="178"/>
      <c r="B53" s="131" t="s">
        <v>14</v>
      </c>
      <c r="D53" s="41"/>
    </row>
    <row r="54" spans="1:4" ht="13.8" x14ac:dyDescent="0.25">
      <c r="A54" s="129"/>
      <c r="B54" s="40" t="s">
        <v>15</v>
      </c>
    </row>
    <row r="55" spans="1:4" ht="15" x14ac:dyDescent="0.25">
      <c r="A55" s="178"/>
      <c r="B55" s="36" t="s">
        <v>42</v>
      </c>
    </row>
    <row r="56" spans="1:4" ht="41.4" x14ac:dyDescent="0.25">
      <c r="A56" s="178"/>
      <c r="B56" s="36" t="s">
        <v>43</v>
      </c>
      <c r="C56" s="38"/>
      <c r="D56" s="39"/>
    </row>
    <row r="57" spans="1:4" ht="16.5" customHeight="1" x14ac:dyDescent="0.25">
      <c r="A57" s="178"/>
      <c r="B57" s="40" t="s">
        <v>18</v>
      </c>
      <c r="C57" s="38"/>
      <c r="D57" s="39"/>
    </row>
    <row r="58" spans="1:4" ht="15" x14ac:dyDescent="0.25">
      <c r="A58" s="178"/>
      <c r="B58" s="134" t="s">
        <v>92</v>
      </c>
      <c r="C58" s="38"/>
      <c r="D58" s="38"/>
    </row>
    <row r="59" spans="1:4" ht="15" x14ac:dyDescent="0.25">
      <c r="A59" s="178"/>
      <c r="B59" s="135" t="s">
        <v>20</v>
      </c>
      <c r="C59" s="38"/>
      <c r="D59" s="38"/>
    </row>
    <row r="60" spans="1:4" ht="13.8" x14ac:dyDescent="0.25">
      <c r="A60" s="129"/>
      <c r="B60" s="40" t="s">
        <v>21</v>
      </c>
      <c r="D60" s="41"/>
    </row>
    <row r="61" spans="1:4" ht="15" x14ac:dyDescent="0.25">
      <c r="A61" s="178"/>
      <c r="B61" s="179" t="s">
        <v>93</v>
      </c>
      <c r="C61" s="38"/>
      <c r="D61" s="39"/>
    </row>
    <row r="62" spans="1:4" ht="15" customHeight="1" x14ac:dyDescent="0.25">
      <c r="A62" s="178"/>
      <c r="B62" s="131" t="s">
        <v>44</v>
      </c>
      <c r="C62" s="38"/>
      <c r="D62" s="39"/>
    </row>
    <row r="63" spans="1:4" ht="15" x14ac:dyDescent="0.25">
      <c r="A63" s="106"/>
      <c r="B63" s="180" t="s">
        <v>45</v>
      </c>
      <c r="C63" s="107"/>
      <c r="D63" s="181"/>
    </row>
    <row r="64" spans="1:4" ht="33.6" x14ac:dyDescent="0.25">
      <c r="A64" s="182" t="s">
        <v>0</v>
      </c>
      <c r="B64" s="183" t="s">
        <v>23</v>
      </c>
      <c r="C64" s="38"/>
      <c r="D64" s="38"/>
    </row>
    <row r="65" spans="1:4" ht="16.8" x14ac:dyDescent="0.4">
      <c r="A65" s="43"/>
      <c r="B65" s="44"/>
      <c r="C65" s="45"/>
      <c r="D65" s="45"/>
    </row>
    <row r="66" spans="1:4" x14ac:dyDescent="0.25">
      <c r="A66" s="46"/>
      <c r="B66" s="47"/>
      <c r="C66" s="47"/>
      <c r="D66" s="1"/>
    </row>
    <row r="67" spans="1:4" x14ac:dyDescent="0.25">
      <c r="A67" s="46"/>
      <c r="B67" s="47"/>
      <c r="C67" s="47"/>
      <c r="D67" s="1"/>
    </row>
    <row r="68" spans="1:4" x14ac:dyDescent="0.25">
      <c r="A68" s="48"/>
      <c r="B68" s="49"/>
      <c r="C68" s="47"/>
      <c r="D68" s="1"/>
    </row>
    <row r="69" spans="1:4" ht="15" x14ac:dyDescent="0.35">
      <c r="A69" s="50" t="s">
        <v>0</v>
      </c>
      <c r="B69" s="51"/>
      <c r="C69" s="47"/>
      <c r="D69" s="47"/>
    </row>
    <row r="70" spans="1:4" x14ac:dyDescent="0.25">
      <c r="A70" s="1" t="s">
        <v>0</v>
      </c>
    </row>
  </sheetData>
  <mergeCells count="2">
    <mergeCell ref="A4:D4"/>
    <mergeCell ref="B47:D47"/>
  </mergeCells>
  <printOptions horizontalCentered="1"/>
  <pageMargins left="0.25" right="0.25" top="0.75" bottom="0.75" header="0.3" footer="0.3"/>
  <pageSetup paperSize="9" scale="65" fitToWidth="0" orientation="portrait" r:id="rId1"/>
  <headerFooter alignWithMargins="0">
    <oddFooter>Página &amp;P de &amp;N</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42FB-537A-49BF-95D1-79474A7E4C2F}">
  <sheetPr>
    <tabColor theme="4" tint="-0.249977111117893"/>
    <pageSetUpPr fitToPage="1"/>
  </sheetPr>
  <dimension ref="A1:F73"/>
  <sheetViews>
    <sheetView topLeftCell="A4" zoomScaleNormal="100" workbookViewId="0">
      <selection activeCell="C45" sqref="C45"/>
    </sheetView>
  </sheetViews>
  <sheetFormatPr baseColWidth="10" defaultColWidth="10.33203125" defaultRowHeight="13.2" x14ac:dyDescent="0.25"/>
  <cols>
    <col min="1" max="1" width="5.44140625" style="108" customWidth="1"/>
    <col min="2" max="2" width="90.33203125" style="108" customWidth="1"/>
    <col min="3" max="3" width="11.44140625" style="107" customWidth="1"/>
    <col min="4" max="4" width="13.109375" style="107" customWidth="1"/>
    <col min="5" max="16384" width="10.332031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57" t="s">
        <v>533</v>
      </c>
      <c r="C8" s="139"/>
      <c r="D8" s="139"/>
      <c r="E8" s="4"/>
    </row>
    <row r="9" spans="1:5" s="10" customFormat="1" ht="16.8" x14ac:dyDescent="0.4">
      <c r="A9" s="57" t="s">
        <v>534</v>
      </c>
      <c r="C9" s="139"/>
      <c r="D9" s="139"/>
      <c r="E9" s="4"/>
    </row>
    <row r="10" spans="1:5" s="10" customFormat="1" ht="16.8" x14ac:dyDescent="0.4">
      <c r="A10" s="57" t="s">
        <v>535</v>
      </c>
      <c r="C10" s="139"/>
      <c r="D10" s="139"/>
      <c r="E10" s="4"/>
    </row>
    <row r="11" spans="1:5" s="10" customFormat="1" ht="16.8" x14ac:dyDescent="0.4">
      <c r="A11" s="57" t="s">
        <v>536</v>
      </c>
      <c r="C11" s="140"/>
      <c r="D11" s="139"/>
      <c r="E11" s="4"/>
    </row>
    <row r="12" spans="1:5" s="10" customFormat="1" ht="15" customHeight="1" x14ac:dyDescent="0.4">
      <c r="A12" s="60" t="s">
        <v>537</v>
      </c>
      <c r="B12" s="61"/>
      <c r="C12" s="140"/>
      <c r="D12" s="139"/>
      <c r="E12" s="4"/>
    </row>
    <row r="13" spans="1:5" s="10" customFormat="1" ht="11.4" customHeight="1" x14ac:dyDescent="0.4">
      <c r="A13" s="148"/>
      <c r="B13" s="149"/>
      <c r="C13" s="150"/>
      <c r="D13" s="150"/>
      <c r="E13" s="187"/>
    </row>
    <row r="14" spans="1:5" s="10" customFormat="1" ht="16.8" x14ac:dyDescent="0.4">
      <c r="A14" s="151">
        <v>1</v>
      </c>
      <c r="B14" s="152" t="s">
        <v>505</v>
      </c>
      <c r="C14" s="153">
        <f>(28667)*(1.3)</f>
        <v>37267.1</v>
      </c>
      <c r="D14" s="154">
        <f t="shared" ref="D14" si="0">A14*C14</f>
        <v>37267.1</v>
      </c>
      <c r="E14" s="189"/>
    </row>
    <row r="15" spans="1:5" s="188" customFormat="1" ht="13.8" x14ac:dyDescent="0.25">
      <c r="A15" s="155"/>
      <c r="B15" s="156" t="s">
        <v>243</v>
      </c>
      <c r="C15" s="153"/>
      <c r="D15" s="154"/>
      <c r="E15" s="190"/>
    </row>
    <row r="16" spans="1:5" x14ac:dyDescent="0.25">
      <c r="A16" s="151">
        <v>1</v>
      </c>
      <c r="B16" s="152" t="s">
        <v>522</v>
      </c>
      <c r="C16" s="153">
        <f>(1038.5*21)*(1.3)</f>
        <v>28351.05</v>
      </c>
      <c r="D16" s="154">
        <f t="shared" ref="D16" si="1">A16*C16</f>
        <v>28351.05</v>
      </c>
      <c r="E16" s="190"/>
    </row>
    <row r="17" spans="1:6" s="191" customFormat="1" ht="15.75" customHeight="1" x14ac:dyDescent="0.25">
      <c r="A17" s="155"/>
      <c r="B17" s="156" t="s">
        <v>523</v>
      </c>
      <c r="C17" s="153"/>
      <c r="D17" s="154"/>
      <c r="E17" s="189"/>
    </row>
    <row r="18" spans="1:6" ht="13.5" customHeight="1" x14ac:dyDescent="0.25">
      <c r="A18" s="196"/>
      <c r="B18" s="1039"/>
      <c r="C18" s="1039"/>
      <c r="D18" s="1039"/>
      <c r="E18" s="190"/>
    </row>
    <row r="19" spans="1:6" ht="13.5" customHeight="1" x14ac:dyDescent="0.25">
      <c r="A19" s="198"/>
      <c r="B19" s="199"/>
      <c r="C19" s="197"/>
      <c r="D19" s="200"/>
      <c r="E19" s="189"/>
    </row>
    <row r="20" spans="1:6" ht="13.5" customHeight="1" x14ac:dyDescent="0.25">
      <c r="A20" s="145" t="s">
        <v>29</v>
      </c>
      <c r="B20" s="145" t="s">
        <v>30</v>
      </c>
      <c r="C20" s="146" t="s">
        <v>31</v>
      </c>
      <c r="D20" s="146" t="s">
        <v>32</v>
      </c>
      <c r="E20" s="190"/>
    </row>
    <row r="21" spans="1:6" ht="13.5" customHeight="1" x14ac:dyDescent="0.25">
      <c r="A21" s="148"/>
      <c r="B21" s="149"/>
      <c r="C21" s="150"/>
      <c r="D21" s="150"/>
      <c r="E21" s="189"/>
      <c r="F21" s="192"/>
    </row>
    <row r="22" spans="1:6" ht="13.5" customHeight="1" x14ac:dyDescent="0.25">
      <c r="A22" s="155">
        <v>1</v>
      </c>
      <c r="B22" s="156" t="s">
        <v>506</v>
      </c>
      <c r="C22" s="153">
        <f>(57325)*(1.3)</f>
        <v>74522.5</v>
      </c>
      <c r="D22" s="154">
        <f t="shared" ref="D22:D25" si="2">A22*C22</f>
        <v>74522.5</v>
      </c>
      <c r="E22" s="189"/>
    </row>
    <row r="23" spans="1:6" ht="13.5" customHeight="1" x14ac:dyDescent="0.25">
      <c r="A23" s="155">
        <v>1</v>
      </c>
      <c r="B23" s="156" t="s">
        <v>524</v>
      </c>
      <c r="C23" s="153">
        <f>(734*21)*(1.3)</f>
        <v>20038.2</v>
      </c>
      <c r="D23" s="154">
        <f t="shared" si="2"/>
        <v>20038.2</v>
      </c>
      <c r="F23" s="192"/>
    </row>
    <row r="24" spans="1:6" ht="20.399999999999999" customHeight="1" x14ac:dyDescent="0.25">
      <c r="A24" s="157">
        <v>1</v>
      </c>
      <c r="B24" s="158" t="s">
        <v>510</v>
      </c>
      <c r="C24" s="159">
        <f>(1760*20.15)*1.3</f>
        <v>46103.200000000004</v>
      </c>
      <c r="D24" s="161">
        <f t="shared" si="2"/>
        <v>46103.200000000004</v>
      </c>
      <c r="E24" s="189"/>
    </row>
    <row r="25" spans="1:6" ht="17.399999999999999" customHeight="1" x14ac:dyDescent="0.25">
      <c r="A25" s="157">
        <v>1</v>
      </c>
      <c r="B25" s="158" t="s">
        <v>529</v>
      </c>
      <c r="C25" s="159">
        <f>(8951)*1.35</f>
        <v>12083.85</v>
      </c>
      <c r="D25" s="161">
        <f t="shared" si="2"/>
        <v>12083.85</v>
      </c>
      <c r="E25" s="189"/>
    </row>
    <row r="26" spans="1:6" x14ac:dyDescent="0.25">
      <c r="A26" s="198"/>
      <c r="B26" s="198"/>
      <c r="C26" s="201"/>
      <c r="D26" s="202"/>
      <c r="E26" s="189"/>
    </row>
    <row r="27" spans="1:6" ht="13.5" customHeight="1" x14ac:dyDescent="0.25">
      <c r="A27" s="145" t="s">
        <v>29</v>
      </c>
      <c r="B27" s="145" t="s">
        <v>30</v>
      </c>
      <c r="C27" s="146" t="s">
        <v>31</v>
      </c>
      <c r="D27" s="146" t="s">
        <v>32</v>
      </c>
      <c r="E27" s="189"/>
    </row>
    <row r="28" spans="1:6" x14ac:dyDescent="0.25">
      <c r="A28" s="148"/>
      <c r="B28" s="149"/>
      <c r="C28" s="150"/>
      <c r="D28" s="150"/>
      <c r="E28" s="189"/>
    </row>
    <row r="29" spans="1:6" x14ac:dyDescent="0.25">
      <c r="A29" s="157">
        <v>1</v>
      </c>
      <c r="B29" s="158" t="s">
        <v>527</v>
      </c>
      <c r="C29" s="159">
        <f>(6100)*1.3</f>
        <v>7930</v>
      </c>
      <c r="D29" s="161">
        <f t="shared" ref="D29:D31" si="3">A29*C29</f>
        <v>7930</v>
      </c>
      <c r="E29" s="189"/>
    </row>
    <row r="30" spans="1:6" x14ac:dyDescent="0.25">
      <c r="A30" s="203">
        <v>1</v>
      </c>
      <c r="B30" s="163" t="s">
        <v>530</v>
      </c>
      <c r="C30" s="184">
        <f>17800*1.3</f>
        <v>23140</v>
      </c>
      <c r="D30" s="165">
        <f t="shared" si="3"/>
        <v>23140</v>
      </c>
      <c r="E30" s="189"/>
    </row>
    <row r="31" spans="1:6" ht="26.4" x14ac:dyDescent="0.25">
      <c r="A31" s="157">
        <v>1</v>
      </c>
      <c r="B31" s="158" t="s">
        <v>511</v>
      </c>
      <c r="C31" s="159">
        <f>(1394*20.5)*1.34</f>
        <v>38293.18</v>
      </c>
      <c r="D31" s="161">
        <f t="shared" si="3"/>
        <v>38293.18</v>
      </c>
      <c r="E31" s="189"/>
    </row>
    <row r="32" spans="1:6" x14ac:dyDescent="0.25">
      <c r="A32" s="204"/>
      <c r="B32" s="204"/>
      <c r="C32" s="205"/>
      <c r="D32" s="205"/>
      <c r="E32" s="189"/>
    </row>
    <row r="33" spans="1:5" ht="26.4" x14ac:dyDescent="0.25">
      <c r="A33" s="145" t="s">
        <v>29</v>
      </c>
      <c r="B33" s="145" t="s">
        <v>30</v>
      </c>
      <c r="C33" s="146" t="s">
        <v>31</v>
      </c>
      <c r="D33" s="146" t="s">
        <v>32</v>
      </c>
      <c r="E33" s="189"/>
    </row>
    <row r="34" spans="1:5" x14ac:dyDescent="0.25">
      <c r="A34" s="148"/>
      <c r="B34" s="149"/>
      <c r="C34" s="150"/>
      <c r="D34" s="150"/>
      <c r="E34" s="189"/>
    </row>
    <row r="35" spans="1:5" x14ac:dyDescent="0.25">
      <c r="A35" s="157">
        <v>110</v>
      </c>
      <c r="B35" s="158" t="s">
        <v>526</v>
      </c>
      <c r="C35" s="160">
        <v>18.399999999999999</v>
      </c>
      <c r="D35" s="161">
        <f t="shared" ref="D35:D36" si="4">A35*C35</f>
        <v>2023.9999999999998</v>
      </c>
      <c r="E35" s="189"/>
    </row>
    <row r="36" spans="1:5" x14ac:dyDescent="0.25">
      <c r="A36" s="157">
        <v>110</v>
      </c>
      <c r="B36" s="158" t="s">
        <v>86</v>
      </c>
      <c r="C36" s="160">
        <v>36.869999999999997</v>
      </c>
      <c r="D36" s="161">
        <f t="shared" si="4"/>
        <v>4055.7</v>
      </c>
      <c r="E36" s="189"/>
    </row>
    <row r="37" spans="1:5" x14ac:dyDescent="0.25">
      <c r="A37" s="204"/>
      <c r="B37" s="204"/>
      <c r="C37" s="205"/>
      <c r="D37" s="205"/>
      <c r="E37" s="189"/>
    </row>
    <row r="38" spans="1:5" ht="26.4" x14ac:dyDescent="0.25">
      <c r="A38" s="145" t="s">
        <v>29</v>
      </c>
      <c r="B38" s="145" t="s">
        <v>30</v>
      </c>
      <c r="C38" s="146" t="s">
        <v>31</v>
      </c>
      <c r="D38" s="146" t="s">
        <v>32</v>
      </c>
      <c r="E38" s="189"/>
    </row>
    <row r="39" spans="1:5" x14ac:dyDescent="0.25">
      <c r="A39" s="148"/>
      <c r="B39" s="149"/>
      <c r="C39" s="150"/>
      <c r="D39" s="150"/>
      <c r="E39" s="189"/>
    </row>
    <row r="40" spans="1:5" x14ac:dyDescent="0.25">
      <c r="A40" s="162">
        <v>120</v>
      </c>
      <c r="B40" s="163" t="s">
        <v>509</v>
      </c>
      <c r="C40" s="164">
        <f>(106)*(1.3)</f>
        <v>137.80000000000001</v>
      </c>
      <c r="D40" s="165">
        <f>A40*C40</f>
        <v>16536</v>
      </c>
      <c r="E40" s="189"/>
    </row>
    <row r="41" spans="1:5" x14ac:dyDescent="0.25">
      <c r="A41" s="162">
        <v>120</v>
      </c>
      <c r="B41" s="163" t="s">
        <v>531</v>
      </c>
      <c r="C41" s="164">
        <f>(65)*(1.3)</f>
        <v>84.5</v>
      </c>
      <c r="D41" s="165">
        <f>A41*C41</f>
        <v>10140</v>
      </c>
      <c r="E41" s="189"/>
    </row>
    <row r="42" spans="1:5" x14ac:dyDescent="0.25">
      <c r="A42" s="204"/>
      <c r="B42" s="206"/>
      <c r="C42" s="207"/>
      <c r="D42" s="205"/>
      <c r="E42" s="189"/>
    </row>
    <row r="43" spans="1:5" ht="26.4" x14ac:dyDescent="0.25">
      <c r="A43" s="145" t="s">
        <v>29</v>
      </c>
      <c r="B43" s="145" t="s">
        <v>30</v>
      </c>
      <c r="C43" s="146" t="s">
        <v>31</v>
      </c>
      <c r="D43" s="146" t="s">
        <v>32</v>
      </c>
      <c r="E43" s="189"/>
    </row>
    <row r="44" spans="1:5" x14ac:dyDescent="0.25">
      <c r="A44" s="148"/>
      <c r="B44" s="149"/>
      <c r="C44" s="150"/>
      <c r="D44" s="150"/>
      <c r="E44" s="189"/>
    </row>
    <row r="45" spans="1:5" x14ac:dyDescent="0.25">
      <c r="A45" s="157">
        <v>1</v>
      </c>
      <c r="B45" s="158" t="s">
        <v>525</v>
      </c>
      <c r="C45" s="159">
        <f>(4000)*(1.3)</f>
        <v>5200</v>
      </c>
      <c r="D45" s="154">
        <f t="shared" ref="D45:D47" si="5">A45*C45</f>
        <v>5200</v>
      </c>
      <c r="E45" s="189"/>
    </row>
    <row r="46" spans="1:5" x14ac:dyDescent="0.25">
      <c r="A46" s="157">
        <v>1</v>
      </c>
      <c r="B46" s="158" t="s">
        <v>507</v>
      </c>
      <c r="C46" s="159">
        <f>(4632)*(1.3)</f>
        <v>6021.6</v>
      </c>
      <c r="D46" s="154">
        <f t="shared" si="5"/>
        <v>6021.6</v>
      </c>
      <c r="E46" s="147"/>
    </row>
    <row r="47" spans="1:5" x14ac:dyDescent="0.25">
      <c r="A47" s="162">
        <v>1</v>
      </c>
      <c r="B47" s="163" t="s">
        <v>532</v>
      </c>
      <c r="C47" s="184">
        <f>(420*20.5)*1.3</f>
        <v>11193</v>
      </c>
      <c r="D47" s="165">
        <f t="shared" si="5"/>
        <v>11193</v>
      </c>
    </row>
    <row r="48" spans="1:5" x14ac:dyDescent="0.25">
      <c r="A48" s="208"/>
      <c r="B48" s="204"/>
      <c r="C48" s="205"/>
      <c r="D48" s="209"/>
      <c r="E48" s="189"/>
    </row>
    <row r="49" spans="1:5" ht="26.4" x14ac:dyDescent="0.25">
      <c r="A49" s="162">
        <v>1</v>
      </c>
      <c r="B49" s="163" t="s">
        <v>138</v>
      </c>
      <c r="C49" s="210">
        <v>35627</v>
      </c>
      <c r="D49" s="165">
        <f>A49*C49</f>
        <v>35627</v>
      </c>
      <c r="E49" s="189"/>
    </row>
    <row r="50" spans="1:5" ht="39.6" x14ac:dyDescent="0.25">
      <c r="A50" s="162">
        <v>1</v>
      </c>
      <c r="B50" s="163" t="s">
        <v>139</v>
      </c>
      <c r="C50" s="210">
        <v>37861</v>
      </c>
      <c r="D50" s="165">
        <f>A50*C50</f>
        <v>37861</v>
      </c>
      <c r="E50" s="189"/>
    </row>
    <row r="51" spans="1:5" x14ac:dyDescent="0.25">
      <c r="A51" s="162">
        <v>1</v>
      </c>
      <c r="B51" s="163" t="s">
        <v>140</v>
      </c>
      <c r="C51" s="184">
        <f>(2576.78*21)*(1.3)</f>
        <v>70346.094000000012</v>
      </c>
      <c r="D51" s="165">
        <f>A51*C51</f>
        <v>70346.094000000012</v>
      </c>
    </row>
    <row r="52" spans="1:5" x14ac:dyDescent="0.25">
      <c r="A52" s="211">
        <v>1</v>
      </c>
      <c r="B52" s="212" t="s">
        <v>141</v>
      </c>
      <c r="C52" s="210">
        <f>9650*1.32</f>
        <v>12738</v>
      </c>
      <c r="D52" s="213">
        <f>A52*C52</f>
        <v>12738</v>
      </c>
    </row>
    <row r="53" spans="1:5" ht="26.4" x14ac:dyDescent="0.25">
      <c r="A53" s="211"/>
      <c r="B53" s="212" t="s">
        <v>142</v>
      </c>
      <c r="C53" s="210"/>
      <c r="D53" s="213"/>
    </row>
    <row r="54" spans="1:5" x14ac:dyDescent="0.25">
      <c r="A54" s="204"/>
      <c r="B54" s="206"/>
      <c r="C54" s="214"/>
      <c r="D54" s="215"/>
      <c r="E54" s="189"/>
    </row>
    <row r="55" spans="1:5" ht="13.8" x14ac:dyDescent="0.25">
      <c r="B55" s="103" t="s">
        <v>15</v>
      </c>
      <c r="E55" s="189"/>
    </row>
    <row r="56" spans="1:5" ht="15" x14ac:dyDescent="0.25">
      <c r="A56" s="106"/>
      <c r="B56" s="295" t="s">
        <v>42</v>
      </c>
      <c r="E56" s="189"/>
    </row>
    <row r="57" spans="1:5" ht="41.4" x14ac:dyDescent="0.25">
      <c r="A57" s="106"/>
      <c r="B57" s="295" t="s">
        <v>143</v>
      </c>
      <c r="C57" s="109"/>
      <c r="D57" s="110"/>
    </row>
    <row r="58" spans="1:5" ht="15" x14ac:dyDescent="0.25">
      <c r="A58" s="106"/>
      <c r="B58" s="103" t="s">
        <v>18</v>
      </c>
      <c r="C58" s="109"/>
      <c r="D58" s="110"/>
      <c r="E58" s="189"/>
    </row>
    <row r="59" spans="1:5" ht="15" x14ac:dyDescent="0.25">
      <c r="A59" s="106"/>
      <c r="B59" s="313" t="s">
        <v>144</v>
      </c>
      <c r="C59" s="109"/>
      <c r="D59" s="109"/>
      <c r="E59" s="189"/>
    </row>
    <row r="60" spans="1:5" ht="15" x14ac:dyDescent="0.25">
      <c r="A60" s="106"/>
      <c r="B60" s="297" t="s">
        <v>20</v>
      </c>
      <c r="C60" s="109"/>
      <c r="D60" s="109"/>
    </row>
    <row r="61" spans="1:5" ht="13.8" x14ac:dyDescent="0.25">
      <c r="B61" s="103" t="s">
        <v>21</v>
      </c>
      <c r="D61" s="105"/>
    </row>
    <row r="62" spans="1:5" ht="15" x14ac:dyDescent="0.25">
      <c r="A62" s="106"/>
      <c r="B62" s="123" t="s">
        <v>145</v>
      </c>
      <c r="C62" s="109"/>
      <c r="D62" s="110"/>
    </row>
    <row r="63" spans="1:5" ht="15" x14ac:dyDescent="0.25">
      <c r="A63" s="106"/>
      <c r="B63" s="123" t="s">
        <v>44</v>
      </c>
      <c r="C63" s="109"/>
      <c r="D63" s="110"/>
    </row>
    <row r="64" spans="1:5" ht="15" x14ac:dyDescent="0.25">
      <c r="A64" s="106"/>
      <c r="B64" s="123" t="s">
        <v>45</v>
      </c>
      <c r="D64" s="181"/>
    </row>
    <row r="65" spans="1:4" ht="50.4" x14ac:dyDescent="0.25">
      <c r="A65" s="106"/>
      <c r="B65" s="314" t="s">
        <v>23</v>
      </c>
      <c r="C65" s="109"/>
      <c r="D65" s="109"/>
    </row>
    <row r="66" spans="1:4" ht="16.8" x14ac:dyDescent="0.4">
      <c r="A66" s="106"/>
      <c r="B66" s="219"/>
      <c r="C66" s="220"/>
      <c r="D66" s="220"/>
    </row>
    <row r="67" spans="1:4" ht="13.8" x14ac:dyDescent="0.25">
      <c r="A67" s="115" t="s">
        <v>0</v>
      </c>
      <c r="B67" s="181"/>
      <c r="C67" s="181"/>
      <c r="D67" s="108"/>
    </row>
    <row r="68" spans="1:4" ht="13.8" x14ac:dyDescent="0.25">
      <c r="A68" s="221"/>
      <c r="B68" s="181"/>
      <c r="C68" s="181"/>
      <c r="D68" s="108"/>
    </row>
    <row r="69" spans="1:4" x14ac:dyDescent="0.25">
      <c r="A69" s="222"/>
      <c r="B69" s="223"/>
      <c r="C69" s="181"/>
      <c r="D69" s="108"/>
    </row>
    <row r="70" spans="1:4" ht="15" x14ac:dyDescent="0.35">
      <c r="A70" s="222"/>
      <c r="B70" s="224"/>
      <c r="C70" s="181"/>
      <c r="D70" s="181"/>
    </row>
    <row r="71" spans="1:4" x14ac:dyDescent="0.25">
      <c r="A71" s="225"/>
    </row>
    <row r="72" spans="1:4" x14ac:dyDescent="0.25">
      <c r="A72" s="226" t="s">
        <v>0</v>
      </c>
    </row>
    <row r="73" spans="1:4" x14ac:dyDescent="0.25">
      <c r="A73" s="108" t="s">
        <v>0</v>
      </c>
    </row>
  </sheetData>
  <mergeCells count="2">
    <mergeCell ref="A4:D4"/>
    <mergeCell ref="B18:D18"/>
  </mergeCells>
  <printOptions horizontalCentered="1"/>
  <pageMargins left="0.59055118110236227" right="0.59055118110236227" top="0.19685039370078741" bottom="0.19685039370078741" header="0.19685039370078741" footer="0.19685039370078741"/>
  <pageSetup paperSize="9" scale="64" fitToHeight="0" orientation="portrait" r:id="rId1"/>
  <headerFooter alignWithMargins="0">
    <oddFooter>Página &amp;P de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AA38-AD68-4E76-AB49-5B31593D6507}">
  <sheetPr>
    <pageSetUpPr fitToPage="1"/>
  </sheetPr>
  <dimension ref="A1:F69"/>
  <sheetViews>
    <sheetView topLeftCell="A7" zoomScaleNormal="100" workbookViewId="0">
      <selection activeCell="B20" sqref="B2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485</v>
      </c>
      <c r="B8" s="10"/>
      <c r="C8" s="58"/>
      <c r="D8" s="58"/>
    </row>
    <row r="9" spans="1:5" s="55" customFormat="1" ht="16.8" x14ac:dyDescent="0.4">
      <c r="A9" s="57" t="s">
        <v>486</v>
      </c>
      <c r="B9" s="10"/>
      <c r="C9" s="58"/>
      <c r="D9" s="58"/>
    </row>
    <row r="10" spans="1:5" s="55" customFormat="1" ht="16.8" x14ac:dyDescent="0.4">
      <c r="A10" s="57" t="s">
        <v>461</v>
      </c>
      <c r="B10" s="10"/>
      <c r="C10" s="58"/>
      <c r="D10" s="58"/>
    </row>
    <row r="11" spans="1:5" s="55" customFormat="1" ht="16.8" x14ac:dyDescent="0.4">
      <c r="A11" s="57" t="s">
        <v>487</v>
      </c>
      <c r="B11" s="10"/>
      <c r="C11" s="59"/>
      <c r="D11" s="58"/>
    </row>
    <row r="12" spans="1:5" s="55" customFormat="1" ht="15" customHeight="1" x14ac:dyDescent="0.4">
      <c r="A12" s="60" t="s">
        <v>462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469</v>
      </c>
      <c r="C16" s="74">
        <v>14000</v>
      </c>
      <c r="D16" s="75">
        <f>A16*C16</f>
        <v>14000</v>
      </c>
      <c r="E16" s="76"/>
    </row>
    <row r="17" spans="1:6" ht="15.6" x14ac:dyDescent="0.25">
      <c r="A17" s="77">
        <v>1</v>
      </c>
      <c r="B17" s="78" t="s">
        <v>470</v>
      </c>
      <c r="C17" s="82">
        <f>(2100.3*20.56*1.3)</f>
        <v>56136.818399999996</v>
      </c>
      <c r="D17" s="80">
        <f>A17*C17</f>
        <v>56136.818399999996</v>
      </c>
      <c r="E17" s="76"/>
    </row>
    <row r="18" spans="1:6" ht="15.6" x14ac:dyDescent="0.25">
      <c r="A18" s="77">
        <v>1</v>
      </c>
      <c r="B18" s="81" t="s">
        <v>471</v>
      </c>
      <c r="C18" s="82">
        <f>(1608.11*20.56*1.3)</f>
        <v>42981.564079999996</v>
      </c>
      <c r="D18" s="83">
        <f t="shared" ref="D18:D19" si="0">A18*C18</f>
        <v>42981.564079999996</v>
      </c>
      <c r="E18" s="76"/>
    </row>
    <row r="19" spans="1:6" ht="30" x14ac:dyDescent="0.25">
      <c r="A19" s="77">
        <v>1</v>
      </c>
      <c r="B19" s="81" t="s">
        <v>472</v>
      </c>
      <c r="C19" s="82">
        <f>(625.11*20.56)*1.3+(4500)</f>
        <v>21207.94008</v>
      </c>
      <c r="D19" s="83">
        <f t="shared" si="0"/>
        <v>21207.94008</v>
      </c>
      <c r="E19" s="76"/>
    </row>
    <row r="20" spans="1:6" ht="30" x14ac:dyDescent="0.25">
      <c r="A20" s="72">
        <v>1</v>
      </c>
      <c r="B20" s="73" t="s">
        <v>33</v>
      </c>
      <c r="C20" s="74">
        <v>4600</v>
      </c>
      <c r="D20" s="75">
        <f>A20*C20</f>
        <v>4600</v>
      </c>
      <c r="E20" s="76"/>
    </row>
    <row r="21" spans="1:6" ht="15.6" x14ac:dyDescent="0.25">
      <c r="A21" s="84">
        <v>1</v>
      </c>
      <c r="B21" s="85" t="s">
        <v>35</v>
      </c>
      <c r="C21" s="88">
        <f>(5150)*(2)</f>
        <v>10300</v>
      </c>
      <c r="D21" s="83">
        <f t="shared" ref="D21:D22" si="1">A21*C21</f>
        <v>10300</v>
      </c>
      <c r="E21" s="76"/>
    </row>
    <row r="22" spans="1:6" ht="15.6" x14ac:dyDescent="0.25">
      <c r="A22" s="84">
        <v>1</v>
      </c>
      <c r="B22" s="85" t="s">
        <v>208</v>
      </c>
      <c r="C22" s="88">
        <f>(11896)*(1.51)</f>
        <v>17962.96</v>
      </c>
      <c r="D22" s="83">
        <f t="shared" si="1"/>
        <v>17962.96</v>
      </c>
      <c r="E22" s="76"/>
    </row>
    <row r="23" spans="1:6" ht="15.6" x14ac:dyDescent="0.25">
      <c r="A23" s="84">
        <v>140</v>
      </c>
      <c r="B23" s="85" t="s">
        <v>34</v>
      </c>
      <c r="C23" s="86">
        <v>16.12</v>
      </c>
      <c r="D23" s="87">
        <f>A23*C23</f>
        <v>2256.8000000000002</v>
      </c>
      <c r="E23" s="76"/>
    </row>
    <row r="24" spans="1:6" ht="15.6" x14ac:dyDescent="0.25">
      <c r="A24" s="72">
        <v>1</v>
      </c>
      <c r="B24" s="73" t="s">
        <v>36</v>
      </c>
      <c r="C24" s="74">
        <v>2209</v>
      </c>
      <c r="D24" s="75">
        <f>A24*C24</f>
        <v>2209</v>
      </c>
      <c r="E24" s="76"/>
    </row>
    <row r="25" spans="1:6" ht="45" x14ac:dyDescent="0.25">
      <c r="A25" s="72">
        <v>1</v>
      </c>
      <c r="B25" s="73" t="s">
        <v>468</v>
      </c>
      <c r="C25" s="74">
        <v>14000</v>
      </c>
      <c r="D25" s="75">
        <f>A25*C25</f>
        <v>14000</v>
      </c>
      <c r="E25" s="76"/>
    </row>
    <row r="26" spans="1:6" ht="18.75" customHeight="1" x14ac:dyDescent="0.25">
      <c r="A26" s="72"/>
      <c r="B26" s="75"/>
      <c r="C26" s="75"/>
      <c r="D26" s="75"/>
    </row>
    <row r="27" spans="1:6" ht="15.6" x14ac:dyDescent="0.25">
      <c r="A27" s="89"/>
      <c r="B27" s="90"/>
      <c r="C27" s="91" t="s">
        <v>38</v>
      </c>
      <c r="D27" s="75">
        <f>SUM(D16:D25)</f>
        <v>185655.08255999998</v>
      </c>
      <c r="E27" s="96"/>
    </row>
    <row r="28" spans="1:6" ht="15.75" customHeight="1" x14ac:dyDescent="0.3">
      <c r="A28" s="92"/>
      <c r="B28" s="90"/>
      <c r="C28" s="93" t="s">
        <v>39</v>
      </c>
      <c r="D28" s="75">
        <f>D27*0.16</f>
        <v>29704.813209599997</v>
      </c>
      <c r="E28" s="96"/>
      <c r="F28" s="96"/>
    </row>
    <row r="29" spans="1:6" s="96" customFormat="1" ht="16.2" thickBot="1" x14ac:dyDescent="0.35">
      <c r="A29" s="92"/>
      <c r="B29" s="90"/>
      <c r="C29" s="94" t="s">
        <v>40</v>
      </c>
      <c r="D29" s="95">
        <f>D27+D28</f>
        <v>215359.89576959997</v>
      </c>
      <c r="E29" s="52"/>
    </row>
    <row r="30" spans="1:6" s="96" customFormat="1" ht="15.75" customHeight="1" thickBot="1" x14ac:dyDescent="0.3">
      <c r="A30" s="92"/>
      <c r="B30" s="1023" t="s">
        <v>482</v>
      </c>
      <c r="C30" s="1024"/>
      <c r="D30" s="1025"/>
      <c r="E30" s="52"/>
      <c r="F30" s="52"/>
    </row>
    <row r="31" spans="1:6" ht="13.5" customHeight="1" x14ac:dyDescent="0.25">
      <c r="B31" s="97" t="s">
        <v>9</v>
      </c>
      <c r="C31" s="98"/>
      <c r="D31" s="99"/>
    </row>
    <row r="32" spans="1:6" ht="13.5" customHeight="1" x14ac:dyDescent="0.25">
      <c r="B32" s="124" t="s">
        <v>41</v>
      </c>
      <c r="C32" s="76"/>
      <c r="D32" s="96"/>
    </row>
    <row r="33" spans="1:4" ht="13.5" customHeight="1" x14ac:dyDescent="0.25">
      <c r="A33" s="96"/>
      <c r="B33" s="103" t="s">
        <v>11</v>
      </c>
      <c r="C33" s="96"/>
      <c r="D33" s="96"/>
    </row>
    <row r="34" spans="1:4" ht="15" x14ac:dyDescent="0.25">
      <c r="A34" s="101"/>
      <c r="B34" s="123" t="s">
        <v>12</v>
      </c>
      <c r="C34" s="52"/>
      <c r="D34" s="52"/>
    </row>
    <row r="35" spans="1:4" ht="15" x14ac:dyDescent="0.25">
      <c r="A35" s="101"/>
      <c r="B35" s="123" t="s">
        <v>13</v>
      </c>
      <c r="C35" s="52"/>
      <c r="D35" s="52"/>
    </row>
    <row r="36" spans="1:4" ht="13.5" customHeight="1" x14ac:dyDescent="0.25">
      <c r="A36" s="101"/>
      <c r="B36" s="123" t="s">
        <v>14</v>
      </c>
      <c r="C36" s="52"/>
      <c r="D36" s="52"/>
    </row>
    <row r="37" spans="1:4" ht="13.5" customHeight="1" x14ac:dyDescent="0.25">
      <c r="A37" s="102"/>
      <c r="B37" s="103" t="s">
        <v>15</v>
      </c>
      <c r="C37" s="52"/>
      <c r="D37" s="52"/>
    </row>
    <row r="38" spans="1:4" ht="13.5" customHeight="1" x14ac:dyDescent="0.25">
      <c r="A38" s="102"/>
      <c r="B38" s="295" t="s">
        <v>42</v>
      </c>
      <c r="C38" s="104"/>
      <c r="D38" s="105"/>
    </row>
    <row r="39" spans="1:4" ht="13.5" customHeight="1" x14ac:dyDescent="0.25">
      <c r="A39" s="106"/>
      <c r="B39" s="295" t="s">
        <v>43</v>
      </c>
      <c r="C39" s="104"/>
      <c r="D39" s="105"/>
    </row>
    <row r="40" spans="1:4" ht="13.5" customHeight="1" x14ac:dyDescent="0.25">
      <c r="A40" s="106"/>
      <c r="B40" s="103" t="s">
        <v>18</v>
      </c>
      <c r="C40" s="107"/>
      <c r="D40" s="105"/>
    </row>
    <row r="41" spans="1:4" ht="15" x14ac:dyDescent="0.25">
      <c r="A41" s="106"/>
      <c r="B41" s="313" t="s">
        <v>410</v>
      </c>
      <c r="C41" s="107"/>
      <c r="D41" s="105"/>
    </row>
    <row r="42" spans="1:4" ht="15" x14ac:dyDescent="0.25">
      <c r="A42" s="106"/>
      <c r="B42" s="297" t="s">
        <v>20</v>
      </c>
      <c r="C42" s="107"/>
      <c r="D42" s="105"/>
    </row>
    <row r="43" spans="1:4" ht="13.8" x14ac:dyDescent="0.25">
      <c r="A43" s="108"/>
      <c r="B43" s="103" t="s">
        <v>21</v>
      </c>
      <c r="C43" s="107"/>
      <c r="D43" s="105"/>
    </row>
    <row r="44" spans="1:4" ht="15" x14ac:dyDescent="0.25">
      <c r="A44" s="106"/>
      <c r="B44" s="122" t="s">
        <v>262</v>
      </c>
      <c r="C44" s="107"/>
      <c r="D44" s="107"/>
    </row>
    <row r="45" spans="1:4" ht="15" x14ac:dyDescent="0.25">
      <c r="A45" s="106"/>
      <c r="B45" s="123" t="s">
        <v>44</v>
      </c>
      <c r="C45" s="107"/>
      <c r="D45" s="107"/>
    </row>
    <row r="46" spans="1:4" ht="15" x14ac:dyDescent="0.25">
      <c r="A46" s="106"/>
      <c r="B46" s="123" t="s">
        <v>45</v>
      </c>
      <c r="C46" s="109"/>
      <c r="D46" s="110"/>
    </row>
    <row r="47" spans="1:4" ht="33.6" x14ac:dyDescent="0.25">
      <c r="A47" s="106"/>
      <c r="B47" s="314" t="s">
        <v>23</v>
      </c>
      <c r="C47" s="109"/>
      <c r="D47" s="110"/>
    </row>
    <row r="48" spans="1:4" ht="16.8" x14ac:dyDescent="0.4">
      <c r="A48" s="106"/>
      <c r="B48" s="111"/>
      <c r="C48" s="109"/>
      <c r="D48" s="109"/>
    </row>
    <row r="49" spans="1:4" ht="13.8" x14ac:dyDescent="0.25">
      <c r="A49" s="108"/>
      <c r="B49" s="112"/>
      <c r="C49" s="109"/>
      <c r="D49" s="109"/>
    </row>
    <row r="50" spans="1:4" ht="15" x14ac:dyDescent="0.25">
      <c r="A50" s="106"/>
      <c r="B50" s="112"/>
      <c r="C50" s="107"/>
      <c r="D50" s="105"/>
    </row>
    <row r="51" spans="1:4" ht="15" x14ac:dyDescent="0.25">
      <c r="A51" s="106"/>
      <c r="B51" s="113"/>
      <c r="C51" s="109"/>
      <c r="D51" s="110"/>
    </row>
    <row r="52" spans="1:4" ht="16.2" x14ac:dyDescent="0.35">
      <c r="A52" s="106"/>
      <c r="B52" s="114"/>
      <c r="C52" s="109"/>
      <c r="D52" s="110"/>
    </row>
    <row r="53" spans="1:4" ht="13.8" x14ac:dyDescent="0.25">
      <c r="A53" s="115" t="s">
        <v>0</v>
      </c>
      <c r="C53" s="109"/>
      <c r="D53" s="110"/>
    </row>
    <row r="54" spans="1:4" ht="13.8" x14ac:dyDescent="0.25">
      <c r="A54" s="116"/>
      <c r="C54" s="109"/>
      <c r="D54" s="109"/>
    </row>
    <row r="55" spans="1:4" ht="13.8" x14ac:dyDescent="0.25">
      <c r="A55" s="117"/>
      <c r="C55" s="118"/>
      <c r="D55" s="118"/>
    </row>
    <row r="56" spans="1:4" x14ac:dyDescent="0.25">
      <c r="A56" s="117"/>
      <c r="C56" s="112"/>
      <c r="D56" s="52"/>
    </row>
    <row r="57" spans="1:4" x14ac:dyDescent="0.25">
      <c r="A57" s="119"/>
      <c r="C57" s="112"/>
      <c r="D57" s="52"/>
    </row>
    <row r="58" spans="1:4" x14ac:dyDescent="0.25">
      <c r="A58" s="120" t="s">
        <v>0</v>
      </c>
      <c r="C58" s="112"/>
      <c r="D58" s="52"/>
    </row>
    <row r="59" spans="1:4" x14ac:dyDescent="0.25">
      <c r="A59" s="52" t="s">
        <v>0</v>
      </c>
      <c r="C59" s="112"/>
      <c r="D59"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30:D30"/>
  </mergeCells>
  <pageMargins left="0.25" right="0.25" top="0.75" bottom="0.75" header="0.3" footer="0.3"/>
  <pageSetup fitToHeight="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A308-A391-4237-BBC4-A89DD85C855A}">
  <sheetPr>
    <tabColor theme="4" tint="-0.249977111117893"/>
    <pageSetUpPr fitToPage="1"/>
  </sheetPr>
  <dimension ref="A1:O66"/>
  <sheetViews>
    <sheetView topLeftCell="A8" zoomScale="85" zoomScaleNormal="85" workbookViewId="0">
      <selection activeCell="B30" sqref="B30:D30"/>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5" width="0.33203125" style="108" customWidth="1"/>
    <col min="6" max="11" width="11.44140625" style="108" hidden="1" customWidth="1"/>
    <col min="12" max="16384" width="11.44140625" style="108"/>
  </cols>
  <sheetData>
    <row r="1" spans="1:15" ht="81" customHeight="1" x14ac:dyDescent="0.25">
      <c r="A1" s="108" t="s">
        <v>0</v>
      </c>
      <c r="C1" s="185"/>
    </row>
    <row r="2" spans="1:15" ht="9" customHeight="1" x14ac:dyDescent="0.25">
      <c r="C2" s="185"/>
    </row>
    <row r="3" spans="1:15" ht="9" customHeight="1" x14ac:dyDescent="0.25">
      <c r="C3" s="185"/>
    </row>
    <row r="4" spans="1:15" s="10" customFormat="1" ht="16.8" x14ac:dyDescent="0.4">
      <c r="A4" s="1038"/>
      <c r="B4" s="1038"/>
      <c r="C4" s="1038"/>
      <c r="D4" s="1038"/>
    </row>
    <row r="5" spans="1:15" s="10" customFormat="1" ht="16.8" x14ac:dyDescent="0.4">
      <c r="A5" s="57"/>
      <c r="C5" s="58"/>
      <c r="D5" s="58"/>
    </row>
    <row r="6" spans="1:15" s="10" customFormat="1" ht="16.8" x14ac:dyDescent="0.4">
      <c r="A6" s="57"/>
      <c r="C6" s="58"/>
      <c r="D6" s="58"/>
    </row>
    <row r="7" spans="1:15" s="10" customFormat="1" ht="16.8" x14ac:dyDescent="0.4">
      <c r="A7" s="57"/>
      <c r="C7" s="58"/>
      <c r="D7" s="58"/>
    </row>
    <row r="8" spans="1:15" s="10" customFormat="1" ht="16.8" x14ac:dyDescent="0.4">
      <c r="A8" s="57" t="s">
        <v>533</v>
      </c>
      <c r="C8" s="139"/>
      <c r="D8" s="139"/>
    </row>
    <row r="9" spans="1:15" s="10" customFormat="1" ht="16.8" x14ac:dyDescent="0.4">
      <c r="A9" s="57" t="s">
        <v>534</v>
      </c>
      <c r="C9" s="139"/>
      <c r="D9" s="139"/>
    </row>
    <row r="10" spans="1:15" s="10" customFormat="1" ht="16.8" x14ac:dyDescent="0.4">
      <c r="A10" s="57" t="s">
        <v>535</v>
      </c>
      <c r="C10" s="139"/>
      <c r="D10" s="139"/>
    </row>
    <row r="11" spans="1:15" s="10" customFormat="1" ht="16.8" x14ac:dyDescent="0.4">
      <c r="A11" s="57" t="s">
        <v>536</v>
      </c>
      <c r="C11" s="140"/>
      <c r="D11" s="139"/>
    </row>
    <row r="12" spans="1:15" s="10" customFormat="1" ht="15" customHeight="1" x14ac:dyDescent="0.4">
      <c r="A12" s="60" t="s">
        <v>557</v>
      </c>
      <c r="B12" s="61"/>
      <c r="C12" s="140"/>
      <c r="D12" s="139"/>
    </row>
    <row r="13" spans="1:15" s="10" customFormat="1" ht="19.2" x14ac:dyDescent="0.4">
      <c r="A13" s="1053" t="s">
        <v>150</v>
      </c>
      <c r="B13" s="1054"/>
      <c r="C13" s="1055"/>
      <c r="D13" s="1056"/>
      <c r="E13" s="188"/>
      <c r="F13" s="188"/>
      <c r="G13" s="188"/>
    </row>
    <row r="14" spans="1:15" s="10" customFormat="1" ht="16.8" x14ac:dyDescent="0.4">
      <c r="A14" s="148"/>
      <c r="B14" s="149"/>
      <c r="C14" s="150"/>
      <c r="D14" s="150"/>
      <c r="E14" s="189"/>
      <c r="F14" s="108"/>
      <c r="G14" s="108"/>
      <c r="H14" s="188"/>
      <c r="I14" s="188"/>
      <c r="J14" s="188"/>
      <c r="K14" s="188"/>
      <c r="L14" s="188"/>
      <c r="M14" s="188"/>
      <c r="N14" s="188"/>
      <c r="O14" s="188"/>
    </row>
    <row r="15" spans="1:15" s="188" customFormat="1" ht="46.8" x14ac:dyDescent="0.3">
      <c r="A15" s="77">
        <v>1</v>
      </c>
      <c r="B15" s="474" t="s">
        <v>545</v>
      </c>
      <c r="C15" s="79">
        <f>45395.5+31171</f>
        <v>76566.5</v>
      </c>
      <c r="D15" s="80">
        <f t="shared" ref="D15:D25" si="0">A15*C15</f>
        <v>76566.5</v>
      </c>
      <c r="E15" s="190"/>
      <c r="F15" s="191"/>
      <c r="G15" s="191"/>
      <c r="H15" s="108"/>
      <c r="I15" s="108"/>
      <c r="J15" s="108"/>
      <c r="K15" s="108"/>
      <c r="L15" s="108"/>
      <c r="M15" s="108"/>
      <c r="N15" s="108"/>
      <c r="O15" s="108"/>
    </row>
    <row r="16" spans="1:15" ht="62.4" x14ac:dyDescent="0.3">
      <c r="A16" s="77">
        <v>1</v>
      </c>
      <c r="B16" s="474" t="s">
        <v>546</v>
      </c>
      <c r="C16" s="79">
        <v>42454</v>
      </c>
      <c r="D16" s="80">
        <f t="shared" si="0"/>
        <v>42454</v>
      </c>
      <c r="E16" s="190"/>
      <c r="H16" s="191"/>
      <c r="I16" s="191"/>
      <c r="J16" s="191"/>
      <c r="K16" s="191"/>
      <c r="L16" s="191"/>
      <c r="M16" s="191"/>
      <c r="N16" s="191"/>
      <c r="O16" s="191"/>
    </row>
    <row r="17" spans="1:15" s="191" customFormat="1" ht="31.2" x14ac:dyDescent="0.3">
      <c r="A17" s="77">
        <v>1</v>
      </c>
      <c r="B17" s="474" t="s">
        <v>547</v>
      </c>
      <c r="C17" s="79">
        <v>4600</v>
      </c>
      <c r="D17" s="80">
        <f t="shared" si="0"/>
        <v>4600</v>
      </c>
      <c r="E17" s="190"/>
      <c r="F17" s="108"/>
      <c r="G17" s="108"/>
    </row>
    <row r="18" spans="1:15" s="191" customFormat="1" ht="15.6" x14ac:dyDescent="0.3">
      <c r="A18" s="77">
        <v>220</v>
      </c>
      <c r="B18" s="474" t="s">
        <v>548</v>
      </c>
      <c r="C18" s="79">
        <v>260</v>
      </c>
      <c r="D18" s="80">
        <f t="shared" si="0"/>
        <v>57200</v>
      </c>
      <c r="E18" s="190"/>
      <c r="F18" s="108"/>
      <c r="G18" s="108"/>
    </row>
    <row r="19" spans="1:15" s="191" customFormat="1" ht="31.2" x14ac:dyDescent="0.3">
      <c r="A19" s="77">
        <v>69</v>
      </c>
      <c r="B19" s="474" t="s">
        <v>549</v>
      </c>
      <c r="C19" s="79">
        <v>997</v>
      </c>
      <c r="D19" s="80">
        <f t="shared" si="0"/>
        <v>68793</v>
      </c>
      <c r="E19" s="190"/>
      <c r="F19" s="108"/>
      <c r="G19" s="108"/>
    </row>
    <row r="20" spans="1:15" s="191" customFormat="1" ht="15.6" x14ac:dyDescent="0.3">
      <c r="A20" s="77">
        <v>5</v>
      </c>
      <c r="B20" s="474" t="s">
        <v>550</v>
      </c>
      <c r="C20" s="79">
        <v>2982.9</v>
      </c>
      <c r="D20" s="80">
        <f t="shared" si="0"/>
        <v>14914.5</v>
      </c>
      <c r="E20" s="190"/>
      <c r="F20" s="108"/>
      <c r="G20" s="108"/>
    </row>
    <row r="21" spans="1:15" s="191" customFormat="1" ht="15.6" x14ac:dyDescent="0.3">
      <c r="A21" s="77">
        <v>4</v>
      </c>
      <c r="B21" s="474" t="s">
        <v>551</v>
      </c>
      <c r="C21" s="79">
        <v>2027.5</v>
      </c>
      <c r="D21" s="80">
        <f t="shared" si="0"/>
        <v>8110</v>
      </c>
      <c r="E21" s="190"/>
      <c r="F21" s="108"/>
      <c r="G21" s="108"/>
    </row>
    <row r="22" spans="1:15" s="191" customFormat="1" ht="15.6" x14ac:dyDescent="0.3">
      <c r="A22" s="77">
        <v>1</v>
      </c>
      <c r="B22" s="474" t="s">
        <v>552</v>
      </c>
      <c r="C22" s="79">
        <v>2006</v>
      </c>
      <c r="D22" s="80">
        <f t="shared" si="0"/>
        <v>2006</v>
      </c>
      <c r="E22" s="190"/>
      <c r="F22" s="108"/>
      <c r="G22" s="108"/>
    </row>
    <row r="23" spans="1:15" s="191" customFormat="1" ht="15.6" x14ac:dyDescent="0.3">
      <c r="A23" s="77">
        <v>1</v>
      </c>
      <c r="B23" s="474" t="s">
        <v>553</v>
      </c>
      <c r="C23" s="79">
        <v>819</v>
      </c>
      <c r="D23" s="80">
        <f t="shared" si="0"/>
        <v>819</v>
      </c>
      <c r="E23" s="190"/>
      <c r="F23" s="108"/>
      <c r="G23" s="108"/>
    </row>
    <row r="24" spans="1:15" s="191" customFormat="1" ht="15.6" x14ac:dyDescent="0.3">
      <c r="A24" s="77">
        <v>1</v>
      </c>
      <c r="B24" s="474" t="s">
        <v>554</v>
      </c>
      <c r="C24" s="79">
        <v>6896.6</v>
      </c>
      <c r="D24" s="80">
        <f t="shared" si="0"/>
        <v>6896.6</v>
      </c>
      <c r="E24" s="190"/>
      <c r="F24" s="108"/>
      <c r="G24" s="108"/>
    </row>
    <row r="25" spans="1:15" s="191" customFormat="1" ht="15.75" customHeight="1" x14ac:dyDescent="0.3">
      <c r="A25" s="77">
        <v>1</v>
      </c>
      <c r="B25" s="474" t="s">
        <v>555</v>
      </c>
      <c r="C25" s="79">
        <v>12000</v>
      </c>
      <c r="D25" s="80">
        <f t="shared" si="0"/>
        <v>12000</v>
      </c>
      <c r="E25" s="190"/>
      <c r="F25" s="108"/>
      <c r="G25" s="108"/>
    </row>
    <row r="26" spans="1:15" s="191" customFormat="1" ht="15.75" customHeight="1" x14ac:dyDescent="0.25">
      <c r="A26" s="399"/>
      <c r="B26" s="400"/>
      <c r="C26" s="401"/>
      <c r="D26" s="154"/>
      <c r="E26" s="190"/>
      <c r="F26" s="108"/>
      <c r="G26" s="108"/>
    </row>
    <row r="27" spans="1:15" s="191" customFormat="1" ht="15.75" customHeight="1" x14ac:dyDescent="0.25">
      <c r="A27" s="250"/>
      <c r="B27" s="250"/>
      <c r="C27" s="475" t="s">
        <v>160</v>
      </c>
      <c r="D27" s="83">
        <f>SUM(D14:D26)</f>
        <v>294359.59999999998</v>
      </c>
      <c r="E27" s="189"/>
      <c r="F27" s="108"/>
      <c r="G27" s="108"/>
      <c r="H27" s="108"/>
      <c r="I27" s="108"/>
      <c r="J27" s="108"/>
      <c r="K27" s="108"/>
      <c r="L27" s="108"/>
      <c r="M27" s="108"/>
      <c r="N27" s="108"/>
      <c r="O27" s="108"/>
    </row>
    <row r="28" spans="1:15" ht="15.6" x14ac:dyDescent="0.25">
      <c r="A28" s="250"/>
      <c r="B28" s="250"/>
      <c r="C28" s="475" t="s">
        <v>392</v>
      </c>
      <c r="D28" s="83">
        <f>D27*0.16</f>
        <v>47097.536</v>
      </c>
      <c r="E28" s="189"/>
    </row>
    <row r="29" spans="1:15" ht="16.2" thickBot="1" x14ac:dyDescent="0.3">
      <c r="A29" s="250"/>
      <c r="B29" s="250"/>
      <c r="C29" s="476" t="s">
        <v>162</v>
      </c>
      <c r="D29" s="477">
        <f>D27+D28</f>
        <v>341457.136</v>
      </c>
      <c r="E29" s="189"/>
    </row>
    <row r="30" spans="1:15" ht="16.2" thickBot="1" x14ac:dyDescent="0.3">
      <c r="A30" s="102"/>
      <c r="B30" s="1064" t="s">
        <v>558</v>
      </c>
      <c r="C30" s="1065"/>
      <c r="D30" s="1066"/>
      <c r="E30" s="189"/>
    </row>
    <row r="31" spans="1:15" x14ac:dyDescent="0.25">
      <c r="A31" s="102"/>
      <c r="B31" s="201"/>
      <c r="C31" s="253"/>
      <c r="D31" s="254"/>
    </row>
    <row r="32" spans="1:15" ht="13.8" x14ac:dyDescent="0.25">
      <c r="A32" s="102"/>
      <c r="B32" s="468" t="s">
        <v>9</v>
      </c>
      <c r="C32" s="104"/>
      <c r="D32" s="105"/>
    </row>
    <row r="33" spans="1:5" ht="17.399999999999999" x14ac:dyDescent="0.25">
      <c r="A33" s="102"/>
      <c r="B33" s="469" t="s">
        <v>10</v>
      </c>
      <c r="C33" s="104"/>
      <c r="D33" s="105"/>
    </row>
    <row r="34" spans="1:5" ht="15" x14ac:dyDescent="0.25">
      <c r="A34" s="463"/>
      <c r="B34" s="468" t="s">
        <v>11</v>
      </c>
      <c r="C34" s="104"/>
      <c r="D34" s="105"/>
    </row>
    <row r="35" spans="1:5" ht="13.5" customHeight="1" x14ac:dyDescent="0.25">
      <c r="A35" s="463"/>
      <c r="B35" s="470" t="s">
        <v>12</v>
      </c>
      <c r="C35" s="104"/>
      <c r="D35" s="105"/>
    </row>
    <row r="36" spans="1:5" ht="17.25" customHeight="1" x14ac:dyDescent="0.25">
      <c r="A36" s="463"/>
      <c r="B36" s="470" t="s">
        <v>13</v>
      </c>
      <c r="C36" s="104"/>
      <c r="D36" s="105"/>
    </row>
    <row r="37" spans="1:5" ht="15" x14ac:dyDescent="0.25">
      <c r="A37" s="463"/>
      <c r="B37" s="470" t="s">
        <v>14</v>
      </c>
      <c r="C37" s="104"/>
      <c r="D37" s="105"/>
    </row>
    <row r="38" spans="1:5" ht="13.5" customHeight="1" x14ac:dyDescent="0.25">
      <c r="A38" s="102"/>
      <c r="B38" s="468" t="s">
        <v>15</v>
      </c>
      <c r="C38" s="104"/>
    </row>
    <row r="39" spans="1:5" ht="15" x14ac:dyDescent="0.25">
      <c r="A39" s="463"/>
      <c r="B39" s="471" t="s">
        <v>395</v>
      </c>
      <c r="C39" s="104"/>
    </row>
    <row r="40" spans="1:5" ht="27.6" x14ac:dyDescent="0.25">
      <c r="A40" s="463"/>
      <c r="B40" s="471" t="s">
        <v>17</v>
      </c>
      <c r="C40" s="465"/>
      <c r="D40" s="110"/>
      <c r="E40" s="189"/>
    </row>
    <row r="41" spans="1:5" ht="15" x14ac:dyDescent="0.25">
      <c r="A41" s="463"/>
      <c r="B41" s="468" t="s">
        <v>18</v>
      </c>
      <c r="C41" s="465"/>
      <c r="D41" s="110"/>
      <c r="E41" s="189"/>
    </row>
    <row r="42" spans="1:5" ht="22.2" customHeight="1" x14ac:dyDescent="0.25">
      <c r="A42" s="463"/>
      <c r="B42" s="471" t="s">
        <v>556</v>
      </c>
      <c r="C42" s="465"/>
      <c r="D42" s="109"/>
    </row>
    <row r="43" spans="1:5" ht="18.600000000000001" customHeight="1" x14ac:dyDescent="0.25">
      <c r="A43" s="463"/>
      <c r="B43" s="471" t="s">
        <v>20</v>
      </c>
      <c r="C43" s="465"/>
      <c r="D43" s="109"/>
    </row>
    <row r="44" spans="1:5" ht="13.8" x14ac:dyDescent="0.25">
      <c r="A44" s="102"/>
      <c r="B44" s="468" t="s">
        <v>21</v>
      </c>
      <c r="C44" s="104"/>
      <c r="D44" s="105"/>
    </row>
    <row r="45" spans="1:5" ht="15" x14ac:dyDescent="0.25">
      <c r="A45" s="463"/>
      <c r="B45" s="472" t="s">
        <v>502</v>
      </c>
      <c r="C45" s="465"/>
      <c r="D45" s="110"/>
    </row>
    <row r="46" spans="1:5" ht="15" x14ac:dyDescent="0.25">
      <c r="A46" s="463"/>
      <c r="B46" s="470" t="s">
        <v>44</v>
      </c>
      <c r="C46" s="465"/>
      <c r="D46" s="110"/>
    </row>
    <row r="47" spans="1:5" ht="13.8" x14ac:dyDescent="0.25">
      <c r="A47" s="464" t="s">
        <v>0</v>
      </c>
      <c r="B47" s="470" t="s">
        <v>45</v>
      </c>
      <c r="C47" s="465"/>
    </row>
    <row r="48" spans="1:5" ht="50.4" x14ac:dyDescent="0.25">
      <c r="A48" s="225"/>
      <c r="B48" s="473" t="s">
        <v>169</v>
      </c>
      <c r="C48" s="466"/>
      <c r="D48" s="108"/>
    </row>
    <row r="49" spans="1:4" x14ac:dyDescent="0.25">
      <c r="A49" s="222"/>
      <c r="B49" s="467"/>
      <c r="C49" s="181"/>
      <c r="D49" s="108"/>
    </row>
    <row r="50" spans="1:4" x14ac:dyDescent="0.25">
      <c r="A50" s="222"/>
      <c r="B50" s="181"/>
      <c r="C50" s="181"/>
      <c r="D50" s="108"/>
    </row>
    <row r="51" spans="1:4" x14ac:dyDescent="0.25">
      <c r="A51" s="225"/>
      <c r="B51" s="223"/>
      <c r="C51" s="181"/>
      <c r="D51" s="108"/>
    </row>
    <row r="52" spans="1:4" ht="15" x14ac:dyDescent="0.35">
      <c r="A52" s="226" t="s">
        <v>0</v>
      </c>
      <c r="B52" s="224"/>
      <c r="C52" s="181"/>
      <c r="D52" s="181"/>
    </row>
    <row r="53" spans="1:4" x14ac:dyDescent="0.25">
      <c r="A53" s="108" t="s">
        <v>0</v>
      </c>
    </row>
    <row r="57" spans="1:4" ht="12.75" customHeight="1" x14ac:dyDescent="0.25"/>
    <row r="61" spans="1:4" ht="16.5" customHeight="1" x14ac:dyDescent="0.25"/>
    <row r="65" ht="15.75" customHeight="1" x14ac:dyDescent="0.25"/>
    <row r="66" ht="15" customHeight="1" x14ac:dyDescent="0.25"/>
  </sheetData>
  <mergeCells count="3">
    <mergeCell ref="A4:D4"/>
    <mergeCell ref="A13:D13"/>
    <mergeCell ref="B30:D30"/>
  </mergeCells>
  <printOptions horizontalCentered="1"/>
  <pageMargins left="0" right="0" top="0" bottom="0" header="0" footer="0"/>
  <pageSetup paperSize="9" scale="61" orientation="portrait" r:id="rId1"/>
  <headerFooter alignWithMargins="0">
    <oddFooter>Página &amp;P de &amp;N</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578D-A1C9-412D-BBEC-22C95B00B803}">
  <sheetPr>
    <pageSetUpPr fitToPage="1"/>
  </sheetPr>
  <dimension ref="A1:E67"/>
  <sheetViews>
    <sheetView topLeftCell="A3" zoomScaleNormal="100" workbookViewId="0">
      <selection activeCell="B17" sqref="B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572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422">
        <v>1</v>
      </c>
      <c r="B16" s="423" t="s">
        <v>102</v>
      </c>
      <c r="C16" s="424">
        <f>(6343)*(1.7)</f>
        <v>10783.1</v>
      </c>
      <c r="D16" s="425">
        <f t="shared" ref="D16:D17" si="0">A16*C16</f>
        <v>10783.1</v>
      </c>
      <c r="E16" s="76"/>
    </row>
    <row r="17" spans="1:5" ht="15.6" x14ac:dyDescent="0.25">
      <c r="A17" s="483">
        <v>1</v>
      </c>
      <c r="B17" s="423" t="s">
        <v>131</v>
      </c>
      <c r="C17" s="424">
        <f>21930*1.35</f>
        <v>29605.500000000004</v>
      </c>
      <c r="D17" s="425">
        <f t="shared" si="0"/>
        <v>29605.500000000004</v>
      </c>
      <c r="E17" s="76"/>
    </row>
    <row r="18" spans="1:5" ht="15.6" x14ac:dyDescent="0.25">
      <c r="A18" s="72"/>
      <c r="B18" s="75"/>
      <c r="C18" s="75"/>
      <c r="D18" s="75"/>
      <c r="E18" s="76"/>
    </row>
    <row r="19" spans="1:5" ht="15.6" x14ac:dyDescent="0.25">
      <c r="A19" s="89"/>
      <c r="B19" s="90"/>
      <c r="C19" s="304" t="s">
        <v>38</v>
      </c>
      <c r="D19" s="75">
        <f>SUM(D16:D18)</f>
        <v>40388.600000000006</v>
      </c>
      <c r="E19" s="76"/>
    </row>
    <row r="20" spans="1:5" ht="15.6" x14ac:dyDescent="0.3">
      <c r="A20" s="92"/>
      <c r="B20" s="90"/>
      <c r="C20" s="305" t="s">
        <v>39</v>
      </c>
      <c r="D20" s="75">
        <f>D19*0.16</f>
        <v>6462.1760000000013</v>
      </c>
      <c r="E20" s="76"/>
    </row>
    <row r="21" spans="1:5" ht="16.2" thickBot="1" x14ac:dyDescent="0.35">
      <c r="A21" s="92"/>
      <c r="B21" s="90"/>
      <c r="C21" s="306" t="s">
        <v>40</v>
      </c>
      <c r="D21" s="95">
        <f>D19+D20</f>
        <v>46850.776000000005</v>
      </c>
      <c r="E21" s="76"/>
    </row>
    <row r="22" spans="1:5" ht="16.2" thickBot="1" x14ac:dyDescent="0.3">
      <c r="A22" s="92"/>
      <c r="B22" s="1023" t="s">
        <v>570</v>
      </c>
      <c r="C22" s="1024"/>
      <c r="D22" s="1025"/>
      <c r="E22" s="76"/>
    </row>
    <row r="23" spans="1:5" ht="18.75" customHeight="1" x14ac:dyDescent="0.25">
      <c r="A23" s="307"/>
      <c r="B23" s="308"/>
      <c r="C23" s="308"/>
      <c r="D23" s="308"/>
      <c r="E23" s="309"/>
    </row>
    <row r="24" spans="1:5" ht="18.75" customHeight="1" x14ac:dyDescent="0.25">
      <c r="B24" s="97" t="s">
        <v>9</v>
      </c>
      <c r="C24" s="98"/>
      <c r="D24" s="99"/>
    </row>
    <row r="25" spans="1:5" s="96" customFormat="1" ht="18.75" customHeight="1" x14ac:dyDescent="0.25">
      <c r="A25" s="52"/>
      <c r="B25" s="255"/>
    </row>
    <row r="26" spans="1:5" ht="15.75" customHeight="1" x14ac:dyDescent="0.25">
      <c r="A26" s="96"/>
      <c r="B26" s="485" t="s">
        <v>11</v>
      </c>
      <c r="C26" s="76"/>
      <c r="D26" s="96"/>
      <c r="E26" s="96"/>
    </row>
    <row r="27" spans="1:5" s="96" customFormat="1" ht="15" customHeight="1" x14ac:dyDescent="0.25">
      <c r="A27" s="101"/>
      <c r="B27" s="121" t="s">
        <v>12</v>
      </c>
      <c r="C27" s="52"/>
      <c r="D27" s="52"/>
      <c r="E27" s="52"/>
    </row>
    <row r="28" spans="1:5" s="96" customFormat="1" ht="15.75" customHeight="1" x14ac:dyDescent="0.25">
      <c r="A28" s="101"/>
      <c r="B28" s="121" t="s">
        <v>13</v>
      </c>
      <c r="C28" s="52"/>
      <c r="D28" s="52"/>
      <c r="E28" s="52"/>
    </row>
    <row r="29" spans="1:5" ht="13.5" customHeight="1" x14ac:dyDescent="0.25">
      <c r="A29" s="101"/>
      <c r="B29" s="121" t="s">
        <v>14</v>
      </c>
      <c r="C29" s="52"/>
      <c r="D29" s="52"/>
    </row>
    <row r="30" spans="1:5" ht="13.5" customHeight="1" x14ac:dyDescent="0.25">
      <c r="A30" s="102"/>
      <c r="B30" s="485" t="s">
        <v>15</v>
      </c>
      <c r="C30" s="52"/>
      <c r="D30" s="52"/>
    </row>
    <row r="31" spans="1:5" ht="13.5" customHeight="1" x14ac:dyDescent="0.25">
      <c r="A31" s="102"/>
      <c r="B31" s="125" t="s">
        <v>42</v>
      </c>
      <c r="C31" s="104"/>
      <c r="D31" s="105"/>
    </row>
    <row r="32" spans="1:5" ht="27.6" x14ac:dyDescent="0.25">
      <c r="A32" s="106"/>
      <c r="B32" s="125" t="s">
        <v>43</v>
      </c>
      <c r="C32" s="104"/>
      <c r="D32" s="105"/>
    </row>
    <row r="33" spans="1:4" ht="15" x14ac:dyDescent="0.25">
      <c r="A33" s="106"/>
      <c r="B33" s="485" t="s">
        <v>18</v>
      </c>
      <c r="C33" s="107"/>
      <c r="D33" s="105"/>
    </row>
    <row r="34" spans="1:4" ht="13.5" customHeight="1" x14ac:dyDescent="0.25">
      <c r="A34" s="106"/>
      <c r="B34" s="126" t="s">
        <v>261</v>
      </c>
      <c r="C34" s="107"/>
      <c r="D34" s="105"/>
    </row>
    <row r="35" spans="1:4" ht="13.5" customHeight="1" x14ac:dyDescent="0.25">
      <c r="A35" s="106"/>
      <c r="B35" s="127" t="s">
        <v>20</v>
      </c>
      <c r="C35" s="107"/>
      <c r="D35" s="105"/>
    </row>
    <row r="36" spans="1:4" ht="13.5" customHeight="1" x14ac:dyDescent="0.25">
      <c r="A36" s="108"/>
      <c r="B36" s="485" t="s">
        <v>21</v>
      </c>
      <c r="C36" s="107"/>
      <c r="D36" s="105"/>
    </row>
    <row r="37" spans="1:4" ht="13.5" customHeight="1" x14ac:dyDescent="0.25">
      <c r="A37" s="106"/>
      <c r="B37" s="484" t="s">
        <v>571</v>
      </c>
      <c r="C37" s="107"/>
      <c r="D37" s="107"/>
    </row>
    <row r="38" spans="1:4" ht="13.5" customHeight="1" x14ac:dyDescent="0.25">
      <c r="A38" s="106"/>
      <c r="B38" s="121" t="s">
        <v>44</v>
      </c>
      <c r="C38" s="107"/>
      <c r="D38" s="107"/>
    </row>
    <row r="39" spans="1:4" ht="15" x14ac:dyDescent="0.25">
      <c r="A39" s="106"/>
      <c r="B39" s="121" t="s">
        <v>45</v>
      </c>
      <c r="C39" s="109"/>
      <c r="D39" s="110"/>
    </row>
    <row r="40" spans="1:4" ht="33.6" x14ac:dyDescent="0.4">
      <c r="A40" s="106"/>
      <c r="B40" s="128"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58" spans="1:4" ht="15.75" customHeight="1" x14ac:dyDescent="0.25"/>
    <row r="62" spans="1:4" ht="16.5" customHeight="1" x14ac:dyDescent="0.25"/>
    <row r="66" ht="24" customHeight="1" x14ac:dyDescent="0.25"/>
    <row r="67" ht="24" customHeight="1" x14ac:dyDescent="0.25"/>
  </sheetData>
  <mergeCells count="3">
    <mergeCell ref="A4:D4"/>
    <mergeCell ref="A13:D13"/>
    <mergeCell ref="B22:D22"/>
  </mergeCells>
  <pageMargins left="0.25" right="0.25" top="0.75" bottom="0.75" header="0.3" footer="0.3"/>
  <pageSetup scale="63"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AD48-038B-43B7-8DC4-1845A28F586B}">
  <sheetPr>
    <pageSetUpPr fitToPage="1"/>
  </sheetPr>
  <dimension ref="A1:F69"/>
  <sheetViews>
    <sheetView topLeftCell="A17" zoomScaleNormal="100" workbookViewId="0">
      <selection activeCell="A20" sqref="A20:D2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485</v>
      </c>
      <c r="B8" s="10"/>
      <c r="C8" s="58"/>
      <c r="D8" s="58"/>
    </row>
    <row r="9" spans="1:5" s="55" customFormat="1" ht="16.8" x14ac:dyDescent="0.4">
      <c r="A9" s="57" t="s">
        <v>486</v>
      </c>
      <c r="B9" s="10"/>
      <c r="C9" s="58"/>
      <c r="D9" s="58"/>
    </row>
    <row r="10" spans="1:5" s="55" customFormat="1" ht="16.8" x14ac:dyDescent="0.4">
      <c r="A10" s="57" t="s">
        <v>461</v>
      </c>
      <c r="B10" s="10"/>
      <c r="C10" s="58"/>
      <c r="D10" s="58"/>
    </row>
    <row r="11" spans="1:5" s="55" customFormat="1" ht="16.8" x14ac:dyDescent="0.4">
      <c r="A11" s="57" t="s">
        <v>487</v>
      </c>
      <c r="B11" s="10"/>
      <c r="C11" s="59"/>
      <c r="D11" s="58"/>
    </row>
    <row r="12" spans="1:5" s="55" customFormat="1" ht="15" customHeight="1" x14ac:dyDescent="0.4">
      <c r="A12" s="60" t="s">
        <v>636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469</v>
      </c>
      <c r="C16" s="74">
        <v>12000</v>
      </c>
      <c r="D16" s="75">
        <f>A16*C16</f>
        <v>12000</v>
      </c>
      <c r="E16" s="76"/>
    </row>
    <row r="17" spans="1:6" ht="31.2" x14ac:dyDescent="0.25">
      <c r="A17" s="77">
        <v>1</v>
      </c>
      <c r="B17" s="78" t="s">
        <v>466</v>
      </c>
      <c r="C17" s="79">
        <f>54884*1.25</f>
        <v>68605</v>
      </c>
      <c r="D17" s="80">
        <f>A17*C17</f>
        <v>68605</v>
      </c>
      <c r="E17" s="76"/>
    </row>
    <row r="18" spans="1:6" ht="18" customHeight="1" x14ac:dyDescent="0.25">
      <c r="A18" s="77">
        <v>1</v>
      </c>
      <c r="B18" s="81" t="s">
        <v>539</v>
      </c>
      <c r="C18" s="82">
        <f>(1608.11*20.56*1.28)</f>
        <v>42320.30924799999</v>
      </c>
      <c r="D18" s="83">
        <f>A18*C18</f>
        <v>42320.30924799999</v>
      </c>
      <c r="E18" s="76"/>
    </row>
    <row r="19" spans="1:6" ht="30" x14ac:dyDescent="0.25">
      <c r="A19" s="77">
        <v>1</v>
      </c>
      <c r="B19" s="81" t="s">
        <v>631</v>
      </c>
      <c r="C19" s="82">
        <f>(625.11*20.56)*1.3+(4500)</f>
        <v>21207.94008</v>
      </c>
      <c r="D19" s="83">
        <f t="shared" ref="D19:D22" si="0">A19*C19</f>
        <v>21207.94008</v>
      </c>
      <c r="E19" s="76"/>
    </row>
    <row r="20" spans="1:6" ht="30" x14ac:dyDescent="0.25">
      <c r="A20" s="77">
        <v>1</v>
      </c>
      <c r="B20" s="81" t="s">
        <v>632</v>
      </c>
      <c r="C20" s="82">
        <v>11200</v>
      </c>
      <c r="D20" s="83">
        <f t="shared" si="0"/>
        <v>11200</v>
      </c>
      <c r="E20" s="76"/>
    </row>
    <row r="21" spans="1:6" ht="30" x14ac:dyDescent="0.25">
      <c r="A21" s="77">
        <v>1</v>
      </c>
      <c r="B21" s="81" t="s">
        <v>633</v>
      </c>
      <c r="C21" s="82">
        <v>1890</v>
      </c>
      <c r="D21" s="83">
        <f t="shared" si="0"/>
        <v>1890</v>
      </c>
      <c r="E21" s="76"/>
    </row>
    <row r="22" spans="1:6" ht="30" x14ac:dyDescent="0.25">
      <c r="A22" s="77">
        <v>1</v>
      </c>
      <c r="B22" s="81" t="s">
        <v>634</v>
      </c>
      <c r="C22" s="82">
        <v>1380</v>
      </c>
      <c r="D22" s="83">
        <f t="shared" si="0"/>
        <v>1380</v>
      </c>
      <c r="E22" s="76"/>
    </row>
    <row r="23" spans="1:6" ht="30" x14ac:dyDescent="0.25">
      <c r="A23" s="72">
        <v>1</v>
      </c>
      <c r="B23" s="73" t="s">
        <v>33</v>
      </c>
      <c r="C23" s="74">
        <v>4600</v>
      </c>
      <c r="D23" s="75">
        <f>A23*C23</f>
        <v>4600</v>
      </c>
      <c r="E23" s="76"/>
    </row>
    <row r="24" spans="1:6" ht="15.6" x14ac:dyDescent="0.25">
      <c r="A24" s="84">
        <v>140</v>
      </c>
      <c r="B24" s="85" t="s">
        <v>34</v>
      </c>
      <c r="C24" s="86">
        <v>16.12</v>
      </c>
      <c r="D24" s="87">
        <f>A24*C24</f>
        <v>2256.8000000000002</v>
      </c>
      <c r="E24" s="76"/>
    </row>
    <row r="25" spans="1:6" ht="15.6" x14ac:dyDescent="0.25">
      <c r="A25" s="84">
        <v>1</v>
      </c>
      <c r="B25" s="85" t="s">
        <v>35</v>
      </c>
      <c r="C25" s="88">
        <f>(5150)*(2)</f>
        <v>10300</v>
      </c>
      <c r="D25" s="83">
        <f t="shared" ref="D25:D26" si="1">A25*C25</f>
        <v>10300</v>
      </c>
      <c r="E25" s="76"/>
    </row>
    <row r="26" spans="1:6" ht="15.6" x14ac:dyDescent="0.25">
      <c r="A26" s="84">
        <v>1</v>
      </c>
      <c r="B26" s="85" t="s">
        <v>208</v>
      </c>
      <c r="C26" s="88">
        <f>(11896)*(1.51)</f>
        <v>17962.96</v>
      </c>
      <c r="D26" s="83">
        <f t="shared" si="1"/>
        <v>17962.96</v>
      </c>
      <c r="E26" s="76"/>
    </row>
    <row r="27" spans="1:6" ht="15.6" x14ac:dyDescent="0.25">
      <c r="A27" s="72">
        <v>1</v>
      </c>
      <c r="B27" s="73" t="s">
        <v>36</v>
      </c>
      <c r="C27" s="74">
        <v>2209</v>
      </c>
      <c r="D27" s="75">
        <f>A27*C27</f>
        <v>2209</v>
      </c>
      <c r="E27" s="76"/>
    </row>
    <row r="28" spans="1:6" ht="45" x14ac:dyDescent="0.25">
      <c r="A28" s="72">
        <v>1</v>
      </c>
      <c r="B28" s="73" t="s">
        <v>468</v>
      </c>
      <c r="C28" s="74">
        <v>12000</v>
      </c>
      <c r="D28" s="75">
        <f>A28*C28</f>
        <v>12000</v>
      </c>
      <c r="E28" s="76"/>
      <c r="F28" s="96"/>
    </row>
    <row r="29" spans="1:6" s="96" customFormat="1" ht="15.6" x14ac:dyDescent="0.25">
      <c r="A29" s="72"/>
      <c r="B29" s="75"/>
      <c r="C29" s="75"/>
      <c r="D29" s="75"/>
      <c r="E29" s="52"/>
    </row>
    <row r="30" spans="1:6" s="96" customFormat="1" ht="15.75" customHeight="1" x14ac:dyDescent="0.25">
      <c r="A30" s="89"/>
      <c r="B30" s="90"/>
      <c r="C30" s="91" t="s">
        <v>38</v>
      </c>
      <c r="D30" s="75">
        <f>SUM(D16:D28)</f>
        <v>207932.00932799999</v>
      </c>
      <c r="F30" s="52"/>
    </row>
    <row r="31" spans="1:6" ht="13.5" customHeight="1" x14ac:dyDescent="0.3">
      <c r="A31" s="92"/>
      <c r="B31" s="90"/>
      <c r="C31" s="93" t="s">
        <v>39</v>
      </c>
      <c r="D31" s="75">
        <f>D30*0.16</f>
        <v>33269.121492480001</v>
      </c>
      <c r="E31" s="96"/>
    </row>
    <row r="32" spans="1:6" ht="16.2" thickBot="1" x14ac:dyDescent="0.35">
      <c r="A32" s="92"/>
      <c r="B32" s="90"/>
      <c r="C32" s="94" t="s">
        <v>40</v>
      </c>
      <c r="D32" s="95">
        <f>D30+D31</f>
        <v>241201.13082048</v>
      </c>
    </row>
    <row r="33" spans="1:4" ht="16.2" thickBot="1" x14ac:dyDescent="0.3">
      <c r="A33" s="92"/>
      <c r="B33" s="1023" t="s">
        <v>635</v>
      </c>
      <c r="C33" s="1024"/>
      <c r="D33" s="1025"/>
    </row>
    <row r="34" spans="1:4" ht="13.8" x14ac:dyDescent="0.25">
      <c r="B34" s="370" t="s">
        <v>9</v>
      </c>
      <c r="C34" s="98"/>
      <c r="D34" s="99"/>
    </row>
    <row r="35" spans="1:4" ht="34.799999999999997" x14ac:dyDescent="0.25">
      <c r="B35" s="124" t="s">
        <v>484</v>
      </c>
      <c r="C35" s="76"/>
      <c r="D35" s="96"/>
    </row>
    <row r="36" spans="1:4" ht="13.5" customHeight="1" x14ac:dyDescent="0.25">
      <c r="A36" s="96"/>
      <c r="B36" s="103" t="s">
        <v>11</v>
      </c>
      <c r="C36" s="96"/>
      <c r="D36" s="96"/>
    </row>
    <row r="37" spans="1:4" ht="13.5" customHeight="1" x14ac:dyDescent="0.25">
      <c r="A37" s="101"/>
      <c r="B37" s="123" t="s">
        <v>12</v>
      </c>
      <c r="C37" s="52"/>
      <c r="D37" s="52"/>
    </row>
    <row r="38" spans="1:4" ht="13.5" customHeight="1" x14ac:dyDescent="0.25">
      <c r="A38" s="101"/>
      <c r="B38" s="123" t="s">
        <v>13</v>
      </c>
      <c r="C38" s="52"/>
      <c r="D38" s="52"/>
    </row>
    <row r="39" spans="1:4" ht="13.5" customHeight="1" x14ac:dyDescent="0.25">
      <c r="A39" s="101"/>
      <c r="B39" s="123" t="s">
        <v>14</v>
      </c>
      <c r="C39" s="52"/>
      <c r="D39" s="52"/>
    </row>
    <row r="40" spans="1:4" ht="13.5" customHeight="1" x14ac:dyDescent="0.25">
      <c r="A40" s="102"/>
      <c r="B40" s="103" t="s">
        <v>15</v>
      </c>
      <c r="C40" s="52"/>
      <c r="D40" s="52"/>
    </row>
    <row r="41" spans="1:4" ht="13.8" x14ac:dyDescent="0.25">
      <c r="A41" s="102"/>
      <c r="B41" s="295" t="s">
        <v>42</v>
      </c>
      <c r="C41" s="104"/>
      <c r="D41" s="105"/>
    </row>
    <row r="42" spans="1:4" ht="27.6" x14ac:dyDescent="0.25">
      <c r="A42" s="106"/>
      <c r="B42" s="295" t="s">
        <v>43</v>
      </c>
      <c r="C42" s="104"/>
      <c r="D42" s="105"/>
    </row>
    <row r="43" spans="1:4" ht="15" x14ac:dyDescent="0.25">
      <c r="A43" s="106"/>
      <c r="B43" s="103" t="s">
        <v>18</v>
      </c>
      <c r="C43" s="107"/>
      <c r="D43" s="105"/>
    </row>
    <row r="44" spans="1:4" ht="15" x14ac:dyDescent="0.25">
      <c r="A44" s="106"/>
      <c r="B44" s="313" t="s">
        <v>540</v>
      </c>
      <c r="C44" s="107"/>
      <c r="D44" s="105"/>
    </row>
    <row r="45" spans="1:4" ht="15" x14ac:dyDescent="0.25">
      <c r="A45" s="106"/>
      <c r="B45" s="297" t="s">
        <v>20</v>
      </c>
      <c r="C45" s="107"/>
      <c r="D45" s="105"/>
    </row>
    <row r="46" spans="1:4" ht="13.8" x14ac:dyDescent="0.25">
      <c r="A46" s="108"/>
      <c r="B46" s="103" t="s">
        <v>21</v>
      </c>
      <c r="C46" s="107"/>
      <c r="D46" s="105"/>
    </row>
    <row r="47" spans="1:4" ht="15" x14ac:dyDescent="0.25">
      <c r="A47" s="106"/>
      <c r="B47" s="122" t="s">
        <v>262</v>
      </c>
      <c r="C47" s="107"/>
      <c r="D47" s="107"/>
    </row>
    <row r="48" spans="1:4" ht="15" x14ac:dyDescent="0.25">
      <c r="A48" s="106"/>
      <c r="B48" s="123" t="s">
        <v>44</v>
      </c>
      <c r="C48" s="107"/>
      <c r="D48" s="107"/>
    </row>
    <row r="49" spans="1:4" ht="15" x14ac:dyDescent="0.25">
      <c r="A49" s="106"/>
      <c r="B49" s="123" t="s">
        <v>45</v>
      </c>
      <c r="C49" s="109"/>
      <c r="D49" s="110"/>
    </row>
    <row r="50" spans="1:4" ht="33.6" x14ac:dyDescent="0.25">
      <c r="A50" s="106"/>
      <c r="B50" s="314" t="s">
        <v>23</v>
      </c>
      <c r="C50" s="109"/>
      <c r="D50" s="110"/>
    </row>
    <row r="51" spans="1:4" ht="16.8" x14ac:dyDescent="0.4">
      <c r="A51" s="106"/>
      <c r="B51" s="111"/>
      <c r="C51" s="109"/>
      <c r="D51" s="109"/>
    </row>
    <row r="52" spans="1:4" ht="13.8" x14ac:dyDescent="0.25">
      <c r="A52" s="108"/>
      <c r="B52" s="112"/>
      <c r="C52" s="109"/>
      <c r="D52" s="109"/>
    </row>
    <row r="53" spans="1:4" ht="15" x14ac:dyDescent="0.25">
      <c r="A53" s="106"/>
      <c r="B53" s="112"/>
      <c r="C53" s="107"/>
      <c r="D53" s="105"/>
    </row>
    <row r="54" spans="1:4" ht="15" x14ac:dyDescent="0.25">
      <c r="A54" s="106"/>
      <c r="B54" s="113"/>
      <c r="C54" s="109"/>
      <c r="D54" s="110"/>
    </row>
    <row r="55" spans="1:4" ht="16.2" x14ac:dyDescent="0.35">
      <c r="A55" s="106"/>
      <c r="B55" s="114"/>
      <c r="C55" s="109"/>
      <c r="D55" s="110"/>
    </row>
    <row r="56" spans="1:4" ht="13.8" x14ac:dyDescent="0.25">
      <c r="A56" s="115" t="s">
        <v>0</v>
      </c>
      <c r="C56" s="109"/>
      <c r="D56" s="110"/>
    </row>
    <row r="57" spans="1:4" ht="13.8" x14ac:dyDescent="0.25">
      <c r="A57" s="116"/>
      <c r="C57" s="109"/>
      <c r="D57" s="109"/>
    </row>
    <row r="58" spans="1:4" ht="13.8" x14ac:dyDescent="0.25">
      <c r="A58" s="117"/>
      <c r="C58" s="118"/>
      <c r="D58" s="118"/>
    </row>
    <row r="59" spans="1:4" x14ac:dyDescent="0.25">
      <c r="A59" s="117"/>
      <c r="C59" s="112"/>
      <c r="D59" s="52"/>
    </row>
    <row r="60" spans="1:4" ht="15.75" customHeight="1" x14ac:dyDescent="0.25">
      <c r="A60" s="119"/>
      <c r="C60" s="112"/>
      <c r="D60" s="52"/>
    </row>
    <row r="61" spans="1:4" x14ac:dyDescent="0.25">
      <c r="A61" s="120" t="s">
        <v>0</v>
      </c>
      <c r="C61" s="112"/>
      <c r="D61" s="52"/>
    </row>
    <row r="62" spans="1:4" x14ac:dyDescent="0.25">
      <c r="A62" s="52" t="s">
        <v>0</v>
      </c>
      <c r="C62" s="112"/>
      <c r="D62" s="112"/>
    </row>
    <row r="64" spans="1:4" ht="16.5" customHeight="1" x14ac:dyDescent="0.25"/>
    <row r="68" ht="24" customHeight="1" x14ac:dyDescent="0.25"/>
    <row r="69" ht="24" customHeight="1" x14ac:dyDescent="0.25"/>
  </sheetData>
  <mergeCells count="3">
    <mergeCell ref="A4:D4"/>
    <mergeCell ref="A13:D13"/>
    <mergeCell ref="B33:D33"/>
  </mergeCells>
  <pageMargins left="0.25" right="0.25" top="0.75" bottom="0.75" header="0.3" footer="0.3"/>
  <pageSetup scale="60" fitToHeight="0"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F12C-F1C8-4D08-B27A-9C4BEE54A664}">
  <sheetPr>
    <pageSetUpPr fitToPage="1"/>
  </sheetPr>
  <dimension ref="A1:E66"/>
  <sheetViews>
    <sheetView topLeftCell="A7" zoomScaleNormal="100" workbookViewId="0">
      <selection activeCell="B18" sqref="B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485</v>
      </c>
      <c r="B8" s="10"/>
      <c r="C8" s="58"/>
      <c r="D8" s="58"/>
    </row>
    <row r="9" spans="1:5" s="55" customFormat="1" ht="16.8" x14ac:dyDescent="0.4">
      <c r="A9" s="57" t="s">
        <v>486</v>
      </c>
      <c r="B9" s="10"/>
      <c r="C9" s="58"/>
      <c r="D9" s="58"/>
    </row>
    <row r="10" spans="1:5" s="55" customFormat="1" ht="16.8" x14ac:dyDescent="0.4">
      <c r="A10" s="57" t="s">
        <v>461</v>
      </c>
      <c r="B10" s="10"/>
      <c r="C10" s="58"/>
      <c r="D10" s="58"/>
    </row>
    <row r="11" spans="1:5" s="55" customFormat="1" ht="16.8" x14ac:dyDescent="0.4">
      <c r="A11" s="57" t="s">
        <v>487</v>
      </c>
      <c r="B11" s="10"/>
      <c r="C11" s="59"/>
      <c r="D11" s="58"/>
    </row>
    <row r="12" spans="1:5" s="55" customFormat="1" ht="15" customHeight="1" x14ac:dyDescent="0.4">
      <c r="A12" s="60" t="s">
        <v>636</v>
      </c>
      <c r="B12" s="61"/>
      <c r="C12" s="62"/>
      <c r="D12" s="63"/>
    </row>
    <row r="13" spans="1:5" s="55" customFormat="1" ht="16.8" x14ac:dyDescent="0.4">
      <c r="A13" s="1067" t="s">
        <v>28</v>
      </c>
      <c r="B13" s="1068"/>
      <c r="C13" s="1069"/>
      <c r="D13" s="1070"/>
    </row>
    <row r="14" spans="1:5" s="55" customFormat="1" ht="16.8" x14ac:dyDescent="0.4">
      <c r="A14" s="430" t="s">
        <v>29</v>
      </c>
      <c r="B14" s="430" t="s">
        <v>30</v>
      </c>
      <c r="C14" s="431" t="s">
        <v>31</v>
      </c>
      <c r="D14" s="431" t="s">
        <v>32</v>
      </c>
    </row>
    <row r="15" spans="1:5" s="71" customFormat="1" ht="13.8" x14ac:dyDescent="0.25">
      <c r="A15" s="432"/>
      <c r="B15" s="433"/>
      <c r="C15" s="434"/>
      <c r="D15" s="434"/>
    </row>
    <row r="16" spans="1:5" ht="31.2" x14ac:dyDescent="0.25">
      <c r="A16" s="27">
        <v>2</v>
      </c>
      <c r="B16" s="28" t="s">
        <v>463</v>
      </c>
      <c r="C16" s="31">
        <v>1700</v>
      </c>
      <c r="D16" s="30">
        <f>A16*C16</f>
        <v>3400</v>
      </c>
      <c r="E16" s="76"/>
    </row>
    <row r="17" spans="1:5" ht="45" x14ac:dyDescent="0.25">
      <c r="A17" s="435">
        <v>140</v>
      </c>
      <c r="B17" s="28" t="s">
        <v>464</v>
      </c>
      <c r="C17" s="29">
        <v>100</v>
      </c>
      <c r="D17" s="436">
        <f>C17*A17</f>
        <v>14000</v>
      </c>
      <c r="E17" s="76"/>
    </row>
    <row r="18" spans="1:5" ht="45" x14ac:dyDescent="0.25">
      <c r="A18" s="27">
        <v>140</v>
      </c>
      <c r="B18" s="28" t="s">
        <v>465</v>
      </c>
      <c r="C18" s="29">
        <v>100</v>
      </c>
      <c r="D18" s="436">
        <f>A18*C18</f>
        <v>14000</v>
      </c>
      <c r="E18" s="76"/>
    </row>
    <row r="19" spans="1:5" ht="28.5" customHeight="1" x14ac:dyDescent="0.25">
      <c r="A19" s="437">
        <v>1</v>
      </c>
      <c r="B19" s="438" t="s">
        <v>259</v>
      </c>
      <c r="C19" s="439">
        <v>3500</v>
      </c>
      <c r="D19" s="436">
        <f>A19*C19</f>
        <v>3500</v>
      </c>
      <c r="E19" s="76"/>
    </row>
    <row r="20" spans="1:5" ht="15.6" x14ac:dyDescent="0.25">
      <c r="A20" s="440"/>
      <c r="B20" s="436"/>
      <c r="C20" s="436"/>
      <c r="D20" s="436"/>
      <c r="E20" s="76"/>
    </row>
    <row r="21" spans="1:5" ht="18.75" customHeight="1" x14ac:dyDescent="0.25">
      <c r="A21" s="89"/>
      <c r="B21" s="441"/>
      <c r="C21" s="442" t="s">
        <v>38</v>
      </c>
      <c r="D21" s="30">
        <f>SUM(D16:D19)</f>
        <v>34900</v>
      </c>
    </row>
    <row r="22" spans="1:5" ht="18.75" customHeight="1" x14ac:dyDescent="0.3">
      <c r="A22" s="92"/>
      <c r="B22" s="443"/>
      <c r="C22" s="444" t="s">
        <v>39</v>
      </c>
      <c r="D22" s="30">
        <f>D21*0.16</f>
        <v>5584</v>
      </c>
    </row>
    <row r="23" spans="1:5" ht="18.75" customHeight="1" x14ac:dyDescent="0.3">
      <c r="A23" s="92"/>
      <c r="B23" s="443"/>
      <c r="C23" s="444" t="s">
        <v>40</v>
      </c>
      <c r="D23" s="436">
        <f>D21+D22</f>
        <v>40484</v>
      </c>
    </row>
    <row r="24" spans="1:5" ht="18.75" customHeight="1" x14ac:dyDescent="0.25">
      <c r="A24" s="92"/>
      <c r="B24" s="1071"/>
      <c r="C24" s="1072"/>
      <c r="D24" s="1073"/>
      <c r="E24" s="76"/>
    </row>
    <row r="25" spans="1:5" ht="15.75" customHeight="1" x14ac:dyDescent="0.25">
      <c r="B25" s="97" t="s">
        <v>9</v>
      </c>
      <c r="C25" s="98"/>
      <c r="D25" s="99"/>
    </row>
    <row r="26" spans="1:5" s="96" customFormat="1" ht="15" customHeight="1" x14ac:dyDescent="0.25">
      <c r="A26" s="52"/>
      <c r="B26" s="255"/>
    </row>
    <row r="27" spans="1:5" s="96" customFormat="1" ht="15.75" customHeight="1" x14ac:dyDescent="0.25">
      <c r="B27" s="100" t="s">
        <v>11</v>
      </c>
      <c r="C27" s="76"/>
    </row>
    <row r="28" spans="1:5" ht="13.5" customHeight="1" x14ac:dyDescent="0.25">
      <c r="A28" s="101"/>
      <c r="B28" s="256" t="s">
        <v>12</v>
      </c>
      <c r="C28" s="52"/>
      <c r="D28" s="52"/>
    </row>
    <row r="29" spans="1:5" ht="13.5" customHeight="1" x14ac:dyDescent="0.25">
      <c r="A29" s="101"/>
      <c r="B29" s="256" t="s">
        <v>13</v>
      </c>
      <c r="C29" s="52"/>
      <c r="D29" s="52"/>
    </row>
    <row r="30" spans="1:5" ht="13.5" customHeight="1" x14ac:dyDescent="0.25">
      <c r="A30" s="101"/>
      <c r="B30" s="256" t="s">
        <v>14</v>
      </c>
      <c r="C30" s="52"/>
      <c r="D30" s="52"/>
    </row>
    <row r="31" spans="1:5" ht="13.8" x14ac:dyDescent="0.25">
      <c r="A31" s="102"/>
      <c r="B31" s="103" t="s">
        <v>15</v>
      </c>
      <c r="C31" s="52"/>
      <c r="D31" s="52"/>
    </row>
    <row r="32" spans="1:5" ht="13.8" x14ac:dyDescent="0.25">
      <c r="A32" s="102"/>
      <c r="B32" s="216" t="s">
        <v>42</v>
      </c>
      <c r="C32" s="104"/>
      <c r="D32" s="105"/>
    </row>
    <row r="33" spans="1:4" ht="13.5" customHeight="1" x14ac:dyDescent="0.25">
      <c r="A33" s="106"/>
      <c r="B33" s="216" t="s">
        <v>43</v>
      </c>
      <c r="C33" s="104"/>
      <c r="D33" s="105"/>
    </row>
    <row r="34" spans="1:4" ht="13.5" customHeight="1" x14ac:dyDescent="0.25">
      <c r="A34" s="106"/>
      <c r="B34" s="103" t="s">
        <v>18</v>
      </c>
      <c r="C34" s="107"/>
      <c r="D34" s="105"/>
    </row>
    <row r="35" spans="1:4" ht="13.5" customHeight="1" x14ac:dyDescent="0.25">
      <c r="A35" s="106"/>
      <c r="B35" s="188" t="s">
        <v>261</v>
      </c>
      <c r="C35" s="107"/>
      <c r="D35" s="105"/>
    </row>
    <row r="36" spans="1:4" ht="13.5" customHeight="1" x14ac:dyDescent="0.25">
      <c r="A36" s="106"/>
      <c r="B36" s="217" t="s">
        <v>20</v>
      </c>
      <c r="C36" s="107"/>
      <c r="D36" s="105"/>
    </row>
    <row r="37" spans="1:4" ht="13.5" customHeight="1" x14ac:dyDescent="0.25">
      <c r="A37" s="108"/>
      <c r="B37" s="103" t="s">
        <v>21</v>
      </c>
      <c r="C37" s="107"/>
      <c r="D37" s="105"/>
    </row>
    <row r="38" spans="1:4" ht="15" x14ac:dyDescent="0.25">
      <c r="A38" s="106"/>
      <c r="B38" s="310" t="s">
        <v>262</v>
      </c>
      <c r="C38" s="107"/>
      <c r="D38" s="107"/>
    </row>
    <row r="39" spans="1:4" ht="15" x14ac:dyDescent="0.25">
      <c r="A39" s="106"/>
      <c r="B39" s="180" t="s">
        <v>44</v>
      </c>
      <c r="C39" s="107"/>
      <c r="D39" s="107"/>
    </row>
    <row r="40" spans="1:4" ht="15" x14ac:dyDescent="0.25">
      <c r="A40" s="106"/>
      <c r="B40" s="180" t="s">
        <v>45</v>
      </c>
      <c r="C40" s="109"/>
      <c r="D40" s="110"/>
    </row>
    <row r="41" spans="1:4" ht="33.6" x14ac:dyDescent="0.4">
      <c r="A41" s="106"/>
      <c r="B41" s="218"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4:D24"/>
  </mergeCells>
  <pageMargins left="0.25" right="0.25" top="0.75" bottom="0.75" header="0.3" footer="0.3"/>
  <pageSetup scale="5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EB96-6174-44C0-BBEE-453A10FC17A9}">
  <sheetPr>
    <pageSetUpPr fitToPage="1"/>
  </sheetPr>
  <dimension ref="A1:F69"/>
  <sheetViews>
    <sheetView zoomScaleNormal="100" workbookViewId="0">
      <selection activeCell="B35" sqref="B35"/>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485</v>
      </c>
      <c r="B8" s="10"/>
      <c r="C8" s="58"/>
      <c r="D8" s="58"/>
    </row>
    <row r="9" spans="1:5" s="55" customFormat="1" ht="16.8" x14ac:dyDescent="0.4">
      <c r="A9" s="57" t="s">
        <v>486</v>
      </c>
      <c r="B9" s="10"/>
      <c r="C9" s="58"/>
      <c r="D9" s="58"/>
    </row>
    <row r="10" spans="1:5" s="55" customFormat="1" ht="16.8" x14ac:dyDescent="0.4">
      <c r="A10" s="57" t="s">
        <v>461</v>
      </c>
      <c r="B10" s="10"/>
      <c r="C10" s="58"/>
      <c r="D10" s="58"/>
    </row>
    <row r="11" spans="1:5" s="55" customFormat="1" ht="16.8" x14ac:dyDescent="0.4">
      <c r="A11" s="57" t="s">
        <v>487</v>
      </c>
      <c r="B11" s="10"/>
      <c r="C11" s="59"/>
      <c r="D11" s="58"/>
    </row>
    <row r="12" spans="1:5" s="55" customFormat="1" ht="15" customHeight="1" x14ac:dyDescent="0.4">
      <c r="A12" s="60" t="s">
        <v>636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637</v>
      </c>
      <c r="C16" s="74">
        <f>90000+52671</f>
        <v>142671</v>
      </c>
      <c r="D16" s="75">
        <f>A16*C16</f>
        <v>142671</v>
      </c>
      <c r="E16" s="76"/>
    </row>
    <row r="17" spans="1:6" ht="12" customHeight="1" x14ac:dyDescent="0.25">
      <c r="A17" s="72"/>
      <c r="B17" s="75"/>
      <c r="C17" s="75"/>
      <c r="D17" s="75"/>
    </row>
    <row r="18" spans="1:6" ht="18" customHeight="1" x14ac:dyDescent="0.25">
      <c r="A18" s="89"/>
      <c r="B18" s="90"/>
      <c r="C18" s="91" t="s">
        <v>38</v>
      </c>
      <c r="D18" s="75">
        <f>SUM(D16:D16)</f>
        <v>142671</v>
      </c>
    </row>
    <row r="19" spans="1:6" ht="15.6" x14ac:dyDescent="0.3">
      <c r="A19" s="92"/>
      <c r="B19" s="90"/>
      <c r="C19" s="93" t="s">
        <v>39</v>
      </c>
      <c r="D19" s="75">
        <f>D18*0.16</f>
        <v>22827.360000000001</v>
      </c>
    </row>
    <row r="20" spans="1:6" ht="16.2" thickBot="1" x14ac:dyDescent="0.35">
      <c r="A20" s="92"/>
      <c r="B20" s="90"/>
      <c r="C20" s="94" t="s">
        <v>40</v>
      </c>
      <c r="D20" s="95">
        <f>D18+D19</f>
        <v>165498.35999999999</v>
      </c>
    </row>
    <row r="21" spans="1:6" ht="16.2" thickBot="1" x14ac:dyDescent="0.3">
      <c r="A21" s="92"/>
      <c r="B21" s="1023" t="s">
        <v>638</v>
      </c>
      <c r="C21" s="1024"/>
      <c r="D21" s="1025"/>
    </row>
    <row r="22" spans="1:6" ht="13.8" x14ac:dyDescent="0.25">
      <c r="B22" s="370" t="s">
        <v>9</v>
      </c>
      <c r="C22" s="98"/>
      <c r="D22" s="99"/>
    </row>
    <row r="23" spans="1:6" ht="34.799999999999997" x14ac:dyDescent="0.25">
      <c r="B23" s="124" t="s">
        <v>484</v>
      </c>
      <c r="C23" s="76"/>
      <c r="D23" s="96"/>
    </row>
    <row r="24" spans="1:6" ht="13.8" x14ac:dyDescent="0.25">
      <c r="A24" s="96"/>
      <c r="B24" s="103" t="s">
        <v>11</v>
      </c>
      <c r="C24" s="96"/>
      <c r="D24" s="96"/>
    </row>
    <row r="25" spans="1:6" ht="15" x14ac:dyDescent="0.25">
      <c r="A25" s="101"/>
      <c r="B25" s="123" t="s">
        <v>12</v>
      </c>
      <c r="C25" s="52"/>
      <c r="D25" s="52"/>
    </row>
    <row r="26" spans="1:6" ht="15" x14ac:dyDescent="0.25">
      <c r="A26" s="101"/>
      <c r="B26" s="123" t="s">
        <v>13</v>
      </c>
      <c r="C26" s="52"/>
      <c r="D26" s="52"/>
    </row>
    <row r="27" spans="1:6" ht="15" x14ac:dyDescent="0.25">
      <c r="A27" s="101"/>
      <c r="B27" s="123" t="s">
        <v>14</v>
      </c>
      <c r="C27" s="52"/>
      <c r="D27" s="52"/>
    </row>
    <row r="28" spans="1:6" ht="13.8" x14ac:dyDescent="0.25">
      <c r="A28" s="102"/>
      <c r="B28" s="103" t="s">
        <v>15</v>
      </c>
      <c r="C28" s="52"/>
      <c r="D28" s="52"/>
    </row>
    <row r="29" spans="1:6" s="96" customFormat="1" ht="13.8" x14ac:dyDescent="0.25">
      <c r="A29" s="102"/>
      <c r="B29" s="295" t="s">
        <v>42</v>
      </c>
      <c r="C29" s="104"/>
      <c r="D29" s="105"/>
      <c r="E29" s="52"/>
    </row>
    <row r="30" spans="1:6" s="96" customFormat="1" ht="27.6" x14ac:dyDescent="0.25">
      <c r="A30" s="106"/>
      <c r="B30" s="295" t="s">
        <v>43</v>
      </c>
      <c r="C30" s="104"/>
      <c r="D30" s="105"/>
      <c r="F30" s="52"/>
    </row>
    <row r="31" spans="1:6" ht="13.5" customHeight="1" x14ac:dyDescent="0.25">
      <c r="A31" s="106"/>
      <c r="B31" s="103" t="s">
        <v>18</v>
      </c>
      <c r="C31" s="107"/>
      <c r="D31" s="105"/>
      <c r="E31" s="96"/>
    </row>
    <row r="32" spans="1:6" ht="15" x14ac:dyDescent="0.25">
      <c r="A32" s="106"/>
      <c r="B32" s="313" t="s">
        <v>639</v>
      </c>
      <c r="C32" s="107"/>
      <c r="D32" s="105"/>
    </row>
    <row r="33" spans="1:4" ht="15"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60" fitToHeight="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31C4-9EF4-4810-B588-CEF7227C66D4}">
  <sheetPr>
    <tabColor theme="4" tint="-0.249977111117893"/>
    <pageSetUpPr fitToPage="1"/>
  </sheetPr>
  <dimension ref="A1:G39"/>
  <sheetViews>
    <sheetView zoomScaleNormal="100" workbookViewId="0">
      <selection activeCell="A7" sqref="A7:E11"/>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416</v>
      </c>
      <c r="B7" s="228"/>
      <c r="C7" s="229"/>
      <c r="D7" s="229"/>
      <c r="E7" s="10"/>
      <c r="F7" s="10"/>
      <c r="G7" s="10"/>
    </row>
    <row r="8" spans="1:7" s="4" customFormat="1" ht="19.2" x14ac:dyDescent="0.45">
      <c r="A8" s="227" t="s">
        <v>417</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419</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480" t="s">
        <v>640</v>
      </c>
      <c r="B13" s="481"/>
      <c r="C13" s="232"/>
      <c r="D13" s="482"/>
      <c r="E13" s="17"/>
      <c r="F13" s="17"/>
    </row>
    <row r="14" spans="1:7" s="4" customFormat="1" ht="16.8" x14ac:dyDescent="0.4">
      <c r="A14" s="419"/>
      <c r="B14" s="420" t="s">
        <v>7</v>
      </c>
      <c r="C14" s="421"/>
      <c r="D14" s="421"/>
      <c r="E14" s="147"/>
      <c r="F14" s="1"/>
    </row>
    <row r="15" spans="1:7" s="17" customFormat="1" ht="30" x14ac:dyDescent="0.25">
      <c r="A15" s="422">
        <v>5</v>
      </c>
      <c r="B15" s="423" t="s">
        <v>642</v>
      </c>
      <c r="C15" s="424">
        <v>2543.1</v>
      </c>
      <c r="D15" s="425">
        <f t="shared" ref="D15:D16" si="0">A15*C15</f>
        <v>12715.5</v>
      </c>
      <c r="E15" s="25"/>
      <c r="F15" s="26"/>
    </row>
    <row r="16" spans="1:7" ht="30" x14ac:dyDescent="0.25">
      <c r="A16" s="422">
        <v>5</v>
      </c>
      <c r="B16" s="423" t="s">
        <v>643</v>
      </c>
      <c r="C16" s="424">
        <v>1017.24</v>
      </c>
      <c r="D16" s="425">
        <f t="shared" si="0"/>
        <v>5086.2</v>
      </c>
      <c r="E16" s="147"/>
      <c r="F16" s="26"/>
    </row>
    <row r="17" spans="1:6" s="26" customFormat="1" ht="15.6" x14ac:dyDescent="0.25">
      <c r="A17" s="89"/>
      <c r="B17" s="90"/>
      <c r="C17" s="417" t="s">
        <v>38</v>
      </c>
      <c r="D17" s="418">
        <f>SUM(D15:D16)</f>
        <v>17801.7</v>
      </c>
      <c r="E17" s="1"/>
    </row>
    <row r="18" spans="1:6" ht="15.6" x14ac:dyDescent="0.3">
      <c r="A18" s="92"/>
      <c r="B18" s="90"/>
      <c r="C18" s="93" t="s">
        <v>39</v>
      </c>
      <c r="D18" s="75">
        <f>D17*0.16</f>
        <v>2848.2720000000004</v>
      </c>
      <c r="F18" s="26"/>
    </row>
    <row r="19" spans="1:6" ht="16.2" thickBot="1" x14ac:dyDescent="0.35">
      <c r="A19" s="92"/>
      <c r="B19" s="90"/>
      <c r="C19" s="94" t="s">
        <v>40</v>
      </c>
      <c r="D19" s="95">
        <f>D17+D18</f>
        <v>20649.972000000002</v>
      </c>
      <c r="F19" s="26"/>
    </row>
    <row r="20" spans="1:6" ht="16.2" thickBot="1" x14ac:dyDescent="0.3">
      <c r="A20" s="92"/>
      <c r="B20" s="1023" t="s">
        <v>644</v>
      </c>
      <c r="C20" s="1024"/>
      <c r="D20" s="1025"/>
    </row>
    <row r="21" spans="1:6" ht="15" x14ac:dyDescent="0.25">
      <c r="A21" s="34"/>
      <c r="B21" s="35" t="s">
        <v>11</v>
      </c>
      <c r="C21" s="1"/>
      <c r="D21" s="1"/>
    </row>
    <row r="22" spans="1:6" ht="15" x14ac:dyDescent="0.25">
      <c r="A22" s="34"/>
      <c r="B22" s="408" t="s">
        <v>428</v>
      </c>
      <c r="C22" s="1"/>
      <c r="D22" s="1"/>
    </row>
    <row r="23" spans="1:6" ht="15" x14ac:dyDescent="0.25">
      <c r="A23" s="34"/>
      <c r="B23" s="131" t="s">
        <v>429</v>
      </c>
      <c r="C23" s="1"/>
      <c r="D23" s="1"/>
    </row>
    <row r="24" spans="1:6" ht="15" x14ac:dyDescent="0.25">
      <c r="A24" s="34"/>
      <c r="B24" s="408" t="s">
        <v>645</v>
      </c>
      <c r="C24" s="1"/>
      <c r="D24" s="1"/>
    </row>
    <row r="25" spans="1:6" ht="13.8" x14ac:dyDescent="0.25">
      <c r="B25" s="130" t="s">
        <v>431</v>
      </c>
      <c r="C25" s="1"/>
      <c r="D25" s="1"/>
    </row>
    <row r="26" spans="1:6" ht="15" x14ac:dyDescent="0.25">
      <c r="A26" s="34"/>
      <c r="B26" s="35" t="s">
        <v>15</v>
      </c>
      <c r="C26" s="37"/>
      <c r="D26" s="37"/>
    </row>
    <row r="27" spans="1:6" ht="27.6" x14ac:dyDescent="0.25">
      <c r="A27" s="34"/>
      <c r="B27" s="36" t="s">
        <v>17</v>
      </c>
      <c r="C27" s="38"/>
      <c r="D27" s="39"/>
    </row>
    <row r="28" spans="1:6" ht="15" x14ac:dyDescent="0.25">
      <c r="A28" s="34"/>
      <c r="B28" s="40" t="s">
        <v>18</v>
      </c>
      <c r="C28" s="38"/>
      <c r="D28" s="38"/>
    </row>
    <row r="29" spans="1:6" ht="15" x14ac:dyDescent="0.25">
      <c r="A29" s="34"/>
      <c r="B29" s="134" t="s">
        <v>19</v>
      </c>
      <c r="C29" s="38"/>
      <c r="D29" s="38"/>
    </row>
    <row r="30" spans="1:6" ht="13.8" x14ac:dyDescent="0.25">
      <c r="B30" s="135" t="s">
        <v>20</v>
      </c>
      <c r="D30" s="41"/>
    </row>
    <row r="31" spans="1:6" ht="15" x14ac:dyDescent="0.25">
      <c r="A31" s="34"/>
      <c r="B31" s="40" t="s">
        <v>21</v>
      </c>
      <c r="C31" s="38"/>
      <c r="D31" s="39"/>
    </row>
    <row r="32" spans="1:6" ht="15" x14ac:dyDescent="0.25">
      <c r="A32" s="34"/>
      <c r="B32" s="179" t="s">
        <v>571</v>
      </c>
      <c r="C32" s="38"/>
      <c r="D32" s="39"/>
    </row>
    <row r="33" spans="1:4" ht="13.8" x14ac:dyDescent="0.25">
      <c r="A33" s="42" t="s">
        <v>0</v>
      </c>
      <c r="B33" s="496" t="s">
        <v>641</v>
      </c>
      <c r="C33" s="38"/>
      <c r="D33" s="38"/>
    </row>
    <row r="34" spans="1:4" ht="50.4" x14ac:dyDescent="0.25">
      <c r="A34" s="43"/>
      <c r="B34" s="183" t="s">
        <v>23</v>
      </c>
      <c r="C34" s="45"/>
      <c r="D34" s="45"/>
    </row>
    <row r="35" spans="1:4" ht="16.8" x14ac:dyDescent="0.4">
      <c r="A35" s="46"/>
      <c r="B35" s="44"/>
      <c r="C35" s="47"/>
      <c r="D35" s="1"/>
    </row>
    <row r="36" spans="1:4" x14ac:dyDescent="0.25">
      <c r="A36" s="46"/>
      <c r="B36" s="47"/>
      <c r="C36" s="47"/>
      <c r="D36" s="1"/>
    </row>
    <row r="37" spans="1:4" x14ac:dyDescent="0.25">
      <c r="A37" s="48"/>
      <c r="B37" s="47"/>
      <c r="C37" s="47"/>
      <c r="D37" s="1"/>
    </row>
    <row r="38" spans="1:4" x14ac:dyDescent="0.25">
      <c r="A38" s="50" t="s">
        <v>0</v>
      </c>
      <c r="B38" s="49"/>
      <c r="C38" s="47"/>
      <c r="D38" s="47"/>
    </row>
    <row r="39" spans="1:4" ht="15" x14ac:dyDescent="0.35">
      <c r="A39" s="1" t="s">
        <v>0</v>
      </c>
      <c r="B39" s="51"/>
    </row>
  </sheetData>
  <mergeCells count="2">
    <mergeCell ref="A4:D4"/>
    <mergeCell ref="B20:D20"/>
  </mergeCells>
  <printOptions horizontalCentered="1"/>
  <pageMargins left="0.25" right="0.25" top="0.75" bottom="0.75" header="0.3" footer="0.3"/>
  <pageSetup scale="86" fitToWidth="0" orientation="portrait" r:id="rId1"/>
  <headerFooter alignWithMargins="0">
    <oddFooter>Página &amp;P de &amp;N</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8BBF-D01E-416F-B152-23C9C4815A37}">
  <sheetPr>
    <tabColor theme="4" tint="-0.249977111117893"/>
    <pageSetUpPr fitToPage="1"/>
  </sheetPr>
  <dimension ref="A1:G39"/>
  <sheetViews>
    <sheetView topLeftCell="A7" zoomScaleNormal="100" workbookViewId="0">
      <selection activeCell="A15" sqref="A15"/>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559</v>
      </c>
      <c r="B7" s="228"/>
      <c r="C7" s="229"/>
      <c r="D7" s="229"/>
      <c r="E7" s="10"/>
      <c r="F7" s="10"/>
      <c r="G7" s="10"/>
    </row>
    <row r="8" spans="1:7" s="4" customFormat="1" ht="19.2" x14ac:dyDescent="0.45">
      <c r="A8" s="227" t="s">
        <v>560</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561</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7.399999999999999" customHeight="1" x14ac:dyDescent="0.45">
      <c r="A13" s="480" t="s">
        <v>562</v>
      </c>
      <c r="B13" s="481"/>
      <c r="C13" s="232"/>
      <c r="D13" s="482"/>
      <c r="E13" s="17"/>
      <c r="F13" s="17"/>
    </row>
    <row r="14" spans="1:7" s="4" customFormat="1" ht="15" customHeight="1" x14ac:dyDescent="0.4">
      <c r="A14" s="419"/>
      <c r="B14" s="420" t="s">
        <v>7</v>
      </c>
      <c r="C14" s="421"/>
      <c r="D14" s="421"/>
      <c r="E14" s="147"/>
      <c r="F14" s="1"/>
    </row>
    <row r="15" spans="1:7" s="17" customFormat="1" ht="45" x14ac:dyDescent="0.25">
      <c r="A15" s="422">
        <v>7</v>
      </c>
      <c r="B15" s="423" t="s">
        <v>567</v>
      </c>
      <c r="C15" s="424">
        <v>3068.9</v>
      </c>
      <c r="D15" s="425">
        <f t="shared" ref="D15:D16" si="0">A15*C15</f>
        <v>21482.3</v>
      </c>
      <c r="E15" s="25"/>
      <c r="F15" s="26"/>
    </row>
    <row r="16" spans="1:7" ht="45" x14ac:dyDescent="0.25">
      <c r="A16" s="422">
        <v>7</v>
      </c>
      <c r="B16" s="423" t="s">
        <v>568</v>
      </c>
      <c r="C16" s="424">
        <v>1138</v>
      </c>
      <c r="D16" s="425">
        <f t="shared" si="0"/>
        <v>7966</v>
      </c>
      <c r="E16" s="147"/>
      <c r="F16" s="26"/>
    </row>
    <row r="17" spans="1:7" s="26" customFormat="1" ht="15.6" x14ac:dyDescent="0.25">
      <c r="A17" s="89"/>
      <c r="B17" s="479" t="s">
        <v>563</v>
      </c>
      <c r="C17" s="417" t="s">
        <v>38</v>
      </c>
      <c r="D17" s="418">
        <f>SUM(D15:D16)</f>
        <v>29448.3</v>
      </c>
      <c r="E17" s="1"/>
      <c r="G17" s="1"/>
    </row>
    <row r="18" spans="1:7" ht="15.6" x14ac:dyDescent="0.3">
      <c r="A18" s="92"/>
      <c r="B18" s="478" t="s">
        <v>564</v>
      </c>
      <c r="C18" s="93" t="s">
        <v>39</v>
      </c>
      <c r="D18" s="75">
        <f>D17*0.16</f>
        <v>4711.7280000000001</v>
      </c>
    </row>
    <row r="19" spans="1:7" ht="16.2" thickBot="1" x14ac:dyDescent="0.35">
      <c r="A19" s="92"/>
      <c r="B19" s="478" t="s">
        <v>565</v>
      </c>
      <c r="C19" s="94" t="s">
        <v>40</v>
      </c>
      <c r="D19" s="95">
        <f>D17+D18</f>
        <v>34160.027999999998</v>
      </c>
    </row>
    <row r="20" spans="1:7" ht="16.2" thickBot="1" x14ac:dyDescent="0.3">
      <c r="A20" s="92"/>
      <c r="B20" s="1023" t="s">
        <v>569</v>
      </c>
      <c r="C20" s="1024"/>
      <c r="D20" s="1025"/>
    </row>
    <row r="21" spans="1:7" ht="15" x14ac:dyDescent="0.25">
      <c r="A21" s="34"/>
      <c r="B21" s="35" t="s">
        <v>11</v>
      </c>
      <c r="C21" s="1"/>
      <c r="D21" s="1"/>
    </row>
    <row r="22" spans="1:7" ht="15" x14ac:dyDescent="0.25">
      <c r="A22" s="34"/>
      <c r="B22" s="408" t="s">
        <v>428</v>
      </c>
      <c r="C22" s="1"/>
      <c r="D22" s="1"/>
    </row>
    <row r="23" spans="1:7" ht="15" x14ac:dyDescent="0.25">
      <c r="A23" s="34"/>
      <c r="B23" s="131" t="s">
        <v>429</v>
      </c>
      <c r="C23" s="1"/>
      <c r="D23" s="1"/>
    </row>
    <row r="24" spans="1:7" ht="15" x14ac:dyDescent="0.25">
      <c r="A24" s="34"/>
      <c r="B24" s="408" t="s">
        <v>430</v>
      </c>
      <c r="C24" s="1"/>
      <c r="D24" s="1"/>
    </row>
    <row r="25" spans="1:7" ht="13.8" x14ac:dyDescent="0.25">
      <c r="B25" s="130" t="s">
        <v>431</v>
      </c>
      <c r="C25" s="1"/>
      <c r="D25" s="1"/>
    </row>
    <row r="26" spans="1:7" ht="15" x14ac:dyDescent="0.25">
      <c r="A26" s="34"/>
      <c r="B26" s="35" t="s">
        <v>15</v>
      </c>
      <c r="C26" s="37"/>
      <c r="D26" s="37"/>
    </row>
    <row r="27" spans="1:7" ht="27.6" x14ac:dyDescent="0.25">
      <c r="A27" s="34"/>
      <c r="B27" s="36" t="s">
        <v>17</v>
      </c>
      <c r="C27" s="38"/>
      <c r="D27" s="39"/>
    </row>
    <row r="28" spans="1:7" ht="15" x14ac:dyDescent="0.25">
      <c r="A28" s="34"/>
      <c r="B28" s="40" t="s">
        <v>18</v>
      </c>
      <c r="C28" s="38"/>
      <c r="D28" s="38"/>
    </row>
    <row r="29" spans="1:7" ht="15" x14ac:dyDescent="0.25">
      <c r="A29" s="34"/>
      <c r="B29" s="134" t="s">
        <v>19</v>
      </c>
      <c r="C29" s="38"/>
      <c r="D29" s="38"/>
    </row>
    <row r="30" spans="1:7" ht="13.8" x14ac:dyDescent="0.25">
      <c r="B30" s="135" t="s">
        <v>20</v>
      </c>
      <c r="D30" s="41"/>
    </row>
    <row r="31" spans="1:7" ht="15" x14ac:dyDescent="0.25">
      <c r="A31" s="34"/>
      <c r="B31" s="40" t="s">
        <v>21</v>
      </c>
      <c r="C31" s="38"/>
      <c r="D31" s="39"/>
    </row>
    <row r="32" spans="1:7" ht="15" x14ac:dyDescent="0.25">
      <c r="A32" s="34"/>
      <c r="B32" s="179" t="s">
        <v>566</v>
      </c>
      <c r="C32" s="38"/>
      <c r="D32" s="39"/>
    </row>
    <row r="33" spans="1:4" ht="13.8" x14ac:dyDescent="0.25">
      <c r="A33" s="42" t="s">
        <v>0</v>
      </c>
      <c r="B33" s="131" t="s">
        <v>22</v>
      </c>
      <c r="C33" s="38"/>
      <c r="D33" s="38"/>
    </row>
    <row r="34" spans="1:4" ht="50.4" x14ac:dyDescent="0.25">
      <c r="A34" s="43"/>
      <c r="B34" s="183" t="s">
        <v>23</v>
      </c>
      <c r="C34" s="45"/>
      <c r="D34" s="45"/>
    </row>
    <row r="35" spans="1:4" ht="16.8" x14ac:dyDescent="0.4">
      <c r="A35" s="46"/>
      <c r="B35" s="44"/>
      <c r="C35" s="47"/>
      <c r="D35" s="1"/>
    </row>
    <row r="36" spans="1:4" x14ac:dyDescent="0.25">
      <c r="A36" s="46"/>
      <c r="B36" s="47"/>
      <c r="C36" s="47"/>
      <c r="D36" s="1"/>
    </row>
    <row r="37" spans="1:4" x14ac:dyDescent="0.25">
      <c r="A37" s="48"/>
      <c r="B37" s="47"/>
      <c r="C37" s="47"/>
      <c r="D37" s="1"/>
    </row>
    <row r="38" spans="1:4" x14ac:dyDescent="0.25">
      <c r="A38" s="50" t="s">
        <v>0</v>
      </c>
      <c r="B38" s="49"/>
      <c r="C38" s="47"/>
      <c r="D38" s="47"/>
    </row>
    <row r="39" spans="1:4" ht="15" x14ac:dyDescent="0.35">
      <c r="A39" s="1" t="s">
        <v>0</v>
      </c>
      <c r="B39" s="51"/>
    </row>
  </sheetData>
  <mergeCells count="2">
    <mergeCell ref="A4:D4"/>
    <mergeCell ref="B20:D20"/>
  </mergeCells>
  <printOptions horizontalCentered="1"/>
  <pageMargins left="0.25" right="0.25" top="0.75" bottom="0.75" header="0.3" footer="0.3"/>
  <pageSetup scale="80" fitToWidth="0" orientation="portrait" r:id="rId1"/>
  <headerFooter alignWithMargins="0">
    <oddFooter>Página &amp;P de &amp;N</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2D74-0021-4B08-9118-016B63EF467A}">
  <sheetPr>
    <tabColor theme="4" tint="-0.249977111117893"/>
    <pageSetUpPr fitToPage="1"/>
  </sheetPr>
  <dimension ref="A1:G39"/>
  <sheetViews>
    <sheetView topLeftCell="A7" zoomScaleNormal="100" workbookViewId="0">
      <selection activeCell="D19" sqref="D19"/>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559</v>
      </c>
      <c r="B7" s="228"/>
      <c r="C7" s="229"/>
      <c r="D7" s="229"/>
      <c r="E7" s="10"/>
      <c r="F7" s="10"/>
      <c r="G7" s="10"/>
    </row>
    <row r="8" spans="1:7" s="4" customFormat="1" ht="19.2" x14ac:dyDescent="0.45">
      <c r="A8" s="227" t="s">
        <v>560</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561</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7.399999999999999" customHeight="1" x14ac:dyDescent="0.45">
      <c r="A13" s="480" t="s">
        <v>562</v>
      </c>
      <c r="B13" s="481"/>
      <c r="C13" s="232"/>
      <c r="D13" s="482"/>
      <c r="E13" s="17"/>
      <c r="F13" s="17"/>
    </row>
    <row r="14" spans="1:7" s="4" customFormat="1" ht="15" customHeight="1" x14ac:dyDescent="0.4">
      <c r="A14" s="419"/>
      <c r="B14" s="420" t="s">
        <v>7</v>
      </c>
      <c r="C14" s="421"/>
      <c r="D14" s="421"/>
      <c r="E14" s="147"/>
      <c r="F14" s="1"/>
    </row>
    <row r="15" spans="1:7" s="17" customFormat="1" ht="45" x14ac:dyDescent="0.25">
      <c r="A15" s="422">
        <v>2</v>
      </c>
      <c r="B15" s="423" t="s">
        <v>567</v>
      </c>
      <c r="C15" s="424">
        <v>3068.9</v>
      </c>
      <c r="D15" s="425">
        <f t="shared" ref="D15:D16" si="0">A15*C15</f>
        <v>6137.8</v>
      </c>
      <c r="E15" s="25"/>
      <c r="F15" s="26"/>
    </row>
    <row r="16" spans="1:7" ht="45" x14ac:dyDescent="0.25">
      <c r="A16" s="422">
        <v>2</v>
      </c>
      <c r="B16" s="423" t="s">
        <v>568</v>
      </c>
      <c r="C16" s="424">
        <v>1138</v>
      </c>
      <c r="D16" s="425">
        <f t="shared" si="0"/>
        <v>2276</v>
      </c>
      <c r="E16" s="147"/>
      <c r="F16" s="26"/>
    </row>
    <row r="17" spans="1:7" s="26" customFormat="1" ht="15.6" x14ac:dyDescent="0.25">
      <c r="A17" s="89"/>
      <c r="B17" s="479" t="s">
        <v>563</v>
      </c>
      <c r="C17" s="417" t="s">
        <v>38</v>
      </c>
      <c r="D17" s="418">
        <f>SUM(D15:D16)</f>
        <v>8413.7999999999993</v>
      </c>
      <c r="E17" s="1"/>
      <c r="G17" s="1"/>
    </row>
    <row r="18" spans="1:7" ht="15.6" x14ac:dyDescent="0.3">
      <c r="A18" s="92"/>
      <c r="B18" s="478" t="s">
        <v>564</v>
      </c>
      <c r="C18" s="93" t="s">
        <v>39</v>
      </c>
      <c r="D18" s="75">
        <f>D17*0.16</f>
        <v>1346.2079999999999</v>
      </c>
    </row>
    <row r="19" spans="1:7" ht="16.2" thickBot="1" x14ac:dyDescent="0.35">
      <c r="A19" s="92"/>
      <c r="B19" s="478" t="s">
        <v>565</v>
      </c>
      <c r="C19" s="94" t="s">
        <v>40</v>
      </c>
      <c r="D19" s="95">
        <f>D17+D18</f>
        <v>9760.0079999999998</v>
      </c>
    </row>
    <row r="20" spans="1:7" ht="16.2" thickBot="1" x14ac:dyDescent="0.3">
      <c r="A20" s="92"/>
      <c r="B20" s="1023" t="s">
        <v>623</v>
      </c>
      <c r="C20" s="1024"/>
      <c r="D20" s="1025"/>
    </row>
    <row r="21" spans="1:7" ht="15" x14ac:dyDescent="0.25">
      <c r="A21" s="34"/>
      <c r="B21" s="35" t="s">
        <v>11</v>
      </c>
      <c r="C21" s="1"/>
      <c r="D21" s="1"/>
    </row>
    <row r="22" spans="1:7" ht="15" x14ac:dyDescent="0.25">
      <c r="A22" s="34"/>
      <c r="B22" s="408" t="s">
        <v>428</v>
      </c>
      <c r="C22" s="1"/>
      <c r="D22" s="1"/>
    </row>
    <row r="23" spans="1:7" ht="15" x14ac:dyDescent="0.25">
      <c r="A23" s="34"/>
      <c r="B23" s="131" t="s">
        <v>429</v>
      </c>
      <c r="C23" s="1"/>
      <c r="D23" s="1"/>
    </row>
    <row r="24" spans="1:7" ht="15" x14ac:dyDescent="0.25">
      <c r="A24" s="34"/>
      <c r="B24" s="408" t="s">
        <v>430</v>
      </c>
      <c r="C24" s="1"/>
      <c r="D24" s="1"/>
    </row>
    <row r="25" spans="1:7" ht="13.8" x14ac:dyDescent="0.25">
      <c r="B25" s="130" t="s">
        <v>431</v>
      </c>
      <c r="C25" s="1"/>
      <c r="D25" s="1"/>
    </row>
    <row r="26" spans="1:7" ht="15" x14ac:dyDescent="0.25">
      <c r="A26" s="34"/>
      <c r="B26" s="35" t="s">
        <v>15</v>
      </c>
      <c r="C26" s="37"/>
      <c r="D26" s="37"/>
    </row>
    <row r="27" spans="1:7" ht="27.6" x14ac:dyDescent="0.25">
      <c r="A27" s="34"/>
      <c r="B27" s="36" t="s">
        <v>17</v>
      </c>
      <c r="C27" s="38"/>
      <c r="D27" s="39"/>
    </row>
    <row r="28" spans="1:7" ht="15" x14ac:dyDescent="0.25">
      <c r="A28" s="34"/>
      <c r="B28" s="40" t="s">
        <v>18</v>
      </c>
      <c r="C28" s="38"/>
      <c r="D28" s="38"/>
    </row>
    <row r="29" spans="1:7" ht="15" x14ac:dyDescent="0.25">
      <c r="A29" s="34"/>
      <c r="B29" s="134" t="s">
        <v>19</v>
      </c>
      <c r="C29" s="38"/>
      <c r="D29" s="38"/>
    </row>
    <row r="30" spans="1:7" ht="13.8" x14ac:dyDescent="0.25">
      <c r="B30" s="135" t="s">
        <v>20</v>
      </c>
      <c r="D30" s="41"/>
    </row>
    <row r="31" spans="1:7" ht="15" x14ac:dyDescent="0.25">
      <c r="A31" s="34"/>
      <c r="B31" s="40" t="s">
        <v>21</v>
      </c>
      <c r="C31" s="38"/>
      <c r="D31" s="39"/>
    </row>
    <row r="32" spans="1:7" ht="15" x14ac:dyDescent="0.25">
      <c r="A32" s="34"/>
      <c r="B32" s="179" t="s">
        <v>566</v>
      </c>
      <c r="C32" s="38"/>
      <c r="D32" s="39"/>
    </row>
    <row r="33" spans="1:4" ht="13.8" x14ac:dyDescent="0.25">
      <c r="A33" s="42" t="s">
        <v>0</v>
      </c>
      <c r="B33" s="131" t="s">
        <v>22</v>
      </c>
      <c r="C33" s="38"/>
      <c r="D33" s="38"/>
    </row>
    <row r="34" spans="1:4" ht="50.4" x14ac:dyDescent="0.25">
      <c r="A34" s="43"/>
      <c r="B34" s="183" t="s">
        <v>23</v>
      </c>
      <c r="C34" s="45"/>
      <c r="D34" s="45"/>
    </row>
    <row r="35" spans="1:4" ht="16.8" x14ac:dyDescent="0.4">
      <c r="A35" s="46"/>
      <c r="B35" s="44"/>
      <c r="C35" s="47"/>
      <c r="D35" s="1"/>
    </row>
    <row r="36" spans="1:4" x14ac:dyDescent="0.25">
      <c r="A36" s="46"/>
      <c r="B36" s="47"/>
      <c r="C36" s="47"/>
      <c r="D36" s="1"/>
    </row>
    <row r="37" spans="1:4" x14ac:dyDescent="0.25">
      <c r="A37" s="48"/>
      <c r="B37" s="47"/>
      <c r="C37" s="47"/>
      <c r="D37" s="1"/>
    </row>
    <row r="38" spans="1:4" x14ac:dyDescent="0.25">
      <c r="A38" s="50" t="s">
        <v>0</v>
      </c>
      <c r="B38" s="49"/>
      <c r="C38" s="47"/>
      <c r="D38" s="47"/>
    </row>
    <row r="39" spans="1:4" ht="15" x14ac:dyDescent="0.35">
      <c r="A39" s="1" t="s">
        <v>0</v>
      </c>
      <c r="B39" s="51"/>
    </row>
  </sheetData>
  <mergeCells count="2">
    <mergeCell ref="A4:D4"/>
    <mergeCell ref="B20:D20"/>
  </mergeCells>
  <printOptions horizontalCentered="1"/>
  <pageMargins left="0.25" right="0.25" top="0.75" bottom="0.75" header="0.3" footer="0.3"/>
  <pageSetup scale="83" fitToWidth="0" orientation="portrait" r:id="rId1"/>
  <headerFooter alignWithMargins="0">
    <oddFooter>Página &amp;P de &amp;N</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5773-D71C-4704-B21C-E7623F7C4182}">
  <sheetPr>
    <pageSetUpPr fitToPage="1"/>
  </sheetPr>
  <dimension ref="A1:F69"/>
  <sheetViews>
    <sheetView zoomScaleNormal="100" workbookViewId="0">
      <selection activeCell="B16" sqref="B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572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84">
        <v>120</v>
      </c>
      <c r="B16" s="85" t="s">
        <v>34</v>
      </c>
      <c r="C16" s="86">
        <v>16.12</v>
      </c>
      <c r="D16" s="87">
        <f>A16*C16</f>
        <v>1934.4</v>
      </c>
      <c r="E16" s="76"/>
    </row>
    <row r="17" spans="1:6" ht="15.6" x14ac:dyDescent="0.25">
      <c r="A17" s="72">
        <v>1</v>
      </c>
      <c r="B17" s="73" t="s">
        <v>36</v>
      </c>
      <c r="C17" s="74">
        <v>2209</v>
      </c>
      <c r="D17" s="75">
        <f>A17*C17</f>
        <v>2209</v>
      </c>
      <c r="E17" s="76"/>
    </row>
    <row r="18" spans="1:6" ht="13.2" customHeight="1" x14ac:dyDescent="0.25">
      <c r="A18" s="72"/>
      <c r="B18" s="75"/>
      <c r="C18" s="75"/>
      <c r="D18" s="75"/>
    </row>
    <row r="19" spans="1:6" ht="15.6" x14ac:dyDescent="0.25">
      <c r="A19" s="89"/>
      <c r="B19" s="90"/>
      <c r="C19" s="91" t="s">
        <v>38</v>
      </c>
      <c r="D19" s="75">
        <f>SUM(D16:D17)</f>
        <v>4143.3999999999996</v>
      </c>
      <c r="E19" s="96"/>
    </row>
    <row r="20" spans="1:6" ht="15.6" x14ac:dyDescent="0.3">
      <c r="A20" s="92"/>
      <c r="B20" s="90"/>
      <c r="C20" s="93" t="s">
        <v>39</v>
      </c>
      <c r="D20" s="75">
        <f>D19*0.16</f>
        <v>662.94399999999996</v>
      </c>
      <c r="E20" s="96"/>
      <c r="F20" s="96"/>
    </row>
    <row r="21" spans="1:6" ht="16.2" thickBot="1" x14ac:dyDescent="0.35">
      <c r="A21" s="92"/>
      <c r="B21" s="90"/>
      <c r="C21" s="94" t="s">
        <v>40</v>
      </c>
      <c r="D21" s="95">
        <f>D19+D20</f>
        <v>4806.3439999999991</v>
      </c>
      <c r="F21" s="96"/>
    </row>
    <row r="22" spans="1:6" ht="16.2" thickBot="1" x14ac:dyDescent="0.3">
      <c r="A22" s="92"/>
      <c r="B22" s="1023" t="s">
        <v>573</v>
      </c>
      <c r="C22" s="1024"/>
      <c r="D22" s="1025"/>
    </row>
    <row r="23" spans="1:6" ht="13.8" x14ac:dyDescent="0.25">
      <c r="B23" s="97" t="s">
        <v>9</v>
      </c>
      <c r="C23" s="98"/>
      <c r="D23" s="99"/>
    </row>
    <row r="24" spans="1:6" ht="34.799999999999997" x14ac:dyDescent="0.25">
      <c r="B24" s="124" t="s">
        <v>41</v>
      </c>
      <c r="C24" s="76"/>
      <c r="D24" s="96"/>
    </row>
    <row r="25" spans="1:6" ht="13.8" x14ac:dyDescent="0.25">
      <c r="A25" s="96"/>
      <c r="B25" s="103" t="s">
        <v>11</v>
      </c>
      <c r="C25" s="96"/>
      <c r="D25" s="96"/>
    </row>
    <row r="26" spans="1:6" ht="18.75" customHeight="1" x14ac:dyDescent="0.25">
      <c r="A26" s="101"/>
      <c r="B26" s="123" t="s">
        <v>12</v>
      </c>
      <c r="C26" s="52"/>
      <c r="D26" s="52"/>
    </row>
    <row r="27" spans="1:6" ht="15" x14ac:dyDescent="0.25">
      <c r="A27" s="101"/>
      <c r="B27" s="123" t="s">
        <v>13</v>
      </c>
      <c r="C27" s="52"/>
      <c r="D27" s="52"/>
    </row>
    <row r="28" spans="1:6" ht="15.75" customHeight="1" x14ac:dyDescent="0.25">
      <c r="A28" s="101"/>
      <c r="B28" s="123" t="s">
        <v>14</v>
      </c>
      <c r="C28" s="52"/>
      <c r="D28" s="52"/>
    </row>
    <row r="29" spans="1:6" s="96" customFormat="1" ht="13.8" x14ac:dyDescent="0.25">
      <c r="A29" s="102"/>
      <c r="B29" s="103" t="s">
        <v>15</v>
      </c>
      <c r="C29" s="52"/>
      <c r="D29" s="52"/>
      <c r="E29" s="52"/>
      <c r="F29" s="52"/>
    </row>
    <row r="30" spans="1:6" s="96" customFormat="1" ht="15.75" customHeight="1" x14ac:dyDescent="0.25">
      <c r="A30" s="102"/>
      <c r="B30" s="295" t="s">
        <v>42</v>
      </c>
      <c r="C30" s="104"/>
      <c r="D30" s="105"/>
      <c r="E30" s="52"/>
      <c r="F30" s="52"/>
    </row>
    <row r="31" spans="1:6" ht="13.5" customHeight="1" x14ac:dyDescent="0.25">
      <c r="A31" s="106"/>
      <c r="B31" s="295" t="s">
        <v>43</v>
      </c>
      <c r="C31" s="104"/>
      <c r="D31" s="105"/>
    </row>
    <row r="32" spans="1:6" ht="13.5" customHeight="1" x14ac:dyDescent="0.25">
      <c r="A32" s="106"/>
      <c r="B32" s="103" t="s">
        <v>18</v>
      </c>
      <c r="C32" s="107"/>
      <c r="D32" s="105"/>
    </row>
    <row r="33" spans="1:4" ht="13.5" customHeight="1" x14ac:dyDescent="0.25">
      <c r="A33" s="106"/>
      <c r="B33" s="313" t="s">
        <v>575</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484" t="s">
        <v>574</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0" fitToHeight="0"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5641-239B-4944-9C51-F0E382752077}">
  <sheetPr>
    <pageSetUpPr fitToPage="1"/>
  </sheetPr>
  <dimension ref="A1:F69"/>
  <sheetViews>
    <sheetView topLeftCell="A9" zoomScaleNormal="100" workbookViewId="0">
      <selection activeCell="B34" sqref="B34"/>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541</v>
      </c>
      <c r="B8" s="10"/>
      <c r="C8" s="58"/>
      <c r="D8" s="58"/>
    </row>
    <row r="9" spans="1:5" s="55" customFormat="1" ht="16.8" x14ac:dyDescent="0.4">
      <c r="A9" s="57" t="s">
        <v>542</v>
      </c>
      <c r="B9" s="10"/>
      <c r="C9" s="58"/>
      <c r="D9" s="58"/>
    </row>
    <row r="10" spans="1:5" s="55" customFormat="1" ht="16.8" x14ac:dyDescent="0.4">
      <c r="A10" s="57" t="s">
        <v>543</v>
      </c>
      <c r="B10" s="10"/>
      <c r="C10" s="58"/>
      <c r="D10" s="58"/>
    </row>
    <row r="11" spans="1:5" s="55" customFormat="1" ht="16.8" x14ac:dyDescent="0.4">
      <c r="A11" s="57" t="s">
        <v>544</v>
      </c>
      <c r="B11" s="10"/>
      <c r="C11" s="59"/>
      <c r="D11" s="58"/>
    </row>
    <row r="12" spans="1:5" s="55" customFormat="1" ht="15" customHeight="1" x14ac:dyDescent="0.4">
      <c r="A12" s="60" t="s">
        <v>616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7">
        <v>1</v>
      </c>
      <c r="B16" s="78" t="s">
        <v>614</v>
      </c>
      <c r="C16" s="82">
        <f>(42031*1.3)</f>
        <v>54640.3</v>
      </c>
      <c r="D16" s="80">
        <f>A16*C16</f>
        <v>54640.3</v>
      </c>
      <c r="E16" s="76"/>
    </row>
    <row r="17" spans="1:6" ht="15.6" x14ac:dyDescent="0.25">
      <c r="A17" s="77">
        <v>1</v>
      </c>
      <c r="B17" s="81" t="s">
        <v>617</v>
      </c>
      <c r="C17" s="82">
        <f>(77771*1.3)</f>
        <v>101102.3</v>
      </c>
      <c r="D17" s="83">
        <f t="shared" ref="D17" si="0">A17*C17</f>
        <v>101102.3</v>
      </c>
      <c r="E17" s="76"/>
    </row>
    <row r="18" spans="1:6" ht="30" x14ac:dyDescent="0.25">
      <c r="A18" s="77">
        <v>1</v>
      </c>
      <c r="B18" s="81" t="s">
        <v>612</v>
      </c>
      <c r="C18" s="82">
        <f>(625.11*20.56)*1.3+(4500)</f>
        <v>21207.94008</v>
      </c>
      <c r="D18" s="83">
        <f>A18*C18</f>
        <v>21207.94008</v>
      </c>
      <c r="E18" s="76"/>
    </row>
    <row r="19" spans="1:6" ht="30" x14ac:dyDescent="0.25">
      <c r="A19" s="77">
        <v>1</v>
      </c>
      <c r="B19" s="81" t="s">
        <v>613</v>
      </c>
      <c r="C19" s="82">
        <v>5380</v>
      </c>
      <c r="D19" s="83">
        <f>A19*C19</f>
        <v>5380</v>
      </c>
    </row>
    <row r="20" spans="1:6" ht="15.6" x14ac:dyDescent="0.25">
      <c r="A20" s="77">
        <v>1</v>
      </c>
      <c r="B20" s="81" t="s">
        <v>621</v>
      </c>
      <c r="C20" s="82">
        <f>21930*1.3</f>
        <v>28509</v>
      </c>
      <c r="D20" s="83">
        <f>A20*C20</f>
        <v>28509</v>
      </c>
    </row>
    <row r="21" spans="1:6" ht="15.6" x14ac:dyDescent="0.25">
      <c r="A21" s="72"/>
      <c r="B21" s="75"/>
      <c r="C21" s="75"/>
      <c r="D21" s="75"/>
      <c r="E21" s="96"/>
    </row>
    <row r="22" spans="1:6" ht="15.6" x14ac:dyDescent="0.25">
      <c r="A22" s="89"/>
      <c r="B22" s="494"/>
      <c r="C22" s="91" t="s">
        <v>38</v>
      </c>
      <c r="D22" s="75">
        <f>SUM(D16:D20)</f>
        <v>210839.54008000001</v>
      </c>
      <c r="E22" s="96"/>
      <c r="F22" s="96"/>
    </row>
    <row r="23" spans="1:6" ht="15.6" x14ac:dyDescent="0.3">
      <c r="A23" s="92"/>
      <c r="B23" s="494"/>
      <c r="C23" s="93" t="s">
        <v>39</v>
      </c>
      <c r="D23" s="75">
        <f>D22*0.16</f>
        <v>33734.326412800001</v>
      </c>
      <c r="F23" s="96"/>
    </row>
    <row r="24" spans="1:6" ht="16.2" thickBot="1" x14ac:dyDescent="0.35">
      <c r="A24" s="92"/>
      <c r="B24" s="494"/>
      <c r="C24" s="495" t="s">
        <v>40</v>
      </c>
      <c r="D24" s="95">
        <f>D22+D23</f>
        <v>244573.86649280001</v>
      </c>
    </row>
    <row r="25" spans="1:6" ht="16.2" thickBot="1" x14ac:dyDescent="0.3">
      <c r="A25" s="92"/>
      <c r="B25" s="1023" t="s">
        <v>622</v>
      </c>
      <c r="C25" s="1024"/>
      <c r="D25" s="1025"/>
      <c r="E25" s="76"/>
    </row>
    <row r="26" spans="1:6" ht="13.8" x14ac:dyDescent="0.25">
      <c r="B26" s="97" t="s">
        <v>9</v>
      </c>
      <c r="C26" s="98"/>
      <c r="D26" s="99"/>
    </row>
    <row r="27" spans="1:6" ht="34.799999999999997" x14ac:dyDescent="0.25">
      <c r="B27" s="124" t="s">
        <v>484</v>
      </c>
      <c r="C27" s="76"/>
      <c r="D27" s="96"/>
    </row>
    <row r="28" spans="1:6" ht="12" customHeight="1" x14ac:dyDescent="0.25">
      <c r="A28" s="96"/>
      <c r="B28" s="103" t="s">
        <v>11</v>
      </c>
      <c r="C28" s="96"/>
      <c r="D28" s="96"/>
    </row>
    <row r="29" spans="1:6" s="96" customFormat="1" ht="12.6" customHeight="1" x14ac:dyDescent="0.25">
      <c r="A29" s="101"/>
      <c r="B29" s="123" t="s">
        <v>12</v>
      </c>
      <c r="C29" s="52"/>
      <c r="D29" s="52"/>
      <c r="E29" s="52"/>
      <c r="F29" s="52"/>
    </row>
    <row r="30" spans="1:6" s="96" customFormat="1" ht="12" customHeight="1" x14ac:dyDescent="0.25">
      <c r="A30" s="101"/>
      <c r="B30" s="123" t="s">
        <v>13</v>
      </c>
      <c r="C30" s="52"/>
      <c r="D30" s="52"/>
      <c r="E30" s="52"/>
      <c r="F30" s="52"/>
    </row>
    <row r="31" spans="1:6" ht="13.5" customHeight="1" x14ac:dyDescent="0.25">
      <c r="A31" s="101"/>
      <c r="B31" s="123" t="s">
        <v>14</v>
      </c>
      <c r="C31" s="52"/>
      <c r="D31" s="52"/>
    </row>
    <row r="32" spans="1:6" ht="13.5" customHeight="1" x14ac:dyDescent="0.25">
      <c r="A32" s="102"/>
      <c r="B32" s="103" t="s">
        <v>15</v>
      </c>
      <c r="C32" s="52"/>
      <c r="D32" s="52"/>
    </row>
    <row r="33" spans="1:4" ht="13.5" customHeight="1" x14ac:dyDescent="0.25">
      <c r="A33" s="102"/>
      <c r="B33" s="295" t="s">
        <v>42</v>
      </c>
      <c r="C33" s="104"/>
      <c r="D33" s="105"/>
    </row>
    <row r="34" spans="1:4" ht="27.6" x14ac:dyDescent="0.25">
      <c r="A34" s="106"/>
      <c r="B34" s="295" t="s">
        <v>43</v>
      </c>
      <c r="C34" s="104"/>
      <c r="D34" s="105"/>
    </row>
    <row r="35" spans="1:4" ht="15" x14ac:dyDescent="0.25">
      <c r="A35" s="106"/>
      <c r="B35" s="103" t="s">
        <v>18</v>
      </c>
      <c r="C35" s="107"/>
      <c r="D35" s="105"/>
    </row>
    <row r="36" spans="1:4" ht="13.5" customHeight="1" x14ac:dyDescent="0.25">
      <c r="A36" s="106"/>
      <c r="B36" s="313" t="s">
        <v>410</v>
      </c>
      <c r="C36" s="107"/>
      <c r="D36" s="105"/>
    </row>
    <row r="37" spans="1:4" ht="13.5" customHeight="1" x14ac:dyDescent="0.25">
      <c r="A37" s="106"/>
      <c r="B37" s="297" t="s">
        <v>20</v>
      </c>
      <c r="C37" s="107"/>
      <c r="D37" s="105"/>
    </row>
    <row r="38" spans="1:4" ht="13.5" customHeight="1" x14ac:dyDescent="0.25">
      <c r="A38" s="108"/>
      <c r="B38" s="103" t="s">
        <v>21</v>
      </c>
      <c r="C38" s="107"/>
      <c r="D38" s="105"/>
    </row>
    <row r="39" spans="1:4" ht="13.5" customHeight="1" x14ac:dyDescent="0.25">
      <c r="A39" s="106"/>
      <c r="B39" s="122" t="s">
        <v>262</v>
      </c>
      <c r="C39" s="107"/>
      <c r="D39" s="107"/>
    </row>
    <row r="40" spans="1:4" ht="13.5" customHeight="1" x14ac:dyDescent="0.25">
      <c r="A40" s="106"/>
      <c r="B40" s="123" t="s">
        <v>44</v>
      </c>
      <c r="C40" s="107"/>
      <c r="D40" s="107"/>
    </row>
    <row r="41" spans="1:4" ht="15" x14ac:dyDescent="0.25">
      <c r="A41" s="106"/>
      <c r="B41" s="123" t="s">
        <v>45</v>
      </c>
      <c r="C41" s="109"/>
      <c r="D41" s="110"/>
    </row>
    <row r="42" spans="1:4" ht="33.6" x14ac:dyDescent="0.25">
      <c r="A42" s="106"/>
      <c r="B42" s="314"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5:D25"/>
  </mergeCells>
  <pageMargins left="0.25" right="0.25" top="0.75" bottom="0.75" header="0.3" footer="0.3"/>
  <pageSetup scale="60" fitToHeight="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F0BD7-064E-432B-AD0B-EEB5F16386FC}">
  <sheetPr>
    <pageSetUpPr fitToPage="1"/>
  </sheetPr>
  <dimension ref="A1:F69"/>
  <sheetViews>
    <sheetView topLeftCell="A6" zoomScaleNormal="100" workbookViewId="0">
      <selection activeCell="A18" sqref="A18:D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541</v>
      </c>
      <c r="B8" s="10"/>
      <c r="C8" s="58"/>
      <c r="D8" s="58"/>
    </row>
    <row r="9" spans="1:5" s="55" customFormat="1" ht="16.8" x14ac:dyDescent="0.4">
      <c r="A9" s="57" t="s">
        <v>542</v>
      </c>
      <c r="B9" s="10"/>
      <c r="C9" s="58"/>
      <c r="D9" s="58"/>
    </row>
    <row r="10" spans="1:5" s="55" customFormat="1" ht="16.8" x14ac:dyDescent="0.4">
      <c r="A10" s="57" t="s">
        <v>543</v>
      </c>
      <c r="B10" s="10"/>
      <c r="C10" s="58"/>
      <c r="D10" s="58"/>
    </row>
    <row r="11" spans="1:5" s="55" customFormat="1" ht="16.8" x14ac:dyDescent="0.4">
      <c r="A11" s="57" t="s">
        <v>544</v>
      </c>
      <c r="B11" s="10"/>
      <c r="C11" s="59"/>
      <c r="D11" s="58"/>
    </row>
    <row r="12" spans="1:5" s="55" customFormat="1" ht="15" customHeight="1" x14ac:dyDescent="0.4">
      <c r="A12" s="60" t="s">
        <v>616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7">
        <v>1</v>
      </c>
      <c r="B16" s="78" t="s">
        <v>618</v>
      </c>
      <c r="C16" s="82">
        <f>(1648.5*20.5*1.3)</f>
        <v>43932.525000000001</v>
      </c>
      <c r="D16" s="80">
        <f>A16*C16</f>
        <v>43932.525000000001</v>
      </c>
      <c r="E16" s="76"/>
    </row>
    <row r="17" spans="1:6" ht="15.6" x14ac:dyDescent="0.25">
      <c r="A17" s="77">
        <v>1</v>
      </c>
      <c r="B17" s="81" t="s">
        <v>615</v>
      </c>
      <c r="C17" s="82">
        <f>(1751*20.5*1.3)</f>
        <v>46664.15</v>
      </c>
      <c r="D17" s="83">
        <f t="shared" ref="D17" si="0">A17*C17</f>
        <v>46664.15</v>
      </c>
      <c r="E17" s="76"/>
    </row>
    <row r="18" spans="1:6" ht="30" x14ac:dyDescent="0.25">
      <c r="A18" s="77">
        <v>1</v>
      </c>
      <c r="B18" s="81" t="s">
        <v>612</v>
      </c>
      <c r="C18" s="82">
        <f>(625.11*20.56)*1.3+(4500)</f>
        <v>21207.94008</v>
      </c>
      <c r="D18" s="83">
        <f>A18*C18</f>
        <v>21207.94008</v>
      </c>
      <c r="E18" s="76"/>
    </row>
    <row r="19" spans="1:6" ht="30" x14ac:dyDescent="0.25">
      <c r="A19" s="77">
        <v>1</v>
      </c>
      <c r="B19" s="81" t="s">
        <v>613</v>
      </c>
      <c r="C19" s="82">
        <v>5380</v>
      </c>
      <c r="D19" s="83">
        <f>A19*C19</f>
        <v>5380</v>
      </c>
    </row>
    <row r="20" spans="1:6" ht="15.6" x14ac:dyDescent="0.25">
      <c r="A20" s="77">
        <v>1</v>
      </c>
      <c r="B20" s="81" t="s">
        <v>619</v>
      </c>
      <c r="C20" s="82">
        <f>9600*1.3</f>
        <v>12480</v>
      </c>
      <c r="D20" s="83">
        <f>A20*C20</f>
        <v>12480</v>
      </c>
      <c r="E20" s="96"/>
    </row>
    <row r="21" spans="1:6" ht="15.6" x14ac:dyDescent="0.25">
      <c r="A21" s="72"/>
      <c r="B21" s="75"/>
      <c r="C21" s="75"/>
      <c r="D21" s="75"/>
      <c r="E21" s="96"/>
    </row>
    <row r="22" spans="1:6" ht="15.6" x14ac:dyDescent="0.25">
      <c r="A22" s="89"/>
      <c r="B22" s="494"/>
      <c r="C22" s="91" t="s">
        <v>38</v>
      </c>
      <c r="D22" s="75">
        <f>SUM(D16:D20)</f>
        <v>129664.61508</v>
      </c>
      <c r="F22" s="96"/>
    </row>
    <row r="23" spans="1:6" ht="15.6" x14ac:dyDescent="0.3">
      <c r="A23" s="92"/>
      <c r="B23" s="494"/>
      <c r="C23" s="93" t="s">
        <v>39</v>
      </c>
      <c r="D23" s="75">
        <f>D22*0.16</f>
        <v>20746.3384128</v>
      </c>
      <c r="F23" s="96"/>
    </row>
    <row r="24" spans="1:6" ht="16.2" thickBot="1" x14ac:dyDescent="0.35">
      <c r="A24" s="92"/>
      <c r="B24" s="494"/>
      <c r="C24" s="495" t="s">
        <v>40</v>
      </c>
      <c r="D24" s="95">
        <f>D22+D23</f>
        <v>150410.95349280001</v>
      </c>
      <c r="E24" s="76"/>
    </row>
    <row r="25" spans="1:6" ht="16.2" thickBot="1" x14ac:dyDescent="0.3">
      <c r="A25" s="92"/>
      <c r="B25" s="1023" t="s">
        <v>620</v>
      </c>
      <c r="C25" s="1024"/>
      <c r="D25" s="1025"/>
    </row>
    <row r="26" spans="1:6" ht="13.8" x14ac:dyDescent="0.25">
      <c r="B26" s="97" t="s">
        <v>9</v>
      </c>
      <c r="C26" s="98"/>
      <c r="D26" s="99"/>
    </row>
    <row r="27" spans="1:6" ht="34.799999999999997" x14ac:dyDescent="0.25">
      <c r="B27" s="124" t="s">
        <v>484</v>
      </c>
      <c r="C27" s="76"/>
      <c r="D27" s="96"/>
    </row>
    <row r="28" spans="1:6" ht="12" customHeight="1" x14ac:dyDescent="0.25">
      <c r="A28" s="96"/>
      <c r="B28" s="103" t="s">
        <v>11</v>
      </c>
      <c r="C28" s="96"/>
      <c r="D28" s="96"/>
    </row>
    <row r="29" spans="1:6" s="96" customFormat="1" ht="12.6" customHeight="1" x14ac:dyDescent="0.25">
      <c r="A29" s="101"/>
      <c r="B29" s="123" t="s">
        <v>12</v>
      </c>
      <c r="C29" s="52"/>
      <c r="D29" s="52"/>
      <c r="E29" s="52"/>
      <c r="F29" s="52"/>
    </row>
    <row r="30" spans="1:6" s="96" customFormat="1" ht="12" customHeight="1" x14ac:dyDescent="0.25">
      <c r="A30" s="101"/>
      <c r="B30" s="123" t="s">
        <v>13</v>
      </c>
      <c r="C30" s="52"/>
      <c r="D30" s="52"/>
      <c r="E30" s="52"/>
      <c r="F30" s="52"/>
    </row>
    <row r="31" spans="1:6" ht="13.5" customHeight="1" x14ac:dyDescent="0.25">
      <c r="A31" s="101"/>
      <c r="B31" s="123" t="s">
        <v>14</v>
      </c>
      <c r="C31" s="52"/>
      <c r="D31" s="52"/>
    </row>
    <row r="32" spans="1:6" ht="13.5" customHeight="1" x14ac:dyDescent="0.25">
      <c r="A32" s="102"/>
      <c r="B32" s="103" t="s">
        <v>15</v>
      </c>
      <c r="C32" s="52"/>
      <c r="D32" s="52"/>
    </row>
    <row r="33" spans="1:4" ht="13.5" customHeight="1" x14ac:dyDescent="0.25">
      <c r="A33" s="102"/>
      <c r="B33" s="295" t="s">
        <v>42</v>
      </c>
      <c r="C33" s="104"/>
      <c r="D33" s="105"/>
    </row>
    <row r="34" spans="1:4" ht="27.6" x14ac:dyDescent="0.25">
      <c r="A34" s="106"/>
      <c r="B34" s="295" t="s">
        <v>43</v>
      </c>
      <c r="C34" s="104"/>
      <c r="D34" s="105"/>
    </row>
    <row r="35" spans="1:4" ht="15" x14ac:dyDescent="0.25">
      <c r="A35" s="106"/>
      <c r="B35" s="103" t="s">
        <v>18</v>
      </c>
      <c r="C35" s="107"/>
      <c r="D35" s="105"/>
    </row>
    <row r="36" spans="1:4" ht="13.5" customHeight="1" x14ac:dyDescent="0.25">
      <c r="A36" s="106"/>
      <c r="B36" s="313" t="s">
        <v>410</v>
      </c>
      <c r="C36" s="107"/>
      <c r="D36" s="105"/>
    </row>
    <row r="37" spans="1:4" ht="13.5" customHeight="1" x14ac:dyDescent="0.25">
      <c r="A37" s="106"/>
      <c r="B37" s="297" t="s">
        <v>20</v>
      </c>
      <c r="C37" s="107"/>
      <c r="D37" s="105"/>
    </row>
    <row r="38" spans="1:4" ht="13.5" customHeight="1" x14ac:dyDescent="0.25">
      <c r="A38" s="108"/>
      <c r="B38" s="103" t="s">
        <v>21</v>
      </c>
      <c r="C38" s="107"/>
      <c r="D38" s="105"/>
    </row>
    <row r="39" spans="1:4" ht="13.5" customHeight="1" x14ac:dyDescent="0.25">
      <c r="A39" s="106"/>
      <c r="B39" s="122" t="s">
        <v>262</v>
      </c>
      <c r="C39" s="107"/>
      <c r="D39" s="107"/>
    </row>
    <row r="40" spans="1:4" ht="13.5" customHeight="1" x14ac:dyDescent="0.25">
      <c r="A40" s="106"/>
      <c r="B40" s="123" t="s">
        <v>44</v>
      </c>
      <c r="C40" s="107"/>
      <c r="D40" s="107"/>
    </row>
    <row r="41" spans="1:4" ht="15" x14ac:dyDescent="0.25">
      <c r="A41" s="106"/>
      <c r="B41" s="123" t="s">
        <v>45</v>
      </c>
      <c r="C41" s="109"/>
      <c r="D41" s="110"/>
    </row>
    <row r="42" spans="1:4" ht="33.6" x14ac:dyDescent="0.25">
      <c r="A42" s="106"/>
      <c r="B42" s="314"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5:D25"/>
  </mergeCells>
  <pageMargins left="0.25" right="0.25" top="0.75" bottom="0.75" header="0.3" footer="0.3"/>
  <pageSetup scale="60" fitToHeight="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FECC-3162-4658-8B8F-3AA2192E5333}">
  <sheetPr>
    <tabColor theme="4" tint="-0.249977111117893"/>
    <pageSetUpPr fitToPage="1"/>
  </sheetPr>
  <dimension ref="A1:G58"/>
  <sheetViews>
    <sheetView topLeftCell="A3" zoomScaleNormal="100" workbookViewId="0">
      <selection activeCell="C15" sqref="C15"/>
    </sheetView>
  </sheetViews>
  <sheetFormatPr baseColWidth="10" defaultColWidth="11.44140625" defaultRowHeight="13.2" x14ac:dyDescent="0.25"/>
  <cols>
    <col min="1" max="1" width="6" style="108" customWidth="1"/>
    <col min="2" max="2" width="68" style="108" customWidth="1"/>
    <col min="3" max="3" width="12.664062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385</v>
      </c>
      <c r="B7" s="228"/>
      <c r="C7" s="229"/>
      <c r="D7" s="229"/>
    </row>
    <row r="8" spans="1:7" s="10" customFormat="1" ht="19.2" x14ac:dyDescent="0.45">
      <c r="A8" s="227" t="s">
        <v>386</v>
      </c>
      <c r="B8" s="228"/>
      <c r="C8" s="229"/>
      <c r="D8" s="229"/>
    </row>
    <row r="9" spans="1:7" s="10" customFormat="1" ht="19.2" x14ac:dyDescent="0.45">
      <c r="A9" s="227" t="s">
        <v>387</v>
      </c>
      <c r="B9" s="228"/>
      <c r="C9" s="229"/>
      <c r="D9" s="229"/>
    </row>
    <row r="10" spans="1:7" s="10" customFormat="1" ht="19.2" x14ac:dyDescent="0.45">
      <c r="A10" s="227" t="s">
        <v>388</v>
      </c>
      <c r="B10" s="228"/>
      <c r="C10" s="230"/>
      <c r="D10" s="229"/>
    </row>
    <row r="11" spans="1:7" s="10" customFormat="1" ht="19.2" x14ac:dyDescent="0.45">
      <c r="A11" s="227" t="s">
        <v>6</v>
      </c>
      <c r="B11" s="228"/>
      <c r="C11" s="230"/>
      <c r="D11" s="229"/>
    </row>
    <row r="12" spans="1:7" s="10" customFormat="1" ht="16.5" customHeight="1" x14ac:dyDescent="0.45">
      <c r="A12" s="234" t="s">
        <v>624</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188" customFormat="1" ht="13.8" x14ac:dyDescent="0.25">
      <c r="A15" s="155">
        <v>3</v>
      </c>
      <c r="B15" s="396" t="s">
        <v>625</v>
      </c>
      <c r="C15" s="397"/>
      <c r="D15" s="398">
        <f>A15*C15</f>
        <v>0</v>
      </c>
      <c r="E15" s="190"/>
      <c r="F15" s="108"/>
      <c r="G15" s="108"/>
    </row>
    <row r="16" spans="1:7" ht="26.4" x14ac:dyDescent="0.25">
      <c r="A16" s="155">
        <v>1</v>
      </c>
      <c r="B16" s="396" t="s">
        <v>626</v>
      </c>
      <c r="C16" s="397">
        <f>3400+6300</f>
        <v>9700</v>
      </c>
      <c r="D16" s="398">
        <f>A16*C16</f>
        <v>9700</v>
      </c>
      <c r="E16" s="189"/>
      <c r="F16" s="191"/>
      <c r="G16" s="191"/>
    </row>
    <row r="17" spans="1:7" s="191" customFormat="1" x14ac:dyDescent="0.25">
      <c r="A17" s="155">
        <v>1</v>
      </c>
      <c r="B17" s="396" t="s">
        <v>627</v>
      </c>
      <c r="C17" s="397">
        <v>4500</v>
      </c>
      <c r="D17" s="398">
        <f>A17*C17</f>
        <v>4500</v>
      </c>
      <c r="E17" s="189"/>
      <c r="F17" s="108"/>
      <c r="G17" s="108"/>
    </row>
    <row r="18" spans="1:7" x14ac:dyDescent="0.25">
      <c r="A18" s="399"/>
      <c r="B18" s="400"/>
      <c r="C18" s="401"/>
      <c r="D18" s="154"/>
      <c r="E18" s="189"/>
    </row>
    <row r="19" spans="1:7" x14ac:dyDescent="0.25">
      <c r="A19" s="250"/>
      <c r="B19" s="402" t="s">
        <v>391</v>
      </c>
      <c r="C19" s="403" t="s">
        <v>160</v>
      </c>
      <c r="D19" s="154">
        <f>SUM(D14:D18)</f>
        <v>14200</v>
      </c>
      <c r="E19" s="189"/>
    </row>
    <row r="20" spans="1:7" x14ac:dyDescent="0.25">
      <c r="A20" s="250"/>
      <c r="B20" s="250"/>
      <c r="C20" s="403" t="s">
        <v>392</v>
      </c>
      <c r="D20" s="154">
        <f>D19*0.16</f>
        <v>2272</v>
      </c>
      <c r="E20" s="189"/>
    </row>
    <row r="21" spans="1:7" ht="13.8" thickBot="1" x14ac:dyDescent="0.3">
      <c r="A21" s="250"/>
      <c r="B21" s="250"/>
      <c r="C21" s="403" t="s">
        <v>162</v>
      </c>
      <c r="D21" s="154">
        <f>D19+D20</f>
        <v>16472</v>
      </c>
      <c r="E21" s="189"/>
    </row>
    <row r="22" spans="1:7" ht="13.8" thickBot="1" x14ac:dyDescent="0.3">
      <c r="A22" s="102"/>
      <c r="B22" s="1074" t="s">
        <v>393</v>
      </c>
      <c r="C22" s="1075"/>
      <c r="D22" s="1076"/>
      <c r="E22" s="189"/>
    </row>
    <row r="23" spans="1:7" x14ac:dyDescent="0.25">
      <c r="A23" s="102"/>
      <c r="B23" s="201"/>
      <c r="C23" s="253"/>
      <c r="D23" s="254"/>
      <c r="E23" s="189"/>
    </row>
    <row r="24" spans="1:7" ht="13.8" x14ac:dyDescent="0.25">
      <c r="A24" s="102"/>
      <c r="B24" s="103" t="s">
        <v>9</v>
      </c>
      <c r="C24" s="104"/>
      <c r="D24" s="105"/>
      <c r="E24" s="189"/>
    </row>
    <row r="25" spans="1:7" ht="17.399999999999999" x14ac:dyDescent="0.25">
      <c r="A25" s="102"/>
      <c r="B25" s="387" t="s">
        <v>10</v>
      </c>
      <c r="C25" s="104"/>
      <c r="D25" s="105"/>
    </row>
    <row r="26" spans="1:7" ht="15" x14ac:dyDescent="0.25">
      <c r="A26" s="106"/>
      <c r="B26" s="103" t="s">
        <v>11</v>
      </c>
      <c r="D26" s="105"/>
    </row>
    <row r="27" spans="1:7" ht="13.5" customHeight="1" x14ac:dyDescent="0.25">
      <c r="A27" s="106"/>
      <c r="B27" s="123" t="s">
        <v>394</v>
      </c>
      <c r="D27" s="105"/>
    </row>
    <row r="28" spans="1:7" ht="17.25" customHeight="1" x14ac:dyDescent="0.25">
      <c r="A28" s="106"/>
      <c r="B28" s="123" t="s">
        <v>13</v>
      </c>
      <c r="D28" s="105"/>
    </row>
    <row r="29" spans="1:7" ht="15" x14ac:dyDescent="0.25">
      <c r="A29" s="106"/>
      <c r="B29" s="123" t="s">
        <v>14</v>
      </c>
      <c r="D29" s="105"/>
    </row>
    <row r="30" spans="1:7" ht="13.5" customHeight="1" x14ac:dyDescent="0.25">
      <c r="B30" s="103" t="s">
        <v>15</v>
      </c>
    </row>
    <row r="31" spans="1:7" ht="15" x14ac:dyDescent="0.25">
      <c r="A31" s="106"/>
      <c r="B31" s="295" t="s">
        <v>395</v>
      </c>
    </row>
    <row r="32" spans="1:7" ht="27.6" x14ac:dyDescent="0.25">
      <c r="A32" s="106"/>
      <c r="B32" s="295" t="s">
        <v>17</v>
      </c>
      <c r="C32" s="109"/>
      <c r="D32" s="110"/>
    </row>
    <row r="33" spans="1:5" ht="15" x14ac:dyDescent="0.25">
      <c r="A33" s="106"/>
      <c r="B33" s="103" t="s">
        <v>18</v>
      </c>
      <c r="C33" s="109"/>
      <c r="D33" s="110"/>
      <c r="E33" s="189"/>
    </row>
    <row r="34" spans="1:5" ht="15" x14ac:dyDescent="0.25">
      <c r="A34" s="106"/>
      <c r="B34" s="313" t="s">
        <v>396</v>
      </c>
      <c r="C34" s="109"/>
      <c r="D34" s="109"/>
      <c r="E34" s="189"/>
    </row>
    <row r="35" spans="1:5" ht="15" x14ac:dyDescent="0.25">
      <c r="A35" s="106"/>
      <c r="B35" s="297" t="s">
        <v>20</v>
      </c>
      <c r="C35" s="109"/>
      <c r="D35" s="109"/>
    </row>
    <row r="36" spans="1:5" ht="13.8" x14ac:dyDescent="0.25">
      <c r="B36" s="103" t="s">
        <v>21</v>
      </c>
      <c r="D36" s="105"/>
    </row>
    <row r="37" spans="1:5" ht="15" x14ac:dyDescent="0.25">
      <c r="A37" s="106"/>
      <c r="B37" s="179" t="s">
        <v>222</v>
      </c>
      <c r="C37" s="109"/>
      <c r="D37" s="110"/>
    </row>
    <row r="38" spans="1:5" ht="15" x14ac:dyDescent="0.25">
      <c r="A38" s="106"/>
      <c r="B38" s="123" t="s">
        <v>44</v>
      </c>
      <c r="C38" s="109"/>
      <c r="D38" s="110"/>
    </row>
    <row r="39" spans="1:5" ht="13.8" x14ac:dyDescent="0.25">
      <c r="A39" s="115" t="s">
        <v>0</v>
      </c>
      <c r="B39" s="123" t="s">
        <v>45</v>
      </c>
      <c r="C39" s="109"/>
    </row>
    <row r="40" spans="1:5" ht="50.4" x14ac:dyDescent="0.25">
      <c r="A40" s="222"/>
      <c r="B40" s="314" t="s">
        <v>169</v>
      </c>
      <c r="C40" s="220"/>
      <c r="D40" s="108"/>
    </row>
    <row r="41" spans="1:5" x14ac:dyDescent="0.25">
      <c r="A41" s="222"/>
      <c r="B41" s="181"/>
      <c r="C41" s="181"/>
      <c r="D41" s="108"/>
    </row>
    <row r="42" spans="1:5" x14ac:dyDescent="0.25">
      <c r="A42" s="222"/>
      <c r="B42" s="181"/>
      <c r="C42" s="181"/>
      <c r="D42" s="108"/>
    </row>
    <row r="43" spans="1:5" x14ac:dyDescent="0.25">
      <c r="A43" s="225"/>
      <c r="B43" s="223"/>
      <c r="C43" s="181"/>
      <c r="D43" s="108"/>
    </row>
    <row r="44" spans="1:5" ht="15" x14ac:dyDescent="0.35">
      <c r="A44" s="226" t="s">
        <v>0</v>
      </c>
      <c r="B44" s="224"/>
      <c r="C44" s="181"/>
      <c r="D44" s="181"/>
    </row>
    <row r="45" spans="1:5" x14ac:dyDescent="0.25">
      <c r="A45" s="108" t="s">
        <v>0</v>
      </c>
    </row>
    <row r="49" ht="12.75" customHeight="1" x14ac:dyDescent="0.25"/>
    <row r="53" ht="16.5" customHeight="1" x14ac:dyDescent="0.25"/>
    <row r="57" ht="15.75" customHeight="1" x14ac:dyDescent="0.25"/>
    <row r="58" ht="15" customHeight="1" x14ac:dyDescent="0.25"/>
  </sheetData>
  <mergeCells count="3">
    <mergeCell ref="A4:D4"/>
    <mergeCell ref="A13:D13"/>
    <mergeCell ref="B22:D22"/>
  </mergeCells>
  <printOptions horizontalCentered="1"/>
  <pageMargins left="0.25" right="0.25" top="0.75" bottom="0.75" header="0.3" footer="0.3"/>
  <pageSetup paperSize="9" scale="98" fitToWidth="0" orientation="portrait" r:id="rId1"/>
  <headerFooter alignWithMargins="0">
    <oddFooter>Página &amp;P de &amp;N</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BD90-B85D-49D9-A7AE-131C842DB256}">
  <sheetPr>
    <tabColor theme="4" tint="-0.249977111117893"/>
    <pageSetUpPr fitToPage="1"/>
  </sheetPr>
  <dimension ref="A1:G58"/>
  <sheetViews>
    <sheetView topLeftCell="A3" zoomScaleNormal="100" workbookViewId="0">
      <selection activeCell="C15" sqref="C15"/>
    </sheetView>
  </sheetViews>
  <sheetFormatPr baseColWidth="10" defaultColWidth="11.44140625" defaultRowHeight="13.2" x14ac:dyDescent="0.25"/>
  <cols>
    <col min="1" max="1" width="6" style="108" customWidth="1"/>
    <col min="2" max="2" width="68" style="108" customWidth="1"/>
    <col min="3" max="3" width="12.664062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385</v>
      </c>
      <c r="B7" s="228"/>
      <c r="C7" s="229"/>
      <c r="D7" s="229"/>
    </row>
    <row r="8" spans="1:7" s="10" customFormat="1" ht="19.2" x14ac:dyDescent="0.45">
      <c r="A8" s="227" t="s">
        <v>386</v>
      </c>
      <c r="B8" s="228"/>
      <c r="C8" s="229"/>
      <c r="D8" s="229"/>
    </row>
    <row r="9" spans="1:7" s="10" customFormat="1" ht="19.2" x14ac:dyDescent="0.45">
      <c r="A9" s="227" t="s">
        <v>387</v>
      </c>
      <c r="B9" s="228"/>
      <c r="C9" s="229"/>
      <c r="D9" s="229"/>
    </row>
    <row r="10" spans="1:7" s="10" customFormat="1" ht="19.2" x14ac:dyDescent="0.45">
      <c r="A10" s="227" t="s">
        <v>388</v>
      </c>
      <c r="B10" s="228"/>
      <c r="C10" s="230"/>
      <c r="D10" s="229"/>
    </row>
    <row r="11" spans="1:7" s="10" customFormat="1" ht="19.2" x14ac:dyDescent="0.45">
      <c r="A11" s="227" t="s">
        <v>6</v>
      </c>
      <c r="B11" s="228"/>
      <c r="C11" s="230"/>
      <c r="D11" s="229"/>
    </row>
    <row r="12" spans="1:7" s="10" customFormat="1" ht="16.5" customHeight="1" x14ac:dyDescent="0.45">
      <c r="A12" s="234" t="s">
        <v>624</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188" customFormat="1" ht="13.8" x14ac:dyDescent="0.25">
      <c r="A15" s="155">
        <v>1</v>
      </c>
      <c r="B15" s="396" t="s">
        <v>628</v>
      </c>
      <c r="C15" s="397">
        <f>443*20.5*1.3</f>
        <v>11805.95</v>
      </c>
      <c r="D15" s="398">
        <f>A15*C15</f>
        <v>11805.95</v>
      </c>
      <c r="E15" s="190"/>
      <c r="F15" s="108"/>
      <c r="G15" s="108"/>
    </row>
    <row r="16" spans="1:7" x14ac:dyDescent="0.25">
      <c r="A16" s="155">
        <v>1</v>
      </c>
      <c r="B16" s="396" t="s">
        <v>648</v>
      </c>
      <c r="C16" s="397">
        <v>3600</v>
      </c>
      <c r="D16" s="398">
        <f>A16*C16</f>
        <v>3600</v>
      </c>
      <c r="E16" s="190"/>
      <c r="F16" s="191"/>
      <c r="G16" s="191"/>
    </row>
    <row r="17" spans="1:7" s="191" customFormat="1" ht="26.4" x14ac:dyDescent="0.25">
      <c r="A17" s="155">
        <v>1</v>
      </c>
      <c r="B17" s="396" t="s">
        <v>629</v>
      </c>
      <c r="C17" s="397">
        <v>5200</v>
      </c>
      <c r="D17" s="398">
        <f>A17*C17</f>
        <v>5200</v>
      </c>
      <c r="E17" s="189"/>
      <c r="F17" s="108"/>
      <c r="G17" s="108"/>
    </row>
    <row r="18" spans="1:7" x14ac:dyDescent="0.25">
      <c r="A18" s="155">
        <v>1</v>
      </c>
      <c r="B18" s="396" t="s">
        <v>627</v>
      </c>
      <c r="C18" s="397">
        <v>4800</v>
      </c>
      <c r="D18" s="398">
        <f>A18*C18</f>
        <v>4800</v>
      </c>
      <c r="E18" s="189"/>
    </row>
    <row r="19" spans="1:7" x14ac:dyDescent="0.25">
      <c r="A19" s="399"/>
      <c r="B19" s="400"/>
      <c r="C19" s="401"/>
      <c r="D19" s="154"/>
      <c r="E19" s="189"/>
    </row>
    <row r="20" spans="1:7" x14ac:dyDescent="0.25">
      <c r="A20" s="250"/>
      <c r="B20" s="402" t="s">
        <v>391</v>
      </c>
      <c r="C20" s="403" t="s">
        <v>160</v>
      </c>
      <c r="D20" s="154">
        <f>SUM(D14:D19)</f>
        <v>25405.95</v>
      </c>
      <c r="E20" s="189"/>
    </row>
    <row r="21" spans="1:7" x14ac:dyDescent="0.25">
      <c r="A21" s="250"/>
      <c r="B21" s="250"/>
      <c r="C21" s="403" t="s">
        <v>392</v>
      </c>
      <c r="D21" s="154">
        <f>D20*0.16</f>
        <v>4064.9520000000002</v>
      </c>
      <c r="E21" s="189"/>
    </row>
    <row r="22" spans="1:7" ht="13.8" thickBot="1" x14ac:dyDescent="0.3">
      <c r="A22" s="250"/>
      <c r="B22" s="250"/>
      <c r="C22" s="403" t="s">
        <v>162</v>
      </c>
      <c r="D22" s="154">
        <f>D20+D21</f>
        <v>29470.902000000002</v>
      </c>
      <c r="E22" s="189"/>
    </row>
    <row r="23" spans="1:7" ht="13.8" thickBot="1" x14ac:dyDescent="0.3">
      <c r="A23" s="102"/>
      <c r="B23" s="1074" t="s">
        <v>630</v>
      </c>
      <c r="C23" s="1075"/>
      <c r="D23" s="1076"/>
      <c r="E23" s="189"/>
    </row>
    <row r="24" spans="1:7" x14ac:dyDescent="0.25">
      <c r="A24" s="102"/>
      <c r="B24" s="201"/>
      <c r="C24" s="253"/>
      <c r="D24" s="254"/>
      <c r="E24" s="189"/>
    </row>
    <row r="25" spans="1:7" ht="13.8" x14ac:dyDescent="0.25">
      <c r="A25" s="102"/>
      <c r="B25" s="103" t="s">
        <v>9</v>
      </c>
      <c r="C25" s="104"/>
      <c r="D25" s="105"/>
      <c r="E25" s="189"/>
    </row>
    <row r="26" spans="1:7" ht="17.399999999999999" x14ac:dyDescent="0.25">
      <c r="A26" s="102"/>
      <c r="B26" s="387" t="s">
        <v>10</v>
      </c>
      <c r="C26" s="104"/>
      <c r="D26" s="105"/>
    </row>
    <row r="27" spans="1:7" ht="13.5" customHeight="1" x14ac:dyDescent="0.25">
      <c r="A27" s="106"/>
      <c r="B27" s="103" t="s">
        <v>11</v>
      </c>
      <c r="D27" s="105"/>
    </row>
    <row r="28" spans="1:7" ht="17.25" customHeight="1" x14ac:dyDescent="0.25">
      <c r="A28" s="106"/>
      <c r="B28" s="123" t="s">
        <v>394</v>
      </c>
      <c r="D28" s="105"/>
    </row>
    <row r="29" spans="1:7" ht="15" x14ac:dyDescent="0.25">
      <c r="A29" s="106"/>
      <c r="B29" s="123" t="s">
        <v>13</v>
      </c>
      <c r="D29" s="105"/>
    </row>
    <row r="30" spans="1:7" ht="13.5" customHeight="1" x14ac:dyDescent="0.25">
      <c r="A30" s="106"/>
      <c r="B30" s="123" t="s">
        <v>14</v>
      </c>
      <c r="D30" s="105"/>
    </row>
    <row r="31" spans="1:7" ht="13.8" x14ac:dyDescent="0.25">
      <c r="B31" s="103" t="s">
        <v>15</v>
      </c>
    </row>
    <row r="32" spans="1:7" ht="15" x14ac:dyDescent="0.25">
      <c r="A32" s="106"/>
      <c r="B32" s="295" t="s">
        <v>395</v>
      </c>
    </row>
    <row r="33" spans="1:5" ht="27.6" x14ac:dyDescent="0.25">
      <c r="A33" s="106"/>
      <c r="B33" s="295" t="s">
        <v>17</v>
      </c>
      <c r="C33" s="109"/>
      <c r="D33" s="110"/>
    </row>
    <row r="34" spans="1:5" ht="15" x14ac:dyDescent="0.25">
      <c r="A34" s="106"/>
      <c r="B34" s="103" t="s">
        <v>18</v>
      </c>
      <c r="C34" s="109"/>
      <c r="D34" s="110"/>
      <c r="E34" s="189"/>
    </row>
    <row r="35" spans="1:5" ht="15" x14ac:dyDescent="0.25">
      <c r="A35" s="106"/>
      <c r="B35" s="313" t="s">
        <v>396</v>
      </c>
      <c r="C35" s="109"/>
      <c r="D35" s="109"/>
      <c r="E35" s="189"/>
    </row>
    <row r="36" spans="1:5" ht="15" x14ac:dyDescent="0.25">
      <c r="A36" s="106"/>
      <c r="B36" s="297" t="s">
        <v>20</v>
      </c>
      <c r="C36" s="109"/>
      <c r="D36" s="109"/>
    </row>
    <row r="37" spans="1:5" ht="13.8" x14ac:dyDescent="0.25">
      <c r="B37" s="103" t="s">
        <v>21</v>
      </c>
      <c r="D37" s="105"/>
    </row>
    <row r="38" spans="1:5" ht="15" x14ac:dyDescent="0.25">
      <c r="A38" s="106"/>
      <c r="B38" s="179" t="s">
        <v>222</v>
      </c>
      <c r="C38" s="109"/>
      <c r="D38" s="110"/>
    </row>
    <row r="39" spans="1:5" ht="15" x14ac:dyDescent="0.25">
      <c r="A39" s="106"/>
      <c r="B39" s="123" t="s">
        <v>44</v>
      </c>
      <c r="C39" s="109"/>
      <c r="D39" s="110"/>
    </row>
    <row r="40" spans="1:5" ht="13.8" x14ac:dyDescent="0.25">
      <c r="A40" s="115" t="s">
        <v>0</v>
      </c>
      <c r="B40" s="123" t="s">
        <v>45</v>
      </c>
      <c r="C40" s="109"/>
    </row>
    <row r="41" spans="1:5" ht="50.4" x14ac:dyDescent="0.25">
      <c r="A41" s="222"/>
      <c r="B41" s="314" t="s">
        <v>169</v>
      </c>
      <c r="C41" s="220"/>
      <c r="D41" s="108"/>
    </row>
    <row r="42" spans="1:5" x14ac:dyDescent="0.25">
      <c r="A42" s="222"/>
      <c r="B42" s="181"/>
      <c r="C42" s="181"/>
      <c r="D42" s="108"/>
    </row>
    <row r="43" spans="1:5" x14ac:dyDescent="0.25">
      <c r="A43" s="222"/>
      <c r="B43" s="181"/>
      <c r="C43" s="181"/>
      <c r="D43" s="108"/>
    </row>
    <row r="44" spans="1:5" x14ac:dyDescent="0.25">
      <c r="A44" s="225"/>
      <c r="B44" s="223"/>
      <c r="C44" s="181"/>
      <c r="D44" s="108"/>
    </row>
    <row r="45" spans="1:5" ht="15" x14ac:dyDescent="0.35">
      <c r="A45" s="226" t="s">
        <v>0</v>
      </c>
      <c r="B45" s="224"/>
      <c r="C45" s="181"/>
      <c r="D45" s="181"/>
    </row>
    <row r="46" spans="1:5" x14ac:dyDescent="0.25">
      <c r="A46" s="108" t="s">
        <v>0</v>
      </c>
    </row>
    <row r="49" ht="12.75" customHeight="1" x14ac:dyDescent="0.25"/>
    <row r="53" ht="16.5" customHeight="1" x14ac:dyDescent="0.25"/>
    <row r="57" ht="15.75" customHeight="1" x14ac:dyDescent="0.25"/>
    <row r="58" ht="15" customHeight="1" x14ac:dyDescent="0.25"/>
  </sheetData>
  <mergeCells count="3">
    <mergeCell ref="A4:D4"/>
    <mergeCell ref="A13:D13"/>
    <mergeCell ref="B23:D23"/>
  </mergeCells>
  <printOptions horizontalCentered="1"/>
  <pageMargins left="0.25" right="0.25" top="0.75" bottom="0.75" header="0.3" footer="0.3"/>
  <pageSetup paperSize="9" scale="98" fitToWidth="0" orientation="portrait" r:id="rId1"/>
  <headerFooter alignWithMargins="0">
    <oddFooter>Página &amp;P de &amp;N</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5CAC-99E7-4722-B4B7-E520C80F64A6}">
  <sheetPr>
    <pageSetUpPr fitToPage="1"/>
  </sheetPr>
  <dimension ref="A1:E68"/>
  <sheetViews>
    <sheetView topLeftCell="A7" zoomScaleNormal="100" workbookViewId="0">
      <selection activeCell="D16" sqref="D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488</v>
      </c>
      <c r="B8" s="10"/>
      <c r="C8" s="58"/>
      <c r="D8" s="58"/>
    </row>
    <row r="9" spans="1:5" s="55" customFormat="1" ht="16.8" x14ac:dyDescent="0.4">
      <c r="A9" s="57" t="s">
        <v>489</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462</v>
      </c>
      <c r="B12" s="61"/>
      <c r="C12" s="62"/>
      <c r="D12" s="63"/>
    </row>
    <row r="13" spans="1:5" s="55" customFormat="1" ht="16.8" x14ac:dyDescent="0.4">
      <c r="A13" s="1067" t="s">
        <v>28</v>
      </c>
      <c r="B13" s="1068"/>
      <c r="C13" s="1069"/>
      <c r="D13" s="1070"/>
    </row>
    <row r="14" spans="1:5" s="55" customFormat="1" ht="16.8" x14ac:dyDescent="0.4">
      <c r="A14" s="430" t="s">
        <v>29</v>
      </c>
      <c r="B14" s="430" t="s">
        <v>30</v>
      </c>
      <c r="C14" s="431" t="s">
        <v>31</v>
      </c>
      <c r="D14" s="431" t="s">
        <v>32</v>
      </c>
    </row>
    <row r="15" spans="1:5" s="71" customFormat="1" ht="13.8" x14ac:dyDescent="0.25">
      <c r="A15" s="432"/>
      <c r="B15" s="433"/>
      <c r="C15" s="434"/>
      <c r="D15" s="434"/>
    </row>
    <row r="16" spans="1:5" ht="15.6" x14ac:dyDescent="0.25">
      <c r="A16" s="27">
        <v>1</v>
      </c>
      <c r="B16" s="28" t="s">
        <v>490</v>
      </c>
      <c r="C16" s="31">
        <f>302*21*1.25</f>
        <v>7927.5</v>
      </c>
      <c r="D16" s="30">
        <f>A16*C16</f>
        <v>7927.5</v>
      </c>
      <c r="E16" s="76"/>
    </row>
    <row r="17" spans="1:5" ht="15.6" x14ac:dyDescent="0.25">
      <c r="A17" s="435">
        <v>1</v>
      </c>
      <c r="B17" s="28" t="s">
        <v>491</v>
      </c>
      <c r="C17" s="29">
        <f>368*21*1.25</f>
        <v>9660</v>
      </c>
      <c r="D17" s="436">
        <f>C17*A17</f>
        <v>9660</v>
      </c>
      <c r="E17" s="76"/>
    </row>
    <row r="18" spans="1:5" ht="15.6" x14ac:dyDescent="0.25">
      <c r="A18" s="435">
        <v>1</v>
      </c>
      <c r="B18" s="28" t="s">
        <v>492</v>
      </c>
      <c r="C18" s="29">
        <f>616*21*1.25</f>
        <v>16170</v>
      </c>
      <c r="D18" s="436">
        <f>A18*C18</f>
        <v>16170</v>
      </c>
      <c r="E18" s="76"/>
    </row>
    <row r="19" spans="1:5" ht="15.6" x14ac:dyDescent="0.25">
      <c r="A19" s="435">
        <v>1</v>
      </c>
      <c r="B19" s="28" t="s">
        <v>493</v>
      </c>
      <c r="C19" s="29">
        <f>1130*21*1.25</f>
        <v>29662.5</v>
      </c>
      <c r="D19" s="436">
        <f>A19*C19</f>
        <v>29662.5</v>
      </c>
      <c r="E19" s="76"/>
    </row>
    <row r="20" spans="1:5" ht="15.6" x14ac:dyDescent="0.25">
      <c r="A20" s="440"/>
      <c r="B20" s="436"/>
      <c r="C20" s="436"/>
      <c r="D20" s="436"/>
      <c r="E20" s="76"/>
    </row>
    <row r="21" spans="1:5" ht="15.6" x14ac:dyDescent="0.25">
      <c r="A21" s="89"/>
      <c r="B21" s="441"/>
      <c r="C21" s="442" t="s">
        <v>38</v>
      </c>
      <c r="D21" s="30">
        <f>SUM(D16:D19)</f>
        <v>63420</v>
      </c>
      <c r="E21" s="76"/>
    </row>
    <row r="22" spans="1:5" ht="15.6" x14ac:dyDescent="0.3">
      <c r="A22" s="92"/>
      <c r="B22" s="443"/>
      <c r="C22" s="444" t="s">
        <v>39</v>
      </c>
      <c r="D22" s="30">
        <f>D21*0.16</f>
        <v>10147.200000000001</v>
      </c>
      <c r="E22" s="76"/>
    </row>
    <row r="23" spans="1:5" ht="18.75" customHeight="1" x14ac:dyDescent="0.3">
      <c r="A23" s="92"/>
      <c r="B23" s="443"/>
      <c r="C23" s="444" t="s">
        <v>40</v>
      </c>
      <c r="D23" s="436">
        <f>D21+D22</f>
        <v>73567.199999999997</v>
      </c>
    </row>
    <row r="24" spans="1:5" ht="18.75" customHeight="1" x14ac:dyDescent="0.25">
      <c r="A24" s="92"/>
      <c r="B24" s="1071" t="s">
        <v>495</v>
      </c>
      <c r="C24" s="1072"/>
      <c r="D24" s="1073"/>
    </row>
    <row r="25" spans="1:5" ht="18.75" customHeight="1" x14ac:dyDescent="0.25">
      <c r="B25" s="97" t="s">
        <v>9</v>
      </c>
      <c r="C25" s="98"/>
      <c r="D25" s="99"/>
    </row>
    <row r="26" spans="1:5" ht="18.75" customHeight="1" x14ac:dyDescent="0.25">
      <c r="B26" s="255"/>
      <c r="C26" s="96"/>
      <c r="D26" s="96"/>
      <c r="E26" s="76"/>
    </row>
    <row r="27" spans="1:5" ht="15.75" customHeight="1" x14ac:dyDescent="0.25">
      <c r="A27" s="96"/>
      <c r="B27" s="100" t="s">
        <v>11</v>
      </c>
      <c r="C27" s="76"/>
      <c r="D27" s="96"/>
    </row>
    <row r="28" spans="1:5" s="96" customFormat="1" ht="15" customHeight="1" x14ac:dyDescent="0.25">
      <c r="A28" s="101"/>
      <c r="B28" s="256" t="s">
        <v>12</v>
      </c>
      <c r="C28" s="52"/>
      <c r="D28" s="52"/>
    </row>
    <row r="29" spans="1:5" s="96" customFormat="1" ht="15.75" customHeight="1" x14ac:dyDescent="0.25">
      <c r="A29" s="101"/>
      <c r="B29" s="256" t="s">
        <v>13</v>
      </c>
      <c r="C29" s="52"/>
      <c r="D29" s="52"/>
    </row>
    <row r="30" spans="1:5" ht="13.5" customHeight="1" x14ac:dyDescent="0.25">
      <c r="A30" s="101"/>
      <c r="B30" s="256" t="s">
        <v>14</v>
      </c>
      <c r="C30" s="52"/>
      <c r="D30" s="52"/>
    </row>
    <row r="31" spans="1:5" ht="13.5" customHeight="1" x14ac:dyDescent="0.25">
      <c r="A31" s="102"/>
      <c r="B31" s="103" t="s">
        <v>15</v>
      </c>
      <c r="C31" s="52"/>
      <c r="D31" s="52"/>
    </row>
    <row r="32" spans="1:5" ht="13.5" customHeight="1" x14ac:dyDescent="0.25">
      <c r="A32" s="102"/>
      <c r="B32" s="216" t="s">
        <v>42</v>
      </c>
      <c r="C32" s="104"/>
      <c r="D32" s="105"/>
    </row>
    <row r="33" spans="1:4" ht="27.6" x14ac:dyDescent="0.25">
      <c r="A33" s="106"/>
      <c r="B33" s="216" t="s">
        <v>43</v>
      </c>
      <c r="C33" s="104"/>
      <c r="D33" s="105"/>
    </row>
    <row r="34" spans="1:4" ht="15" x14ac:dyDescent="0.25">
      <c r="A34" s="106"/>
      <c r="B34" s="103" t="s">
        <v>18</v>
      </c>
      <c r="C34" s="107"/>
      <c r="D34" s="105"/>
    </row>
    <row r="35" spans="1:4" ht="13.5" customHeight="1" x14ac:dyDescent="0.25">
      <c r="A35" s="106"/>
      <c r="B35" s="188" t="s">
        <v>496</v>
      </c>
      <c r="C35" s="107"/>
      <c r="D35" s="105"/>
    </row>
    <row r="36" spans="1:4" ht="13.5" customHeight="1" x14ac:dyDescent="0.25">
      <c r="A36" s="106"/>
      <c r="B36" s="217" t="s">
        <v>20</v>
      </c>
      <c r="C36" s="107"/>
      <c r="D36" s="105"/>
    </row>
    <row r="37" spans="1:4" ht="13.5" customHeight="1" x14ac:dyDescent="0.25">
      <c r="A37" s="108"/>
      <c r="B37" s="103" t="s">
        <v>21</v>
      </c>
      <c r="C37" s="107"/>
      <c r="D37" s="105"/>
    </row>
    <row r="38" spans="1:4" ht="13.5" customHeight="1" x14ac:dyDescent="0.25">
      <c r="A38" s="106"/>
      <c r="B38" s="310" t="s">
        <v>262</v>
      </c>
      <c r="C38" s="107"/>
      <c r="D38" s="107"/>
    </row>
    <row r="39" spans="1:4" ht="13.5" customHeight="1" x14ac:dyDescent="0.25">
      <c r="A39" s="106"/>
      <c r="B39" s="180" t="s">
        <v>44</v>
      </c>
      <c r="C39" s="107"/>
      <c r="D39" s="107"/>
    </row>
    <row r="40" spans="1:4" ht="15" x14ac:dyDescent="0.25">
      <c r="A40" s="106"/>
      <c r="B40" s="180" t="s">
        <v>45</v>
      </c>
      <c r="C40" s="109"/>
      <c r="D40" s="110"/>
    </row>
    <row r="41" spans="1:4" ht="33.6" x14ac:dyDescent="0.4">
      <c r="A41" s="106"/>
      <c r="B41" s="218"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9" spans="1:4" ht="15.75" customHeight="1" x14ac:dyDescent="0.25"/>
    <row r="63" spans="1:4" ht="16.5" customHeight="1" x14ac:dyDescent="0.25"/>
    <row r="67" ht="24" customHeight="1" x14ac:dyDescent="0.25"/>
    <row r="68" ht="24" customHeight="1" x14ac:dyDescent="0.25"/>
  </sheetData>
  <mergeCells count="3">
    <mergeCell ref="A4:D4"/>
    <mergeCell ref="A13:D13"/>
    <mergeCell ref="B24:D24"/>
  </mergeCells>
  <pageMargins left="0.25" right="0.25" top="0.75" bottom="0.75" header="0.3" footer="0.3"/>
  <pageSetup scale="57"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880E-335A-4692-B3AA-4578B032F5BD}">
  <sheetPr>
    <pageSetUpPr fitToPage="1"/>
  </sheetPr>
  <dimension ref="A1:E69"/>
  <sheetViews>
    <sheetView topLeftCell="A8" zoomScaleNormal="100" workbookViewId="0">
      <selection activeCell="D32" sqref="D3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673</v>
      </c>
      <c r="B8" s="10"/>
      <c r="C8" s="58"/>
      <c r="D8" s="58"/>
    </row>
    <row r="9" spans="1:5" s="55" customFormat="1" ht="16.8" x14ac:dyDescent="0.4">
      <c r="A9" s="57" t="s">
        <v>674</v>
      </c>
      <c r="B9" s="10"/>
      <c r="C9" s="58"/>
      <c r="D9" s="58"/>
    </row>
    <row r="10" spans="1:5" s="55" customFormat="1" ht="16.8" x14ac:dyDescent="0.4">
      <c r="A10" s="57" t="s">
        <v>675</v>
      </c>
      <c r="B10" s="10"/>
      <c r="C10" s="58"/>
      <c r="D10" s="58"/>
    </row>
    <row r="11" spans="1:5" s="55" customFormat="1" ht="16.8" x14ac:dyDescent="0.4">
      <c r="A11" s="57" t="s">
        <v>676</v>
      </c>
      <c r="B11" s="10"/>
      <c r="C11" s="59"/>
      <c r="D11" s="58"/>
    </row>
    <row r="12" spans="1:5" s="55" customFormat="1" ht="15" customHeight="1" x14ac:dyDescent="0.4">
      <c r="A12" s="60" t="s">
        <v>677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649</v>
      </c>
      <c r="C16" s="74">
        <f>300*80</f>
        <v>24000</v>
      </c>
      <c r="D16" s="75">
        <f>A16*C16</f>
        <v>24000</v>
      </c>
      <c r="E16" s="76"/>
    </row>
    <row r="17" spans="1:5" ht="30" x14ac:dyDescent="0.25">
      <c r="A17" s="77">
        <v>1</v>
      </c>
      <c r="B17" s="81" t="s">
        <v>666</v>
      </c>
      <c r="C17" s="79">
        <v>4800</v>
      </c>
      <c r="D17" s="80">
        <f>A17*C17</f>
        <v>4800</v>
      </c>
      <c r="E17" s="76"/>
    </row>
    <row r="18" spans="1:5" ht="33.75" customHeight="1" x14ac:dyDescent="0.25">
      <c r="A18" s="77">
        <v>1</v>
      </c>
      <c r="B18" s="81" t="s">
        <v>632</v>
      </c>
      <c r="C18" s="82">
        <v>11200</v>
      </c>
      <c r="D18" s="83">
        <f t="shared" ref="D18" si="0">A18*C18</f>
        <v>11200</v>
      </c>
      <c r="E18" s="76"/>
    </row>
    <row r="19" spans="1:5" ht="45" x14ac:dyDescent="0.25">
      <c r="A19" s="72">
        <v>1</v>
      </c>
      <c r="B19" s="73" t="s">
        <v>444</v>
      </c>
      <c r="C19" s="74">
        <v>78000</v>
      </c>
      <c r="D19" s="75">
        <f>A19*C19</f>
        <v>78000</v>
      </c>
      <c r="E19" s="76"/>
    </row>
    <row r="20" spans="1:5" ht="15.6" x14ac:dyDescent="0.25">
      <c r="A20" s="72">
        <v>4</v>
      </c>
      <c r="B20" s="73" t="s">
        <v>667</v>
      </c>
      <c r="C20" s="74">
        <f>6797</f>
        <v>6797</v>
      </c>
      <c r="D20" s="75">
        <f>C20*A20</f>
        <v>27188</v>
      </c>
      <c r="E20" s="76"/>
    </row>
    <row r="21" spans="1:5" ht="15.6" x14ac:dyDescent="0.25">
      <c r="A21" s="72">
        <v>4</v>
      </c>
      <c r="B21" s="73" t="s">
        <v>269</v>
      </c>
      <c r="C21" s="74">
        <f>5664</f>
        <v>5664</v>
      </c>
      <c r="D21" s="75">
        <f t="shared" ref="D21:D28" si="1">A21*C21</f>
        <v>22656</v>
      </c>
      <c r="E21" s="76"/>
    </row>
    <row r="22" spans="1:5" ht="15.6" x14ac:dyDescent="0.25">
      <c r="A22" s="72">
        <v>2</v>
      </c>
      <c r="B22" s="73" t="s">
        <v>270</v>
      </c>
      <c r="C22" s="74">
        <v>320</v>
      </c>
      <c r="D22" s="75">
        <f t="shared" si="1"/>
        <v>640</v>
      </c>
      <c r="E22" s="76"/>
    </row>
    <row r="23" spans="1:5" ht="30" x14ac:dyDescent="0.25">
      <c r="A23" s="72">
        <v>1</v>
      </c>
      <c r="B23" s="73" t="s">
        <v>33</v>
      </c>
      <c r="C23" s="74">
        <v>3100</v>
      </c>
      <c r="D23" s="75">
        <f t="shared" si="1"/>
        <v>3100</v>
      </c>
      <c r="E23" s="76"/>
    </row>
    <row r="24" spans="1:5" ht="30" x14ac:dyDescent="0.25">
      <c r="A24" s="72">
        <v>1</v>
      </c>
      <c r="B24" s="73" t="s">
        <v>668</v>
      </c>
      <c r="C24" s="74">
        <v>45000</v>
      </c>
      <c r="D24" s="75">
        <f t="shared" si="1"/>
        <v>45000</v>
      </c>
      <c r="E24" s="76"/>
    </row>
    <row r="25" spans="1:5" ht="45" x14ac:dyDescent="0.25">
      <c r="A25" s="72">
        <v>2</v>
      </c>
      <c r="B25" s="73" t="s">
        <v>669</v>
      </c>
      <c r="C25" s="74">
        <v>49000</v>
      </c>
      <c r="D25" s="75">
        <f t="shared" si="1"/>
        <v>98000</v>
      </c>
      <c r="E25" s="76"/>
    </row>
    <row r="26" spans="1:5" ht="30" x14ac:dyDescent="0.25">
      <c r="A26" s="72">
        <v>1</v>
      </c>
      <c r="B26" s="73" t="s">
        <v>671</v>
      </c>
      <c r="C26" s="74">
        <v>64000</v>
      </c>
      <c r="D26" s="75">
        <f t="shared" si="1"/>
        <v>64000</v>
      </c>
      <c r="E26" s="76"/>
    </row>
    <row r="27" spans="1:5" ht="30" x14ac:dyDescent="0.25">
      <c r="A27" s="72">
        <v>1</v>
      </c>
      <c r="B27" s="73" t="s">
        <v>670</v>
      </c>
      <c r="C27" s="74">
        <v>5800</v>
      </c>
      <c r="D27" s="75">
        <f t="shared" si="1"/>
        <v>5800</v>
      </c>
      <c r="E27" s="76"/>
    </row>
    <row r="28" spans="1:5" ht="45" x14ac:dyDescent="0.25">
      <c r="A28" s="72">
        <v>1</v>
      </c>
      <c r="B28" s="73" t="s">
        <v>649</v>
      </c>
      <c r="C28" s="74">
        <f>300*80</f>
        <v>24000</v>
      </c>
      <c r="D28" s="75">
        <f t="shared" si="1"/>
        <v>24000</v>
      </c>
    </row>
    <row r="29" spans="1:5" s="96" customFormat="1" ht="15.6" x14ac:dyDescent="0.25">
      <c r="A29" s="72"/>
      <c r="B29" s="75"/>
      <c r="C29" s="75"/>
      <c r="D29" s="75"/>
      <c r="E29" s="52"/>
    </row>
    <row r="30" spans="1:5" s="96" customFormat="1" ht="15.75" customHeight="1" x14ac:dyDescent="0.25">
      <c r="A30" s="89"/>
      <c r="B30" s="90"/>
      <c r="C30" s="91" t="s">
        <v>38</v>
      </c>
      <c r="D30" s="75">
        <f>SUM(D16:D28)</f>
        <v>408384</v>
      </c>
      <c r="E30" s="52"/>
    </row>
    <row r="31" spans="1:5" ht="13.5" customHeight="1" x14ac:dyDescent="0.3">
      <c r="A31" s="92"/>
      <c r="B31" s="90"/>
      <c r="C31" s="93" t="s">
        <v>39</v>
      </c>
      <c r="D31" s="75">
        <f>D30*0.16</f>
        <v>65341.440000000002</v>
      </c>
    </row>
    <row r="32" spans="1:5" ht="16.2" thickBot="1" x14ac:dyDescent="0.35">
      <c r="A32" s="92"/>
      <c r="B32" s="90"/>
      <c r="C32" s="94" t="s">
        <v>40</v>
      </c>
      <c r="D32" s="95">
        <f>D30+D31</f>
        <v>473725.44</v>
      </c>
    </row>
    <row r="33" spans="1:4" ht="13.5" customHeight="1" thickBot="1" x14ac:dyDescent="0.3">
      <c r="A33" s="92"/>
      <c r="B33" s="1023" t="s">
        <v>672</v>
      </c>
      <c r="C33" s="1024"/>
      <c r="D33" s="1025"/>
    </row>
    <row r="34" spans="1:4" ht="13.8" x14ac:dyDescent="0.25">
      <c r="B34" s="370" t="s">
        <v>9</v>
      </c>
      <c r="C34" s="98"/>
      <c r="D34" s="99"/>
    </row>
    <row r="35" spans="1:4" ht="34.799999999999997" x14ac:dyDescent="0.25">
      <c r="B35" s="124" t="s">
        <v>484</v>
      </c>
      <c r="C35" s="76"/>
      <c r="D35" s="96"/>
    </row>
    <row r="36" spans="1:4" ht="13.5" customHeight="1" x14ac:dyDescent="0.25">
      <c r="A36" s="96"/>
      <c r="B36" s="103" t="s">
        <v>11</v>
      </c>
      <c r="C36" s="96"/>
      <c r="D36" s="96"/>
    </row>
    <row r="37" spans="1:4" ht="13.5" customHeight="1" x14ac:dyDescent="0.25">
      <c r="A37" s="101"/>
      <c r="B37" s="123" t="s">
        <v>12</v>
      </c>
      <c r="C37" s="52"/>
      <c r="D37" s="52"/>
    </row>
    <row r="38" spans="1:4" ht="13.5" customHeight="1" x14ac:dyDescent="0.25">
      <c r="A38" s="101"/>
      <c r="B38" s="123" t="s">
        <v>13</v>
      </c>
      <c r="C38" s="52"/>
      <c r="D38" s="52"/>
    </row>
    <row r="39" spans="1:4" ht="13.5" customHeight="1" x14ac:dyDescent="0.25">
      <c r="A39" s="101"/>
      <c r="B39" s="123" t="s">
        <v>14</v>
      </c>
      <c r="C39" s="52"/>
      <c r="D39" s="52"/>
    </row>
    <row r="40" spans="1:4" ht="13.5" customHeight="1" x14ac:dyDescent="0.25">
      <c r="A40" s="102"/>
      <c r="B40" s="103" t="s">
        <v>15</v>
      </c>
      <c r="C40" s="52"/>
      <c r="D40" s="52"/>
    </row>
    <row r="41" spans="1:4" ht="13.8" x14ac:dyDescent="0.25">
      <c r="A41" s="102"/>
      <c r="B41" s="295" t="s">
        <v>42</v>
      </c>
      <c r="C41" s="104"/>
      <c r="D41" s="105"/>
    </row>
    <row r="42" spans="1:4" ht="27.6" x14ac:dyDescent="0.25">
      <c r="A42" s="106"/>
      <c r="B42" s="295" t="s">
        <v>43</v>
      </c>
      <c r="C42" s="104"/>
      <c r="D42" s="105"/>
    </row>
    <row r="43" spans="1:4" ht="15" x14ac:dyDescent="0.25">
      <c r="A43" s="106"/>
      <c r="B43" s="103" t="s">
        <v>18</v>
      </c>
      <c r="C43" s="107"/>
      <c r="D43" s="105"/>
    </row>
    <row r="44" spans="1:4" ht="15" x14ac:dyDescent="0.25">
      <c r="A44" s="106"/>
      <c r="B44" s="313" t="s">
        <v>410</v>
      </c>
      <c r="C44" s="107"/>
      <c r="D44" s="105"/>
    </row>
    <row r="45" spans="1:4" ht="15" x14ac:dyDescent="0.25">
      <c r="A45" s="106"/>
      <c r="B45" s="297" t="s">
        <v>20</v>
      </c>
      <c r="C45" s="107"/>
      <c r="D45" s="105"/>
    </row>
    <row r="46" spans="1:4" ht="13.8" x14ac:dyDescent="0.25">
      <c r="A46" s="108"/>
      <c r="B46" s="103" t="s">
        <v>21</v>
      </c>
      <c r="C46" s="107"/>
      <c r="D46" s="105"/>
    </row>
    <row r="47" spans="1:4" ht="15" x14ac:dyDescent="0.25">
      <c r="A47" s="106"/>
      <c r="B47" s="122" t="s">
        <v>262</v>
      </c>
      <c r="C47" s="107"/>
      <c r="D47" s="107"/>
    </row>
    <row r="48" spans="1:4" ht="15" x14ac:dyDescent="0.25">
      <c r="A48" s="106"/>
      <c r="B48" s="123" t="s">
        <v>44</v>
      </c>
      <c r="C48" s="107"/>
      <c r="D48" s="107"/>
    </row>
    <row r="49" spans="1:4" ht="15" x14ac:dyDescent="0.25">
      <c r="A49" s="106"/>
      <c r="B49" s="123" t="s">
        <v>45</v>
      </c>
      <c r="C49" s="109"/>
      <c r="D49" s="110"/>
    </row>
    <row r="50" spans="1:4" ht="33.6" x14ac:dyDescent="0.25">
      <c r="A50" s="106"/>
      <c r="B50" s="314" t="s">
        <v>23</v>
      </c>
      <c r="C50" s="109"/>
      <c r="D50" s="110"/>
    </row>
    <row r="51" spans="1:4" ht="16.8" x14ac:dyDescent="0.4">
      <c r="A51" s="106"/>
      <c r="B51" s="111"/>
      <c r="C51" s="109"/>
      <c r="D51" s="109"/>
    </row>
    <row r="52" spans="1:4" ht="13.8" x14ac:dyDescent="0.25">
      <c r="A52" s="108"/>
      <c r="B52" s="112"/>
      <c r="C52" s="109"/>
      <c r="D52" s="109"/>
    </row>
    <row r="53" spans="1:4" ht="15" x14ac:dyDescent="0.25">
      <c r="A53" s="106"/>
      <c r="B53" s="112"/>
      <c r="C53" s="107"/>
      <c r="D53" s="105"/>
    </row>
    <row r="54" spans="1:4" ht="15" x14ac:dyDescent="0.25">
      <c r="A54" s="106"/>
      <c r="B54" s="113"/>
      <c r="C54" s="109"/>
      <c r="D54" s="110"/>
    </row>
    <row r="55" spans="1:4" ht="16.2" x14ac:dyDescent="0.35">
      <c r="A55" s="106"/>
      <c r="B55" s="114"/>
      <c r="C55" s="109"/>
      <c r="D55" s="110"/>
    </row>
    <row r="56" spans="1:4" ht="13.8" x14ac:dyDescent="0.25">
      <c r="A56" s="115" t="s">
        <v>0</v>
      </c>
      <c r="C56" s="109"/>
      <c r="D56" s="110"/>
    </row>
    <row r="57" spans="1:4" ht="13.8" x14ac:dyDescent="0.25">
      <c r="A57" s="116"/>
      <c r="C57" s="109"/>
      <c r="D57" s="109"/>
    </row>
    <row r="58" spans="1:4" ht="13.8" x14ac:dyDescent="0.25">
      <c r="A58" s="117"/>
      <c r="C58" s="118"/>
      <c r="D58" s="118"/>
    </row>
    <row r="59" spans="1:4" x14ac:dyDescent="0.25">
      <c r="A59" s="117"/>
      <c r="C59" s="112"/>
      <c r="D59" s="52"/>
    </row>
    <row r="60" spans="1:4" ht="15.75" customHeight="1" x14ac:dyDescent="0.25">
      <c r="A60" s="119"/>
      <c r="C60" s="112"/>
      <c r="D60" s="52"/>
    </row>
    <row r="61" spans="1:4" x14ac:dyDescent="0.25">
      <c r="A61" s="120" t="s">
        <v>0</v>
      </c>
      <c r="C61" s="112"/>
      <c r="D61" s="52"/>
    </row>
    <row r="62" spans="1:4" x14ac:dyDescent="0.25">
      <c r="A62" s="52" t="s">
        <v>0</v>
      </c>
      <c r="C62" s="112"/>
      <c r="D62" s="112"/>
    </row>
    <row r="64" spans="1:4" ht="16.5" customHeight="1" x14ac:dyDescent="0.25"/>
    <row r="68" ht="24" customHeight="1" x14ac:dyDescent="0.25"/>
    <row r="69" ht="24" customHeight="1" x14ac:dyDescent="0.25"/>
  </sheetData>
  <mergeCells count="3">
    <mergeCell ref="A4:D4"/>
    <mergeCell ref="A13:D13"/>
    <mergeCell ref="B33:D33"/>
  </mergeCells>
  <pageMargins left="0.25" right="0.25" top="0.75" bottom="0.75" header="0.3" footer="0.3"/>
  <pageSetup scale="64" fitToHeight="0"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7BA43-24C1-4E65-8C26-5CC376475939}">
  <sheetPr>
    <pageSetUpPr fitToPage="1"/>
  </sheetPr>
  <dimension ref="A1:F69"/>
  <sheetViews>
    <sheetView topLeftCell="A11" zoomScaleNormal="100" workbookViewId="0">
      <selection activeCell="B17" sqref="B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236</v>
      </c>
      <c r="B8" s="10"/>
      <c r="C8" s="58"/>
      <c r="D8" s="58"/>
    </row>
    <row r="9" spans="1:5" s="55" customFormat="1" ht="16.8" x14ac:dyDescent="0.4">
      <c r="A9" s="57" t="s">
        <v>652</v>
      </c>
      <c r="B9" s="10"/>
      <c r="C9" s="58"/>
      <c r="D9" s="58"/>
    </row>
    <row r="10" spans="1:5" s="55" customFormat="1" ht="16.8" x14ac:dyDescent="0.4">
      <c r="A10" s="57" t="s">
        <v>655</v>
      </c>
      <c r="B10" s="10"/>
      <c r="C10" s="58"/>
      <c r="D10" s="58"/>
    </row>
    <row r="11" spans="1:5" s="55" customFormat="1" ht="16.8" x14ac:dyDescent="0.4">
      <c r="A11" s="57" t="s">
        <v>653</v>
      </c>
      <c r="B11" s="10"/>
      <c r="C11" s="59"/>
      <c r="D11" s="58"/>
    </row>
    <row r="12" spans="1:5" s="55" customFormat="1" ht="15" customHeight="1" x14ac:dyDescent="0.4">
      <c r="A12" s="60" t="s">
        <v>654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650</v>
      </c>
      <c r="C16" s="74">
        <f>300*70</f>
        <v>21000</v>
      </c>
      <c r="D16" s="75">
        <f>A16*C16</f>
        <v>21000</v>
      </c>
      <c r="E16" s="76"/>
    </row>
    <row r="17" spans="1:6" ht="45" x14ac:dyDescent="0.25">
      <c r="A17" s="77">
        <v>1</v>
      </c>
      <c r="B17" s="81" t="s">
        <v>662</v>
      </c>
      <c r="C17" s="82">
        <f>(625.11*20.56)*1.3+(4500)</f>
        <v>21207.94008</v>
      </c>
      <c r="D17" s="83">
        <f>A17*C17</f>
        <v>21207.94008</v>
      </c>
      <c r="E17" s="76"/>
    </row>
    <row r="18" spans="1:6" ht="33.75" customHeight="1" x14ac:dyDescent="0.25">
      <c r="A18" s="72">
        <v>1</v>
      </c>
      <c r="B18" s="73" t="s">
        <v>33</v>
      </c>
      <c r="C18" s="74">
        <v>3580</v>
      </c>
      <c r="D18" s="75">
        <f>A18*C18</f>
        <v>3580</v>
      </c>
      <c r="E18" s="76"/>
    </row>
    <row r="19" spans="1:6" ht="15.6" x14ac:dyDescent="0.25">
      <c r="A19" s="72">
        <v>1</v>
      </c>
      <c r="B19" s="73" t="s">
        <v>36</v>
      </c>
      <c r="C19" s="74">
        <v>2209</v>
      </c>
      <c r="D19" s="75">
        <f>A19*C19</f>
        <v>2209</v>
      </c>
      <c r="E19" s="76"/>
    </row>
    <row r="20" spans="1:6" ht="45" x14ac:dyDescent="0.25">
      <c r="A20" s="72">
        <v>1</v>
      </c>
      <c r="B20" s="73" t="s">
        <v>651</v>
      </c>
      <c r="C20" s="74">
        <f>300*74</f>
        <v>22200</v>
      </c>
      <c r="D20" s="75">
        <f>A20*C20</f>
        <v>22200</v>
      </c>
      <c r="E20" s="76"/>
    </row>
    <row r="21" spans="1:6" ht="15.6" x14ac:dyDescent="0.25">
      <c r="A21" s="72"/>
      <c r="B21" s="75"/>
      <c r="C21" s="75"/>
      <c r="D21" s="75"/>
      <c r="E21" s="76"/>
    </row>
    <row r="22" spans="1:6" ht="15.6" x14ac:dyDescent="0.25">
      <c r="A22" s="89"/>
      <c r="B22" s="502" t="s">
        <v>657</v>
      </c>
      <c r="C22" s="91" t="s">
        <v>38</v>
      </c>
      <c r="D22" s="75">
        <f>SUM(D16:D20)</f>
        <v>70196.94008</v>
      </c>
      <c r="E22" s="76"/>
    </row>
    <row r="23" spans="1:6" ht="15.6" x14ac:dyDescent="0.3">
      <c r="A23" s="92"/>
      <c r="B23" s="502" t="s">
        <v>660</v>
      </c>
      <c r="C23" s="93" t="s">
        <v>39</v>
      </c>
      <c r="D23" s="75">
        <f>D22*0.16</f>
        <v>11231.5104128</v>
      </c>
    </row>
    <row r="24" spans="1:6" ht="16.2" thickBot="1" x14ac:dyDescent="0.35">
      <c r="A24" s="92"/>
      <c r="B24" s="90"/>
      <c r="C24" s="94" t="s">
        <v>40</v>
      </c>
      <c r="D24" s="95">
        <f>D22+D23</f>
        <v>81428.450492799995</v>
      </c>
      <c r="E24" s="96"/>
    </row>
    <row r="25" spans="1:6" ht="16.2" thickBot="1" x14ac:dyDescent="0.3">
      <c r="A25" s="92"/>
      <c r="B25" s="1023" t="s">
        <v>661</v>
      </c>
      <c r="C25" s="1024"/>
      <c r="D25" s="1025"/>
      <c r="E25" s="96"/>
    </row>
    <row r="26" spans="1:6" ht="18.75" customHeight="1" x14ac:dyDescent="0.25">
      <c r="B26" s="370" t="s">
        <v>9</v>
      </c>
      <c r="C26" s="98"/>
      <c r="D26" s="99"/>
    </row>
    <row r="27" spans="1:6" ht="34.799999999999997" x14ac:dyDescent="0.25">
      <c r="B27" s="124" t="s">
        <v>484</v>
      </c>
      <c r="C27" s="76"/>
      <c r="D27" s="96"/>
    </row>
    <row r="28" spans="1:6" ht="15.75" customHeight="1" x14ac:dyDescent="0.25">
      <c r="A28" s="96"/>
      <c r="B28" s="103" t="s">
        <v>11</v>
      </c>
      <c r="C28" s="96"/>
      <c r="D28" s="96"/>
      <c r="F28" s="96"/>
    </row>
    <row r="29" spans="1:6" s="96" customFormat="1" ht="15" x14ac:dyDescent="0.25">
      <c r="A29" s="101"/>
      <c r="B29" s="123" t="s">
        <v>12</v>
      </c>
      <c r="C29" s="52"/>
      <c r="D29" s="52"/>
      <c r="E29" s="52"/>
    </row>
    <row r="30" spans="1:6" s="96" customFormat="1" ht="15.75" customHeight="1" x14ac:dyDescent="0.25">
      <c r="A30" s="101"/>
      <c r="B30" s="123" t="s">
        <v>13</v>
      </c>
      <c r="C30" s="52"/>
      <c r="D30" s="52"/>
      <c r="E30" s="52"/>
      <c r="F30" s="52"/>
    </row>
    <row r="31" spans="1:6" ht="13.5" customHeight="1" x14ac:dyDescent="0.25">
      <c r="A31" s="101"/>
      <c r="B31" s="123" t="s">
        <v>14</v>
      </c>
      <c r="C31" s="52"/>
      <c r="D31" s="52"/>
    </row>
    <row r="32" spans="1:6" ht="13.8" x14ac:dyDescent="0.25">
      <c r="A32" s="102"/>
      <c r="B32" s="103" t="s">
        <v>15</v>
      </c>
      <c r="C32" s="52"/>
      <c r="D32" s="52"/>
    </row>
    <row r="33" spans="1:4" ht="13.5" customHeight="1" x14ac:dyDescent="0.25">
      <c r="A33" s="102"/>
      <c r="B33" s="295" t="s">
        <v>42</v>
      </c>
      <c r="C33" s="104"/>
      <c r="D33" s="105"/>
    </row>
    <row r="34" spans="1:4" ht="27.6" x14ac:dyDescent="0.25">
      <c r="A34" s="106"/>
      <c r="B34" s="295" t="s">
        <v>43</v>
      </c>
      <c r="C34" s="104"/>
      <c r="D34" s="105"/>
    </row>
    <row r="35" spans="1:4" ht="15" x14ac:dyDescent="0.25">
      <c r="A35" s="106"/>
      <c r="B35" s="103" t="s">
        <v>18</v>
      </c>
      <c r="C35" s="107"/>
      <c r="D35" s="105"/>
    </row>
    <row r="36" spans="1:4" ht="13.5" customHeight="1" x14ac:dyDescent="0.25">
      <c r="A36" s="106"/>
      <c r="B36" s="313" t="s">
        <v>656</v>
      </c>
      <c r="C36" s="107"/>
      <c r="D36" s="105"/>
    </row>
    <row r="37" spans="1:4" ht="13.5" customHeight="1" x14ac:dyDescent="0.25">
      <c r="A37" s="106"/>
      <c r="B37" s="297" t="s">
        <v>20</v>
      </c>
      <c r="C37" s="107"/>
      <c r="D37" s="105"/>
    </row>
    <row r="38" spans="1:4" ht="13.5" customHeight="1" x14ac:dyDescent="0.25">
      <c r="A38" s="108"/>
      <c r="B38" s="103" t="s">
        <v>21</v>
      </c>
      <c r="C38" s="107"/>
      <c r="D38" s="105"/>
    </row>
    <row r="39" spans="1:4" ht="13.5" customHeight="1" x14ac:dyDescent="0.25">
      <c r="A39" s="106"/>
      <c r="B39" s="122" t="s">
        <v>262</v>
      </c>
      <c r="C39" s="107"/>
      <c r="D39" s="107"/>
    </row>
    <row r="40" spans="1:4" ht="13.5" customHeight="1" x14ac:dyDescent="0.25">
      <c r="A40" s="106"/>
      <c r="B40" s="123" t="s">
        <v>44</v>
      </c>
      <c r="C40" s="107"/>
      <c r="D40" s="107"/>
    </row>
    <row r="41" spans="1:4" ht="15" x14ac:dyDescent="0.25">
      <c r="A41" s="106"/>
      <c r="B41" s="123" t="s">
        <v>45</v>
      </c>
      <c r="C41" s="109"/>
      <c r="D41" s="110"/>
    </row>
    <row r="42" spans="1:4" ht="33.6" x14ac:dyDescent="0.25">
      <c r="A42" s="106"/>
      <c r="B42" s="314"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5:D25"/>
  </mergeCells>
  <pageMargins left="0.25" right="0.25" top="0.75" bottom="0.75" header="0.3" footer="0.3"/>
  <pageSetup fitToHeight="0"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8403-6871-4096-9FF6-A981E82BAF0F}">
  <sheetPr>
    <pageSetUpPr fitToPage="1"/>
  </sheetPr>
  <dimension ref="A1:F69"/>
  <sheetViews>
    <sheetView topLeftCell="A2" zoomScaleNormal="100" workbookViewId="0">
      <selection activeCell="A18" sqref="A18:D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236</v>
      </c>
      <c r="B8" s="10"/>
      <c r="C8" s="58"/>
      <c r="D8" s="58"/>
    </row>
    <row r="9" spans="1:5" s="55" customFormat="1" ht="16.8" x14ac:dyDescent="0.4">
      <c r="A9" s="57" t="s">
        <v>652</v>
      </c>
      <c r="B9" s="10"/>
      <c r="C9" s="58"/>
      <c r="D9" s="58"/>
    </row>
    <row r="10" spans="1:5" s="55" customFormat="1" ht="16.8" x14ac:dyDescent="0.4">
      <c r="A10" s="57" t="s">
        <v>655</v>
      </c>
      <c r="B10" s="10"/>
      <c r="C10" s="58"/>
      <c r="D10" s="58"/>
    </row>
    <row r="11" spans="1:5" s="55" customFormat="1" ht="16.8" x14ac:dyDescent="0.4">
      <c r="A11" s="57" t="s">
        <v>653</v>
      </c>
      <c r="B11" s="10"/>
      <c r="C11" s="59"/>
      <c r="D11" s="58"/>
    </row>
    <row r="12" spans="1:5" s="55" customFormat="1" ht="15" customHeight="1" x14ac:dyDescent="0.4">
      <c r="A12" s="60" t="s">
        <v>654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658</v>
      </c>
      <c r="C16" s="74">
        <v>3800</v>
      </c>
      <c r="D16" s="75">
        <f>A16*C16</f>
        <v>3800</v>
      </c>
      <c r="E16" s="76"/>
    </row>
    <row r="17" spans="1:6" ht="15.6" x14ac:dyDescent="0.25">
      <c r="A17" s="72"/>
      <c r="B17" s="75"/>
      <c r="C17" s="75"/>
      <c r="D17" s="75"/>
      <c r="E17" s="76"/>
    </row>
    <row r="18" spans="1:6" ht="15.6" x14ac:dyDescent="0.25">
      <c r="A18" s="89"/>
      <c r="B18" s="502" t="s">
        <v>663</v>
      </c>
      <c r="C18" s="91" t="s">
        <v>38</v>
      </c>
      <c r="D18" s="75">
        <f>SUM(D16:D16)</f>
        <v>3800</v>
      </c>
      <c r="E18" s="76"/>
    </row>
    <row r="19" spans="1:6" ht="15.6" x14ac:dyDescent="0.3">
      <c r="A19" s="92"/>
      <c r="B19" s="502" t="s">
        <v>664</v>
      </c>
      <c r="C19" s="93" t="s">
        <v>39</v>
      </c>
      <c r="D19" s="75">
        <f>D18*0.16</f>
        <v>608</v>
      </c>
      <c r="E19" s="76"/>
    </row>
    <row r="20" spans="1:6" ht="16.2" thickBot="1" x14ac:dyDescent="0.35">
      <c r="A20" s="92"/>
      <c r="B20" s="502" t="s">
        <v>665</v>
      </c>
      <c r="C20" s="94" t="s">
        <v>40</v>
      </c>
      <c r="D20" s="95">
        <f>D18+D19</f>
        <v>4408</v>
      </c>
      <c r="E20" s="76"/>
    </row>
    <row r="21" spans="1:6" ht="16.2" thickBot="1" x14ac:dyDescent="0.3">
      <c r="A21" s="92"/>
      <c r="B21" s="1023" t="s">
        <v>659</v>
      </c>
      <c r="C21" s="1024"/>
      <c r="D21" s="1025"/>
      <c r="E21" s="76"/>
    </row>
    <row r="22" spans="1:6" ht="13.8" x14ac:dyDescent="0.25">
      <c r="B22" s="370" t="s">
        <v>9</v>
      </c>
      <c r="C22" s="98"/>
      <c r="D22" s="99"/>
      <c r="E22" s="76"/>
    </row>
    <row r="23" spans="1:6" ht="34.799999999999997" x14ac:dyDescent="0.25">
      <c r="B23" s="124" t="s">
        <v>484</v>
      </c>
      <c r="C23" s="76"/>
      <c r="D23" s="96"/>
    </row>
    <row r="24" spans="1:6" ht="13.8" x14ac:dyDescent="0.25">
      <c r="A24" s="96"/>
      <c r="B24" s="103" t="s">
        <v>11</v>
      </c>
      <c r="C24" s="96"/>
      <c r="D24" s="96"/>
      <c r="E24" s="96"/>
    </row>
    <row r="25" spans="1:6" ht="15" x14ac:dyDescent="0.25">
      <c r="A25" s="101"/>
      <c r="B25" s="123" t="s">
        <v>12</v>
      </c>
      <c r="C25" s="52"/>
      <c r="D25" s="52"/>
      <c r="E25" s="96"/>
    </row>
    <row r="26" spans="1:6" ht="18.75" customHeight="1" x14ac:dyDescent="0.25">
      <c r="A26" s="101"/>
      <c r="B26" s="123" t="s">
        <v>13</v>
      </c>
      <c r="C26" s="52"/>
      <c r="D26" s="52"/>
    </row>
    <row r="27" spans="1:6" ht="15" x14ac:dyDescent="0.25">
      <c r="A27" s="101"/>
      <c r="B27" s="123" t="s">
        <v>14</v>
      </c>
      <c r="C27" s="52"/>
      <c r="D27" s="52"/>
    </row>
    <row r="28" spans="1:6" ht="15.75" customHeight="1" x14ac:dyDescent="0.25">
      <c r="A28" s="102"/>
      <c r="B28" s="103" t="s">
        <v>15</v>
      </c>
      <c r="C28" s="52"/>
      <c r="D28" s="52"/>
      <c r="F28" s="96"/>
    </row>
    <row r="29" spans="1:6" s="96" customFormat="1" ht="13.8" x14ac:dyDescent="0.25">
      <c r="A29" s="102"/>
      <c r="B29" s="295" t="s">
        <v>42</v>
      </c>
      <c r="C29" s="104"/>
      <c r="D29" s="105"/>
      <c r="E29" s="52"/>
    </row>
    <row r="30" spans="1:6" s="96" customFormat="1" ht="15.75" customHeight="1" x14ac:dyDescent="0.25">
      <c r="A30" s="106"/>
      <c r="B30" s="295" t="s">
        <v>43</v>
      </c>
      <c r="C30" s="104"/>
      <c r="D30" s="105"/>
      <c r="E30" s="52"/>
      <c r="F30" s="52"/>
    </row>
    <row r="31" spans="1:6" ht="13.5" customHeight="1" x14ac:dyDescent="0.25">
      <c r="A31" s="106"/>
      <c r="B31" s="103" t="s">
        <v>18</v>
      </c>
      <c r="C31" s="107"/>
      <c r="D31" s="105"/>
    </row>
    <row r="32" spans="1:6" ht="15" x14ac:dyDescent="0.25">
      <c r="A32" s="106"/>
      <c r="B32" s="313" t="s">
        <v>656</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60" fitToHeight="0"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1FB0-1D9D-44F9-A338-01566987EE71}">
  <sheetPr>
    <pageSetUpPr fitToPage="1"/>
  </sheetPr>
  <dimension ref="A1:F69"/>
  <sheetViews>
    <sheetView zoomScaleNormal="100" workbookViewId="0">
      <selection activeCell="A13" sqref="A13:D1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170</v>
      </c>
      <c r="B8" s="10"/>
      <c r="C8" s="58"/>
      <c r="D8" s="58"/>
    </row>
    <row r="9" spans="1:5" s="55" customFormat="1" ht="16.8" x14ac:dyDescent="0.4">
      <c r="A9" s="57" t="s">
        <v>253</v>
      </c>
      <c r="B9" s="10"/>
      <c r="C9" s="58"/>
      <c r="D9" s="58"/>
    </row>
    <row r="10" spans="1:5" s="55" customFormat="1" ht="16.8" x14ac:dyDescent="0.4">
      <c r="A10" s="57" t="s">
        <v>254</v>
      </c>
      <c r="B10" s="10"/>
      <c r="C10" s="58"/>
      <c r="D10" s="58"/>
    </row>
    <row r="11" spans="1:5" s="55" customFormat="1" ht="16.8" x14ac:dyDescent="0.4">
      <c r="A11" s="57" t="s">
        <v>255</v>
      </c>
      <c r="B11" s="10"/>
      <c r="C11" s="59"/>
      <c r="D11" s="58"/>
    </row>
    <row r="12" spans="1:5" s="55" customFormat="1" ht="15" customHeight="1" x14ac:dyDescent="0.4">
      <c r="A12" s="60" t="s">
        <v>677</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84">
        <v>1</v>
      </c>
      <c r="B16" s="85" t="s">
        <v>683</v>
      </c>
      <c r="C16" s="86">
        <f>4300*1.5</f>
        <v>6450</v>
      </c>
      <c r="D16" s="87">
        <f>A16*C16</f>
        <v>6450</v>
      </c>
      <c r="E16" s="76"/>
    </row>
    <row r="17" spans="1:6" ht="15.6" x14ac:dyDescent="0.25">
      <c r="A17" s="84">
        <v>120</v>
      </c>
      <c r="B17" s="85" t="s">
        <v>34</v>
      </c>
      <c r="C17" s="86">
        <v>16.12</v>
      </c>
      <c r="D17" s="87">
        <f>A17*C17</f>
        <v>1934.4</v>
      </c>
      <c r="E17" s="76"/>
    </row>
    <row r="18" spans="1:6" ht="13.2" customHeight="1" x14ac:dyDescent="0.25">
      <c r="A18" s="72">
        <v>1</v>
      </c>
      <c r="B18" s="73" t="s">
        <v>36</v>
      </c>
      <c r="C18" s="74">
        <v>2209</v>
      </c>
      <c r="D18" s="75">
        <f>A18*C18</f>
        <v>2209</v>
      </c>
    </row>
    <row r="19" spans="1:6" ht="15.6" x14ac:dyDescent="0.25">
      <c r="A19" s="72"/>
      <c r="B19" s="75"/>
      <c r="C19" s="75"/>
      <c r="D19" s="75"/>
      <c r="E19" s="96"/>
    </row>
    <row r="20" spans="1:6" ht="15.6" x14ac:dyDescent="0.25">
      <c r="A20" s="89"/>
      <c r="B20" s="90"/>
      <c r="C20" s="91" t="s">
        <v>38</v>
      </c>
      <c r="D20" s="75">
        <f>SUM(D16:D18)</f>
        <v>10593.4</v>
      </c>
      <c r="E20" s="96"/>
      <c r="F20" s="96"/>
    </row>
    <row r="21" spans="1:6" ht="15.6" x14ac:dyDescent="0.3">
      <c r="A21" s="92"/>
      <c r="B21" s="90"/>
      <c r="C21" s="93" t="s">
        <v>39</v>
      </c>
      <c r="D21" s="75">
        <f>D20*0.16</f>
        <v>1694.944</v>
      </c>
      <c r="F21" s="96"/>
    </row>
    <row r="22" spans="1:6" ht="16.2" thickBot="1" x14ac:dyDescent="0.35">
      <c r="A22" s="92"/>
      <c r="C22" s="94" t="s">
        <v>40</v>
      </c>
      <c r="D22" s="95">
        <f>D20+D21</f>
        <v>12288.343999999999</v>
      </c>
    </row>
    <row r="23" spans="1:6" ht="16.2" thickBot="1" x14ac:dyDescent="0.3">
      <c r="A23" s="92"/>
      <c r="B23" s="1023" t="s">
        <v>684</v>
      </c>
      <c r="C23" s="1024"/>
      <c r="D23" s="1025"/>
    </row>
    <row r="24" spans="1:6" ht="13.8" x14ac:dyDescent="0.25">
      <c r="B24" s="97" t="s">
        <v>9</v>
      </c>
      <c r="C24" s="98"/>
      <c r="D24" s="99"/>
    </row>
    <row r="25" spans="1:6" ht="34.799999999999997" x14ac:dyDescent="0.25">
      <c r="B25" s="124" t="s">
        <v>41</v>
      </c>
      <c r="C25" s="76"/>
      <c r="D25" s="96"/>
    </row>
    <row r="26" spans="1:6" ht="18.75" customHeight="1" x14ac:dyDescent="0.25">
      <c r="A26" s="96"/>
      <c r="B26" s="103" t="s">
        <v>11</v>
      </c>
      <c r="C26" s="96"/>
      <c r="D26" s="96"/>
    </row>
    <row r="27" spans="1:6" ht="15" x14ac:dyDescent="0.25">
      <c r="A27" s="101"/>
      <c r="B27" s="123" t="s">
        <v>12</v>
      </c>
      <c r="C27" s="52"/>
      <c r="D27" s="52"/>
    </row>
    <row r="28" spans="1:6" ht="15.75" customHeight="1" x14ac:dyDescent="0.25">
      <c r="A28" s="101"/>
      <c r="B28" s="123" t="s">
        <v>13</v>
      </c>
      <c r="C28" s="52"/>
      <c r="D28" s="52"/>
    </row>
    <row r="29" spans="1:6" s="96" customFormat="1" ht="15" x14ac:dyDescent="0.25">
      <c r="A29" s="101"/>
      <c r="B29" s="123" t="s">
        <v>14</v>
      </c>
      <c r="C29" s="52"/>
      <c r="D29" s="52"/>
      <c r="E29" s="52"/>
      <c r="F29" s="52"/>
    </row>
    <row r="30" spans="1:6" s="96" customFormat="1" ht="15.75" customHeight="1" x14ac:dyDescent="0.25">
      <c r="A30" s="102"/>
      <c r="B30" s="103" t="s">
        <v>15</v>
      </c>
      <c r="C30" s="52"/>
      <c r="D30" s="52"/>
      <c r="E30" s="52"/>
      <c r="F30" s="52"/>
    </row>
    <row r="31" spans="1:6" ht="13.5" customHeight="1" x14ac:dyDescent="0.25">
      <c r="A31" s="102"/>
      <c r="B31" s="295" t="s">
        <v>42</v>
      </c>
      <c r="C31" s="104"/>
      <c r="D31" s="105"/>
    </row>
    <row r="32" spans="1:6" ht="13.5" customHeight="1" x14ac:dyDescent="0.25">
      <c r="A32" s="106"/>
      <c r="B32" s="295" t="s">
        <v>43</v>
      </c>
      <c r="C32" s="104"/>
      <c r="D32" s="105"/>
    </row>
    <row r="33" spans="1:4" ht="13.5" customHeight="1" x14ac:dyDescent="0.25">
      <c r="A33" s="106"/>
      <c r="B33" s="103" t="s">
        <v>18</v>
      </c>
      <c r="C33" s="107"/>
      <c r="D33" s="105"/>
    </row>
    <row r="34" spans="1:4" ht="15" x14ac:dyDescent="0.25">
      <c r="A34" s="106"/>
      <c r="B34" s="313" t="s">
        <v>575</v>
      </c>
      <c r="C34" s="107"/>
      <c r="D34" s="105"/>
    </row>
    <row r="35" spans="1:4" ht="15" x14ac:dyDescent="0.25">
      <c r="A35" s="106"/>
      <c r="B35" s="297" t="s">
        <v>20</v>
      </c>
      <c r="C35" s="107"/>
      <c r="D35" s="105"/>
    </row>
    <row r="36" spans="1:4" ht="13.5" customHeight="1" x14ac:dyDescent="0.25">
      <c r="A36" s="108"/>
      <c r="B36" s="103" t="s">
        <v>21</v>
      </c>
      <c r="C36" s="107"/>
      <c r="D36" s="105"/>
    </row>
    <row r="37" spans="1:4" ht="13.5" customHeight="1" x14ac:dyDescent="0.25">
      <c r="A37" s="106"/>
      <c r="B37" s="484" t="s">
        <v>574</v>
      </c>
      <c r="C37" s="107"/>
      <c r="D37" s="107"/>
    </row>
    <row r="38" spans="1:4" ht="13.5" customHeight="1" x14ac:dyDescent="0.25">
      <c r="A38" s="106"/>
      <c r="B38" s="123" t="s">
        <v>44</v>
      </c>
      <c r="C38" s="107"/>
      <c r="D38" s="107"/>
    </row>
    <row r="39" spans="1:4" ht="13.5" customHeight="1" x14ac:dyDescent="0.25">
      <c r="A39" s="106"/>
      <c r="B39" s="123" t="s">
        <v>45</v>
      </c>
      <c r="C39" s="109"/>
      <c r="D39" s="110"/>
    </row>
    <row r="40" spans="1:4" ht="13.5" customHeight="1" x14ac:dyDescent="0.25">
      <c r="A40" s="106"/>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60" fitToHeight="0"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8068-7D2B-4419-BD20-6641E2B8C0A4}">
  <sheetPr>
    <tabColor theme="4" tint="-0.249977111117893"/>
    <pageSetUpPr fitToPage="1"/>
  </sheetPr>
  <dimension ref="A1:G58"/>
  <sheetViews>
    <sheetView zoomScaleNormal="100" workbookViewId="0">
      <selection activeCell="B34" sqref="B34"/>
    </sheetView>
  </sheetViews>
  <sheetFormatPr baseColWidth="10" defaultColWidth="11.44140625" defaultRowHeight="13.2" x14ac:dyDescent="0.25"/>
  <cols>
    <col min="1" max="1" width="6" style="108" customWidth="1"/>
    <col min="2" max="2" width="68" style="108" customWidth="1"/>
    <col min="3" max="3" width="12.664062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385</v>
      </c>
      <c r="B7" s="228"/>
      <c r="C7" s="229"/>
      <c r="D7" s="229"/>
    </row>
    <row r="8" spans="1:7" s="10" customFormat="1" ht="19.2" x14ac:dyDescent="0.45">
      <c r="A8" s="227" t="s">
        <v>386</v>
      </c>
      <c r="B8" s="228"/>
      <c r="C8" s="229"/>
      <c r="D8" s="229"/>
    </row>
    <row r="9" spans="1:7" s="10" customFormat="1" ht="19.2" x14ac:dyDescent="0.45">
      <c r="A9" s="227" t="s">
        <v>387</v>
      </c>
      <c r="B9" s="228"/>
      <c r="C9" s="229"/>
      <c r="D9" s="229"/>
    </row>
    <row r="10" spans="1:7" s="10" customFormat="1" ht="19.2" x14ac:dyDescent="0.45">
      <c r="A10" s="227" t="s">
        <v>388</v>
      </c>
      <c r="B10" s="228"/>
      <c r="C10" s="230"/>
      <c r="D10" s="229"/>
    </row>
    <row r="11" spans="1:7" s="10" customFormat="1" ht="19.2" x14ac:dyDescent="0.45">
      <c r="A11" s="227" t="s">
        <v>6</v>
      </c>
      <c r="B11" s="228"/>
      <c r="C11" s="230"/>
      <c r="D11" s="229"/>
    </row>
    <row r="12" spans="1:7" s="10" customFormat="1" ht="16.5" customHeight="1" x14ac:dyDescent="0.45">
      <c r="A12" s="234" t="s">
        <v>701</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188" customFormat="1" ht="26.4" x14ac:dyDescent="0.25">
      <c r="A15" s="155">
        <v>1</v>
      </c>
      <c r="B15" s="396" t="s">
        <v>389</v>
      </c>
      <c r="C15" s="397">
        <f>(229904)*1.26</f>
        <v>289679.03999999998</v>
      </c>
      <c r="D15" s="398">
        <f>A15*C15</f>
        <v>289679.03999999998</v>
      </c>
      <c r="E15" s="190"/>
      <c r="F15" s="108"/>
      <c r="G15" s="108"/>
    </row>
    <row r="16" spans="1:7" x14ac:dyDescent="0.25">
      <c r="A16" s="155">
        <v>1</v>
      </c>
      <c r="B16" s="396" t="s">
        <v>390</v>
      </c>
      <c r="C16" s="397">
        <f>(118771)*1.3</f>
        <v>154402.30000000002</v>
      </c>
      <c r="D16" s="398">
        <f>A16*C16</f>
        <v>154402.30000000002</v>
      </c>
      <c r="E16" s="189"/>
      <c r="F16" s="191"/>
      <c r="G16" s="191"/>
    </row>
    <row r="17" spans="1:7" s="191" customFormat="1" x14ac:dyDescent="0.25">
      <c r="A17" s="399"/>
      <c r="B17" s="400"/>
      <c r="C17" s="401"/>
      <c r="D17" s="154"/>
      <c r="E17" s="189"/>
      <c r="F17" s="108"/>
      <c r="G17" s="108"/>
    </row>
    <row r="18" spans="1:7" x14ac:dyDescent="0.25">
      <c r="A18" s="250"/>
      <c r="B18" s="402" t="s">
        <v>391</v>
      </c>
      <c r="C18" s="403" t="s">
        <v>160</v>
      </c>
      <c r="D18" s="154">
        <f>SUM(D14:D17)</f>
        <v>444081.33999999997</v>
      </c>
      <c r="E18" s="189"/>
    </row>
    <row r="19" spans="1:7" x14ac:dyDescent="0.25">
      <c r="A19" s="250"/>
      <c r="B19" s="250"/>
      <c r="C19" s="403" t="s">
        <v>392</v>
      </c>
      <c r="D19" s="154">
        <f>D18*0.16</f>
        <v>71053.0144</v>
      </c>
      <c r="E19" s="189"/>
    </row>
    <row r="20" spans="1:7" ht="13.8" thickBot="1" x14ac:dyDescent="0.3">
      <c r="A20" s="250"/>
      <c r="B20" s="250"/>
      <c r="C20" s="403" t="s">
        <v>162</v>
      </c>
      <c r="D20" s="154">
        <f>D18+D19</f>
        <v>515134.35439999995</v>
      </c>
      <c r="E20" s="189"/>
    </row>
    <row r="21" spans="1:7" ht="13.8" thickBot="1" x14ac:dyDescent="0.3">
      <c r="A21" s="102"/>
      <c r="B21" s="1074" t="s">
        <v>700</v>
      </c>
      <c r="C21" s="1075"/>
      <c r="D21" s="1076"/>
      <c r="E21" s="189"/>
    </row>
    <row r="22" spans="1:7" x14ac:dyDescent="0.25">
      <c r="A22" s="102"/>
      <c r="B22" s="201"/>
      <c r="C22" s="253"/>
      <c r="D22" s="254"/>
      <c r="E22" s="189"/>
    </row>
    <row r="23" spans="1:7" ht="13.8" x14ac:dyDescent="0.25">
      <c r="A23" s="102"/>
      <c r="B23" s="103" t="s">
        <v>9</v>
      </c>
      <c r="C23" s="104"/>
      <c r="D23" s="105"/>
      <c r="E23" s="189"/>
    </row>
    <row r="24" spans="1:7" ht="17.399999999999999" x14ac:dyDescent="0.25">
      <c r="A24" s="102"/>
      <c r="B24" s="387" t="s">
        <v>10</v>
      </c>
      <c r="C24" s="104"/>
      <c r="D24" s="105"/>
    </row>
    <row r="25" spans="1:7" ht="15" x14ac:dyDescent="0.25">
      <c r="A25" s="106"/>
      <c r="B25" s="103" t="s">
        <v>11</v>
      </c>
      <c r="D25" s="105"/>
    </row>
    <row r="26" spans="1:7" ht="15" x14ac:dyDescent="0.25">
      <c r="A26" s="106"/>
      <c r="B26" s="123" t="s">
        <v>394</v>
      </c>
      <c r="D26" s="105"/>
    </row>
    <row r="27" spans="1:7" ht="13.5" customHeight="1" x14ac:dyDescent="0.25">
      <c r="A27" s="106"/>
      <c r="B27" s="123" t="s">
        <v>13</v>
      </c>
      <c r="D27" s="105"/>
    </row>
    <row r="28" spans="1:7" ht="17.25" customHeight="1" x14ac:dyDescent="0.25">
      <c r="A28" s="106"/>
      <c r="B28" s="123" t="s">
        <v>14</v>
      </c>
      <c r="D28" s="105"/>
    </row>
    <row r="29" spans="1:7" ht="13.8" x14ac:dyDescent="0.25">
      <c r="B29" s="103" t="s">
        <v>15</v>
      </c>
    </row>
    <row r="30" spans="1:7" ht="13.5" customHeight="1" x14ac:dyDescent="0.25">
      <c r="A30" s="106"/>
      <c r="B30" s="295" t="s">
        <v>395</v>
      </c>
    </row>
    <row r="31" spans="1:7" ht="27.6" x14ac:dyDescent="0.25">
      <c r="A31" s="106"/>
      <c r="B31" s="295" t="s">
        <v>17</v>
      </c>
      <c r="C31" s="109"/>
      <c r="D31" s="110"/>
    </row>
    <row r="32" spans="1:7" ht="15" x14ac:dyDescent="0.25">
      <c r="A32" s="106"/>
      <c r="B32" s="103" t="s">
        <v>18</v>
      </c>
      <c r="C32" s="109"/>
      <c r="D32" s="110"/>
      <c r="E32" s="189"/>
    </row>
    <row r="33" spans="1:5" ht="15" x14ac:dyDescent="0.25">
      <c r="A33" s="106"/>
      <c r="B33" s="313" t="s">
        <v>703</v>
      </c>
      <c r="C33" s="109"/>
      <c r="D33" s="109"/>
      <c r="E33" s="189"/>
    </row>
    <row r="34" spans="1:5" ht="15" x14ac:dyDescent="0.25">
      <c r="A34" s="106"/>
      <c r="B34" s="297" t="s">
        <v>20</v>
      </c>
      <c r="C34" s="109"/>
      <c r="D34" s="109"/>
    </row>
    <row r="35" spans="1:5" ht="13.8" x14ac:dyDescent="0.25">
      <c r="B35" s="103" t="s">
        <v>21</v>
      </c>
      <c r="D35" s="105"/>
    </row>
    <row r="36" spans="1:5" ht="15" x14ac:dyDescent="0.25">
      <c r="A36" s="106"/>
      <c r="B36" s="179" t="s">
        <v>222</v>
      </c>
      <c r="C36" s="109"/>
      <c r="D36" s="110"/>
    </row>
    <row r="37" spans="1:5" ht="15" x14ac:dyDescent="0.25">
      <c r="A37" s="106"/>
      <c r="B37" s="123" t="s">
        <v>44</v>
      </c>
      <c r="C37" s="109"/>
      <c r="D37" s="110"/>
    </row>
    <row r="38" spans="1:5" ht="13.8" x14ac:dyDescent="0.25">
      <c r="A38" s="115" t="s">
        <v>0</v>
      </c>
      <c r="B38" s="123" t="s">
        <v>45</v>
      </c>
      <c r="C38" s="109"/>
    </row>
    <row r="39" spans="1:5" ht="50.4" x14ac:dyDescent="0.25">
      <c r="A39" s="222"/>
      <c r="B39" s="314" t="s">
        <v>169</v>
      </c>
      <c r="C39" s="220"/>
      <c r="D39" s="108"/>
    </row>
    <row r="40" spans="1:5" x14ac:dyDescent="0.25">
      <c r="A40" s="222"/>
      <c r="B40" s="181"/>
      <c r="C40" s="181"/>
      <c r="D40" s="108"/>
    </row>
    <row r="41" spans="1:5" x14ac:dyDescent="0.25">
      <c r="A41" s="222"/>
      <c r="B41" s="181"/>
      <c r="C41" s="181"/>
      <c r="D41" s="108"/>
    </row>
    <row r="42" spans="1:5" x14ac:dyDescent="0.25">
      <c r="A42" s="225"/>
      <c r="B42" s="223"/>
      <c r="C42" s="181"/>
      <c r="D42" s="108"/>
    </row>
    <row r="43" spans="1:5" ht="15" x14ac:dyDescent="0.35">
      <c r="A43" s="226" t="s">
        <v>0</v>
      </c>
      <c r="B43" s="224"/>
      <c r="C43" s="181"/>
      <c r="D43" s="181"/>
    </row>
    <row r="44" spans="1:5" x14ac:dyDescent="0.25">
      <c r="A44" s="108" t="s">
        <v>0</v>
      </c>
    </row>
    <row r="49" ht="12.75" customHeight="1" x14ac:dyDescent="0.25"/>
    <row r="53" ht="16.5" customHeight="1" x14ac:dyDescent="0.25"/>
    <row r="57" ht="15.75" customHeight="1" x14ac:dyDescent="0.25"/>
    <row r="58" ht="15" customHeight="1" x14ac:dyDescent="0.25"/>
  </sheetData>
  <mergeCells count="3">
    <mergeCell ref="A4:D4"/>
    <mergeCell ref="A13:D13"/>
    <mergeCell ref="B21:D21"/>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0C96-48FC-4B8D-A296-1DB783FC3ED6}">
  <sheetPr>
    <tabColor theme="4" tint="-0.249977111117893"/>
    <pageSetUpPr fitToPage="1"/>
  </sheetPr>
  <dimension ref="A1:F62"/>
  <sheetViews>
    <sheetView topLeftCell="A13" zoomScale="115" zoomScaleNormal="115" workbookViewId="0">
      <selection activeCell="D19" sqref="D19"/>
    </sheetView>
  </sheetViews>
  <sheetFormatPr baseColWidth="10" defaultColWidth="11.44140625" defaultRowHeight="13.2" x14ac:dyDescent="0.25"/>
  <cols>
    <col min="1" max="1" width="6" style="1" customWidth="1"/>
    <col min="2" max="2" width="73.88671875" style="1" customWidth="1"/>
    <col min="3" max="3" width="12.5546875" style="3" customWidth="1"/>
    <col min="4" max="4" width="13.332031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1</v>
      </c>
      <c r="B7" s="8"/>
      <c r="C7" s="9"/>
      <c r="D7" s="9"/>
    </row>
    <row r="8" spans="1:6" s="4" customFormat="1" ht="19.2" x14ac:dyDescent="0.45">
      <c r="A8" s="7" t="s">
        <v>2</v>
      </c>
      <c r="B8" s="8"/>
      <c r="C8" s="9"/>
      <c r="D8" s="9"/>
    </row>
    <row r="9" spans="1:6" s="4" customFormat="1" ht="19.2" x14ac:dyDescent="0.45">
      <c r="A9" s="7" t="s">
        <v>3</v>
      </c>
      <c r="B9" s="8"/>
      <c r="C9" s="9"/>
      <c r="D9" s="9"/>
    </row>
    <row r="10" spans="1:6" s="4" customFormat="1" ht="19.2" x14ac:dyDescent="0.45">
      <c r="A10" s="7" t="s">
        <v>202</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5">
      <c r="A13" s="234" t="s">
        <v>701</v>
      </c>
      <c r="B13" s="13"/>
      <c r="C13" s="14"/>
      <c r="D13" s="15"/>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26.4" x14ac:dyDescent="0.25">
      <c r="A17" s="155">
        <v>1</v>
      </c>
      <c r="B17" s="156" t="s">
        <v>705</v>
      </c>
      <c r="C17" s="153">
        <f>(149720)*(1.27)</f>
        <v>190144.4</v>
      </c>
      <c r="D17" s="154">
        <f t="shared" ref="D17:D20" si="0">A17*C17</f>
        <v>190144.4</v>
      </c>
      <c r="E17" s="147"/>
    </row>
    <row r="18" spans="1:5" ht="26.4" x14ac:dyDescent="0.25">
      <c r="A18" s="157">
        <v>1</v>
      </c>
      <c r="B18" s="158" t="s">
        <v>704</v>
      </c>
      <c r="C18" s="159">
        <f>(52490)*1.27</f>
        <v>66662.3</v>
      </c>
      <c r="D18" s="161">
        <f t="shared" si="0"/>
        <v>66662.3</v>
      </c>
      <c r="E18" s="147"/>
    </row>
    <row r="19" spans="1:5" ht="79.2" x14ac:dyDescent="0.25">
      <c r="A19" s="157">
        <v>1</v>
      </c>
      <c r="B19" s="158" t="s">
        <v>103</v>
      </c>
      <c r="C19" s="159">
        <f>(9203)*1.3+4280</f>
        <v>16243.9</v>
      </c>
      <c r="D19" s="161">
        <f t="shared" si="0"/>
        <v>16243.9</v>
      </c>
      <c r="E19" s="147"/>
    </row>
    <row r="20" spans="1:5" ht="26.4" x14ac:dyDescent="0.25">
      <c r="A20" s="157">
        <v>1</v>
      </c>
      <c r="B20" s="158" t="s">
        <v>88</v>
      </c>
      <c r="C20" s="160">
        <v>2100</v>
      </c>
      <c r="D20" s="161">
        <f t="shared" si="0"/>
        <v>2100</v>
      </c>
      <c r="E20" s="147"/>
    </row>
    <row r="21" spans="1:5" x14ac:dyDescent="0.25">
      <c r="A21" s="157"/>
      <c r="B21" s="158" t="s">
        <v>89</v>
      </c>
      <c r="C21" s="160"/>
      <c r="D21" s="161"/>
      <c r="E21" s="147"/>
    </row>
    <row r="22" spans="1:5" x14ac:dyDescent="0.25">
      <c r="A22" s="32"/>
      <c r="B22" s="166"/>
      <c r="C22" s="167" t="s">
        <v>38</v>
      </c>
      <c r="D22" s="168">
        <f>SUM(D17:D21)</f>
        <v>275150.60000000003</v>
      </c>
      <c r="E22" s="147"/>
    </row>
    <row r="23" spans="1:5" x14ac:dyDescent="0.25">
      <c r="A23" s="33"/>
      <c r="B23" s="33"/>
      <c r="C23" s="167" t="s">
        <v>90</v>
      </c>
      <c r="D23" s="168">
        <f>D22*0.16</f>
        <v>44024.096000000005</v>
      </c>
      <c r="E23" s="147"/>
    </row>
    <row r="24" spans="1:5" ht="13.8" thickBot="1" x14ac:dyDescent="0.3">
      <c r="A24" s="33"/>
      <c r="B24" s="170"/>
      <c r="C24" s="171" t="s">
        <v>40</v>
      </c>
      <c r="D24" s="172">
        <f>D22+D23</f>
        <v>319174.69600000005</v>
      </c>
      <c r="E24" s="147"/>
    </row>
    <row r="25" spans="1:5" ht="13.8" thickBot="1" x14ac:dyDescent="0.3">
      <c r="A25" s="33"/>
      <c r="B25" s="1035" t="s">
        <v>702</v>
      </c>
      <c r="C25" s="1036"/>
      <c r="D25" s="1037"/>
      <c r="E25" s="147"/>
    </row>
    <row r="26" spans="1:5" ht="13.8" x14ac:dyDescent="0.25">
      <c r="A26" s="33"/>
      <c r="B26" s="173" t="s">
        <v>9</v>
      </c>
      <c r="C26" s="174"/>
      <c r="D26" s="175"/>
      <c r="E26" s="147"/>
    </row>
    <row r="27" spans="1:5" ht="17.399999999999999" x14ac:dyDescent="0.25">
      <c r="A27" s="176"/>
      <c r="B27" s="177" t="s">
        <v>10</v>
      </c>
      <c r="C27" s="169"/>
      <c r="D27" s="41"/>
      <c r="E27" s="147"/>
    </row>
    <row r="28" spans="1:5" ht="15" x14ac:dyDescent="0.25">
      <c r="A28" s="178"/>
      <c r="B28" s="40" t="s">
        <v>11</v>
      </c>
      <c r="D28" s="41"/>
    </row>
    <row r="29" spans="1:5" ht="15" x14ac:dyDescent="0.25">
      <c r="A29" s="178"/>
      <c r="B29" s="131" t="s">
        <v>12</v>
      </c>
      <c r="D29" s="41"/>
    </row>
    <row r="30" spans="1:5" ht="15" x14ac:dyDescent="0.25">
      <c r="A30" s="178"/>
      <c r="B30" s="131" t="s">
        <v>13</v>
      </c>
      <c r="D30" s="41"/>
    </row>
    <row r="31" spans="1:5" ht="15" x14ac:dyDescent="0.25">
      <c r="A31" s="178"/>
      <c r="B31" s="131" t="s">
        <v>14</v>
      </c>
      <c r="D31" s="41"/>
    </row>
    <row r="32" spans="1:5" ht="13.8" x14ac:dyDescent="0.25">
      <c r="A32" s="129"/>
      <c r="B32" s="40" t="s">
        <v>15</v>
      </c>
    </row>
    <row r="33" spans="1:4" ht="27.6" x14ac:dyDescent="0.25">
      <c r="A33" s="178"/>
      <c r="B33" s="36" t="s">
        <v>42</v>
      </c>
    </row>
    <row r="34" spans="1:4" ht="41.4" x14ac:dyDescent="0.25">
      <c r="A34" s="178"/>
      <c r="B34" s="36" t="s">
        <v>43</v>
      </c>
      <c r="C34" s="38"/>
      <c r="D34" s="39"/>
    </row>
    <row r="35" spans="1:4" ht="15" x14ac:dyDescent="0.25">
      <c r="A35" s="178"/>
      <c r="B35" s="40" t="s">
        <v>18</v>
      </c>
      <c r="C35" s="38"/>
      <c r="D35" s="39"/>
    </row>
    <row r="36" spans="1:4" ht="15" x14ac:dyDescent="0.25">
      <c r="A36" s="178"/>
      <c r="B36" s="134" t="s">
        <v>397</v>
      </c>
      <c r="C36" s="38"/>
      <c r="D36" s="38"/>
    </row>
    <row r="37" spans="1:4" ht="15" x14ac:dyDescent="0.25">
      <c r="A37" s="178"/>
      <c r="B37" s="135" t="s">
        <v>20</v>
      </c>
      <c r="C37" s="38"/>
      <c r="D37" s="38"/>
    </row>
    <row r="38" spans="1:4" ht="13.8" x14ac:dyDescent="0.25">
      <c r="A38" s="129"/>
      <c r="B38" s="40" t="s">
        <v>21</v>
      </c>
      <c r="D38" s="41"/>
    </row>
    <row r="39" spans="1:4" ht="15" x14ac:dyDescent="0.25">
      <c r="A39" s="178"/>
      <c r="B39" s="179" t="s">
        <v>222</v>
      </c>
      <c r="C39" s="38"/>
      <c r="D39" s="39"/>
    </row>
    <row r="40" spans="1:4" ht="15" x14ac:dyDescent="0.25">
      <c r="A40" s="178"/>
      <c r="B40" s="131" t="s">
        <v>44</v>
      </c>
      <c r="C40" s="38"/>
      <c r="D40" s="39"/>
    </row>
    <row r="41" spans="1:4" ht="50.4" x14ac:dyDescent="0.25">
      <c r="A41" s="182" t="s">
        <v>0</v>
      </c>
      <c r="B41" s="183" t="s">
        <v>23</v>
      </c>
      <c r="C41" s="38"/>
      <c r="D41" s="38"/>
    </row>
    <row r="42" spans="1:4" ht="16.8" x14ac:dyDescent="0.4">
      <c r="A42" s="43"/>
      <c r="B42" s="44"/>
      <c r="C42" s="45"/>
      <c r="D42" s="45"/>
    </row>
    <row r="43" spans="1:4" x14ac:dyDescent="0.25">
      <c r="A43" s="46"/>
      <c r="B43" s="47"/>
      <c r="C43" s="47"/>
      <c r="D43" s="1"/>
    </row>
    <row r="44" spans="1:4" x14ac:dyDescent="0.25">
      <c r="A44" s="46"/>
      <c r="B44" s="47"/>
      <c r="C44" s="47"/>
      <c r="D44" s="1"/>
    </row>
    <row r="45" spans="1:4" x14ac:dyDescent="0.25">
      <c r="A45" s="48"/>
      <c r="B45" s="49"/>
      <c r="C45" s="47"/>
      <c r="D45" s="1"/>
    </row>
    <row r="46" spans="1:4" ht="15" x14ac:dyDescent="0.35">
      <c r="A46" s="50" t="s">
        <v>0</v>
      </c>
      <c r="B46" s="51"/>
      <c r="C46" s="47"/>
      <c r="D46" s="47"/>
    </row>
    <row r="47" spans="1:4" x14ac:dyDescent="0.25">
      <c r="A47" s="1" t="s">
        <v>0</v>
      </c>
    </row>
    <row r="52" ht="15.75" customHeight="1" x14ac:dyDescent="0.25"/>
    <row r="57" ht="16.5" customHeight="1" x14ac:dyDescent="0.25"/>
    <row r="61" ht="15.75" customHeight="1" x14ac:dyDescent="0.25"/>
    <row r="62" ht="15" customHeight="1" x14ac:dyDescent="0.25"/>
  </sheetData>
  <mergeCells count="3">
    <mergeCell ref="A4:D4"/>
    <mergeCell ref="A14:D14"/>
    <mergeCell ref="B25:D25"/>
  </mergeCells>
  <printOptions horizontalCentered="1"/>
  <pageMargins left="0.25" right="0.25" top="0.75" bottom="0.75" header="0.3" footer="0.3"/>
  <pageSetup paperSize="9" scale="76" fitToHeight="0" orientation="portrait" r:id="rId1"/>
  <headerFooter alignWithMargins="0">
    <oddFooter>Página &amp;P de &amp;N</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0066-FAA4-4AB6-9264-3C2BEC1F9654}">
  <sheetPr>
    <pageSetUpPr fitToPage="1"/>
  </sheetPr>
  <dimension ref="A1:I68"/>
  <sheetViews>
    <sheetView topLeftCell="A4" zoomScaleNormal="100" workbookViewId="0">
      <selection activeCell="A8" sqref="A8:D1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9" ht="81" customHeight="1" x14ac:dyDescent="0.25">
      <c r="A1" s="52" t="s">
        <v>0</v>
      </c>
      <c r="C1" s="53"/>
    </row>
    <row r="2" spans="1:9" ht="9" customHeight="1" x14ac:dyDescent="0.25">
      <c r="C2" s="53"/>
    </row>
    <row r="3" spans="1:9" ht="9" customHeight="1" x14ac:dyDescent="0.25">
      <c r="C3" s="53"/>
    </row>
    <row r="4" spans="1:9" s="55" customFormat="1" ht="16.8" x14ac:dyDescent="0.4">
      <c r="A4" s="1026"/>
      <c r="B4" s="1026"/>
      <c r="C4" s="1026"/>
      <c r="D4" s="1026"/>
    </row>
    <row r="5" spans="1:9" s="55" customFormat="1" ht="16.8" x14ac:dyDescent="0.4">
      <c r="A5" s="12"/>
      <c r="C5" s="56"/>
      <c r="D5" s="56"/>
    </row>
    <row r="6" spans="1:9" s="55" customFormat="1" ht="16.8" x14ac:dyDescent="0.4">
      <c r="A6" s="12"/>
      <c r="C6" s="56"/>
      <c r="D6" s="56"/>
    </row>
    <row r="7" spans="1:9" s="55" customFormat="1" ht="16.8" x14ac:dyDescent="0.4">
      <c r="A7" s="12"/>
      <c r="C7" s="56"/>
      <c r="D7" s="56"/>
    </row>
    <row r="8" spans="1:9" s="55" customFormat="1" ht="16.8" x14ac:dyDescent="0.4">
      <c r="A8" s="57" t="s">
        <v>679</v>
      </c>
      <c r="B8" s="10"/>
      <c r="C8" s="58"/>
      <c r="D8" s="58"/>
    </row>
    <row r="9" spans="1:9" s="55" customFormat="1" ht="16.8" x14ac:dyDescent="0.4">
      <c r="A9" s="57" t="s">
        <v>680</v>
      </c>
      <c r="B9" s="10"/>
      <c r="C9" s="58"/>
      <c r="D9" s="58"/>
    </row>
    <row r="10" spans="1:9" s="55" customFormat="1" ht="16.8" x14ac:dyDescent="0.4">
      <c r="A10" s="57" t="s">
        <v>284</v>
      </c>
      <c r="B10" s="10"/>
      <c r="C10" s="58"/>
      <c r="D10" s="58"/>
    </row>
    <row r="11" spans="1:9" s="55" customFormat="1" ht="16.8" x14ac:dyDescent="0.4">
      <c r="A11" s="57" t="s">
        <v>448</v>
      </c>
      <c r="B11" s="10"/>
      <c r="C11" s="59"/>
      <c r="D11" s="58"/>
    </row>
    <row r="12" spans="1:9" s="55" customFormat="1" ht="15" customHeight="1" x14ac:dyDescent="0.4">
      <c r="A12" s="60" t="s">
        <v>462</v>
      </c>
      <c r="B12" s="61"/>
      <c r="C12" s="62"/>
      <c r="D12" s="63"/>
    </row>
    <row r="13" spans="1:9" s="55" customFormat="1" ht="16.8" x14ac:dyDescent="0.4">
      <c r="A13" s="1027" t="s">
        <v>28</v>
      </c>
      <c r="B13" s="1028"/>
      <c r="C13" s="1029"/>
      <c r="D13" s="1030"/>
    </row>
    <row r="14" spans="1:9" s="55" customFormat="1" ht="16.8" x14ac:dyDescent="0.4">
      <c r="A14" s="64" t="s">
        <v>29</v>
      </c>
      <c r="B14" s="64" t="s">
        <v>30</v>
      </c>
      <c r="C14" s="65" t="s">
        <v>31</v>
      </c>
      <c r="D14" s="65" t="s">
        <v>32</v>
      </c>
      <c r="E14" s="76"/>
      <c r="F14" s="52"/>
      <c r="G14" s="52"/>
      <c r="H14" s="52"/>
      <c r="I14" s="52"/>
    </row>
    <row r="15" spans="1:9" s="71" customFormat="1" ht="13.8" x14ac:dyDescent="0.25">
      <c r="A15" s="67"/>
      <c r="B15" s="68"/>
      <c r="C15" s="69"/>
      <c r="D15" s="69"/>
      <c r="E15" s="76"/>
      <c r="F15" s="52"/>
      <c r="G15" s="52"/>
      <c r="H15" s="52"/>
      <c r="I15" s="52"/>
    </row>
    <row r="16" spans="1:9" ht="15.6" x14ac:dyDescent="0.25">
      <c r="A16" s="72">
        <v>1</v>
      </c>
      <c r="B16" s="73" t="s">
        <v>678</v>
      </c>
      <c r="C16" s="74">
        <f>33864*1.32</f>
        <v>44700.480000000003</v>
      </c>
      <c r="D16" s="75">
        <f>A16*C16</f>
        <v>44700.480000000003</v>
      </c>
      <c r="E16" s="76"/>
    </row>
    <row r="17" spans="1:9" ht="15.6" x14ac:dyDescent="0.25">
      <c r="A17" s="72">
        <v>1</v>
      </c>
      <c r="B17" s="73" t="s">
        <v>681</v>
      </c>
      <c r="C17" s="74">
        <f>47024*1.32</f>
        <v>62071.68</v>
      </c>
      <c r="D17" s="75">
        <f>C17*A17</f>
        <v>62071.68</v>
      </c>
      <c r="E17" s="76"/>
    </row>
    <row r="18" spans="1:9" ht="45" x14ac:dyDescent="0.25">
      <c r="A18" s="77">
        <v>1</v>
      </c>
      <c r="B18" s="81" t="s">
        <v>662</v>
      </c>
      <c r="C18" s="82">
        <f>(625.11*20.56)*1.3+(4500)</f>
        <v>21207.94008</v>
      </c>
      <c r="D18" s="83">
        <f>A18*C18</f>
        <v>21207.94008</v>
      </c>
      <c r="E18" s="76"/>
    </row>
    <row r="19" spans="1:9" ht="15.6" x14ac:dyDescent="0.25">
      <c r="A19" s="77">
        <v>1</v>
      </c>
      <c r="B19" s="81" t="s">
        <v>685</v>
      </c>
      <c r="C19" s="82">
        <v>4500</v>
      </c>
      <c r="D19" s="83">
        <f>A19*C19</f>
        <v>4500</v>
      </c>
      <c r="E19" s="76"/>
    </row>
    <row r="20" spans="1:9" ht="15.6" x14ac:dyDescent="0.25">
      <c r="A20" s="89"/>
      <c r="B20" s="504" t="s">
        <v>686</v>
      </c>
      <c r="C20" s="91" t="s">
        <v>38</v>
      </c>
      <c r="D20" s="75">
        <f>SUM(D16:D19)</f>
        <v>132480.10008</v>
      </c>
      <c r="E20" s="76"/>
      <c r="F20" s="96"/>
      <c r="G20" s="96"/>
      <c r="H20" s="96"/>
      <c r="I20" s="96"/>
    </row>
    <row r="21" spans="1:9" ht="15.6" x14ac:dyDescent="0.3">
      <c r="A21" s="89"/>
      <c r="B21" s="504" t="s">
        <v>687</v>
      </c>
      <c r="C21" s="305" t="s">
        <v>39</v>
      </c>
      <c r="D21" s="75">
        <f>D20*0.16</f>
        <v>21196.816012800002</v>
      </c>
      <c r="E21" s="76"/>
      <c r="F21" s="96"/>
      <c r="G21" s="96"/>
      <c r="H21" s="96"/>
      <c r="I21" s="96"/>
    </row>
    <row r="22" spans="1:9" ht="16.2" thickBot="1" x14ac:dyDescent="0.35">
      <c r="A22" s="92"/>
      <c r="B22" s="504" t="s">
        <v>688</v>
      </c>
      <c r="C22" s="306" t="s">
        <v>40</v>
      </c>
      <c r="D22" s="95">
        <f>D20+D21</f>
        <v>153676.91609280001</v>
      </c>
      <c r="E22" s="76"/>
    </row>
    <row r="23" spans="1:9" ht="16.2" thickBot="1" x14ac:dyDescent="0.3">
      <c r="A23" s="92"/>
      <c r="B23" s="1023" t="s">
        <v>689</v>
      </c>
      <c r="C23" s="1024"/>
      <c r="D23" s="1025"/>
    </row>
    <row r="24" spans="1:9" ht="18.75" customHeight="1" x14ac:dyDescent="0.25">
      <c r="A24" s="92"/>
      <c r="B24" s="97" t="s">
        <v>9</v>
      </c>
      <c r="C24" s="98"/>
      <c r="D24" s="99"/>
    </row>
    <row r="25" spans="1:9" ht="18.75" customHeight="1" x14ac:dyDescent="0.25">
      <c r="B25" s="255"/>
      <c r="C25" s="96"/>
      <c r="D25" s="96"/>
    </row>
    <row r="26" spans="1:9" ht="13.8" x14ac:dyDescent="0.25">
      <c r="A26" s="503"/>
      <c r="B26" s="103" t="s">
        <v>11</v>
      </c>
      <c r="C26" s="76"/>
      <c r="D26" s="96"/>
    </row>
    <row r="27" spans="1:9" ht="15.75" customHeight="1" x14ac:dyDescent="0.25">
      <c r="A27" s="426"/>
      <c r="B27" s="123" t="s">
        <v>12</v>
      </c>
      <c r="C27" s="52"/>
      <c r="D27" s="52"/>
    </row>
    <row r="28" spans="1:9" s="96" customFormat="1" ht="15" customHeight="1" x14ac:dyDescent="0.25">
      <c r="A28" s="427"/>
      <c r="B28" s="123" t="s">
        <v>13</v>
      </c>
      <c r="C28" s="52"/>
      <c r="D28" s="52"/>
      <c r="E28" s="52"/>
      <c r="F28" s="52"/>
    </row>
    <row r="29" spans="1:9" s="96" customFormat="1" ht="15.75" customHeight="1" x14ac:dyDescent="0.25">
      <c r="A29" s="427"/>
      <c r="B29" s="123" t="s">
        <v>14</v>
      </c>
      <c r="C29" s="52"/>
      <c r="D29" s="52"/>
      <c r="E29" s="52"/>
      <c r="F29" s="52"/>
    </row>
    <row r="30" spans="1:9" ht="13.5" customHeight="1" x14ac:dyDescent="0.25">
      <c r="A30" s="427"/>
      <c r="B30" s="103" t="s">
        <v>15</v>
      </c>
      <c r="C30" s="52"/>
      <c r="D30" s="52"/>
    </row>
    <row r="31" spans="1:9" ht="13.5" customHeight="1" x14ac:dyDescent="0.25">
      <c r="A31" s="383"/>
      <c r="B31" s="295" t="s">
        <v>42</v>
      </c>
      <c r="C31" s="104"/>
      <c r="D31" s="105"/>
    </row>
    <row r="32" spans="1:9" ht="13.5" customHeight="1" x14ac:dyDescent="0.25">
      <c r="A32" s="383"/>
      <c r="B32" s="295" t="s">
        <v>43</v>
      </c>
      <c r="C32" s="104"/>
      <c r="D32" s="105"/>
    </row>
    <row r="33" spans="1:4" ht="15" x14ac:dyDescent="0.25">
      <c r="A33" s="390"/>
      <c r="B33" s="103" t="s">
        <v>18</v>
      </c>
      <c r="C33" s="107"/>
      <c r="D33" s="105"/>
    </row>
    <row r="34" spans="1:4" ht="15" x14ac:dyDescent="0.25">
      <c r="A34" s="390"/>
      <c r="B34" s="313" t="s">
        <v>682</v>
      </c>
      <c r="C34" s="107"/>
      <c r="D34" s="105"/>
    </row>
    <row r="35" spans="1:4" ht="13.5" customHeight="1" x14ac:dyDescent="0.25">
      <c r="A35" s="390"/>
      <c r="B35" s="297" t="s">
        <v>20</v>
      </c>
      <c r="C35" s="107"/>
      <c r="D35" s="105"/>
    </row>
    <row r="36" spans="1:4" ht="13.5" customHeight="1" x14ac:dyDescent="0.25">
      <c r="A36" s="390"/>
      <c r="B36" s="103" t="s">
        <v>21</v>
      </c>
      <c r="C36" s="107"/>
      <c r="D36" s="105"/>
    </row>
    <row r="37" spans="1:4" ht="13.5" customHeight="1" x14ac:dyDescent="0.25">
      <c r="A37" s="392"/>
      <c r="B37" s="122" t="s">
        <v>690</v>
      </c>
      <c r="C37" s="107"/>
      <c r="D37" s="107"/>
    </row>
    <row r="38" spans="1:4" ht="13.5" customHeight="1" x14ac:dyDescent="0.25">
      <c r="A38" s="390"/>
      <c r="B38" s="123" t="s">
        <v>44</v>
      </c>
      <c r="C38" s="107"/>
      <c r="D38" s="107"/>
    </row>
    <row r="39" spans="1:4" ht="13.5" customHeight="1" x14ac:dyDescent="0.25">
      <c r="A39" s="390"/>
      <c r="B39" s="123" t="s">
        <v>45</v>
      </c>
      <c r="C39" s="109"/>
      <c r="D39" s="110"/>
    </row>
    <row r="40" spans="1:4" ht="33.6" x14ac:dyDescent="0.25">
      <c r="A40" s="390"/>
      <c r="B40" s="314" t="s">
        <v>23</v>
      </c>
      <c r="C40" s="109"/>
      <c r="D40" s="110"/>
    </row>
    <row r="41" spans="1:4" ht="16.8" x14ac:dyDescent="0.4">
      <c r="A41" s="106"/>
      <c r="B41" s="111"/>
      <c r="C41" s="109"/>
      <c r="D41" s="109"/>
    </row>
    <row r="42" spans="1:4" ht="15" x14ac:dyDescent="0.25">
      <c r="A42" s="106"/>
      <c r="B42" s="112"/>
      <c r="C42" s="109"/>
      <c r="D42" s="109"/>
    </row>
    <row r="43" spans="1:4" x14ac:dyDescent="0.25">
      <c r="A43" s="108"/>
      <c r="B43" s="112"/>
      <c r="C43" s="107"/>
      <c r="D43" s="105"/>
    </row>
    <row r="44" spans="1:4" ht="15" x14ac:dyDescent="0.25">
      <c r="A44" s="106"/>
      <c r="B44" s="113"/>
      <c r="C44" s="109"/>
      <c r="D44" s="110"/>
    </row>
    <row r="45" spans="1:4" ht="16.2" x14ac:dyDescent="0.35">
      <c r="A45" s="106"/>
      <c r="B45" s="114"/>
      <c r="C45" s="109"/>
      <c r="D45" s="110"/>
    </row>
    <row r="46" spans="1:4" ht="15" x14ac:dyDescent="0.25">
      <c r="A46" s="106"/>
      <c r="C46" s="109"/>
      <c r="D46" s="110"/>
    </row>
    <row r="47" spans="1:4" ht="13.8" x14ac:dyDescent="0.25">
      <c r="A47" s="115" t="s">
        <v>0</v>
      </c>
      <c r="C47" s="109"/>
      <c r="D47" s="109"/>
    </row>
    <row r="48" spans="1:4" ht="13.8" x14ac:dyDescent="0.25">
      <c r="A48" s="116"/>
      <c r="C48" s="118"/>
      <c r="D48" s="118"/>
    </row>
    <row r="49" spans="1:4" x14ac:dyDescent="0.25">
      <c r="A49" s="117"/>
      <c r="C49" s="112"/>
      <c r="D49" s="52"/>
    </row>
    <row r="50" spans="1:4" x14ac:dyDescent="0.25">
      <c r="A50" s="117"/>
      <c r="C50" s="112"/>
      <c r="D50" s="52"/>
    </row>
    <row r="51" spans="1:4" x14ac:dyDescent="0.25">
      <c r="A51" s="119"/>
      <c r="C51" s="112"/>
      <c r="D51" s="52"/>
    </row>
    <row r="52" spans="1:4" x14ac:dyDescent="0.25">
      <c r="A52" s="120" t="s">
        <v>0</v>
      </c>
      <c r="C52" s="112"/>
      <c r="D52" s="112"/>
    </row>
    <row r="53" spans="1:4" x14ac:dyDescent="0.25">
      <c r="A53" s="52" t="s">
        <v>0</v>
      </c>
    </row>
    <row r="59" spans="1:4" ht="15.75" customHeight="1" x14ac:dyDescent="0.25"/>
    <row r="63" spans="1:4" ht="16.5" customHeight="1" x14ac:dyDescent="0.25"/>
    <row r="67" ht="24" customHeight="1" x14ac:dyDescent="0.25"/>
    <row r="68" ht="24" customHeight="1" x14ac:dyDescent="0.25"/>
  </sheetData>
  <mergeCells count="3">
    <mergeCell ref="A4:D4"/>
    <mergeCell ref="A13:D13"/>
    <mergeCell ref="B23:D23"/>
  </mergeCells>
  <pageMargins left="0.25" right="0.25" top="0.75" bottom="0.75" header="0.3" footer="0.3"/>
  <pageSetup scale="50"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EF8A8-A11F-455C-9501-C15EAB16DC25}">
  <sheetPr>
    <pageSetUpPr fitToPage="1"/>
  </sheetPr>
  <dimension ref="A1:E66"/>
  <sheetViews>
    <sheetView topLeftCell="A12" zoomScaleNormal="100" workbookViewId="0">
      <selection activeCell="B32" sqref="B3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679</v>
      </c>
      <c r="B8" s="10"/>
      <c r="C8" s="58"/>
      <c r="D8" s="58"/>
    </row>
    <row r="9" spans="1:5" s="55" customFormat="1" ht="16.8" x14ac:dyDescent="0.4">
      <c r="A9" s="57" t="s">
        <v>680</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714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444</v>
      </c>
      <c r="C16" s="74">
        <v>73000</v>
      </c>
      <c r="D16" s="75">
        <f>A16*C16</f>
        <v>73000</v>
      </c>
      <c r="E16" s="76"/>
    </row>
    <row r="17" spans="1:5" ht="15.6" x14ac:dyDescent="0.25">
      <c r="A17" s="72">
        <v>3</v>
      </c>
      <c r="B17" s="73" t="s">
        <v>715</v>
      </c>
      <c r="C17" s="74">
        <f>6797</f>
        <v>6797</v>
      </c>
      <c r="D17" s="75">
        <f>C17*A17</f>
        <v>20391</v>
      </c>
      <c r="E17" s="76"/>
    </row>
    <row r="18" spans="1:5" ht="15.6" x14ac:dyDescent="0.25">
      <c r="A18" s="72">
        <v>2</v>
      </c>
      <c r="B18" s="73" t="s">
        <v>269</v>
      </c>
      <c r="C18" s="74">
        <f>5664</f>
        <v>5664</v>
      </c>
      <c r="D18" s="75">
        <f>A18*C18</f>
        <v>11328</v>
      </c>
      <c r="E18" s="76"/>
    </row>
    <row r="19" spans="1:5" ht="15.6" x14ac:dyDescent="0.25">
      <c r="A19" s="72">
        <v>4</v>
      </c>
      <c r="B19" s="73" t="s">
        <v>270</v>
      </c>
      <c r="C19" s="74">
        <v>320</v>
      </c>
      <c r="D19" s="75">
        <f>A19*C19</f>
        <v>1280</v>
      </c>
      <c r="E19" s="76"/>
    </row>
    <row r="20" spans="1:5" ht="15.6" x14ac:dyDescent="0.25">
      <c r="A20" s="72"/>
      <c r="B20" s="75"/>
      <c r="C20" s="75"/>
      <c r="D20" s="75"/>
      <c r="E20" s="76"/>
    </row>
    <row r="21" spans="1:5" ht="15.6" x14ac:dyDescent="0.25">
      <c r="A21" s="89"/>
      <c r="B21" s="531" t="s">
        <v>716</v>
      </c>
      <c r="C21" s="304" t="s">
        <v>38</v>
      </c>
      <c r="D21" s="75">
        <f>SUM(D16:D19)</f>
        <v>105999</v>
      </c>
    </row>
    <row r="22" spans="1:5" ht="15.6" x14ac:dyDescent="0.3">
      <c r="A22" s="92"/>
      <c r="B22" s="531" t="s">
        <v>717</v>
      </c>
      <c r="C22" s="305" t="s">
        <v>39</v>
      </c>
      <c r="D22" s="75">
        <f>D21*0.16</f>
        <v>16959.84</v>
      </c>
      <c r="E22" s="96"/>
    </row>
    <row r="23" spans="1:5" ht="18.75" customHeight="1" thickBot="1" x14ac:dyDescent="0.35">
      <c r="A23" s="92"/>
      <c r="B23" s="531" t="s">
        <v>718</v>
      </c>
      <c r="C23" s="306" t="s">
        <v>40</v>
      </c>
      <c r="D23" s="95">
        <f>D21+D22</f>
        <v>122958.84</v>
      </c>
      <c r="E23" s="96"/>
    </row>
    <row r="24" spans="1:5" ht="18.75" customHeight="1" thickBot="1" x14ac:dyDescent="0.3">
      <c r="A24" s="92"/>
      <c r="B24" s="1023" t="s">
        <v>719</v>
      </c>
      <c r="C24" s="1024"/>
      <c r="D24" s="1025"/>
    </row>
    <row r="25" spans="1:5" ht="15.75" customHeight="1" x14ac:dyDescent="0.25">
      <c r="B25" s="97" t="s">
        <v>9</v>
      </c>
      <c r="C25" s="98"/>
      <c r="D25" s="99"/>
    </row>
    <row r="26" spans="1:5" s="96" customFormat="1" ht="34.799999999999997" x14ac:dyDescent="0.25">
      <c r="A26" s="52"/>
      <c r="B26" s="532" t="s">
        <v>720</v>
      </c>
      <c r="C26" s="76"/>
      <c r="E26" s="52"/>
    </row>
    <row r="27" spans="1:5" s="96" customFormat="1" ht="15.75" customHeight="1" x14ac:dyDescent="0.25">
      <c r="A27" s="426"/>
      <c r="B27" s="103" t="s">
        <v>11</v>
      </c>
      <c r="E27" s="52"/>
    </row>
    <row r="28" spans="1:5" ht="13.5" customHeight="1" x14ac:dyDescent="0.25">
      <c r="A28" s="427"/>
      <c r="B28" s="123" t="s">
        <v>12</v>
      </c>
      <c r="C28" s="52"/>
      <c r="D28" s="52"/>
    </row>
    <row r="29" spans="1:5" ht="13.5" customHeight="1" x14ac:dyDescent="0.25">
      <c r="A29" s="427"/>
      <c r="B29" s="123" t="s">
        <v>13</v>
      </c>
      <c r="C29" s="52"/>
      <c r="D29" s="52"/>
    </row>
    <row r="30" spans="1:5" ht="13.5" customHeight="1" x14ac:dyDescent="0.25">
      <c r="A30" s="427"/>
      <c r="B30" s="123" t="s">
        <v>14</v>
      </c>
      <c r="C30" s="52"/>
      <c r="D30" s="52"/>
    </row>
    <row r="31" spans="1:5" ht="13.8" x14ac:dyDescent="0.25">
      <c r="A31" s="383"/>
      <c r="B31" s="103" t="s">
        <v>15</v>
      </c>
      <c r="C31" s="52"/>
      <c r="D31" s="52"/>
    </row>
    <row r="32" spans="1:5" ht="13.8" x14ac:dyDescent="0.25">
      <c r="A32" s="383"/>
      <c r="B32" s="295" t="s">
        <v>42</v>
      </c>
      <c r="C32" s="104"/>
      <c r="D32" s="105"/>
    </row>
    <row r="33" spans="1:4" ht="13.5" customHeight="1" x14ac:dyDescent="0.25">
      <c r="A33" s="390"/>
      <c r="B33" s="295" t="s">
        <v>43</v>
      </c>
      <c r="C33" s="104"/>
      <c r="D33" s="105"/>
    </row>
    <row r="34" spans="1:4" ht="13.5" customHeight="1" x14ac:dyDescent="0.25">
      <c r="A34" s="390"/>
      <c r="B34" s="103" t="s">
        <v>18</v>
      </c>
      <c r="C34" s="107"/>
      <c r="D34" s="105"/>
    </row>
    <row r="35" spans="1:4" ht="13.5" customHeight="1" x14ac:dyDescent="0.25">
      <c r="A35" s="390"/>
      <c r="B35" s="313" t="s">
        <v>450</v>
      </c>
      <c r="C35" s="107"/>
      <c r="D35" s="105"/>
    </row>
    <row r="36" spans="1:4" ht="13.5" customHeight="1" x14ac:dyDescent="0.25">
      <c r="A36" s="390"/>
      <c r="B36" s="297" t="s">
        <v>20</v>
      </c>
      <c r="C36" s="107"/>
      <c r="D36" s="105"/>
    </row>
    <row r="37" spans="1:4" ht="13.5" customHeight="1" x14ac:dyDescent="0.25">
      <c r="A37" s="392"/>
      <c r="B37" s="103" t="s">
        <v>21</v>
      </c>
      <c r="C37" s="107"/>
      <c r="D37" s="105"/>
    </row>
    <row r="38" spans="1:4" ht="15" x14ac:dyDescent="0.25">
      <c r="A38" s="390"/>
      <c r="B38" s="122" t="s">
        <v>262</v>
      </c>
      <c r="C38" s="107"/>
      <c r="D38" s="107"/>
    </row>
    <row r="39" spans="1:4" ht="15" x14ac:dyDescent="0.25">
      <c r="A39" s="390"/>
      <c r="B39" s="123" t="s">
        <v>44</v>
      </c>
      <c r="C39" s="107"/>
      <c r="D39" s="107"/>
    </row>
    <row r="40" spans="1:4" ht="15" x14ac:dyDescent="0.25">
      <c r="A40" s="390"/>
      <c r="B40" s="123" t="s">
        <v>45</v>
      </c>
      <c r="C40" s="109"/>
      <c r="D40" s="110"/>
    </row>
    <row r="41" spans="1:4" ht="33.6" x14ac:dyDescent="0.25">
      <c r="A41" s="390"/>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4:D24"/>
  </mergeCells>
  <pageMargins left="0.25" right="0.25" top="0.75" bottom="0.75" header="0.3" footer="0.3"/>
  <pageSetup fitToHeight="0"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315B-D28C-4579-AFBD-FFFBE8A40289}">
  <sheetPr>
    <pageSetUpPr fitToPage="1"/>
  </sheetPr>
  <dimension ref="A1:E66"/>
  <sheetViews>
    <sheetView topLeftCell="A4" zoomScaleNormal="100" workbookViewId="0">
      <selection activeCell="B18" sqref="B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679</v>
      </c>
      <c r="B8" s="10"/>
      <c r="C8" s="58"/>
      <c r="D8" s="58"/>
    </row>
    <row r="9" spans="1:5" s="55" customFormat="1" ht="16.8" x14ac:dyDescent="0.4">
      <c r="A9" s="57" t="s">
        <v>680</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730</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729</v>
      </c>
      <c r="C16" s="74">
        <v>16000</v>
      </c>
      <c r="D16" s="75">
        <f>A16*C16</f>
        <v>16000</v>
      </c>
      <c r="E16" s="76"/>
    </row>
    <row r="17" spans="1:5" ht="15.6" x14ac:dyDescent="0.25">
      <c r="A17" s="72">
        <v>1</v>
      </c>
      <c r="B17" s="73" t="s">
        <v>728</v>
      </c>
      <c r="C17" s="74">
        <v>8500</v>
      </c>
      <c r="D17" s="75">
        <f>C17*A17</f>
        <v>8500</v>
      </c>
      <c r="E17" s="76"/>
    </row>
    <row r="18" spans="1:5" ht="15.6" x14ac:dyDescent="0.25">
      <c r="A18" s="72">
        <v>1</v>
      </c>
      <c r="B18" s="73" t="s">
        <v>270</v>
      </c>
      <c r="C18" s="74">
        <v>320</v>
      </c>
      <c r="D18" s="75">
        <f>A18*C18</f>
        <v>320</v>
      </c>
      <c r="E18" s="76"/>
    </row>
    <row r="19" spans="1:5" ht="15.6" x14ac:dyDescent="0.25">
      <c r="A19" s="72"/>
      <c r="B19" s="75"/>
      <c r="C19" s="75"/>
      <c r="D19" s="75"/>
      <c r="E19" s="76"/>
    </row>
    <row r="20" spans="1:5" ht="15.6" x14ac:dyDescent="0.25">
      <c r="A20" s="89"/>
      <c r="B20" s="531" t="s">
        <v>716</v>
      </c>
      <c r="C20" s="304" t="s">
        <v>38</v>
      </c>
      <c r="D20" s="75">
        <f>SUM(D16:D18)</f>
        <v>24820</v>
      </c>
    </row>
    <row r="21" spans="1:5" ht="15.6" x14ac:dyDescent="0.3">
      <c r="A21" s="92"/>
      <c r="B21" s="531" t="s">
        <v>717</v>
      </c>
      <c r="C21" s="305" t="s">
        <v>39</v>
      </c>
      <c r="D21" s="75">
        <f>D20*0.16</f>
        <v>3971.2000000000003</v>
      </c>
      <c r="E21" s="96"/>
    </row>
    <row r="22" spans="1:5" ht="16.2" thickBot="1" x14ac:dyDescent="0.35">
      <c r="A22" s="92"/>
      <c r="B22" s="531" t="s">
        <v>718</v>
      </c>
      <c r="C22" s="306" t="s">
        <v>40</v>
      </c>
      <c r="D22" s="95">
        <f>D20+D21</f>
        <v>28791.200000000001</v>
      </c>
      <c r="E22" s="96"/>
    </row>
    <row r="23" spans="1:5" ht="18.75" customHeight="1" thickBot="1" x14ac:dyDescent="0.3">
      <c r="A23" s="92"/>
      <c r="B23" s="1023" t="s">
        <v>719</v>
      </c>
      <c r="C23" s="1024"/>
      <c r="D23" s="1025"/>
    </row>
    <row r="24" spans="1:5" ht="18.75" customHeight="1" x14ac:dyDescent="0.25">
      <c r="B24" s="97" t="s">
        <v>9</v>
      </c>
      <c r="C24" s="98"/>
      <c r="D24" s="99"/>
    </row>
    <row r="25" spans="1:5" ht="15.75" customHeight="1" x14ac:dyDescent="0.25">
      <c r="B25" s="532" t="s">
        <v>720</v>
      </c>
      <c r="C25" s="76"/>
      <c r="D25" s="96"/>
    </row>
    <row r="26" spans="1:5" s="96" customFormat="1" ht="13.8" x14ac:dyDescent="0.25">
      <c r="A26" s="426"/>
      <c r="B26" s="103" t="s">
        <v>11</v>
      </c>
      <c r="E26" s="52"/>
    </row>
    <row r="27" spans="1:5" s="96" customFormat="1" ht="15.75" customHeight="1" x14ac:dyDescent="0.25">
      <c r="A27" s="427"/>
      <c r="B27" s="123" t="s">
        <v>12</v>
      </c>
      <c r="C27" s="52"/>
      <c r="D27" s="52"/>
      <c r="E27" s="52"/>
    </row>
    <row r="28" spans="1:5" ht="13.5" customHeight="1" x14ac:dyDescent="0.25">
      <c r="A28" s="427"/>
      <c r="B28" s="123" t="s">
        <v>13</v>
      </c>
      <c r="C28" s="52"/>
      <c r="D28" s="52"/>
    </row>
    <row r="29" spans="1:5" ht="13.5" customHeight="1" x14ac:dyDescent="0.25">
      <c r="A29" s="427"/>
      <c r="B29" s="123" t="s">
        <v>14</v>
      </c>
      <c r="C29" s="52"/>
      <c r="D29" s="52"/>
    </row>
    <row r="30" spans="1:5" ht="13.5" customHeight="1" x14ac:dyDescent="0.25">
      <c r="A30" s="383"/>
      <c r="B30" s="103" t="s">
        <v>15</v>
      </c>
      <c r="C30" s="52"/>
      <c r="D30" s="52"/>
    </row>
    <row r="31" spans="1:5" ht="13.8" x14ac:dyDescent="0.25">
      <c r="A31" s="383"/>
      <c r="B31" s="295" t="s">
        <v>42</v>
      </c>
      <c r="C31" s="104"/>
      <c r="D31" s="105"/>
    </row>
    <row r="32" spans="1:5" ht="27.6" x14ac:dyDescent="0.25">
      <c r="A32" s="390"/>
      <c r="B32" s="295" t="s">
        <v>43</v>
      </c>
      <c r="C32" s="104"/>
      <c r="D32" s="105"/>
    </row>
    <row r="33" spans="1:4" ht="13.5" customHeight="1" x14ac:dyDescent="0.25">
      <c r="A33" s="390"/>
      <c r="B33" s="103" t="s">
        <v>18</v>
      </c>
      <c r="C33" s="107"/>
      <c r="D33" s="105"/>
    </row>
    <row r="34" spans="1:4" ht="13.5" customHeight="1" x14ac:dyDescent="0.25">
      <c r="A34" s="390"/>
      <c r="B34" s="313" t="s">
        <v>450</v>
      </c>
      <c r="C34" s="107"/>
      <c r="D34" s="105"/>
    </row>
    <row r="35" spans="1:4" ht="13.5" customHeight="1" x14ac:dyDescent="0.25">
      <c r="A35" s="390"/>
      <c r="B35" s="297" t="s">
        <v>20</v>
      </c>
      <c r="C35" s="107"/>
      <c r="D35" s="105"/>
    </row>
    <row r="36" spans="1:4" ht="13.5" customHeight="1" x14ac:dyDescent="0.25">
      <c r="A36" s="392"/>
      <c r="B36" s="103" t="s">
        <v>21</v>
      </c>
      <c r="C36" s="107"/>
      <c r="D36" s="105"/>
    </row>
    <row r="37" spans="1:4" ht="13.5" customHeight="1" x14ac:dyDescent="0.25">
      <c r="A37" s="390"/>
      <c r="B37" s="122" t="s">
        <v>262</v>
      </c>
      <c r="C37" s="107"/>
      <c r="D37" s="107"/>
    </row>
    <row r="38" spans="1:4" ht="15" x14ac:dyDescent="0.25">
      <c r="A38" s="390"/>
      <c r="B38" s="123" t="s">
        <v>44</v>
      </c>
      <c r="C38" s="107"/>
      <c r="D38" s="107"/>
    </row>
    <row r="39" spans="1:4" ht="15" x14ac:dyDescent="0.25">
      <c r="A39" s="390"/>
      <c r="B39" s="123" t="s">
        <v>45</v>
      </c>
      <c r="C39" s="109"/>
      <c r="D39" s="110"/>
    </row>
    <row r="40" spans="1:4" ht="33.6" x14ac:dyDescent="0.25">
      <c r="A40" s="390"/>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3:D23"/>
  </mergeCells>
  <pageMargins left="0.25" right="0.25" top="0.75" bottom="0.75" header="0.3" footer="0.3"/>
  <pageSetup fitToHeight="0"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A6842-FA45-44D8-97A2-68E40E9024F0}">
  <sheetPr>
    <pageSetUpPr fitToPage="1"/>
  </sheetPr>
  <dimension ref="A1:E66"/>
  <sheetViews>
    <sheetView zoomScaleNormal="100" workbookViewId="0">
      <selection activeCell="B10" sqref="B1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679</v>
      </c>
      <c r="B8" s="10"/>
      <c r="C8" s="58"/>
      <c r="D8" s="58"/>
    </row>
    <row r="9" spans="1:5" s="55" customFormat="1" ht="16.8" x14ac:dyDescent="0.4">
      <c r="A9" s="57" t="s">
        <v>680</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572</v>
      </c>
      <c r="B12" s="61"/>
      <c r="C12" s="62"/>
      <c r="D12" s="63"/>
    </row>
    <row r="13" spans="1:5" s="55" customFormat="1" ht="16.8" x14ac:dyDescent="0.4">
      <c r="A13" s="1027" t="s">
        <v>28</v>
      </c>
      <c r="B13" s="1028"/>
      <c r="C13" s="1029"/>
      <c r="D13" s="1030"/>
    </row>
    <row r="14" spans="1:5" s="55" customFormat="1" ht="16.8" x14ac:dyDescent="0.4">
      <c r="A14" s="145" t="s">
        <v>29</v>
      </c>
      <c r="B14" s="145" t="s">
        <v>30</v>
      </c>
      <c r="C14" s="146" t="s">
        <v>31</v>
      </c>
      <c r="D14" s="146" t="s">
        <v>32</v>
      </c>
      <c r="E14" s="66"/>
    </row>
    <row r="15" spans="1:5" s="71" customFormat="1" ht="13.8" x14ac:dyDescent="0.25">
      <c r="A15" s="148"/>
      <c r="B15" s="149"/>
      <c r="C15" s="150"/>
      <c r="D15" s="150"/>
      <c r="E15" s="70"/>
    </row>
    <row r="16" spans="1:5" ht="15.6" x14ac:dyDescent="0.25">
      <c r="A16" s="84">
        <v>1</v>
      </c>
      <c r="B16" s="85" t="s">
        <v>525</v>
      </c>
      <c r="C16" s="88">
        <f>(4000)*(1.3)</f>
        <v>5200</v>
      </c>
      <c r="D16" s="83">
        <f t="shared" ref="D16:D17" si="0">A16*C16</f>
        <v>5200</v>
      </c>
      <c r="E16" s="76"/>
    </row>
    <row r="17" spans="1:5" ht="15.6" x14ac:dyDescent="0.25">
      <c r="A17" s="84">
        <v>2</v>
      </c>
      <c r="B17" s="85" t="s">
        <v>731</v>
      </c>
      <c r="C17" s="88">
        <f>(4632)*(1.3)</f>
        <v>6021.6</v>
      </c>
      <c r="D17" s="83">
        <f t="shared" si="0"/>
        <v>12043.2</v>
      </c>
      <c r="E17" s="76"/>
    </row>
    <row r="18" spans="1:5" ht="15.6" x14ac:dyDescent="0.25">
      <c r="A18" s="89"/>
      <c r="B18" s="533"/>
      <c r="C18" s="304" t="s">
        <v>38</v>
      </c>
      <c r="D18" s="75">
        <f>SUM(D15:D17)</f>
        <v>17243.2</v>
      </c>
      <c r="E18" s="76"/>
    </row>
    <row r="19" spans="1:5" ht="15.6" x14ac:dyDescent="0.3">
      <c r="A19" s="92"/>
      <c r="B19" s="533"/>
      <c r="C19" s="305" t="s">
        <v>39</v>
      </c>
      <c r="D19" s="75">
        <f>D18*0.16</f>
        <v>2758.9120000000003</v>
      </c>
    </row>
    <row r="20" spans="1:5" ht="16.2" thickBot="1" x14ac:dyDescent="0.35">
      <c r="A20" s="92"/>
      <c r="B20" s="533"/>
      <c r="C20" s="306" t="s">
        <v>40</v>
      </c>
      <c r="D20" s="95">
        <f>D18+D19</f>
        <v>20002.112000000001</v>
      </c>
      <c r="E20" s="96"/>
    </row>
    <row r="21" spans="1:5" ht="16.2" thickBot="1" x14ac:dyDescent="0.3">
      <c r="A21" s="92"/>
      <c r="B21" s="1023"/>
      <c r="C21" s="1024"/>
      <c r="D21" s="1025"/>
      <c r="E21" s="96"/>
    </row>
    <row r="22" spans="1:5" ht="34.799999999999997" x14ac:dyDescent="0.25">
      <c r="B22" s="532" t="s">
        <v>720</v>
      </c>
      <c r="C22" s="76"/>
      <c r="D22" s="96"/>
    </row>
    <row r="23" spans="1:5" ht="13.8" x14ac:dyDescent="0.25">
      <c r="A23" s="426"/>
      <c r="B23" s="103" t="s">
        <v>11</v>
      </c>
      <c r="C23" s="96"/>
      <c r="D23" s="96"/>
    </row>
    <row r="24" spans="1:5" ht="18.75" customHeight="1" x14ac:dyDescent="0.25">
      <c r="A24" s="427"/>
      <c r="B24" s="123" t="s">
        <v>12</v>
      </c>
      <c r="C24" s="52"/>
      <c r="D24" s="52"/>
    </row>
    <row r="25" spans="1:5" ht="15.75" customHeight="1" x14ac:dyDescent="0.25">
      <c r="A25" s="427"/>
      <c r="B25" s="123" t="s">
        <v>13</v>
      </c>
      <c r="C25" s="52"/>
      <c r="D25" s="52"/>
    </row>
    <row r="26" spans="1:5" s="96" customFormat="1" ht="15" x14ac:dyDescent="0.25">
      <c r="A26" s="427"/>
      <c r="B26" s="123" t="s">
        <v>14</v>
      </c>
      <c r="C26" s="52"/>
      <c r="D26" s="52"/>
      <c r="E26" s="52"/>
    </row>
    <row r="27" spans="1:5" s="96" customFormat="1" ht="15.75" customHeight="1" x14ac:dyDescent="0.25">
      <c r="A27" s="383"/>
      <c r="B27" s="103" t="s">
        <v>15</v>
      </c>
      <c r="C27" s="52"/>
      <c r="D27" s="52"/>
      <c r="E27" s="52"/>
    </row>
    <row r="28" spans="1:5" ht="13.5" customHeight="1" x14ac:dyDescent="0.25">
      <c r="A28" s="383"/>
      <c r="B28" s="295" t="s">
        <v>42</v>
      </c>
      <c r="C28" s="104"/>
      <c r="D28" s="105"/>
    </row>
    <row r="29" spans="1:5" ht="13.5" customHeight="1" x14ac:dyDescent="0.25">
      <c r="A29" s="390"/>
      <c r="B29" s="295" t="s">
        <v>43</v>
      </c>
      <c r="C29" s="104"/>
      <c r="D29" s="105"/>
    </row>
    <row r="30" spans="1:5" ht="13.5" customHeight="1" x14ac:dyDescent="0.25">
      <c r="A30" s="390"/>
      <c r="B30" s="103" t="s">
        <v>18</v>
      </c>
      <c r="C30" s="107"/>
      <c r="D30" s="105"/>
    </row>
    <row r="31" spans="1:5" ht="15" x14ac:dyDescent="0.25">
      <c r="A31" s="390"/>
      <c r="B31" s="313" t="s">
        <v>732</v>
      </c>
      <c r="C31" s="107"/>
      <c r="D31" s="105"/>
    </row>
    <row r="32" spans="1:5" ht="15" x14ac:dyDescent="0.25">
      <c r="A32" s="390"/>
      <c r="B32" s="297" t="s">
        <v>20</v>
      </c>
      <c r="C32" s="107"/>
      <c r="D32" s="105"/>
    </row>
    <row r="33" spans="1:4" ht="13.5" customHeight="1" x14ac:dyDescent="0.25">
      <c r="A33" s="392"/>
      <c r="B33" s="103" t="s">
        <v>21</v>
      </c>
      <c r="C33" s="107"/>
      <c r="D33" s="105"/>
    </row>
    <row r="34" spans="1:4" ht="13.5" customHeight="1" x14ac:dyDescent="0.25">
      <c r="A34" s="390"/>
      <c r="B34" s="122" t="s">
        <v>571</v>
      </c>
      <c r="C34" s="107"/>
      <c r="D34" s="107"/>
    </row>
    <row r="35" spans="1:4" ht="13.5" customHeight="1" x14ac:dyDescent="0.25">
      <c r="A35" s="390"/>
      <c r="B35" s="123" t="s">
        <v>44</v>
      </c>
      <c r="C35" s="107"/>
      <c r="D35" s="107"/>
    </row>
    <row r="36" spans="1:4" ht="13.5" customHeight="1" x14ac:dyDescent="0.25">
      <c r="A36" s="390"/>
      <c r="B36" s="123" t="s">
        <v>45</v>
      </c>
      <c r="C36" s="109"/>
      <c r="D36" s="110"/>
    </row>
    <row r="37" spans="1:4" ht="13.5" customHeight="1" x14ac:dyDescent="0.25">
      <c r="A37" s="390"/>
      <c r="B37" s="314" t="s">
        <v>23</v>
      </c>
      <c r="C37" s="109"/>
      <c r="D37" s="110"/>
    </row>
    <row r="38" spans="1:4" ht="16.8" x14ac:dyDescent="0.4">
      <c r="A38" s="106"/>
      <c r="B38" s="111"/>
      <c r="C38" s="109"/>
      <c r="D38" s="109"/>
    </row>
    <row r="39" spans="1:4" ht="13.8" x14ac:dyDescent="0.25">
      <c r="A39" s="108"/>
      <c r="B39" s="112"/>
      <c r="C39" s="109"/>
      <c r="D39" s="109"/>
    </row>
    <row r="40" spans="1:4" ht="15" x14ac:dyDescent="0.25">
      <c r="A40" s="106"/>
      <c r="B40" s="112"/>
      <c r="C40" s="107"/>
      <c r="D40" s="105"/>
    </row>
    <row r="41" spans="1:4" ht="15" x14ac:dyDescent="0.25">
      <c r="A41" s="106"/>
      <c r="B41" s="113"/>
      <c r="C41" s="109"/>
      <c r="D41" s="110"/>
    </row>
    <row r="42" spans="1:4" ht="16.2" x14ac:dyDescent="0.35">
      <c r="A42" s="106"/>
      <c r="B42" s="114"/>
      <c r="C42" s="109"/>
      <c r="D42" s="110"/>
    </row>
    <row r="43" spans="1:4" ht="13.8" x14ac:dyDescent="0.25">
      <c r="A43" s="115" t="s">
        <v>0</v>
      </c>
      <c r="C43" s="109"/>
      <c r="D43" s="110"/>
    </row>
    <row r="44" spans="1:4" ht="13.8" x14ac:dyDescent="0.25">
      <c r="A44" s="116"/>
      <c r="C44" s="109"/>
      <c r="D44" s="109"/>
    </row>
    <row r="45" spans="1:4" ht="13.8" x14ac:dyDescent="0.25">
      <c r="A45" s="117"/>
      <c r="C45" s="118"/>
      <c r="D45" s="118"/>
    </row>
    <row r="46" spans="1:4" x14ac:dyDescent="0.25">
      <c r="A46" s="117"/>
      <c r="C46" s="112"/>
      <c r="D46" s="52"/>
    </row>
    <row r="47" spans="1:4" x14ac:dyDescent="0.25">
      <c r="A47" s="119"/>
      <c r="C47" s="112"/>
      <c r="D47" s="52"/>
    </row>
    <row r="48" spans="1:4" x14ac:dyDescent="0.25">
      <c r="A48" s="120" t="s">
        <v>0</v>
      </c>
      <c r="C48" s="112"/>
      <c r="D48" s="52"/>
    </row>
    <row r="49" spans="1:4" x14ac:dyDescent="0.25">
      <c r="A49" s="52" t="s">
        <v>0</v>
      </c>
      <c r="C49" s="112"/>
      <c r="D49"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1:D21"/>
  </mergeCells>
  <pageMargins left="0.25" right="0.25" top="0.75" bottom="0.75" header="0.3" footer="0.3"/>
  <pageSetup scale="64" fitToHeight="0"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2164-7B20-4B5B-8E3D-40BE4D661CE7}">
  <sheetPr>
    <tabColor theme="4" tint="-0.249977111117893"/>
    <pageSetUpPr fitToPage="1"/>
  </sheetPr>
  <dimension ref="A1:F62"/>
  <sheetViews>
    <sheetView topLeftCell="A5" zoomScaleNormal="100" workbookViewId="0">
      <selection activeCell="A15" sqref="A15:D16"/>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737</v>
      </c>
      <c r="B11" s="61"/>
      <c r="C11" s="59"/>
      <c r="D11" s="58"/>
    </row>
    <row r="12" spans="1:6" s="10" customFormat="1" ht="15" customHeight="1" x14ac:dyDescent="0.4">
      <c r="A12" s="1060" t="s">
        <v>498</v>
      </c>
      <c r="B12" s="1061"/>
      <c r="C12" s="1062"/>
      <c r="D12" s="1063"/>
      <c r="E12" s="188"/>
    </row>
    <row r="13" spans="1:6" s="10" customFormat="1" ht="15" customHeight="1" x14ac:dyDescent="0.4">
      <c r="A13" s="260" t="s">
        <v>29</v>
      </c>
      <c r="B13" s="260" t="s">
        <v>30</v>
      </c>
      <c r="C13" s="261" t="s">
        <v>31</v>
      </c>
      <c r="D13" s="261" t="s">
        <v>32</v>
      </c>
      <c r="E13" s="189"/>
    </row>
    <row r="14" spans="1:6" s="10" customFormat="1" ht="16.8" x14ac:dyDescent="0.4">
      <c r="A14" s="262"/>
      <c r="B14" s="263"/>
      <c r="C14" s="264"/>
      <c r="D14" s="264"/>
      <c r="E14" s="190"/>
      <c r="F14" s="188"/>
    </row>
    <row r="15" spans="1:6" s="188" customFormat="1" ht="39.6" x14ac:dyDescent="0.25">
      <c r="A15" s="445">
        <v>1</v>
      </c>
      <c r="B15" s="446" t="s">
        <v>738</v>
      </c>
      <c r="C15" s="447">
        <v>24000</v>
      </c>
      <c r="D15" s="448">
        <f>A15*C15</f>
        <v>24000</v>
      </c>
      <c r="E15" s="189"/>
      <c r="F15" s="108"/>
    </row>
    <row r="16" spans="1:6" x14ac:dyDescent="0.25">
      <c r="A16" s="535">
        <v>1</v>
      </c>
      <c r="B16" s="446" t="s">
        <v>500</v>
      </c>
      <c r="C16" s="447">
        <v>1150</v>
      </c>
      <c r="D16" s="448"/>
      <c r="E16" s="189"/>
      <c r="F16" s="191"/>
    </row>
    <row r="17" spans="1:6" s="191" customFormat="1" ht="15.75" customHeight="1" x14ac:dyDescent="0.25">
      <c r="A17" s="536"/>
      <c r="B17" s="450"/>
      <c r="C17" s="451" t="s">
        <v>188</v>
      </c>
      <c r="D17" s="452">
        <f>SUM(D15:D15)</f>
        <v>24000</v>
      </c>
      <c r="E17" s="189"/>
      <c r="F17" s="108"/>
    </row>
    <row r="18" spans="1:6" x14ac:dyDescent="0.25">
      <c r="A18" s="453"/>
      <c r="B18" s="454"/>
      <c r="C18" s="455" t="s">
        <v>90</v>
      </c>
      <c r="D18" s="456">
        <f>D17*0.16</f>
        <v>3840</v>
      </c>
      <c r="E18" s="189"/>
    </row>
    <row r="19" spans="1:6" ht="13.8" thickBot="1" x14ac:dyDescent="0.3">
      <c r="A19" s="276"/>
      <c r="B19" s="385"/>
      <c r="C19" s="457" t="s">
        <v>40</v>
      </c>
      <c r="D19" s="458">
        <f>D17+D18</f>
        <v>27840</v>
      </c>
      <c r="E19" s="189"/>
    </row>
    <row r="20" spans="1:6" ht="13.8" thickBot="1" x14ac:dyDescent="0.3">
      <c r="A20" s="102"/>
      <c r="B20" s="459" t="s">
        <v>739</v>
      </c>
      <c r="C20" s="460"/>
      <c r="D20" s="461"/>
      <c r="E20" s="189"/>
    </row>
    <row r="21" spans="1:6" ht="13.5" customHeight="1" x14ac:dyDescent="0.25">
      <c r="A21" s="106"/>
      <c r="B21" s="97" t="s">
        <v>11</v>
      </c>
      <c r="C21" s="462"/>
      <c r="D21" s="254"/>
    </row>
    <row r="22" spans="1:6" ht="15" x14ac:dyDescent="0.25">
      <c r="A22" s="106"/>
      <c r="B22" s="123" t="s">
        <v>12</v>
      </c>
      <c r="D22" s="105"/>
      <c r="E22" s="189"/>
    </row>
    <row r="23" spans="1:6" ht="15" x14ac:dyDescent="0.25">
      <c r="A23" s="106"/>
      <c r="B23" s="123" t="s">
        <v>13</v>
      </c>
      <c r="D23" s="105"/>
    </row>
    <row r="24" spans="1:6" ht="15" x14ac:dyDescent="0.25">
      <c r="A24" s="106"/>
      <c r="B24" s="123" t="s">
        <v>14</v>
      </c>
      <c r="D24" s="105"/>
    </row>
    <row r="25" spans="1:6" ht="13.8" x14ac:dyDescent="0.25">
      <c r="B25" s="103" t="s">
        <v>15</v>
      </c>
    </row>
    <row r="26" spans="1:6" ht="27.6" x14ac:dyDescent="0.25">
      <c r="A26" s="106"/>
      <c r="B26" s="295" t="s">
        <v>42</v>
      </c>
    </row>
    <row r="27" spans="1:6" ht="41.4" x14ac:dyDescent="0.25">
      <c r="A27" s="106"/>
      <c r="B27" s="295" t="s">
        <v>43</v>
      </c>
      <c r="C27" s="109"/>
      <c r="D27" s="110"/>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5" fitToHeight="0" orientation="portrait" r:id="rId1"/>
  <headerFooter alignWithMargins="0">
    <oddFooter>Página &amp;P de &amp;N</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F2CD-BD9A-45F1-B8EE-6793304EA8E1}">
  <sheetPr>
    <tabColor theme="4" tint="-0.249977111117893"/>
    <pageSetUpPr fitToPage="1"/>
  </sheetPr>
  <dimension ref="A1:F62"/>
  <sheetViews>
    <sheetView tabSelected="1" topLeftCell="A8" zoomScaleNormal="100" workbookViewId="0">
      <selection activeCell="A15" sqref="A15:D16"/>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737</v>
      </c>
      <c r="B11" s="61"/>
      <c r="C11" s="59"/>
      <c r="D11" s="58"/>
    </row>
    <row r="12" spans="1:6" s="10" customFormat="1" ht="15" customHeight="1" x14ac:dyDescent="0.4">
      <c r="A12" s="1060" t="s">
        <v>498</v>
      </c>
      <c r="B12" s="1061"/>
      <c r="C12" s="1062"/>
      <c r="D12" s="1063"/>
      <c r="E12" s="188"/>
    </row>
    <row r="13" spans="1:6" s="10" customFormat="1" ht="15" customHeight="1" x14ac:dyDescent="0.4">
      <c r="A13" s="260" t="s">
        <v>29</v>
      </c>
      <c r="B13" s="260" t="s">
        <v>30</v>
      </c>
      <c r="C13" s="261" t="s">
        <v>31</v>
      </c>
      <c r="D13" s="261" t="s">
        <v>32</v>
      </c>
      <c r="E13" s="189"/>
    </row>
    <row r="14" spans="1:6" s="10" customFormat="1" ht="16.8" x14ac:dyDescent="0.4">
      <c r="A14" s="262"/>
      <c r="B14" s="263"/>
      <c r="C14" s="264"/>
      <c r="D14" s="264"/>
      <c r="E14" s="190"/>
      <c r="F14" s="188"/>
    </row>
    <row r="15" spans="1:6" s="188" customFormat="1" ht="39.6" x14ac:dyDescent="0.25">
      <c r="A15" s="445">
        <v>1</v>
      </c>
      <c r="B15" s="446" t="s">
        <v>740</v>
      </c>
      <c r="C15" s="447">
        <f>19800*1.3</f>
        <v>25740</v>
      </c>
      <c r="D15" s="448">
        <f>A15*C15</f>
        <v>25740</v>
      </c>
      <c r="E15" s="189"/>
      <c r="F15" s="108"/>
    </row>
    <row r="16" spans="1:6" ht="26.4" x14ac:dyDescent="0.25">
      <c r="A16" s="535">
        <v>1</v>
      </c>
      <c r="B16" s="537" t="s">
        <v>741</v>
      </c>
      <c r="C16" s="447"/>
      <c r="D16" s="448"/>
      <c r="E16" s="189"/>
      <c r="F16" s="191"/>
    </row>
    <row r="17" spans="1:6" s="191" customFormat="1" ht="15.75" customHeight="1" x14ac:dyDescent="0.25">
      <c r="A17" s="536"/>
      <c r="B17" s="450"/>
      <c r="C17" s="451" t="s">
        <v>188</v>
      </c>
      <c r="D17" s="452">
        <f>SUM(D15:D15)</f>
        <v>25740</v>
      </c>
      <c r="E17" s="189"/>
      <c r="F17" s="108"/>
    </row>
    <row r="18" spans="1:6" x14ac:dyDescent="0.25">
      <c r="A18" s="453"/>
      <c r="B18" s="454"/>
      <c r="C18" s="455" t="s">
        <v>90</v>
      </c>
      <c r="D18" s="456">
        <f>D17*0.16</f>
        <v>4118.3999999999996</v>
      </c>
      <c r="E18" s="189"/>
    </row>
    <row r="19" spans="1:6" ht="13.8" thickBot="1" x14ac:dyDescent="0.3">
      <c r="A19" s="276"/>
      <c r="B19" s="385"/>
      <c r="C19" s="457" t="s">
        <v>40</v>
      </c>
      <c r="D19" s="458">
        <f>D17+D18</f>
        <v>29858.400000000001</v>
      </c>
      <c r="E19" s="189"/>
    </row>
    <row r="20" spans="1:6" ht="13.8" thickBot="1" x14ac:dyDescent="0.3">
      <c r="A20" s="102"/>
      <c r="B20" s="459" t="s">
        <v>739</v>
      </c>
      <c r="C20" s="460"/>
      <c r="D20" s="461"/>
      <c r="E20" s="189"/>
    </row>
    <row r="21" spans="1:6" ht="13.5" customHeight="1" x14ac:dyDescent="0.25">
      <c r="A21" s="106"/>
      <c r="B21" s="97" t="s">
        <v>11</v>
      </c>
      <c r="C21" s="462"/>
      <c r="D21" s="254"/>
    </row>
    <row r="22" spans="1:6" ht="15" x14ac:dyDescent="0.25">
      <c r="A22" s="106"/>
      <c r="B22" s="123" t="s">
        <v>12</v>
      </c>
      <c r="D22" s="105"/>
      <c r="E22" s="189"/>
    </row>
    <row r="23" spans="1:6" ht="15" x14ac:dyDescent="0.25">
      <c r="A23" s="106"/>
      <c r="B23" s="123" t="s">
        <v>13</v>
      </c>
      <c r="D23" s="105"/>
    </row>
    <row r="24" spans="1:6" ht="15" x14ac:dyDescent="0.25">
      <c r="A24" s="106"/>
      <c r="B24" s="123" t="s">
        <v>14</v>
      </c>
      <c r="D24" s="105"/>
    </row>
    <row r="25" spans="1:6" ht="13.8" x14ac:dyDescent="0.25">
      <c r="B25" s="103" t="s">
        <v>15</v>
      </c>
    </row>
    <row r="26" spans="1:6" ht="27.6" x14ac:dyDescent="0.25">
      <c r="A26" s="106"/>
      <c r="B26" s="295" t="s">
        <v>42</v>
      </c>
    </row>
    <row r="27" spans="1:6" ht="41.4" x14ac:dyDescent="0.25">
      <c r="A27" s="106"/>
      <c r="B27" s="295" t="s">
        <v>43</v>
      </c>
      <c r="C27" s="109"/>
      <c r="D27" s="110"/>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5" fitToHeight="0" orientation="portrait" r:id="rId1"/>
  <headerFooter alignWithMargins="0">
    <oddFooter>Página &amp;P de &amp;N</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B6647-0EEC-4ACE-8459-6F56A7FB2D33}">
  <sheetPr>
    <tabColor theme="4" tint="-0.249977111117893"/>
    <pageSetUpPr fitToPage="1"/>
  </sheetPr>
  <dimension ref="A1:F62"/>
  <sheetViews>
    <sheetView topLeftCell="A5" zoomScaleNormal="100" workbookViewId="0">
      <selection activeCell="C16" sqref="C16"/>
    </sheetView>
  </sheetViews>
  <sheetFormatPr baseColWidth="10" defaultColWidth="10.33203125" defaultRowHeight="13.2" x14ac:dyDescent="0.25"/>
  <cols>
    <col min="1" max="1" width="5.44140625" style="108" customWidth="1"/>
    <col min="2" max="2" width="69.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737</v>
      </c>
      <c r="B11" s="61"/>
      <c r="C11" s="59"/>
      <c r="D11" s="58"/>
    </row>
    <row r="12" spans="1:6" s="10" customFormat="1" ht="15" customHeight="1" x14ac:dyDescent="0.4">
      <c r="A12" s="1060" t="s">
        <v>498</v>
      </c>
      <c r="B12" s="1061"/>
      <c r="C12" s="1062"/>
      <c r="D12" s="1063"/>
      <c r="E12" s="188"/>
    </row>
    <row r="13" spans="1:6" s="10" customFormat="1" ht="15" customHeight="1" x14ac:dyDescent="0.4">
      <c r="A13" s="260" t="s">
        <v>29</v>
      </c>
      <c r="B13" s="260" t="s">
        <v>30</v>
      </c>
      <c r="C13" s="261" t="s">
        <v>31</v>
      </c>
      <c r="D13" s="261" t="s">
        <v>32</v>
      </c>
      <c r="E13" s="189"/>
    </row>
    <row r="14" spans="1:6" s="10" customFormat="1" ht="16.8" x14ac:dyDescent="0.4">
      <c r="A14" s="262"/>
      <c r="B14" s="263"/>
      <c r="C14" s="264"/>
      <c r="D14" s="264"/>
      <c r="E14" s="190"/>
      <c r="F14" s="188"/>
    </row>
    <row r="15" spans="1:6" s="188" customFormat="1" ht="14.4" x14ac:dyDescent="0.25">
      <c r="A15" s="535">
        <v>4</v>
      </c>
      <c r="B15" s="324" t="s">
        <v>742</v>
      </c>
      <c r="C15" s="325">
        <f>(10200*1.25)</f>
        <v>12750</v>
      </c>
      <c r="D15" s="448">
        <f>A15*C15</f>
        <v>51000</v>
      </c>
      <c r="E15" s="189"/>
      <c r="F15" s="108"/>
    </row>
    <row r="16" spans="1:6" ht="14.4" x14ac:dyDescent="0.25">
      <c r="A16" s="211">
        <v>28</v>
      </c>
      <c r="B16" s="538" t="s">
        <v>743</v>
      </c>
      <c r="C16" s="325">
        <f>(915)*1.3</f>
        <v>1189.5</v>
      </c>
      <c r="D16" s="448">
        <f>A16*C16</f>
        <v>33306</v>
      </c>
      <c r="E16" s="189"/>
      <c r="F16" s="191"/>
    </row>
    <row r="17" spans="1:6" s="191" customFormat="1" ht="27.6" x14ac:dyDescent="0.25">
      <c r="A17" s="211">
        <v>1</v>
      </c>
      <c r="B17" s="538" t="s">
        <v>744</v>
      </c>
      <c r="C17" s="325">
        <v>6500</v>
      </c>
      <c r="D17" s="448">
        <f t="shared" ref="D17:D19" si="0">A17*C17</f>
        <v>6500</v>
      </c>
      <c r="E17" s="189"/>
      <c r="F17" s="108"/>
    </row>
    <row r="18" spans="1:6" ht="14.4" x14ac:dyDescent="0.25">
      <c r="A18" s="211">
        <v>1</v>
      </c>
      <c r="B18" s="538" t="s">
        <v>745</v>
      </c>
      <c r="C18" s="325">
        <v>2580</v>
      </c>
      <c r="D18" s="448">
        <f t="shared" si="0"/>
        <v>2580</v>
      </c>
      <c r="E18" s="189"/>
    </row>
    <row r="19" spans="1:6" ht="14.4" x14ac:dyDescent="0.25">
      <c r="A19" s="211">
        <v>1</v>
      </c>
      <c r="B19" s="538" t="s">
        <v>746</v>
      </c>
      <c r="C19" s="325">
        <v>5200</v>
      </c>
      <c r="D19" s="448">
        <f t="shared" si="0"/>
        <v>5200</v>
      </c>
      <c r="E19" s="189"/>
    </row>
    <row r="20" spans="1:6" x14ac:dyDescent="0.25">
      <c r="A20" s="539"/>
      <c r="B20" s="450"/>
      <c r="C20" s="451" t="s">
        <v>188</v>
      </c>
      <c r="D20" s="452">
        <f>SUM(D15:D19)</f>
        <v>98586</v>
      </c>
      <c r="E20" s="189"/>
    </row>
    <row r="21" spans="1:6" ht="13.5" customHeight="1" x14ac:dyDescent="0.25">
      <c r="A21" s="453"/>
      <c r="B21" s="454"/>
      <c r="C21" s="455" t="s">
        <v>90</v>
      </c>
      <c r="D21" s="456">
        <f>D20*0.16</f>
        <v>15773.76</v>
      </c>
      <c r="E21" s="189"/>
    </row>
    <row r="22" spans="1:6" ht="13.8" thickBot="1" x14ac:dyDescent="0.3">
      <c r="A22" s="276"/>
      <c r="B22" s="385"/>
      <c r="C22" s="457" t="s">
        <v>40</v>
      </c>
      <c r="D22" s="458">
        <f>D20+D21</f>
        <v>114359.76</v>
      </c>
      <c r="E22" s="189"/>
    </row>
    <row r="23" spans="1:6" ht="13.8" thickBot="1" x14ac:dyDescent="0.3">
      <c r="A23" s="102"/>
      <c r="B23" s="459" t="s">
        <v>747</v>
      </c>
      <c r="C23" s="460"/>
      <c r="D23" s="461"/>
      <c r="E23" s="189"/>
    </row>
    <row r="24" spans="1:6" ht="15" x14ac:dyDescent="0.25">
      <c r="A24" s="106"/>
      <c r="B24" s="97" t="s">
        <v>11</v>
      </c>
      <c r="C24" s="462"/>
      <c r="D24" s="254"/>
    </row>
    <row r="25" spans="1:6" ht="15" x14ac:dyDescent="0.25">
      <c r="A25" s="106"/>
      <c r="B25" s="123" t="s">
        <v>12</v>
      </c>
      <c r="D25" s="105"/>
      <c r="E25" s="189"/>
    </row>
    <row r="26" spans="1:6" ht="15" x14ac:dyDescent="0.25">
      <c r="A26" s="106"/>
      <c r="B26" s="123" t="s">
        <v>13</v>
      </c>
      <c r="D26" s="105"/>
    </row>
    <row r="27" spans="1:6" ht="15" x14ac:dyDescent="0.25">
      <c r="A27" s="106"/>
      <c r="B27" s="123" t="s">
        <v>14</v>
      </c>
      <c r="D27" s="105"/>
    </row>
    <row r="28" spans="1:6" ht="13.8" x14ac:dyDescent="0.25">
      <c r="B28" s="103" t="s">
        <v>15</v>
      </c>
    </row>
    <row r="29" spans="1:6" ht="13.5" customHeight="1" x14ac:dyDescent="0.25">
      <c r="A29" s="106"/>
      <c r="B29" s="295" t="s">
        <v>42</v>
      </c>
    </row>
    <row r="30" spans="1:6" ht="41.4" x14ac:dyDescent="0.25">
      <c r="A30" s="106"/>
      <c r="B30" s="295" t="s">
        <v>43</v>
      </c>
      <c r="C30" s="109"/>
      <c r="D30" s="110"/>
    </row>
    <row r="31" spans="1:6" ht="15" x14ac:dyDescent="0.25">
      <c r="A31" s="106"/>
      <c r="B31" s="103" t="s">
        <v>18</v>
      </c>
      <c r="C31" s="109"/>
      <c r="D31" s="110"/>
    </row>
    <row r="32" spans="1:6" ht="15" x14ac:dyDescent="0.25">
      <c r="A32" s="106"/>
      <c r="B32" s="296" t="s">
        <v>501</v>
      </c>
      <c r="C32" s="109"/>
      <c r="D32" s="109"/>
    </row>
    <row r="33" spans="1:4" ht="15" x14ac:dyDescent="0.25">
      <c r="A33" s="106"/>
      <c r="B33" s="297" t="s">
        <v>20</v>
      </c>
      <c r="C33" s="109"/>
      <c r="D33" s="109"/>
    </row>
    <row r="34" spans="1:4" ht="15.75" customHeight="1" x14ac:dyDescent="0.25">
      <c r="B34" s="103" t="s">
        <v>21</v>
      </c>
      <c r="D34" s="105"/>
    </row>
    <row r="35" spans="1:4" ht="15" x14ac:dyDescent="0.25">
      <c r="A35" s="106"/>
      <c r="B35" s="122" t="s">
        <v>502</v>
      </c>
      <c r="C35" s="109"/>
      <c r="D35" s="110"/>
    </row>
    <row r="36" spans="1:4" ht="15" x14ac:dyDescent="0.25">
      <c r="A36" s="106"/>
      <c r="B36" s="123" t="s">
        <v>44</v>
      </c>
      <c r="C36" s="109"/>
      <c r="D36" s="110"/>
    </row>
    <row r="37" spans="1:4" ht="13.8" x14ac:dyDescent="0.25">
      <c r="A37" s="115" t="s">
        <v>0</v>
      </c>
      <c r="B37" s="298" t="s">
        <v>45</v>
      </c>
      <c r="C37" s="109"/>
    </row>
    <row r="38" spans="1:4" ht="50.4" x14ac:dyDescent="0.25">
      <c r="A38" s="222"/>
      <c r="B38" s="314" t="s">
        <v>169</v>
      </c>
      <c r="C38" s="220"/>
      <c r="D38" s="108"/>
    </row>
    <row r="39" spans="1:4" x14ac:dyDescent="0.25">
      <c r="A39" s="222"/>
      <c r="B39" s="181"/>
      <c r="C39" s="181"/>
      <c r="D39" s="108"/>
    </row>
    <row r="40" spans="1:4" x14ac:dyDescent="0.25">
      <c r="A40" s="222"/>
      <c r="B40" s="181"/>
      <c r="C40" s="181"/>
      <c r="D40" s="108"/>
    </row>
    <row r="41" spans="1:4" x14ac:dyDescent="0.25">
      <c r="A41" s="225"/>
      <c r="B41" s="223"/>
      <c r="C41" s="181"/>
      <c r="D41" s="108"/>
    </row>
    <row r="42" spans="1:4" ht="15" x14ac:dyDescent="0.35">
      <c r="A42" s="226"/>
      <c r="B42" s="224"/>
      <c r="C42" s="181"/>
      <c r="D42" s="181"/>
    </row>
    <row r="43" spans="1:4" x14ac:dyDescent="0.25">
      <c r="A43"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0" fitToHeight="0" orientation="portrait" r:id="rId1"/>
  <headerFooter alignWithMargins="0">
    <oddFooter>Página &amp;P de &amp;N</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5A73-F221-459C-85B1-A93DF59CCB29}">
  <sheetPr>
    <tabColor theme="4" tint="-0.249977111117893"/>
    <pageSetUpPr fitToPage="1"/>
  </sheetPr>
  <dimension ref="A1:F62"/>
  <sheetViews>
    <sheetView topLeftCell="A12" zoomScaleNormal="100" workbookViewId="0">
      <selection activeCell="B30" sqref="B30"/>
    </sheetView>
  </sheetViews>
  <sheetFormatPr baseColWidth="10" defaultColWidth="10.33203125" defaultRowHeight="13.2" x14ac:dyDescent="0.25"/>
  <cols>
    <col min="1" max="1" width="5.44140625" style="108" customWidth="1"/>
    <col min="2" max="2" width="74.4414062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753</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39.6" x14ac:dyDescent="0.25">
      <c r="A15" s="211">
        <v>1</v>
      </c>
      <c r="B15" s="212" t="s">
        <v>738</v>
      </c>
      <c r="C15" s="540">
        <v>24000</v>
      </c>
      <c r="D15" s="213">
        <f>A15*C15</f>
        <v>24000</v>
      </c>
      <c r="E15" s="189"/>
      <c r="F15" s="108"/>
    </row>
    <row r="16" spans="1:6" ht="39.6" x14ac:dyDescent="0.25">
      <c r="A16" s="211">
        <v>1</v>
      </c>
      <c r="B16" s="541" t="s">
        <v>748</v>
      </c>
      <c r="C16" s="542">
        <f>125*90</f>
        <v>11250</v>
      </c>
      <c r="D16" s="213">
        <f t="shared" ref="D16:D21" si="0">A16*C16</f>
        <v>11250</v>
      </c>
      <c r="E16" s="189"/>
      <c r="F16" s="191"/>
    </row>
    <row r="17" spans="1:6" s="191" customFormat="1" x14ac:dyDescent="0.25">
      <c r="A17" s="211">
        <v>1</v>
      </c>
      <c r="B17" s="541" t="s">
        <v>749</v>
      </c>
      <c r="C17" s="542">
        <v>17500</v>
      </c>
      <c r="D17" s="213">
        <f t="shared" si="0"/>
        <v>17500</v>
      </c>
      <c r="E17" s="189"/>
      <c r="F17" s="108"/>
    </row>
    <row r="18" spans="1:6" ht="39.6" x14ac:dyDescent="0.25">
      <c r="A18" s="211">
        <v>1</v>
      </c>
      <c r="B18" s="541" t="s">
        <v>750</v>
      </c>
      <c r="C18" s="542">
        <f>125*90</f>
        <v>11250</v>
      </c>
      <c r="D18" s="213">
        <f t="shared" ref="D18" si="1">A18*C18</f>
        <v>11250</v>
      </c>
      <c r="E18" s="189"/>
    </row>
    <row r="19" spans="1:6" x14ac:dyDescent="0.25">
      <c r="A19" s="211">
        <v>1</v>
      </c>
      <c r="B19" s="541" t="s">
        <v>745</v>
      </c>
      <c r="C19" s="542">
        <v>2580</v>
      </c>
      <c r="D19" s="213">
        <f t="shared" si="0"/>
        <v>2580</v>
      </c>
      <c r="E19" s="189"/>
    </row>
    <row r="20" spans="1:6" x14ac:dyDescent="0.25">
      <c r="A20" s="211">
        <v>1</v>
      </c>
      <c r="B20" s="541" t="s">
        <v>751</v>
      </c>
      <c r="C20" s="542">
        <v>2380</v>
      </c>
      <c r="D20" s="213">
        <f t="shared" si="0"/>
        <v>2380</v>
      </c>
      <c r="E20" s="189"/>
    </row>
    <row r="21" spans="1:6" ht="26.4" x14ac:dyDescent="0.25">
      <c r="A21" s="211">
        <v>1</v>
      </c>
      <c r="B21" s="541" t="s">
        <v>746</v>
      </c>
      <c r="C21" s="542">
        <v>5200</v>
      </c>
      <c r="D21" s="213">
        <f t="shared" si="0"/>
        <v>5200</v>
      </c>
      <c r="E21" s="189"/>
    </row>
    <row r="22" spans="1:6" ht="39.6" x14ac:dyDescent="0.25">
      <c r="A22" s="211">
        <v>1</v>
      </c>
      <c r="B22" s="212" t="s">
        <v>740</v>
      </c>
      <c r="C22" s="540">
        <f>19800*1.3</f>
        <v>25740</v>
      </c>
      <c r="D22" s="213">
        <f>A22*C22</f>
        <v>25740</v>
      </c>
      <c r="E22" s="189"/>
    </row>
    <row r="23" spans="1:6" ht="26.4" x14ac:dyDescent="0.25">
      <c r="A23" s="211">
        <v>1</v>
      </c>
      <c r="B23" s="543" t="s">
        <v>752</v>
      </c>
      <c r="C23" s="544"/>
      <c r="D23" s="213"/>
      <c r="E23" s="189"/>
    </row>
    <row r="24" spans="1:6" x14ac:dyDescent="0.25">
      <c r="A24" s="539"/>
      <c r="B24" s="545"/>
      <c r="C24" s="546" t="s">
        <v>188</v>
      </c>
      <c r="D24" s="547">
        <f>SUM(D15:D22)</f>
        <v>99900</v>
      </c>
      <c r="E24" s="189"/>
    </row>
    <row r="25" spans="1:6" x14ac:dyDescent="0.25">
      <c r="A25" s="453"/>
      <c r="B25" s="454"/>
      <c r="C25" s="548" t="s">
        <v>90</v>
      </c>
      <c r="D25" s="549">
        <f>D24*0.16</f>
        <v>15984</v>
      </c>
      <c r="E25" s="189"/>
    </row>
    <row r="26" spans="1:6" ht="13.8" thickBot="1" x14ac:dyDescent="0.3">
      <c r="A26" s="276"/>
      <c r="B26" s="385"/>
      <c r="C26" s="551" t="s">
        <v>40</v>
      </c>
      <c r="D26" s="552">
        <f>D24+D25</f>
        <v>115884</v>
      </c>
      <c r="E26" s="189"/>
    </row>
    <row r="27" spans="1:6" ht="13.8" thickBot="1" x14ac:dyDescent="0.3">
      <c r="A27" s="102"/>
      <c r="B27" s="550" t="s">
        <v>754</v>
      </c>
      <c r="C27" s="553"/>
      <c r="D27" s="461"/>
    </row>
    <row r="28" spans="1:6" ht="15" x14ac:dyDescent="0.25">
      <c r="A28" s="106"/>
      <c r="B28" s="97" t="s">
        <v>11</v>
      </c>
      <c r="C28" s="462"/>
      <c r="D28" s="254"/>
    </row>
    <row r="29" spans="1:6" ht="13.5" customHeight="1" x14ac:dyDescent="0.25">
      <c r="A29" s="106"/>
      <c r="B29" s="123" t="s">
        <v>12</v>
      </c>
      <c r="D29" s="105"/>
    </row>
    <row r="30" spans="1:6" ht="15" x14ac:dyDescent="0.25">
      <c r="A30" s="106"/>
      <c r="B30" s="123" t="s">
        <v>13</v>
      </c>
      <c r="D30" s="105"/>
    </row>
    <row r="31" spans="1:6" ht="15" x14ac:dyDescent="0.25">
      <c r="A31" s="106"/>
      <c r="B31" s="123" t="s">
        <v>14</v>
      </c>
      <c r="D31" s="105"/>
    </row>
    <row r="32" spans="1:6" ht="13.8" x14ac:dyDescent="0.25">
      <c r="B32" s="103" t="s">
        <v>15</v>
      </c>
    </row>
    <row r="33" spans="1:4" ht="27.6" x14ac:dyDescent="0.25">
      <c r="A33" s="106"/>
      <c r="B33" s="295" t="s">
        <v>42</v>
      </c>
    </row>
    <row r="34" spans="1:4" ht="41.4" x14ac:dyDescent="0.25">
      <c r="A34" s="106"/>
      <c r="B34" s="295" t="s">
        <v>43</v>
      </c>
      <c r="C34" s="109"/>
      <c r="D34" s="110"/>
    </row>
    <row r="35" spans="1:4" ht="15" x14ac:dyDescent="0.25">
      <c r="A35" s="106"/>
      <c r="B35" s="103" t="s">
        <v>18</v>
      </c>
      <c r="C35" s="109"/>
      <c r="D35" s="110"/>
    </row>
    <row r="36" spans="1:4" ht="15" x14ac:dyDescent="0.25">
      <c r="A36" s="106"/>
      <c r="B36" s="296" t="s">
        <v>501</v>
      </c>
      <c r="C36" s="109"/>
      <c r="D36" s="109"/>
    </row>
    <row r="37" spans="1:4" ht="15" x14ac:dyDescent="0.25">
      <c r="A37" s="106"/>
      <c r="B37" s="297" t="s">
        <v>20</v>
      </c>
      <c r="C37" s="109"/>
      <c r="D37" s="109"/>
    </row>
    <row r="38" spans="1:4" ht="13.8" x14ac:dyDescent="0.25">
      <c r="B38" s="103" t="s">
        <v>21</v>
      </c>
      <c r="D38" s="105"/>
    </row>
    <row r="39" spans="1:4" ht="15" x14ac:dyDescent="0.25">
      <c r="A39" s="106"/>
      <c r="B39" s="122" t="s">
        <v>502</v>
      </c>
      <c r="C39" s="109"/>
      <c r="D39" s="110"/>
    </row>
    <row r="40" spans="1:4" ht="15" x14ac:dyDescent="0.25">
      <c r="A40" s="106"/>
      <c r="B40" s="123" t="s">
        <v>44</v>
      </c>
      <c r="C40" s="109"/>
      <c r="D40" s="110"/>
    </row>
    <row r="41" spans="1:4" ht="13.8" x14ac:dyDescent="0.25">
      <c r="A41" s="115" t="s">
        <v>0</v>
      </c>
      <c r="B41" s="298" t="s">
        <v>45</v>
      </c>
      <c r="C41" s="109"/>
    </row>
    <row r="42" spans="1:4" ht="50.4" x14ac:dyDescent="0.25">
      <c r="A42" s="222"/>
      <c r="B42" s="314" t="s">
        <v>169</v>
      </c>
      <c r="C42" s="220"/>
      <c r="D42" s="108"/>
    </row>
    <row r="43" spans="1:4" x14ac:dyDescent="0.25">
      <c r="A43" s="222"/>
      <c r="B43" s="181"/>
      <c r="C43" s="181"/>
      <c r="D43" s="108"/>
    </row>
    <row r="44" spans="1:4" x14ac:dyDescent="0.25">
      <c r="A44" s="222"/>
      <c r="B44" s="181"/>
      <c r="C44" s="181"/>
      <c r="D44" s="108"/>
    </row>
    <row r="45" spans="1:4" x14ac:dyDescent="0.25">
      <c r="A45" s="225"/>
      <c r="B45" s="223"/>
      <c r="C45" s="181"/>
      <c r="D45" s="108"/>
    </row>
    <row r="46" spans="1:4" ht="15" x14ac:dyDescent="0.35">
      <c r="A46" s="226"/>
      <c r="B46" s="224"/>
      <c r="C46" s="181"/>
      <c r="D46" s="181"/>
    </row>
    <row r="47" spans="1:4" x14ac:dyDescent="0.25">
      <c r="A47"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7" fitToHeight="0" orientation="portrait" r:id="rId1"/>
  <headerFooter alignWithMargins="0">
    <oddFooter>Página &amp;P de &amp;N</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CD1E-39EF-4DE3-A271-45FFEC790516}">
  <sheetPr>
    <tabColor theme="4" tint="-0.249977111117893"/>
    <pageSetUpPr fitToPage="1"/>
  </sheetPr>
  <dimension ref="A1:F62"/>
  <sheetViews>
    <sheetView topLeftCell="A12" zoomScaleNormal="100" workbookViewId="0">
      <selection activeCell="B28" sqref="B28"/>
    </sheetView>
  </sheetViews>
  <sheetFormatPr baseColWidth="10" defaultColWidth="10.33203125" defaultRowHeight="13.2" x14ac:dyDescent="0.25"/>
  <cols>
    <col min="1" max="1" width="5.44140625" style="108" customWidth="1"/>
    <col min="2" max="2" width="74.4414062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753</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39.6" x14ac:dyDescent="0.25">
      <c r="A15" s="211">
        <v>1</v>
      </c>
      <c r="B15" s="212" t="s">
        <v>738</v>
      </c>
      <c r="C15" s="540">
        <f>24000+2000</f>
        <v>26000</v>
      </c>
      <c r="D15" s="213">
        <f>A15*C15</f>
        <v>26000</v>
      </c>
      <c r="E15" s="189"/>
      <c r="F15" s="108"/>
    </row>
    <row r="16" spans="1:6" ht="39.6" x14ac:dyDescent="0.25">
      <c r="A16" s="211">
        <v>1</v>
      </c>
      <c r="B16" s="541" t="s">
        <v>748</v>
      </c>
      <c r="C16" s="542">
        <f>125*90+(1000)</f>
        <v>12250</v>
      </c>
      <c r="D16" s="213">
        <f t="shared" ref="D16:D21" si="0">A16*C16</f>
        <v>12250</v>
      </c>
      <c r="E16" s="189"/>
      <c r="F16" s="191"/>
    </row>
    <row r="17" spans="1:6" s="191" customFormat="1" x14ac:dyDescent="0.25">
      <c r="A17" s="211">
        <v>1</v>
      </c>
      <c r="B17" s="541" t="s">
        <v>749</v>
      </c>
      <c r="C17" s="542">
        <f>17500+2000</f>
        <v>19500</v>
      </c>
      <c r="D17" s="213">
        <f t="shared" si="0"/>
        <v>19500</v>
      </c>
      <c r="E17" s="189"/>
      <c r="F17" s="108"/>
    </row>
    <row r="18" spans="1:6" ht="39.6" x14ac:dyDescent="0.25">
      <c r="A18" s="211">
        <v>1</v>
      </c>
      <c r="B18" s="541" t="s">
        <v>750</v>
      </c>
      <c r="C18" s="542">
        <f>125*90+(1000)</f>
        <v>12250</v>
      </c>
      <c r="D18" s="213">
        <f t="shared" si="0"/>
        <v>12250</v>
      </c>
      <c r="E18" s="189"/>
    </row>
    <row r="19" spans="1:6" x14ac:dyDescent="0.25">
      <c r="A19" s="211">
        <v>1</v>
      </c>
      <c r="B19" s="541" t="s">
        <v>745</v>
      </c>
      <c r="C19" s="542">
        <v>2580</v>
      </c>
      <c r="D19" s="213">
        <f t="shared" si="0"/>
        <v>2580</v>
      </c>
      <c r="E19" s="189"/>
    </row>
    <row r="20" spans="1:6" x14ac:dyDescent="0.25">
      <c r="A20" s="211">
        <v>1</v>
      </c>
      <c r="B20" s="541" t="s">
        <v>751</v>
      </c>
      <c r="C20" s="542">
        <v>2380</v>
      </c>
      <c r="D20" s="213">
        <f t="shared" si="0"/>
        <v>2380</v>
      </c>
      <c r="E20" s="189"/>
    </row>
    <row r="21" spans="1:6" ht="26.4" x14ac:dyDescent="0.25">
      <c r="A21" s="211">
        <v>1</v>
      </c>
      <c r="B21" s="541" t="s">
        <v>746</v>
      </c>
      <c r="C21" s="542">
        <f>5200+1000</f>
        <v>6200</v>
      </c>
      <c r="D21" s="213">
        <f t="shared" si="0"/>
        <v>6200</v>
      </c>
      <c r="E21" s="189"/>
    </row>
    <row r="22" spans="1:6" ht="39.6" x14ac:dyDescent="0.25">
      <c r="A22" s="211">
        <v>1</v>
      </c>
      <c r="B22" s="212" t="s">
        <v>740</v>
      </c>
      <c r="C22" s="540">
        <f>(19800*1.3)+2000</f>
        <v>27740</v>
      </c>
      <c r="D22" s="213">
        <f>A22*C22</f>
        <v>27740</v>
      </c>
      <c r="E22" s="189"/>
    </row>
    <row r="23" spans="1:6" ht="26.4" x14ac:dyDescent="0.25">
      <c r="A23" s="211">
        <v>1</v>
      </c>
      <c r="B23" s="543" t="s">
        <v>752</v>
      </c>
      <c r="C23" s="544"/>
      <c r="D23" s="213"/>
      <c r="E23" s="189"/>
    </row>
    <row r="24" spans="1:6" x14ac:dyDescent="0.25">
      <c r="A24" s="539"/>
      <c r="B24" s="545"/>
      <c r="C24" s="546" t="s">
        <v>188</v>
      </c>
      <c r="D24" s="547">
        <f>SUM(D15:D22)</f>
        <v>108900</v>
      </c>
      <c r="E24" s="189"/>
    </row>
    <row r="25" spans="1:6" x14ac:dyDescent="0.25">
      <c r="A25" s="453"/>
      <c r="B25" s="454"/>
      <c r="C25" s="548" t="s">
        <v>90</v>
      </c>
      <c r="D25" s="549">
        <f>D24*0.16</f>
        <v>17424</v>
      </c>
      <c r="E25" s="189"/>
    </row>
    <row r="26" spans="1:6" ht="13.8" thickBot="1" x14ac:dyDescent="0.3">
      <c r="A26" s="276"/>
      <c r="B26" s="385"/>
      <c r="C26" s="551" t="s">
        <v>40</v>
      </c>
      <c r="D26" s="552">
        <f>D24+D25</f>
        <v>126324</v>
      </c>
      <c r="E26" s="189"/>
    </row>
    <row r="27" spans="1:6" ht="13.8" thickBot="1" x14ac:dyDescent="0.3">
      <c r="A27" s="102"/>
      <c r="B27" s="550" t="s">
        <v>755</v>
      </c>
      <c r="C27" s="553"/>
      <c r="D27" s="461"/>
    </row>
    <row r="28" spans="1:6" ht="15" x14ac:dyDescent="0.25">
      <c r="A28" s="106"/>
      <c r="B28" s="97" t="s">
        <v>11</v>
      </c>
      <c r="C28" s="462"/>
      <c r="D28" s="254"/>
    </row>
    <row r="29" spans="1:6" ht="13.5" customHeight="1" x14ac:dyDescent="0.25">
      <c r="A29" s="106"/>
      <c r="B29" s="123" t="s">
        <v>12</v>
      </c>
      <c r="D29" s="105"/>
    </row>
    <row r="30" spans="1:6" ht="15" x14ac:dyDescent="0.25">
      <c r="A30" s="106"/>
      <c r="B30" s="123" t="s">
        <v>13</v>
      </c>
      <c r="D30" s="105"/>
    </row>
    <row r="31" spans="1:6" ht="15" x14ac:dyDescent="0.25">
      <c r="A31" s="106"/>
      <c r="B31" s="123" t="s">
        <v>14</v>
      </c>
      <c r="D31" s="105"/>
    </row>
    <row r="32" spans="1:6" ht="13.8" x14ac:dyDescent="0.25">
      <c r="B32" s="103" t="s">
        <v>15</v>
      </c>
    </row>
    <row r="33" spans="1:4" ht="27.6" x14ac:dyDescent="0.25">
      <c r="A33" s="106"/>
      <c r="B33" s="295" t="s">
        <v>42</v>
      </c>
    </row>
    <row r="34" spans="1:4" ht="41.4" x14ac:dyDescent="0.25">
      <c r="A34" s="106"/>
      <c r="B34" s="295" t="s">
        <v>43</v>
      </c>
      <c r="C34" s="109"/>
      <c r="D34" s="110"/>
    </row>
    <row r="35" spans="1:4" ht="15" x14ac:dyDescent="0.25">
      <c r="A35" s="106"/>
      <c r="B35" s="103" t="s">
        <v>18</v>
      </c>
      <c r="C35" s="109"/>
      <c r="D35" s="110"/>
    </row>
    <row r="36" spans="1:4" ht="15" x14ac:dyDescent="0.25">
      <c r="A36" s="106"/>
      <c r="B36" s="296" t="s">
        <v>501</v>
      </c>
      <c r="C36" s="109"/>
      <c r="D36" s="109"/>
    </row>
    <row r="37" spans="1:4" ht="15" x14ac:dyDescent="0.25">
      <c r="A37" s="106"/>
      <c r="B37" s="297" t="s">
        <v>20</v>
      </c>
      <c r="C37" s="109"/>
      <c r="D37" s="109"/>
    </row>
    <row r="38" spans="1:4" ht="13.8" x14ac:dyDescent="0.25">
      <c r="B38" s="103" t="s">
        <v>21</v>
      </c>
      <c r="D38" s="105"/>
    </row>
    <row r="39" spans="1:4" ht="15" x14ac:dyDescent="0.25">
      <c r="A39" s="106"/>
      <c r="B39" s="122" t="s">
        <v>502</v>
      </c>
      <c r="C39" s="109"/>
      <c r="D39" s="110"/>
    </row>
    <row r="40" spans="1:4" ht="15" x14ac:dyDescent="0.25">
      <c r="A40" s="106"/>
      <c r="B40" s="123" t="s">
        <v>44</v>
      </c>
      <c r="C40" s="109"/>
      <c r="D40" s="110"/>
    </row>
    <row r="41" spans="1:4" ht="13.8" x14ac:dyDescent="0.25">
      <c r="A41" s="115" t="s">
        <v>0</v>
      </c>
      <c r="B41" s="298" t="s">
        <v>45</v>
      </c>
      <c r="C41" s="109"/>
    </row>
    <row r="42" spans="1:4" ht="50.4" x14ac:dyDescent="0.25">
      <c r="A42" s="222"/>
      <c r="B42" s="314" t="s">
        <v>169</v>
      </c>
      <c r="C42" s="220"/>
      <c r="D42" s="108"/>
    </row>
    <row r="43" spans="1:4" x14ac:dyDescent="0.25">
      <c r="A43" s="222"/>
      <c r="B43" s="181"/>
      <c r="C43" s="181"/>
      <c r="D43" s="108"/>
    </row>
    <row r="44" spans="1:4" x14ac:dyDescent="0.25">
      <c r="A44" s="222"/>
      <c r="B44" s="181"/>
      <c r="C44" s="181"/>
      <c r="D44" s="108"/>
    </row>
    <row r="45" spans="1:4" x14ac:dyDescent="0.25">
      <c r="A45" s="225"/>
      <c r="B45" s="223"/>
      <c r="C45" s="181"/>
      <c r="D45" s="108"/>
    </row>
    <row r="46" spans="1:4" ht="15" x14ac:dyDescent="0.35">
      <c r="A46" s="226"/>
      <c r="B46" s="224"/>
      <c r="C46" s="181"/>
      <c r="D46" s="181"/>
    </row>
    <row r="47" spans="1:4" x14ac:dyDescent="0.25">
      <c r="A47"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7" fitToHeight="0" orientation="portrait" r:id="rId1"/>
  <headerFooter alignWithMargins="0">
    <oddFooter>Página &amp;P de &amp;N</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DFFC-47F9-4D25-B88F-E839F0E56D8F}">
  <sheetPr>
    <tabColor theme="4" tint="-0.249977111117893"/>
    <pageSetUpPr fitToPage="1"/>
  </sheetPr>
  <dimension ref="A1:F62"/>
  <sheetViews>
    <sheetView topLeftCell="A7" zoomScaleNormal="100" workbookViewId="0">
      <selection activeCell="B8" sqref="B8"/>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417</v>
      </c>
      <c r="B8" s="228"/>
      <c r="C8" s="229"/>
      <c r="D8" s="229"/>
    </row>
    <row r="9" spans="1:6" s="10" customFormat="1" ht="19.2" x14ac:dyDescent="0.45">
      <c r="A9" s="227" t="s">
        <v>418</v>
      </c>
      <c r="B9" s="228"/>
      <c r="C9" s="229"/>
      <c r="D9" s="229"/>
    </row>
    <row r="10" spans="1:6" s="10" customFormat="1" ht="19.2" x14ac:dyDescent="0.45">
      <c r="A10" s="227" t="s">
        <v>758</v>
      </c>
      <c r="B10" s="228"/>
      <c r="C10" s="230"/>
      <c r="D10" s="229"/>
    </row>
    <row r="11" spans="1:6" s="10" customFormat="1" ht="19.2" x14ac:dyDescent="0.45">
      <c r="A11" s="227" t="s">
        <v>757</v>
      </c>
      <c r="B11" s="228"/>
      <c r="C11" s="230"/>
      <c r="D11" s="229"/>
    </row>
    <row r="12" spans="1:6" s="10" customFormat="1" ht="15" customHeight="1" x14ac:dyDescent="0.45">
      <c r="A12" s="480" t="s">
        <v>756</v>
      </c>
      <c r="B12" s="481"/>
      <c r="C12" s="554"/>
      <c r="D12" s="482"/>
    </row>
    <row r="13" spans="1:6" s="10" customFormat="1" ht="15" customHeight="1" x14ac:dyDescent="0.4">
      <c r="A13" s="1060" t="s">
        <v>498</v>
      </c>
      <c r="B13" s="1061"/>
      <c r="C13" s="1062"/>
      <c r="D13" s="1063"/>
      <c r="E13" s="188"/>
    </row>
    <row r="14" spans="1:6" s="10" customFormat="1" ht="26.4" x14ac:dyDescent="0.4">
      <c r="A14" s="145" t="s">
        <v>29</v>
      </c>
      <c r="B14" s="145" t="s">
        <v>30</v>
      </c>
      <c r="C14" s="146" t="s">
        <v>31</v>
      </c>
      <c r="D14" s="146" t="s">
        <v>32</v>
      </c>
      <c r="E14" s="189"/>
      <c r="F14" s="188"/>
    </row>
    <row r="15" spans="1:6" s="188" customFormat="1" ht="13.8" x14ac:dyDescent="0.25">
      <c r="A15" s="148"/>
      <c r="B15" s="149"/>
      <c r="C15" s="150"/>
      <c r="D15" s="150"/>
      <c r="E15" s="190"/>
      <c r="F15" s="108"/>
    </row>
    <row r="16" spans="1:6" ht="52.8" x14ac:dyDescent="0.25">
      <c r="A16" s="211">
        <v>1</v>
      </c>
      <c r="B16" s="212" t="s">
        <v>759</v>
      </c>
      <c r="C16" s="544">
        <v>48000</v>
      </c>
      <c r="D16" s="213">
        <f>A16*C16</f>
        <v>48000</v>
      </c>
      <c r="E16" s="189"/>
      <c r="F16" s="191"/>
    </row>
    <row r="17" spans="1:6" s="191" customFormat="1" ht="39.6" x14ac:dyDescent="0.25">
      <c r="A17" s="211">
        <v>1</v>
      </c>
      <c r="B17" s="212" t="s">
        <v>738</v>
      </c>
      <c r="C17" s="544">
        <v>12000</v>
      </c>
      <c r="D17" s="213">
        <f>A17*C17</f>
        <v>12000</v>
      </c>
      <c r="E17" s="189"/>
      <c r="F17" s="108"/>
    </row>
    <row r="18" spans="1:6" x14ac:dyDescent="0.25">
      <c r="A18" s="539"/>
      <c r="B18" s="545"/>
      <c r="C18" s="546" t="s">
        <v>188</v>
      </c>
      <c r="D18" s="547">
        <f>SUM(D16:D17)</f>
        <v>60000</v>
      </c>
      <c r="E18" s="189"/>
    </row>
    <row r="19" spans="1:6" x14ac:dyDescent="0.25">
      <c r="A19" s="453"/>
      <c r="B19" s="454"/>
      <c r="C19" s="548" t="s">
        <v>90</v>
      </c>
      <c r="D19" s="549">
        <f>D18*0.16</f>
        <v>9600</v>
      </c>
      <c r="E19" s="189"/>
    </row>
    <row r="20" spans="1:6" ht="13.8" thickBot="1" x14ac:dyDescent="0.3">
      <c r="A20" s="276"/>
      <c r="B20" s="385"/>
      <c r="C20" s="551" t="s">
        <v>40</v>
      </c>
      <c r="D20" s="552">
        <f>D18+D19</f>
        <v>69600</v>
      </c>
      <c r="E20" s="189"/>
    </row>
    <row r="21" spans="1:6" ht="13.5" customHeight="1" thickBot="1" x14ac:dyDescent="0.3">
      <c r="A21" s="102"/>
      <c r="B21" s="459" t="s">
        <v>760</v>
      </c>
      <c r="C21" s="460"/>
      <c r="D21" s="461"/>
      <c r="E21" s="189"/>
    </row>
    <row r="22" spans="1:6" ht="15" x14ac:dyDescent="0.25">
      <c r="A22" s="106"/>
      <c r="B22" s="97" t="s">
        <v>11</v>
      </c>
      <c r="C22" s="462"/>
      <c r="D22" s="254"/>
    </row>
    <row r="23" spans="1:6" ht="15" x14ac:dyDescent="0.25">
      <c r="A23" s="106"/>
      <c r="B23" s="123" t="s">
        <v>12</v>
      </c>
      <c r="D23" s="105"/>
      <c r="E23" s="189"/>
    </row>
    <row r="24" spans="1:6" ht="15" x14ac:dyDescent="0.25">
      <c r="A24" s="106"/>
      <c r="B24" s="123" t="s">
        <v>13</v>
      </c>
      <c r="D24" s="105"/>
    </row>
    <row r="25" spans="1:6" ht="15" x14ac:dyDescent="0.25">
      <c r="A25" s="106"/>
      <c r="B25" s="123" t="s">
        <v>14</v>
      </c>
      <c r="D25" s="105"/>
    </row>
    <row r="26" spans="1:6" ht="13.8" x14ac:dyDescent="0.25">
      <c r="B26" s="103" t="s">
        <v>15</v>
      </c>
    </row>
    <row r="27" spans="1:6" ht="27.6" x14ac:dyDescent="0.25">
      <c r="A27" s="106"/>
      <c r="B27" s="295" t="s">
        <v>42</v>
      </c>
    </row>
    <row r="28" spans="1:6" ht="41.4" x14ac:dyDescent="0.25">
      <c r="A28" s="106"/>
      <c r="B28" s="295" t="s">
        <v>43</v>
      </c>
      <c r="C28" s="109"/>
      <c r="D28" s="110"/>
    </row>
    <row r="29" spans="1:6" ht="13.5" customHeight="1" x14ac:dyDescent="0.25">
      <c r="A29" s="106"/>
      <c r="B29" s="103" t="s">
        <v>18</v>
      </c>
      <c r="C29" s="109"/>
      <c r="D29" s="110"/>
    </row>
    <row r="30" spans="1:6" ht="15" x14ac:dyDescent="0.25">
      <c r="A30" s="106"/>
      <c r="B30" s="296" t="s">
        <v>501</v>
      </c>
      <c r="C30" s="109"/>
      <c r="D30" s="109"/>
    </row>
    <row r="31" spans="1:6" ht="15" x14ac:dyDescent="0.25">
      <c r="A31" s="106"/>
      <c r="B31" s="297" t="s">
        <v>20</v>
      </c>
      <c r="C31" s="109"/>
      <c r="D31" s="109"/>
    </row>
    <row r="32" spans="1:6" ht="13.8" x14ac:dyDescent="0.25">
      <c r="B32" s="103" t="s">
        <v>21</v>
      </c>
      <c r="D32" s="105"/>
    </row>
    <row r="33" spans="1:4" ht="15" x14ac:dyDescent="0.25">
      <c r="A33" s="106"/>
      <c r="B33" s="122" t="s">
        <v>194</v>
      </c>
      <c r="C33" s="109"/>
      <c r="D33" s="110"/>
    </row>
    <row r="34" spans="1:4" ht="15.75" customHeight="1"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2">
    <mergeCell ref="A4:D4"/>
    <mergeCell ref="A13:D13"/>
  </mergeCells>
  <printOptions horizontalCentered="1"/>
  <pageMargins left="0.25" right="0.25" top="0.75" bottom="0.75" header="0.3" footer="0.3"/>
  <pageSetup paperSize="9" scale="85" fitToHeight="0" orientation="portrait" r:id="rId1"/>
  <headerFooter alignWithMargins="0">
    <oddFooter>Página &amp;P de &amp;N</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BEF3-7063-4E07-98C2-95300CCC0C32}">
  <sheetPr>
    <tabColor theme="4" tint="-0.249977111117893"/>
    <pageSetUpPr fitToPage="1"/>
  </sheetPr>
  <dimension ref="A1:G56"/>
  <sheetViews>
    <sheetView topLeftCell="A6" zoomScaleNormal="100" workbookViewId="0">
      <selection activeCell="C17" sqref="C17"/>
    </sheetView>
  </sheetViews>
  <sheetFormatPr baseColWidth="10" defaultColWidth="11.44140625" defaultRowHeight="13.2" x14ac:dyDescent="0.25"/>
  <cols>
    <col min="1" max="1" width="4.44140625" style="108" customWidth="1"/>
    <col min="2" max="2" width="77.6640625" style="108" customWidth="1"/>
    <col min="3" max="3" width="11.554687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769</v>
      </c>
      <c r="B8" s="228"/>
      <c r="C8" s="229"/>
      <c r="D8" s="229"/>
    </row>
    <row r="9" spans="1:7" s="10" customFormat="1" ht="19.2" x14ac:dyDescent="0.45">
      <c r="A9" s="227" t="s">
        <v>768</v>
      </c>
      <c r="B9" s="228"/>
      <c r="C9" s="229"/>
      <c r="D9" s="229"/>
    </row>
    <row r="10" spans="1:7" s="10" customFormat="1" ht="19.2" x14ac:dyDescent="0.45">
      <c r="A10" s="227" t="s">
        <v>767</v>
      </c>
      <c r="B10" s="228"/>
      <c r="C10" s="229"/>
      <c r="D10" s="229"/>
    </row>
    <row r="11" spans="1:7" s="10" customFormat="1" ht="19.2" x14ac:dyDescent="0.45">
      <c r="A11" s="227" t="s">
        <v>561</v>
      </c>
      <c r="B11" s="228"/>
      <c r="C11" s="230"/>
      <c r="D11" s="229"/>
    </row>
    <row r="12" spans="1:7" s="10" customFormat="1" ht="15" customHeight="1" x14ac:dyDescent="0.45">
      <c r="A12" s="227" t="s">
        <v>766</v>
      </c>
      <c r="B12" s="228"/>
      <c r="C12" s="230"/>
      <c r="D12" s="229"/>
    </row>
    <row r="13" spans="1:7" s="10" customFormat="1" ht="15" customHeight="1" x14ac:dyDescent="0.45">
      <c r="A13" s="227" t="s">
        <v>6</v>
      </c>
      <c r="B13" s="231"/>
      <c r="C13" s="232"/>
      <c r="D13" s="233"/>
    </row>
    <row r="14" spans="1:7" s="10" customFormat="1" ht="15" customHeight="1" x14ac:dyDescent="0.45">
      <c r="A14" s="234" t="s">
        <v>765</v>
      </c>
      <c r="B14" s="231"/>
      <c r="C14" s="232"/>
      <c r="D14" s="233"/>
      <c r="E14" s="188"/>
      <c r="F14" s="188"/>
      <c r="G14" s="188"/>
    </row>
    <row r="15" spans="1:7" s="188" customFormat="1" ht="19.2" x14ac:dyDescent="0.25">
      <c r="A15" s="1053" t="s">
        <v>150</v>
      </c>
      <c r="B15" s="1054"/>
      <c r="C15" s="1055"/>
      <c r="D15" s="1056"/>
      <c r="E15" s="108"/>
      <c r="F15" s="108"/>
      <c r="G15" s="108"/>
    </row>
    <row r="16" spans="1:7" x14ac:dyDescent="0.25">
      <c r="A16" s="148"/>
      <c r="B16" s="149"/>
      <c r="C16" s="150"/>
      <c r="D16" s="150"/>
      <c r="E16" s="190"/>
      <c r="F16" s="191"/>
      <c r="G16" s="191"/>
    </row>
    <row r="17" spans="1:7" s="191" customFormat="1" ht="79.2" x14ac:dyDescent="0.25">
      <c r="A17" s="560">
        <v>1</v>
      </c>
      <c r="B17" s="566" t="s">
        <v>764</v>
      </c>
      <c r="C17" s="397">
        <f>(53938*1.3)+4500</f>
        <v>74619.400000000009</v>
      </c>
      <c r="D17" s="562">
        <f>A17*C17</f>
        <v>74619.400000000009</v>
      </c>
      <c r="E17" s="190"/>
      <c r="F17" s="108"/>
      <c r="G17" s="108"/>
    </row>
    <row r="18" spans="1:7" x14ac:dyDescent="0.25">
      <c r="A18" s="399"/>
      <c r="B18" s="556"/>
      <c r="C18" s="557"/>
      <c r="D18" s="563"/>
      <c r="E18" s="189"/>
    </row>
    <row r="19" spans="1:7" x14ac:dyDescent="0.25">
      <c r="A19" s="555"/>
      <c r="B19" s="558"/>
      <c r="C19" s="403" t="s">
        <v>160</v>
      </c>
      <c r="D19" s="563">
        <f>SUM(D16:D18)</f>
        <v>74619.400000000009</v>
      </c>
      <c r="E19" s="189"/>
    </row>
    <row r="20" spans="1:7" x14ac:dyDescent="0.25">
      <c r="A20" s="250"/>
      <c r="B20" s="250"/>
      <c r="C20" s="403" t="s">
        <v>161</v>
      </c>
      <c r="D20" s="563">
        <f>D19*0.16</f>
        <v>11939.104000000001</v>
      </c>
      <c r="E20" s="189"/>
    </row>
    <row r="21" spans="1:7" ht="13.8" thickBot="1" x14ac:dyDescent="0.3">
      <c r="A21" s="250"/>
      <c r="B21" s="250"/>
      <c r="C21" s="403" t="s">
        <v>162</v>
      </c>
      <c r="D21" s="563">
        <f>D19+D20</f>
        <v>86558.504000000015</v>
      </c>
      <c r="E21" s="189"/>
    </row>
    <row r="22" spans="1:7" ht="13.8" thickBot="1" x14ac:dyDescent="0.3">
      <c r="A22" s="102"/>
      <c r="B22" s="1077" t="s">
        <v>763</v>
      </c>
      <c r="C22" s="1078"/>
      <c r="D22" s="1079"/>
      <c r="E22" s="189"/>
    </row>
    <row r="23" spans="1:7" x14ac:dyDescent="0.25">
      <c r="A23" s="102"/>
      <c r="B23" s="201"/>
      <c r="C23" s="253"/>
      <c r="D23" s="254"/>
    </row>
    <row r="24" spans="1:7" ht="13.8" x14ac:dyDescent="0.25">
      <c r="A24" s="102"/>
      <c r="B24" s="100" t="s">
        <v>9</v>
      </c>
      <c r="C24" s="104"/>
      <c r="D24" s="105"/>
    </row>
    <row r="25" spans="1:7" ht="13.5" customHeight="1" x14ac:dyDescent="0.25">
      <c r="A25" s="383"/>
      <c r="B25" s="387" t="s">
        <v>10</v>
      </c>
      <c r="C25" s="104"/>
      <c r="D25" s="105"/>
    </row>
    <row r="26" spans="1:7" ht="17.25" customHeight="1" x14ac:dyDescent="0.25">
      <c r="A26" s="390"/>
      <c r="B26" s="103" t="s">
        <v>11</v>
      </c>
      <c r="D26" s="105"/>
    </row>
    <row r="27" spans="1:7" ht="15" x14ac:dyDescent="0.25">
      <c r="A27" s="390"/>
      <c r="B27" s="123" t="s">
        <v>762</v>
      </c>
      <c r="D27" s="105"/>
    </row>
    <row r="28" spans="1:7" ht="13.5" customHeight="1" x14ac:dyDescent="0.25">
      <c r="A28" s="390"/>
      <c r="B28" s="123" t="s">
        <v>13</v>
      </c>
      <c r="D28" s="105"/>
    </row>
    <row r="29" spans="1:7" ht="15" x14ac:dyDescent="0.25">
      <c r="A29" s="390"/>
      <c r="B29" s="123" t="s">
        <v>14</v>
      </c>
      <c r="D29" s="105"/>
    </row>
    <row r="30" spans="1:7" ht="13.8" x14ac:dyDescent="0.25">
      <c r="A30" s="392"/>
      <c r="B30" s="103" t="s">
        <v>15</v>
      </c>
    </row>
    <row r="31" spans="1:7" ht="27.6" x14ac:dyDescent="0.25">
      <c r="A31" s="390"/>
      <c r="B31" s="295" t="s">
        <v>42</v>
      </c>
      <c r="E31" s="189"/>
    </row>
    <row r="32" spans="1:7" ht="41.4" x14ac:dyDescent="0.25">
      <c r="A32" s="390"/>
      <c r="B32" s="295" t="s">
        <v>165</v>
      </c>
      <c r="C32" s="109"/>
      <c r="D32" s="110"/>
      <c r="E32" s="189"/>
    </row>
    <row r="33" spans="1:4" ht="15" x14ac:dyDescent="0.25">
      <c r="A33" s="390"/>
      <c r="B33" s="103" t="s">
        <v>18</v>
      </c>
      <c r="C33" s="109"/>
      <c r="D33" s="110"/>
    </row>
    <row r="34" spans="1:4" ht="33.75" customHeight="1" x14ac:dyDescent="0.25">
      <c r="A34" s="390"/>
      <c r="B34" s="297" t="s">
        <v>761</v>
      </c>
      <c r="C34" s="109"/>
      <c r="D34" s="109"/>
    </row>
    <row r="35" spans="1:4" ht="15" x14ac:dyDescent="0.25">
      <c r="A35" s="390"/>
      <c r="B35" s="297" t="s">
        <v>20</v>
      </c>
      <c r="C35" s="109"/>
      <c r="D35" s="109"/>
    </row>
    <row r="36" spans="1:4" ht="13.8" x14ac:dyDescent="0.25">
      <c r="A36" s="392"/>
      <c r="B36" s="103" t="s">
        <v>21</v>
      </c>
      <c r="D36" s="105"/>
    </row>
    <row r="37" spans="1:4" ht="15" x14ac:dyDescent="0.25">
      <c r="A37" s="390"/>
      <c r="B37" s="123" t="s">
        <v>168</v>
      </c>
      <c r="C37" s="109"/>
      <c r="D37" s="110"/>
    </row>
    <row r="38" spans="1:4" ht="15" x14ac:dyDescent="0.25">
      <c r="A38" s="390"/>
      <c r="B38" s="123" t="s">
        <v>44</v>
      </c>
      <c r="C38" s="109"/>
      <c r="D38" s="110"/>
    </row>
    <row r="39" spans="1:4" ht="13.8" x14ac:dyDescent="0.25">
      <c r="A39" s="564" t="s">
        <v>0</v>
      </c>
      <c r="B39" s="123" t="s">
        <v>45</v>
      </c>
      <c r="C39" s="109"/>
    </row>
    <row r="40" spans="1:4" ht="50.4" x14ac:dyDescent="0.25">
      <c r="A40" s="565"/>
      <c r="B40" s="314"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t="s">
        <v>0</v>
      </c>
      <c r="B44" s="224"/>
      <c r="C44" s="181"/>
      <c r="D44" s="181"/>
    </row>
    <row r="45" spans="1:4" x14ac:dyDescent="0.25">
      <c r="A45" s="108" t="s">
        <v>0</v>
      </c>
    </row>
    <row r="47" spans="1:4" ht="12.75" customHeight="1" x14ac:dyDescent="0.25"/>
    <row r="51" ht="16.5" customHeight="1" x14ac:dyDescent="0.25"/>
    <row r="55" ht="15.75" customHeight="1" x14ac:dyDescent="0.25"/>
    <row r="56" ht="15" customHeight="1" x14ac:dyDescent="0.25"/>
  </sheetData>
  <mergeCells count="3">
    <mergeCell ref="A4:D4"/>
    <mergeCell ref="A15:D15"/>
    <mergeCell ref="B22:D22"/>
  </mergeCells>
  <printOptions horizontalCentered="1"/>
  <pageMargins left="0.59055118110236227" right="0.59055118110236227" top="0.19685039370078741" bottom="0.19685039370078741" header="0.19685039370078741" footer="0.19685039370078741"/>
  <pageSetup paperSize="9" scale="85" fitToWidth="0" orientation="portrait" r:id="rId1"/>
  <headerFooter alignWithMargins="0">
    <oddFooter>Página &amp;P de &amp;N</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5DCE-DA8B-4048-B26A-DC1BC4F4C426}">
  <sheetPr>
    <tabColor theme="4" tint="-0.249977111117893"/>
    <pageSetUpPr fitToPage="1"/>
  </sheetPr>
  <dimension ref="A1:G58"/>
  <sheetViews>
    <sheetView topLeftCell="A6" zoomScaleNormal="100" workbookViewId="0">
      <selection activeCell="C21" sqref="C21"/>
    </sheetView>
  </sheetViews>
  <sheetFormatPr baseColWidth="10" defaultColWidth="11.44140625" defaultRowHeight="13.2" x14ac:dyDescent="0.25"/>
  <cols>
    <col min="1" max="1" width="6" style="108" customWidth="1"/>
    <col min="2" max="2" width="74"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769</v>
      </c>
      <c r="B8" s="228"/>
      <c r="C8" s="229"/>
      <c r="D8" s="229"/>
    </row>
    <row r="9" spans="1:7" s="10" customFormat="1" ht="19.2" x14ac:dyDescent="0.45">
      <c r="A9" s="227" t="s">
        <v>768</v>
      </c>
      <c r="B9" s="228"/>
      <c r="C9" s="229"/>
      <c r="D9" s="229"/>
    </row>
    <row r="10" spans="1:7" s="10" customFormat="1" ht="19.2" x14ac:dyDescent="0.45">
      <c r="A10" s="227" t="s">
        <v>767</v>
      </c>
      <c r="B10" s="228"/>
      <c r="C10" s="229"/>
      <c r="D10" s="229"/>
    </row>
    <row r="11" spans="1:7" s="10" customFormat="1" ht="19.2" x14ac:dyDescent="0.45">
      <c r="A11" s="227" t="s">
        <v>561</v>
      </c>
      <c r="B11" s="228"/>
      <c r="C11" s="230"/>
      <c r="D11" s="229"/>
    </row>
    <row r="12" spans="1:7" s="10" customFormat="1" ht="15" customHeight="1" x14ac:dyDescent="0.45">
      <c r="A12" s="227" t="s">
        <v>766</v>
      </c>
      <c r="B12" s="228"/>
      <c r="C12" s="230"/>
      <c r="D12" s="229"/>
    </row>
    <row r="13" spans="1:7" s="10" customFormat="1" ht="15" customHeight="1" x14ac:dyDescent="0.45">
      <c r="A13" s="227" t="s">
        <v>6</v>
      </c>
      <c r="B13" s="231"/>
      <c r="C13" s="232"/>
      <c r="D13" s="233"/>
    </row>
    <row r="14" spans="1:7" s="10" customFormat="1" ht="15" customHeight="1" x14ac:dyDescent="0.45">
      <c r="A14" s="234" t="s">
        <v>765</v>
      </c>
      <c r="B14" s="231"/>
      <c r="C14" s="232"/>
      <c r="D14" s="233"/>
      <c r="E14" s="188"/>
      <c r="F14" s="188"/>
      <c r="G14" s="188"/>
    </row>
    <row r="15" spans="1:7" s="188" customFormat="1" ht="19.2" x14ac:dyDescent="0.25">
      <c r="A15" s="1053" t="s">
        <v>150</v>
      </c>
      <c r="B15" s="1054"/>
      <c r="C15" s="1055"/>
      <c r="D15" s="1056"/>
      <c r="E15" s="108"/>
      <c r="F15" s="108"/>
      <c r="G15" s="108"/>
    </row>
    <row r="16" spans="1:7" x14ac:dyDescent="0.25">
      <c r="A16" s="148"/>
      <c r="B16" s="149"/>
      <c r="C16" s="150"/>
      <c r="D16" s="150"/>
      <c r="E16" s="190"/>
      <c r="F16" s="191"/>
      <c r="G16" s="191"/>
    </row>
    <row r="17" spans="1:7" s="191" customFormat="1" ht="45" x14ac:dyDescent="0.25">
      <c r="A17" s="155">
        <v>1</v>
      </c>
      <c r="B17" s="73" t="s">
        <v>773</v>
      </c>
      <c r="C17" s="397">
        <v>12500</v>
      </c>
      <c r="D17" s="398">
        <f>A17*C17</f>
        <v>12500</v>
      </c>
      <c r="E17" s="190"/>
      <c r="F17" s="108"/>
      <c r="G17" s="108"/>
    </row>
    <row r="18" spans="1:7" s="191" customFormat="1" ht="15" x14ac:dyDescent="0.25">
      <c r="A18" s="155">
        <v>1</v>
      </c>
      <c r="B18" s="73" t="s">
        <v>772</v>
      </c>
      <c r="C18" s="397">
        <f>18682*1.3</f>
        <v>24286.600000000002</v>
      </c>
      <c r="D18" s="568">
        <f>A18*C18</f>
        <v>24286.600000000002</v>
      </c>
      <c r="E18" s="190"/>
      <c r="F18" s="108"/>
      <c r="G18" s="108"/>
    </row>
    <row r="19" spans="1:7" s="191" customFormat="1" ht="45" x14ac:dyDescent="0.25">
      <c r="A19" s="155">
        <v>1</v>
      </c>
      <c r="B19" s="73" t="s">
        <v>771</v>
      </c>
      <c r="C19" s="397">
        <v>12500</v>
      </c>
      <c r="D19" s="398">
        <f>A19*C19</f>
        <v>12500</v>
      </c>
      <c r="E19" s="190"/>
      <c r="F19" s="108"/>
      <c r="G19" s="108"/>
    </row>
    <row r="20" spans="1:7" x14ac:dyDescent="0.25">
      <c r="A20" s="399"/>
      <c r="B20" s="556"/>
      <c r="C20" s="557"/>
      <c r="D20" s="154"/>
      <c r="E20" s="189"/>
    </row>
    <row r="21" spans="1:7" x14ac:dyDescent="0.25">
      <c r="A21" s="250"/>
      <c r="B21" s="250"/>
      <c r="C21" s="567" t="s">
        <v>160</v>
      </c>
      <c r="D21" s="154">
        <f>SUM(D16:D20)</f>
        <v>49286.600000000006</v>
      </c>
      <c r="E21" s="189"/>
    </row>
    <row r="22" spans="1:7" x14ac:dyDescent="0.25">
      <c r="A22" s="250"/>
      <c r="B22" s="250"/>
      <c r="C22" s="403" t="s">
        <v>161</v>
      </c>
      <c r="D22" s="154">
        <f>D21*0.16</f>
        <v>7885.8560000000007</v>
      </c>
      <c r="E22" s="189"/>
    </row>
    <row r="23" spans="1:7" ht="13.8" thickBot="1" x14ac:dyDescent="0.3">
      <c r="A23" s="250"/>
      <c r="B23" s="250"/>
      <c r="C23" s="559" t="s">
        <v>162</v>
      </c>
      <c r="D23" s="561">
        <f>D21+D22</f>
        <v>57172.456000000006</v>
      </c>
      <c r="E23" s="189"/>
    </row>
    <row r="24" spans="1:7" ht="13.8" thickBot="1" x14ac:dyDescent="0.3">
      <c r="A24" s="102"/>
      <c r="B24" s="1077" t="s">
        <v>770</v>
      </c>
      <c r="C24" s="1080"/>
      <c r="D24" s="1081"/>
      <c r="E24" s="189"/>
    </row>
    <row r="25" spans="1:7" x14ac:dyDescent="0.25">
      <c r="A25" s="102"/>
      <c r="B25" s="201"/>
      <c r="C25" s="253"/>
      <c r="D25" s="254"/>
    </row>
    <row r="26" spans="1:7" ht="13.8" x14ac:dyDescent="0.25">
      <c r="A26" s="102"/>
      <c r="B26" s="100" t="s">
        <v>9</v>
      </c>
      <c r="C26" s="104"/>
      <c r="D26" s="105"/>
    </row>
    <row r="27" spans="1:7" ht="13.5" customHeight="1" x14ac:dyDescent="0.25">
      <c r="A27" s="383"/>
      <c r="B27" s="387" t="s">
        <v>10</v>
      </c>
      <c r="C27" s="104"/>
      <c r="D27" s="105"/>
    </row>
    <row r="28" spans="1:7" ht="17.25" customHeight="1" x14ac:dyDescent="0.25">
      <c r="A28" s="390"/>
      <c r="B28" s="103" t="s">
        <v>11</v>
      </c>
      <c r="D28" s="105"/>
    </row>
    <row r="29" spans="1:7" ht="15" x14ac:dyDescent="0.25">
      <c r="A29" s="390"/>
      <c r="B29" s="123" t="s">
        <v>762</v>
      </c>
      <c r="D29" s="105"/>
    </row>
    <row r="30" spans="1:7" ht="13.5" customHeight="1" x14ac:dyDescent="0.25">
      <c r="A30" s="390"/>
      <c r="B30" s="123" t="s">
        <v>13</v>
      </c>
      <c r="D30" s="105"/>
    </row>
    <row r="31" spans="1:7" ht="15" x14ac:dyDescent="0.25">
      <c r="A31" s="390"/>
      <c r="B31" s="123" t="s">
        <v>14</v>
      </c>
      <c r="D31" s="105"/>
    </row>
    <row r="32" spans="1:7" ht="13.8" x14ac:dyDescent="0.25">
      <c r="A32" s="392"/>
      <c r="B32" s="103" t="s">
        <v>15</v>
      </c>
    </row>
    <row r="33" spans="1:5" ht="27.6" x14ac:dyDescent="0.25">
      <c r="A33" s="390"/>
      <c r="B33" s="295" t="s">
        <v>42</v>
      </c>
      <c r="E33" s="189"/>
    </row>
    <row r="34" spans="1:5" ht="41.4" x14ac:dyDescent="0.25">
      <c r="A34" s="390"/>
      <c r="B34" s="295" t="s">
        <v>165</v>
      </c>
      <c r="C34" s="109"/>
      <c r="D34" s="110"/>
      <c r="E34" s="189"/>
    </row>
    <row r="35" spans="1:5" ht="15" x14ac:dyDescent="0.25">
      <c r="A35" s="390"/>
      <c r="B35" s="103" t="s">
        <v>18</v>
      </c>
      <c r="C35" s="109"/>
      <c r="D35" s="110"/>
    </row>
    <row r="36" spans="1:5" ht="33.75" customHeight="1" x14ac:dyDescent="0.25">
      <c r="A36" s="390"/>
      <c r="B36" s="297" t="s">
        <v>761</v>
      </c>
      <c r="C36" s="109"/>
      <c r="D36" s="109"/>
    </row>
    <row r="37" spans="1:5" ht="15" x14ac:dyDescent="0.25">
      <c r="A37" s="390"/>
      <c r="B37" s="297" t="s">
        <v>20</v>
      </c>
      <c r="C37" s="109"/>
      <c r="D37" s="109"/>
    </row>
    <row r="38" spans="1:5" ht="13.8" x14ac:dyDescent="0.25">
      <c r="A38" s="392"/>
      <c r="B38" s="103" t="s">
        <v>21</v>
      </c>
      <c r="D38" s="105"/>
    </row>
    <row r="39" spans="1:5" ht="15" x14ac:dyDescent="0.25">
      <c r="A39" s="390"/>
      <c r="B39" s="123" t="s">
        <v>168</v>
      </c>
      <c r="C39" s="109"/>
      <c r="D39" s="110"/>
    </row>
    <row r="40" spans="1:5" ht="15" x14ac:dyDescent="0.25">
      <c r="A40" s="390"/>
      <c r="B40" s="123" t="s">
        <v>44</v>
      </c>
      <c r="C40" s="109"/>
      <c r="D40" s="110"/>
    </row>
    <row r="41" spans="1:5" ht="13.8" x14ac:dyDescent="0.25">
      <c r="A41" s="564" t="s">
        <v>0</v>
      </c>
      <c r="B41" s="123" t="s">
        <v>45</v>
      </c>
      <c r="C41" s="109"/>
    </row>
    <row r="42" spans="1:5" ht="50.4" x14ac:dyDescent="0.25">
      <c r="A42" s="565"/>
      <c r="B42" s="314" t="s">
        <v>169</v>
      </c>
      <c r="C42" s="220"/>
      <c r="D42" s="108"/>
    </row>
    <row r="43" spans="1:5" x14ac:dyDescent="0.25">
      <c r="A43" s="222"/>
      <c r="B43" s="181"/>
      <c r="C43" s="181"/>
      <c r="D43" s="108"/>
    </row>
    <row r="44" spans="1:5" x14ac:dyDescent="0.25">
      <c r="A44" s="222"/>
      <c r="B44" s="181"/>
      <c r="C44" s="181"/>
      <c r="D44" s="108"/>
    </row>
    <row r="45" spans="1:5" x14ac:dyDescent="0.25">
      <c r="A45" s="225"/>
      <c r="B45" s="223"/>
      <c r="C45" s="181"/>
      <c r="D45" s="108"/>
    </row>
    <row r="46" spans="1:5" ht="15" x14ac:dyDescent="0.35">
      <c r="A46" s="226" t="s">
        <v>0</v>
      </c>
      <c r="B46" s="224"/>
      <c r="C46" s="181"/>
      <c r="D46" s="181"/>
    </row>
    <row r="47" spans="1:5" x14ac:dyDescent="0.25">
      <c r="A47" s="108" t="s">
        <v>0</v>
      </c>
    </row>
    <row r="49" ht="12.75" customHeight="1" x14ac:dyDescent="0.25"/>
    <row r="53" ht="16.5" customHeight="1" x14ac:dyDescent="0.25"/>
    <row r="57" ht="15.75" customHeight="1" x14ac:dyDescent="0.25"/>
    <row r="58" ht="15" customHeight="1" x14ac:dyDescent="0.25"/>
  </sheetData>
  <mergeCells count="3">
    <mergeCell ref="A4:D4"/>
    <mergeCell ref="A15:D15"/>
    <mergeCell ref="B24:D24"/>
  </mergeCells>
  <printOptions horizontalCentered="1"/>
  <pageMargins left="0.59055118110236227" right="0.59055118110236227" top="0.19685039370078741" bottom="0.19685039370078741" header="0.19685039370078741" footer="0.19685039370078741"/>
  <pageSetup paperSize="9" scale="83" fitToWidth="0" orientation="portrait" r:id="rId1"/>
  <headerFooter alignWithMargins="0">
    <oddFooter>Página &amp;P de &amp;N</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0DE8-22D1-4C1D-A954-D451F64BD65A}">
  <sheetPr>
    <tabColor theme="4" tint="-0.249977111117893"/>
    <pageSetUpPr fitToPage="1"/>
  </sheetPr>
  <dimension ref="A1:G58"/>
  <sheetViews>
    <sheetView topLeftCell="A5" zoomScaleNormal="100" workbookViewId="0">
      <selection activeCell="B17" sqref="B17"/>
    </sheetView>
  </sheetViews>
  <sheetFormatPr baseColWidth="10" defaultColWidth="11.44140625" defaultRowHeight="13.2" x14ac:dyDescent="0.25"/>
  <cols>
    <col min="1" max="1" width="6" style="108" customWidth="1"/>
    <col min="2" max="2" width="74"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774</v>
      </c>
      <c r="B8" s="228"/>
      <c r="C8" s="229"/>
      <c r="D8" s="229"/>
    </row>
    <row r="9" spans="1:7" s="10" customFormat="1" ht="19.2" x14ac:dyDescent="0.45">
      <c r="A9" s="227" t="s">
        <v>775</v>
      </c>
      <c r="B9" s="228"/>
      <c r="C9" s="229"/>
      <c r="D9" s="229"/>
    </row>
    <row r="10" spans="1:7" s="10" customFormat="1" ht="19.2" x14ac:dyDescent="0.45">
      <c r="A10" s="227" t="s">
        <v>776</v>
      </c>
      <c r="B10" s="228"/>
      <c r="C10" s="229"/>
      <c r="D10" s="229"/>
    </row>
    <row r="11" spans="1:7" s="10" customFormat="1" ht="19.2" x14ac:dyDescent="0.45">
      <c r="A11" s="227" t="s">
        <v>777</v>
      </c>
      <c r="B11" s="228"/>
      <c r="C11" s="230"/>
      <c r="D11" s="229"/>
    </row>
    <row r="12" spans="1:7" s="10" customFormat="1" ht="15" customHeight="1" x14ac:dyDescent="0.45">
      <c r="A12" s="227" t="s">
        <v>286</v>
      </c>
      <c r="B12" s="228"/>
      <c r="C12" s="230"/>
      <c r="D12" s="229"/>
    </row>
    <row r="13" spans="1:7" s="10" customFormat="1" ht="15" customHeight="1" x14ac:dyDescent="0.45">
      <c r="A13" s="227" t="s">
        <v>6</v>
      </c>
      <c r="B13" s="231"/>
      <c r="C13" s="232"/>
      <c r="D13" s="233"/>
    </row>
    <row r="14" spans="1:7" s="10" customFormat="1" ht="15" customHeight="1" x14ac:dyDescent="0.45">
      <c r="A14" s="234" t="s">
        <v>778</v>
      </c>
      <c r="B14" s="231"/>
      <c r="C14" s="232"/>
      <c r="D14" s="233"/>
      <c r="E14" s="188"/>
      <c r="F14" s="188"/>
      <c r="G14" s="188"/>
    </row>
    <row r="15" spans="1:7" s="188" customFormat="1" ht="16.2" customHeight="1" x14ac:dyDescent="0.25">
      <c r="A15" s="1053" t="s">
        <v>150</v>
      </c>
      <c r="B15" s="1054"/>
      <c r="C15" s="1055"/>
      <c r="D15" s="1056"/>
      <c r="E15" s="108"/>
      <c r="F15" s="108"/>
      <c r="G15" s="108"/>
    </row>
    <row r="16" spans="1:7" x14ac:dyDescent="0.25">
      <c r="A16" s="148"/>
      <c r="B16" s="149"/>
      <c r="C16" s="150"/>
      <c r="D16" s="150"/>
      <c r="E16" s="190"/>
      <c r="F16" s="191"/>
      <c r="G16" s="191"/>
    </row>
    <row r="17" spans="1:7" s="191" customFormat="1" ht="45" x14ac:dyDescent="0.25">
      <c r="A17" s="155">
        <v>1</v>
      </c>
      <c r="B17" s="73" t="s">
        <v>779</v>
      </c>
      <c r="C17" s="79">
        <f>(150*90)*2.2</f>
        <v>29700.000000000004</v>
      </c>
      <c r="D17" s="80">
        <f>A17*C17</f>
        <v>29700.000000000004</v>
      </c>
      <c r="E17" s="190"/>
      <c r="F17" s="108"/>
      <c r="G17" s="108"/>
    </row>
    <row r="18" spans="1:7" s="191" customFormat="1" ht="75" x14ac:dyDescent="0.25">
      <c r="A18" s="429">
        <v>1</v>
      </c>
      <c r="B18" s="73" t="s">
        <v>445</v>
      </c>
      <c r="C18" s="428">
        <f>(5500+(25*128))*(1.3)</f>
        <v>11310</v>
      </c>
      <c r="D18" s="75">
        <f>(5500+(25*128))*(1.3)</f>
        <v>11310</v>
      </c>
      <c r="E18" s="190"/>
      <c r="F18" s="108"/>
      <c r="G18" s="108"/>
    </row>
    <row r="19" spans="1:7" s="191" customFormat="1" x14ac:dyDescent="0.25">
      <c r="A19" s="399"/>
      <c r="B19" s="556"/>
      <c r="C19" s="557"/>
      <c r="D19" s="154"/>
      <c r="E19" s="190"/>
      <c r="F19" s="108"/>
      <c r="G19" s="108"/>
    </row>
    <row r="20" spans="1:7" ht="15.6" x14ac:dyDescent="0.25">
      <c r="A20" s="555"/>
      <c r="B20" s="558"/>
      <c r="C20" s="403" t="s">
        <v>160</v>
      </c>
      <c r="D20" s="83">
        <f>SUM(D16:D19)</f>
        <v>41010</v>
      </c>
      <c r="E20" s="189"/>
    </row>
    <row r="21" spans="1:7" ht="15.6" x14ac:dyDescent="0.25">
      <c r="A21" s="250"/>
      <c r="B21" s="250"/>
      <c r="C21" s="403" t="s">
        <v>161</v>
      </c>
      <c r="D21" s="83">
        <f>D20*0.16</f>
        <v>6561.6</v>
      </c>
      <c r="E21" s="189"/>
    </row>
    <row r="22" spans="1:7" ht="16.2" thickBot="1" x14ac:dyDescent="0.3">
      <c r="A22" s="250"/>
      <c r="B22" s="250"/>
      <c r="C22" s="559" t="s">
        <v>162</v>
      </c>
      <c r="D22" s="477">
        <f>D20+D21</f>
        <v>47571.6</v>
      </c>
      <c r="E22" s="189"/>
    </row>
    <row r="23" spans="1:7" ht="16.2" thickBot="1" x14ac:dyDescent="0.3">
      <c r="A23" s="102"/>
      <c r="B23" s="1064" t="s">
        <v>780</v>
      </c>
      <c r="C23" s="1082"/>
      <c r="D23" s="1083"/>
      <c r="E23" s="189"/>
    </row>
    <row r="24" spans="1:7" x14ac:dyDescent="0.25">
      <c r="A24" s="102"/>
      <c r="B24" s="201"/>
      <c r="C24" s="253"/>
      <c r="D24" s="254"/>
      <c r="E24" s="189"/>
    </row>
    <row r="25" spans="1:7" ht="13.8" x14ac:dyDescent="0.25">
      <c r="A25" s="102"/>
      <c r="B25" s="100" t="s">
        <v>9</v>
      </c>
      <c r="C25" s="104"/>
      <c r="D25" s="105"/>
    </row>
    <row r="26" spans="1:7" ht="17.399999999999999" x14ac:dyDescent="0.25">
      <c r="A26" s="383"/>
      <c r="B26" s="387" t="s">
        <v>10</v>
      </c>
      <c r="C26" s="104"/>
      <c r="D26" s="105"/>
    </row>
    <row r="27" spans="1:7" ht="13.5" customHeight="1" x14ac:dyDescent="0.25">
      <c r="A27" s="390"/>
      <c r="B27" s="103" t="s">
        <v>11</v>
      </c>
      <c r="D27" s="105"/>
    </row>
    <row r="28" spans="1:7" ht="17.25" customHeight="1" x14ac:dyDescent="0.25">
      <c r="A28" s="390"/>
      <c r="B28" s="123" t="s">
        <v>762</v>
      </c>
      <c r="D28" s="105"/>
    </row>
    <row r="29" spans="1:7" ht="15" x14ac:dyDescent="0.25">
      <c r="A29" s="390"/>
      <c r="B29" s="123" t="s">
        <v>13</v>
      </c>
      <c r="D29" s="105"/>
    </row>
    <row r="30" spans="1:7" ht="13.5" customHeight="1" x14ac:dyDescent="0.25">
      <c r="A30" s="390"/>
      <c r="B30" s="123" t="s">
        <v>14</v>
      </c>
      <c r="D30" s="105"/>
    </row>
    <row r="31" spans="1:7" ht="13.8" x14ac:dyDescent="0.25">
      <c r="A31" s="392"/>
      <c r="B31" s="103" t="s">
        <v>15</v>
      </c>
    </row>
    <row r="32" spans="1:7" ht="27.6" x14ac:dyDescent="0.25">
      <c r="A32" s="390"/>
      <c r="B32" s="295" t="s">
        <v>42</v>
      </c>
    </row>
    <row r="33" spans="1:5" ht="41.4" x14ac:dyDescent="0.25">
      <c r="A33" s="390"/>
      <c r="B33" s="295" t="s">
        <v>165</v>
      </c>
      <c r="C33" s="109"/>
      <c r="D33" s="110"/>
      <c r="E33" s="189"/>
    </row>
    <row r="34" spans="1:5" ht="15" x14ac:dyDescent="0.25">
      <c r="A34" s="390"/>
      <c r="B34" s="103" t="s">
        <v>18</v>
      </c>
      <c r="C34" s="109"/>
      <c r="D34" s="110"/>
      <c r="E34" s="189"/>
    </row>
    <row r="35" spans="1:5" ht="27.6" x14ac:dyDescent="0.25">
      <c r="A35" s="390"/>
      <c r="B35" s="297" t="s">
        <v>761</v>
      </c>
      <c r="C35" s="109"/>
      <c r="D35" s="109"/>
    </row>
    <row r="36" spans="1:5" ht="33.75" customHeight="1" x14ac:dyDescent="0.25">
      <c r="A36" s="390"/>
      <c r="B36" s="297" t="s">
        <v>20</v>
      </c>
      <c r="C36" s="109"/>
      <c r="D36" s="109"/>
    </row>
    <row r="37" spans="1:5" ht="13.8" x14ac:dyDescent="0.25">
      <c r="A37" s="392"/>
      <c r="B37" s="103" t="s">
        <v>21</v>
      </c>
      <c r="D37" s="105"/>
    </row>
    <row r="38" spans="1:5" ht="15" x14ac:dyDescent="0.25">
      <c r="A38" s="390"/>
      <c r="B38" s="123" t="s">
        <v>781</v>
      </c>
      <c r="C38" s="109"/>
      <c r="D38" s="110"/>
    </row>
    <row r="39" spans="1:5" ht="15" x14ac:dyDescent="0.25">
      <c r="A39" s="390"/>
      <c r="B39" s="123" t="s">
        <v>44</v>
      </c>
      <c r="C39" s="109"/>
      <c r="D39" s="110"/>
    </row>
    <row r="40" spans="1:5" ht="13.8" x14ac:dyDescent="0.25">
      <c r="A40" s="564" t="s">
        <v>0</v>
      </c>
      <c r="B40" s="123" t="s">
        <v>45</v>
      </c>
      <c r="C40" s="109"/>
    </row>
    <row r="41" spans="1:5" ht="50.4" x14ac:dyDescent="0.25">
      <c r="A41" s="565"/>
      <c r="B41" s="314" t="s">
        <v>169</v>
      </c>
      <c r="C41" s="220"/>
      <c r="D41" s="108"/>
    </row>
    <row r="42" spans="1:5" x14ac:dyDescent="0.25">
      <c r="A42" s="222"/>
      <c r="B42" s="181"/>
      <c r="C42" s="181"/>
      <c r="D42" s="108"/>
    </row>
    <row r="43" spans="1:5" x14ac:dyDescent="0.25">
      <c r="A43" s="222"/>
      <c r="B43" s="181"/>
      <c r="C43" s="181"/>
      <c r="D43" s="108"/>
    </row>
    <row r="44" spans="1:5" x14ac:dyDescent="0.25">
      <c r="A44" s="225"/>
      <c r="B44" s="223"/>
      <c r="C44" s="181"/>
      <c r="D44" s="108"/>
    </row>
    <row r="45" spans="1:5" ht="15" x14ac:dyDescent="0.35">
      <c r="A45" s="226" t="s">
        <v>0</v>
      </c>
      <c r="B45" s="224"/>
      <c r="C45" s="181"/>
      <c r="D45" s="181"/>
    </row>
    <row r="46" spans="1:5" x14ac:dyDescent="0.25">
      <c r="A46" s="108" t="s">
        <v>0</v>
      </c>
    </row>
    <row r="49" ht="12.75" customHeight="1" x14ac:dyDescent="0.25"/>
    <row r="53" ht="16.5" customHeight="1" x14ac:dyDescent="0.25"/>
    <row r="57" ht="15.75" customHeight="1" x14ac:dyDescent="0.25"/>
    <row r="58" ht="15" customHeight="1" x14ac:dyDescent="0.25"/>
  </sheetData>
  <mergeCells count="3">
    <mergeCell ref="A4:D4"/>
    <mergeCell ref="A15:D15"/>
    <mergeCell ref="B23:D23"/>
  </mergeCells>
  <printOptions horizontalCentered="1"/>
  <pageMargins left="0.59055118110236227" right="0.59055118110236227" top="0.19685039370078741" bottom="0.19685039370078741" header="0.19685039370078741" footer="0.19685039370078741"/>
  <pageSetup paperSize="9" scale="83" fitToWidth="0" orientation="portrait" r:id="rId1"/>
  <headerFooter alignWithMargins="0">
    <oddFooter>Página &amp;P de &amp;N</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362F-5960-4403-8D6A-BEF3AFECF4D6}">
  <sheetPr>
    <pageSetUpPr fitToPage="1"/>
  </sheetPr>
  <dimension ref="A1:E66"/>
  <sheetViews>
    <sheetView topLeftCell="A10" zoomScaleNormal="100" workbookViewId="0">
      <selection activeCell="B22" sqref="B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446</v>
      </c>
      <c r="B8" s="10"/>
      <c r="C8" s="58"/>
      <c r="D8" s="58"/>
    </row>
    <row r="9" spans="1:5" s="55" customFormat="1" ht="16.8" x14ac:dyDescent="0.4">
      <c r="A9" s="57" t="s">
        <v>447</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449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429">
        <v>1</v>
      </c>
      <c r="B16" s="73" t="s">
        <v>445</v>
      </c>
      <c r="C16" s="428">
        <f>(5500+(25*128))*(1.3)</f>
        <v>11310</v>
      </c>
      <c r="D16" s="75">
        <f>(5500+(25*128))*(1.3)</f>
        <v>11310</v>
      </c>
      <c r="E16" s="76"/>
    </row>
    <row r="17" spans="1:5" ht="36" customHeight="1" x14ac:dyDescent="0.25">
      <c r="A17" s="72">
        <v>1</v>
      </c>
      <c r="B17" s="73" t="s">
        <v>441</v>
      </c>
      <c r="C17" s="74">
        <v>14500</v>
      </c>
      <c r="D17" s="75">
        <f>A17*C17</f>
        <v>14500</v>
      </c>
      <c r="E17" s="76"/>
    </row>
    <row r="18" spans="1:5" ht="45" x14ac:dyDescent="0.25">
      <c r="A18" s="72">
        <v>1</v>
      </c>
      <c r="B18" s="73" t="s">
        <v>444</v>
      </c>
      <c r="C18" s="74">
        <v>25000</v>
      </c>
      <c r="D18" s="75">
        <f>A18*C18</f>
        <v>25000</v>
      </c>
      <c r="E18" s="76"/>
    </row>
    <row r="19" spans="1:5" ht="15.6" x14ac:dyDescent="0.25">
      <c r="A19" s="72">
        <v>1</v>
      </c>
      <c r="B19" s="73" t="s">
        <v>442</v>
      </c>
      <c r="C19" s="74">
        <f>6797/2</f>
        <v>3398.5</v>
      </c>
      <c r="D19" s="75">
        <f>C19*A19</f>
        <v>3398.5</v>
      </c>
      <c r="E19" s="76"/>
    </row>
    <row r="20" spans="1:5" ht="15.6" x14ac:dyDescent="0.25">
      <c r="A20" s="72">
        <v>1</v>
      </c>
      <c r="B20" s="73" t="s">
        <v>443</v>
      </c>
      <c r="C20" s="74">
        <f>5664/2</f>
        <v>2832</v>
      </c>
      <c r="D20" s="75">
        <f>A20*C20</f>
        <v>2832</v>
      </c>
      <c r="E20" s="76"/>
    </row>
    <row r="21" spans="1:5" ht="15.6" x14ac:dyDescent="0.25">
      <c r="A21" s="571">
        <v>2</v>
      </c>
      <c r="B21" s="572" t="s">
        <v>270</v>
      </c>
      <c r="C21" s="573">
        <v>320</v>
      </c>
      <c r="D21" s="95">
        <f>A21*C21</f>
        <v>640</v>
      </c>
      <c r="E21" s="76"/>
    </row>
    <row r="22" spans="1:5" ht="30" x14ac:dyDescent="0.25">
      <c r="A22" s="72">
        <v>1</v>
      </c>
      <c r="B22" s="73" t="s">
        <v>494</v>
      </c>
      <c r="C22" s="74">
        <v>4000</v>
      </c>
      <c r="D22" s="75">
        <f>A22*C22</f>
        <v>4000</v>
      </c>
      <c r="E22" s="76"/>
    </row>
    <row r="23" spans="1:5" ht="18.75" customHeight="1" x14ac:dyDescent="0.25">
      <c r="A23" s="72">
        <v>1</v>
      </c>
      <c r="B23" s="73" t="s">
        <v>259</v>
      </c>
      <c r="C23" s="74">
        <v>2600</v>
      </c>
      <c r="D23" s="75">
        <f>A23*C23</f>
        <v>2600</v>
      </c>
      <c r="E23" s="76"/>
    </row>
    <row r="24" spans="1:5" ht="18.75" customHeight="1" x14ac:dyDescent="0.25">
      <c r="A24" s="570"/>
      <c r="B24" s="418"/>
      <c r="C24" s="418"/>
      <c r="D24" s="418"/>
      <c r="E24" s="76"/>
    </row>
    <row r="25" spans="1:5" ht="15.75" customHeight="1" x14ac:dyDescent="0.25">
      <c r="A25" s="89"/>
      <c r="B25" s="90"/>
      <c r="C25" s="304" t="s">
        <v>38</v>
      </c>
      <c r="D25" s="75">
        <f>SUM(D16:D23)</f>
        <v>64280.5</v>
      </c>
    </row>
    <row r="26" spans="1:5" s="96" customFormat="1" ht="19.5" customHeight="1" x14ac:dyDescent="0.3">
      <c r="A26" s="92"/>
      <c r="B26" s="90"/>
      <c r="C26" s="305" t="s">
        <v>39</v>
      </c>
      <c r="D26" s="75">
        <f>D25*0.16</f>
        <v>10284.880000000001</v>
      </c>
    </row>
    <row r="27" spans="1:5" s="96" customFormat="1" ht="15.75" customHeight="1" thickBot="1" x14ac:dyDescent="0.35">
      <c r="A27" s="92"/>
      <c r="B27" s="501"/>
      <c r="C27" s="306" t="s">
        <v>40</v>
      </c>
      <c r="D27" s="95">
        <f>D25+D26</f>
        <v>74565.38</v>
      </c>
    </row>
    <row r="28" spans="1:5" ht="13.5" customHeight="1" thickBot="1" x14ac:dyDescent="0.3">
      <c r="A28" s="92"/>
      <c r="B28" s="1023" t="s">
        <v>647</v>
      </c>
      <c r="C28" s="1024"/>
      <c r="D28" s="1025"/>
    </row>
    <row r="29" spans="1:5" ht="13.5" customHeight="1" x14ac:dyDescent="0.25">
      <c r="B29" s="97" t="s">
        <v>9</v>
      </c>
      <c r="C29" s="98"/>
      <c r="D29" s="99"/>
    </row>
    <row r="30" spans="1:5" ht="13.5" customHeight="1" x14ac:dyDescent="0.25">
      <c r="B30" s="255"/>
      <c r="C30" s="76"/>
      <c r="D30" s="96"/>
    </row>
    <row r="31" spans="1:5" ht="13.8" x14ac:dyDescent="0.25">
      <c r="A31" s="426"/>
      <c r="B31" s="103" t="s">
        <v>11</v>
      </c>
      <c r="C31" s="96"/>
      <c r="D31" s="96"/>
    </row>
    <row r="32" spans="1:5" ht="15" x14ac:dyDescent="0.25">
      <c r="A32" s="427"/>
      <c r="B32" s="123" t="s">
        <v>12</v>
      </c>
      <c r="C32" s="52"/>
      <c r="D32" s="52"/>
    </row>
    <row r="33" spans="1:4" ht="13.5" customHeight="1" x14ac:dyDescent="0.25">
      <c r="A33" s="427"/>
      <c r="B33" s="123" t="s">
        <v>13</v>
      </c>
      <c r="C33" s="52"/>
      <c r="D33" s="52"/>
    </row>
    <row r="34" spans="1:4" ht="13.5" customHeight="1" x14ac:dyDescent="0.25">
      <c r="A34" s="427"/>
      <c r="B34" s="123" t="s">
        <v>14</v>
      </c>
      <c r="C34" s="52"/>
      <c r="D34" s="52"/>
    </row>
    <row r="35" spans="1:4" ht="13.5" customHeight="1" x14ac:dyDescent="0.25">
      <c r="A35" s="383"/>
      <c r="B35" s="103" t="s">
        <v>15</v>
      </c>
      <c r="C35" s="52"/>
      <c r="D35" s="52"/>
    </row>
    <row r="36" spans="1:4" ht="13.5" customHeight="1" x14ac:dyDescent="0.25">
      <c r="A36" s="383"/>
      <c r="B36" s="295" t="s">
        <v>42</v>
      </c>
      <c r="C36" s="104"/>
      <c r="D36" s="105"/>
    </row>
    <row r="37" spans="1:4" ht="13.5" customHeight="1" x14ac:dyDescent="0.25">
      <c r="A37" s="390"/>
      <c r="B37" s="295" t="s">
        <v>43</v>
      </c>
      <c r="C37" s="104"/>
      <c r="D37" s="105"/>
    </row>
    <row r="38" spans="1:4" ht="15" x14ac:dyDescent="0.25">
      <c r="A38" s="390"/>
      <c r="B38" s="103" t="s">
        <v>18</v>
      </c>
      <c r="C38" s="107"/>
      <c r="D38" s="105"/>
    </row>
    <row r="39" spans="1:4" ht="15" x14ac:dyDescent="0.25">
      <c r="A39" s="390"/>
      <c r="B39" s="313" t="s">
        <v>450</v>
      </c>
      <c r="C39" s="107"/>
      <c r="D39" s="105"/>
    </row>
    <row r="40" spans="1:4" ht="15" x14ac:dyDescent="0.25">
      <c r="A40" s="390"/>
      <c r="B40" s="297" t="s">
        <v>20</v>
      </c>
      <c r="C40" s="107"/>
      <c r="D40" s="105"/>
    </row>
    <row r="41" spans="1:4" ht="13.8" x14ac:dyDescent="0.25">
      <c r="A41" s="392"/>
      <c r="B41" s="103" t="s">
        <v>21</v>
      </c>
      <c r="C41" s="107"/>
      <c r="D41" s="105"/>
    </row>
    <row r="42" spans="1:4" ht="15" x14ac:dyDescent="0.25">
      <c r="A42" s="390"/>
      <c r="B42" s="122" t="s">
        <v>262</v>
      </c>
      <c r="C42" s="107"/>
      <c r="D42" s="107"/>
    </row>
    <row r="43" spans="1:4" ht="15" x14ac:dyDescent="0.25">
      <c r="A43" s="390"/>
      <c r="B43" s="123" t="s">
        <v>44</v>
      </c>
      <c r="C43" s="107"/>
      <c r="D43" s="107"/>
    </row>
    <row r="44" spans="1:4" ht="15" x14ac:dyDescent="0.25">
      <c r="A44" s="390"/>
      <c r="B44" s="123" t="s">
        <v>45</v>
      </c>
      <c r="C44" s="109"/>
      <c r="D44" s="110"/>
    </row>
    <row r="45" spans="1:4" ht="33.6" x14ac:dyDescent="0.25">
      <c r="A45" s="390"/>
      <c r="B45" s="314" t="s">
        <v>23</v>
      </c>
      <c r="C45" s="109"/>
      <c r="D45" s="110"/>
    </row>
    <row r="46" spans="1:4" ht="16.8" x14ac:dyDescent="0.4">
      <c r="A46" s="106"/>
      <c r="B46" s="111"/>
      <c r="C46" s="109"/>
      <c r="D46" s="109"/>
    </row>
    <row r="47" spans="1:4" ht="13.8" x14ac:dyDescent="0.25">
      <c r="A47" s="108"/>
      <c r="B47" s="112"/>
      <c r="C47" s="109"/>
      <c r="D47" s="109"/>
    </row>
    <row r="48" spans="1:4" ht="15" x14ac:dyDescent="0.25">
      <c r="A48" s="106"/>
      <c r="B48" s="112"/>
      <c r="C48" s="107"/>
      <c r="D48" s="105"/>
    </row>
    <row r="49" spans="1:4" ht="15" x14ac:dyDescent="0.25">
      <c r="A49" s="106"/>
      <c r="B49" s="113"/>
      <c r="C49" s="109"/>
      <c r="D49" s="110"/>
    </row>
    <row r="50" spans="1:4" ht="16.2" x14ac:dyDescent="0.35">
      <c r="A50" s="106"/>
      <c r="B50" s="114"/>
      <c r="C50" s="109"/>
      <c r="D50" s="110"/>
    </row>
    <row r="51" spans="1:4" ht="13.8" x14ac:dyDescent="0.25">
      <c r="A51" s="115" t="s">
        <v>0</v>
      </c>
      <c r="C51" s="109"/>
      <c r="D51" s="110"/>
    </row>
    <row r="52" spans="1:4" ht="13.8" x14ac:dyDescent="0.25">
      <c r="A52" s="116"/>
      <c r="C52" s="109"/>
      <c r="D52" s="109"/>
    </row>
    <row r="53" spans="1:4" ht="13.8" x14ac:dyDescent="0.25">
      <c r="A53" s="117"/>
      <c r="C53" s="118"/>
      <c r="D53" s="118"/>
    </row>
    <row r="54" spans="1:4" x14ac:dyDescent="0.25">
      <c r="A54" s="117"/>
      <c r="C54" s="112"/>
      <c r="D54" s="52"/>
    </row>
    <row r="55" spans="1:4" x14ac:dyDescent="0.25">
      <c r="A55" s="119"/>
      <c r="C55" s="112"/>
      <c r="D55" s="52"/>
    </row>
    <row r="56" spans="1:4" x14ac:dyDescent="0.25">
      <c r="A56" s="120" t="s">
        <v>0</v>
      </c>
      <c r="C56" s="112"/>
      <c r="D56" s="52"/>
    </row>
    <row r="57" spans="1:4" ht="15.75" customHeight="1" x14ac:dyDescent="0.25">
      <c r="A57" s="52" t="s">
        <v>0</v>
      </c>
      <c r="C57" s="112"/>
      <c r="D57" s="112"/>
    </row>
    <row r="61" spans="1:4" ht="16.5" customHeight="1" x14ac:dyDescent="0.25"/>
    <row r="65" ht="24" customHeight="1" x14ac:dyDescent="0.25"/>
    <row r="66" ht="24" customHeight="1" x14ac:dyDescent="0.25"/>
  </sheetData>
  <mergeCells count="3">
    <mergeCell ref="A4:D4"/>
    <mergeCell ref="A13:D13"/>
    <mergeCell ref="B28:D28"/>
  </mergeCells>
  <pageMargins left="0.25" right="0.25" top="0.75" bottom="0.75" header="0.3" footer="0.3"/>
  <pageSetup scale="64" fitToHeight="0"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DD26-24C0-4E69-8EF5-53B218F26F9C}">
  <sheetPr>
    <pageSetUpPr fitToPage="1"/>
  </sheetPr>
  <dimension ref="A1:E66"/>
  <sheetViews>
    <sheetView topLeftCell="A9" zoomScaleNormal="100" workbookViewId="0">
      <selection activeCell="B16" sqref="B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790</v>
      </c>
      <c r="B8" s="10"/>
      <c r="C8" s="58"/>
      <c r="D8" s="58"/>
    </row>
    <row r="9" spans="1:5" s="55" customFormat="1" ht="16.8" x14ac:dyDescent="0.4">
      <c r="A9" s="57" t="s">
        <v>791</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789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429">
        <v>1</v>
      </c>
      <c r="B16" s="73" t="s">
        <v>445</v>
      </c>
      <c r="C16" s="428">
        <f>(5500+(25*128))*(1.46)</f>
        <v>12702</v>
      </c>
      <c r="D16" s="75">
        <f>(5500+(25*128))*(1.3)</f>
        <v>11310</v>
      </c>
      <c r="E16" s="76"/>
    </row>
    <row r="17" spans="1:5" ht="36" customHeight="1" x14ac:dyDescent="0.25">
      <c r="A17" s="72">
        <v>1</v>
      </c>
      <c r="B17" s="73" t="s">
        <v>441</v>
      </c>
      <c r="C17" s="74">
        <v>12500</v>
      </c>
      <c r="D17" s="75">
        <f>A17*C17</f>
        <v>12500</v>
      </c>
      <c r="E17" s="76"/>
    </row>
    <row r="18" spans="1:5" ht="45" x14ac:dyDescent="0.25">
      <c r="A18" s="72">
        <v>1</v>
      </c>
      <c r="B18" s="73" t="s">
        <v>444</v>
      </c>
      <c r="C18" s="74">
        <v>22000</v>
      </c>
      <c r="D18" s="75">
        <f>A18*C18</f>
        <v>22000</v>
      </c>
      <c r="E18" s="76"/>
    </row>
    <row r="19" spans="1:5" ht="15.6" x14ac:dyDescent="0.25">
      <c r="A19" s="72">
        <v>1</v>
      </c>
      <c r="B19" s="73" t="s">
        <v>442</v>
      </c>
      <c r="C19" s="74">
        <f>6797/2</f>
        <v>3398.5</v>
      </c>
      <c r="D19" s="75">
        <f>C19*A19</f>
        <v>3398.5</v>
      </c>
      <c r="E19" s="76"/>
    </row>
    <row r="20" spans="1:5" ht="15.6" x14ac:dyDescent="0.25">
      <c r="A20" s="72">
        <v>1</v>
      </c>
      <c r="B20" s="73" t="s">
        <v>443</v>
      </c>
      <c r="C20" s="74">
        <f>5664/2</f>
        <v>2832</v>
      </c>
      <c r="D20" s="75">
        <f>A20*C20</f>
        <v>2832</v>
      </c>
      <c r="E20" s="76"/>
    </row>
    <row r="21" spans="1:5" ht="15.6" x14ac:dyDescent="0.25">
      <c r="A21" s="571">
        <v>2</v>
      </c>
      <c r="B21" s="572" t="s">
        <v>270</v>
      </c>
      <c r="C21" s="573">
        <v>320</v>
      </c>
      <c r="D21" s="95">
        <f>A21*C21</f>
        <v>640</v>
      </c>
      <c r="E21" s="76"/>
    </row>
    <row r="22" spans="1:5" ht="30" x14ac:dyDescent="0.25">
      <c r="A22" s="72">
        <v>1</v>
      </c>
      <c r="B22" s="73" t="s">
        <v>494</v>
      </c>
      <c r="C22" s="74">
        <v>4000</v>
      </c>
      <c r="D22" s="75">
        <f>A22*C22</f>
        <v>4000</v>
      </c>
      <c r="E22" s="76"/>
    </row>
    <row r="23" spans="1:5" ht="18.75" customHeight="1" x14ac:dyDescent="0.25">
      <c r="A23" s="72">
        <v>1</v>
      </c>
      <c r="B23" s="73" t="s">
        <v>259</v>
      </c>
      <c r="C23" s="74">
        <v>2000</v>
      </c>
      <c r="D23" s="75">
        <f>A23*C23</f>
        <v>2000</v>
      </c>
      <c r="E23" s="76"/>
    </row>
    <row r="24" spans="1:5" ht="15.6" x14ac:dyDescent="0.25">
      <c r="A24" s="72"/>
      <c r="B24" s="75"/>
      <c r="C24" s="75"/>
      <c r="D24" s="75"/>
      <c r="E24" s="76"/>
    </row>
    <row r="25" spans="1:5" ht="15.75" customHeight="1" thickBot="1" x14ac:dyDescent="0.3">
      <c r="A25" s="89"/>
      <c r="B25" s="90"/>
      <c r="C25" s="304" t="s">
        <v>38</v>
      </c>
      <c r="D25" s="75">
        <f>SUM(D16:D23)</f>
        <v>58680.5</v>
      </c>
    </row>
    <row r="26" spans="1:5" s="96" customFormat="1" ht="19.5" customHeight="1" thickBot="1" x14ac:dyDescent="0.3">
      <c r="A26" s="92"/>
      <c r="B26" s="1023" t="s">
        <v>788</v>
      </c>
      <c r="C26" s="1024"/>
      <c r="D26" s="1025"/>
      <c r="E26" s="52"/>
    </row>
    <row r="27" spans="1:5" s="96" customFormat="1" ht="15.75" customHeight="1" x14ac:dyDescent="0.25">
      <c r="A27" s="52"/>
      <c r="B27" s="97" t="s">
        <v>9</v>
      </c>
      <c r="C27" s="98"/>
      <c r="D27" s="99"/>
      <c r="E27" s="52"/>
    </row>
    <row r="28" spans="1:5" ht="13.5" customHeight="1" x14ac:dyDescent="0.25">
      <c r="B28" s="255"/>
      <c r="C28" s="76"/>
      <c r="D28" s="96"/>
    </row>
    <row r="29" spans="1:5" ht="13.5" customHeight="1" x14ac:dyDescent="0.25">
      <c r="A29" s="426"/>
      <c r="B29" s="103" t="s">
        <v>11</v>
      </c>
      <c r="C29" s="96"/>
      <c r="D29" s="96"/>
    </row>
    <row r="30" spans="1:5" ht="13.5" customHeight="1" x14ac:dyDescent="0.25">
      <c r="A30" s="427"/>
      <c r="B30" s="123" t="s">
        <v>12</v>
      </c>
      <c r="C30" s="52"/>
      <c r="D30" s="52"/>
    </row>
    <row r="31" spans="1:5" ht="15" x14ac:dyDescent="0.25">
      <c r="A31" s="427"/>
      <c r="B31" s="123" t="s">
        <v>13</v>
      </c>
      <c r="C31" s="52"/>
      <c r="D31" s="52"/>
    </row>
    <row r="32" spans="1:5" ht="15" x14ac:dyDescent="0.25">
      <c r="A32" s="427"/>
      <c r="B32" s="123" t="s">
        <v>14</v>
      </c>
      <c r="C32" s="52"/>
      <c r="D32" s="52"/>
    </row>
    <row r="33" spans="1:4" ht="13.5" customHeight="1" x14ac:dyDescent="0.25">
      <c r="A33" s="383"/>
      <c r="B33" s="103" t="s">
        <v>15</v>
      </c>
      <c r="C33" s="52"/>
      <c r="D33" s="52"/>
    </row>
    <row r="34" spans="1:4" ht="13.5" customHeight="1" x14ac:dyDescent="0.25">
      <c r="A34" s="383"/>
      <c r="B34" s="295" t="s">
        <v>42</v>
      </c>
      <c r="C34" s="104"/>
      <c r="D34" s="105"/>
    </row>
    <row r="35" spans="1:4" ht="13.5" customHeight="1" x14ac:dyDescent="0.25">
      <c r="A35" s="390"/>
      <c r="B35" s="295" t="s">
        <v>43</v>
      </c>
      <c r="C35" s="104"/>
      <c r="D35" s="105"/>
    </row>
    <row r="36" spans="1:4" ht="13.5" customHeight="1" x14ac:dyDescent="0.25">
      <c r="A36" s="390"/>
      <c r="B36" s="103" t="s">
        <v>18</v>
      </c>
      <c r="C36" s="107"/>
      <c r="D36" s="105"/>
    </row>
    <row r="37" spans="1:4" ht="13.5" customHeight="1" x14ac:dyDescent="0.25">
      <c r="A37" s="390"/>
      <c r="B37" s="313" t="s">
        <v>450</v>
      </c>
      <c r="C37" s="107"/>
      <c r="D37" s="105"/>
    </row>
    <row r="38" spans="1:4" ht="15" x14ac:dyDescent="0.25">
      <c r="A38" s="390"/>
      <c r="B38" s="297" t="s">
        <v>20</v>
      </c>
      <c r="C38" s="107"/>
      <c r="D38" s="105"/>
    </row>
    <row r="39" spans="1:4" ht="13.8" x14ac:dyDescent="0.25">
      <c r="A39" s="392"/>
      <c r="B39" s="103" t="s">
        <v>21</v>
      </c>
      <c r="C39" s="107"/>
      <c r="D39" s="105"/>
    </row>
    <row r="40" spans="1:4" ht="15" x14ac:dyDescent="0.25">
      <c r="A40" s="390"/>
      <c r="B40" s="122" t="s">
        <v>262</v>
      </c>
      <c r="C40" s="107"/>
      <c r="D40" s="107"/>
    </row>
    <row r="41" spans="1:4" ht="15" x14ac:dyDescent="0.25">
      <c r="A41" s="390"/>
      <c r="B41" s="123" t="s">
        <v>44</v>
      </c>
      <c r="C41" s="107"/>
      <c r="D41" s="107"/>
    </row>
    <row r="42" spans="1:4" ht="15" x14ac:dyDescent="0.25">
      <c r="A42" s="390"/>
      <c r="B42" s="123" t="s">
        <v>45</v>
      </c>
      <c r="C42" s="109"/>
      <c r="D42" s="110"/>
    </row>
    <row r="43" spans="1:4" ht="33.6" x14ac:dyDescent="0.25">
      <c r="A43" s="390"/>
      <c r="B43" s="314" t="s">
        <v>23</v>
      </c>
      <c r="C43" s="109"/>
      <c r="D43" s="110"/>
    </row>
    <row r="44" spans="1:4" ht="16.8" x14ac:dyDescent="0.4">
      <c r="A44" s="106"/>
      <c r="B44" s="111"/>
      <c r="C44" s="109"/>
      <c r="D44" s="109"/>
    </row>
    <row r="45" spans="1:4" ht="13.8" x14ac:dyDescent="0.25">
      <c r="A45" s="108"/>
      <c r="B45" s="112"/>
      <c r="C45" s="109"/>
      <c r="D45" s="109"/>
    </row>
    <row r="46" spans="1:4" ht="15" x14ac:dyDescent="0.25">
      <c r="A46" s="106"/>
      <c r="B46" s="112"/>
      <c r="C46" s="107"/>
      <c r="D46" s="105"/>
    </row>
    <row r="47" spans="1:4" ht="15" x14ac:dyDescent="0.25">
      <c r="A47" s="106"/>
      <c r="B47" s="113"/>
      <c r="C47" s="109"/>
      <c r="D47" s="110"/>
    </row>
    <row r="48" spans="1:4" ht="16.2" x14ac:dyDescent="0.35">
      <c r="A48" s="106"/>
      <c r="B48" s="114"/>
      <c r="C48" s="109"/>
      <c r="D48" s="110"/>
    </row>
    <row r="49" spans="1:4" ht="13.8" x14ac:dyDescent="0.25">
      <c r="A49" s="115" t="s">
        <v>0</v>
      </c>
      <c r="C49" s="109"/>
      <c r="D49" s="110"/>
    </row>
    <row r="50" spans="1:4" ht="13.8" x14ac:dyDescent="0.25">
      <c r="A50" s="116"/>
      <c r="C50" s="109"/>
      <c r="D50" s="109"/>
    </row>
    <row r="51" spans="1:4" ht="13.8" x14ac:dyDescent="0.25">
      <c r="A51" s="117"/>
      <c r="C51" s="118"/>
      <c r="D51" s="118"/>
    </row>
    <row r="52" spans="1:4" x14ac:dyDescent="0.25">
      <c r="A52" s="117"/>
      <c r="C52" s="112"/>
      <c r="D52" s="52"/>
    </row>
    <row r="53" spans="1:4" x14ac:dyDescent="0.25">
      <c r="A53" s="119"/>
      <c r="C53" s="112"/>
      <c r="D53" s="52"/>
    </row>
    <row r="54" spans="1:4" x14ac:dyDescent="0.25">
      <c r="A54" s="120" t="s">
        <v>0</v>
      </c>
      <c r="C54" s="112"/>
      <c r="D54" s="52"/>
    </row>
    <row r="55" spans="1:4" x14ac:dyDescent="0.25">
      <c r="A55" s="52" t="s">
        <v>0</v>
      </c>
      <c r="C55" s="112"/>
      <c r="D55"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6:D26"/>
  </mergeCells>
  <pageMargins left="0.25" right="0.25" top="0.75" bottom="0.75" header="0.3" footer="0.3"/>
  <pageSetup scale="64" fitToHeight="0"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2011-737E-47D8-979E-E13C69DE7F8D}">
  <sheetPr>
    <pageSetUpPr fitToPage="1"/>
  </sheetPr>
  <dimension ref="A1:F69"/>
  <sheetViews>
    <sheetView topLeftCell="A4" zoomScaleNormal="100" workbookViewId="0">
      <selection activeCell="C17" sqref="C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792</v>
      </c>
      <c r="B8" s="10"/>
      <c r="C8" s="58"/>
      <c r="D8" s="58"/>
    </row>
    <row r="9" spans="1:5" s="55" customFormat="1" ht="16.8" x14ac:dyDescent="0.4">
      <c r="A9" s="57" t="s">
        <v>793</v>
      </c>
      <c r="B9" s="10"/>
      <c r="C9" s="58"/>
      <c r="D9" s="58"/>
    </row>
    <row r="10" spans="1:5" s="55" customFormat="1" ht="16.8" x14ac:dyDescent="0.4">
      <c r="A10" s="57" t="s">
        <v>794</v>
      </c>
      <c r="B10" s="10"/>
      <c r="C10" s="58"/>
      <c r="D10" s="58"/>
    </row>
    <row r="11" spans="1:5" s="55" customFormat="1" ht="16.8" x14ac:dyDescent="0.4">
      <c r="A11" s="57" t="s">
        <v>795</v>
      </c>
      <c r="B11" s="10"/>
      <c r="C11" s="59"/>
      <c r="D11" s="58"/>
    </row>
    <row r="12" spans="1:5" s="55" customFormat="1" ht="15" customHeight="1" x14ac:dyDescent="0.4">
      <c r="A12" s="60" t="s">
        <v>801</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60" x14ac:dyDescent="0.25">
      <c r="A16" s="72">
        <v>3</v>
      </c>
      <c r="B16" s="73" t="s">
        <v>796</v>
      </c>
      <c r="C16" s="74">
        <v>7800</v>
      </c>
      <c r="D16" s="75">
        <f>A16*C16</f>
        <v>23400</v>
      </c>
      <c r="E16" s="76"/>
    </row>
    <row r="17" spans="1:6" ht="15.6" x14ac:dyDescent="0.25">
      <c r="A17" s="72"/>
      <c r="B17" s="75"/>
      <c r="C17" s="75"/>
      <c r="D17" s="75"/>
      <c r="E17" s="76"/>
    </row>
    <row r="18" spans="1:6" ht="15.6" x14ac:dyDescent="0.25">
      <c r="A18" s="89"/>
      <c r="B18" s="502" t="s">
        <v>797</v>
      </c>
      <c r="C18" s="91" t="s">
        <v>38</v>
      </c>
      <c r="D18" s="75">
        <f>SUM(D16:D16)</f>
        <v>23400</v>
      </c>
      <c r="E18" s="76"/>
    </row>
    <row r="19" spans="1:6" ht="15.6" x14ac:dyDescent="0.3">
      <c r="A19" s="92"/>
      <c r="B19" s="502" t="s">
        <v>798</v>
      </c>
      <c r="C19" s="93" t="s">
        <v>39</v>
      </c>
      <c r="D19" s="75">
        <f>D18*0.16</f>
        <v>3744</v>
      </c>
      <c r="E19" s="76"/>
    </row>
    <row r="20" spans="1:6" ht="16.2" thickBot="1" x14ac:dyDescent="0.35">
      <c r="A20" s="92"/>
      <c r="B20" s="502" t="s">
        <v>799</v>
      </c>
      <c r="C20" s="94" t="s">
        <v>40</v>
      </c>
      <c r="D20" s="95">
        <f>D18+D19</f>
        <v>27144</v>
      </c>
      <c r="E20" s="76"/>
    </row>
    <row r="21" spans="1:6" ht="16.2" thickBot="1" x14ac:dyDescent="0.3">
      <c r="A21" s="92"/>
      <c r="B21" s="1023" t="s">
        <v>800</v>
      </c>
      <c r="C21" s="1024"/>
      <c r="D21" s="1025"/>
      <c r="E21" s="76"/>
    </row>
    <row r="22" spans="1:6" ht="13.8" x14ac:dyDescent="0.25">
      <c r="B22" s="370" t="s">
        <v>9</v>
      </c>
      <c r="C22" s="98"/>
      <c r="D22" s="99"/>
      <c r="E22" s="76"/>
    </row>
    <row r="23" spans="1:6" ht="34.799999999999997" x14ac:dyDescent="0.25">
      <c r="B23" s="124" t="s">
        <v>484</v>
      </c>
      <c r="C23" s="76"/>
      <c r="D23" s="96"/>
    </row>
    <row r="24" spans="1:6" ht="13.8" x14ac:dyDescent="0.25">
      <c r="A24" s="96"/>
      <c r="B24" s="103" t="s">
        <v>11</v>
      </c>
      <c r="C24" s="96"/>
      <c r="D24" s="96"/>
      <c r="E24" s="96"/>
    </row>
    <row r="25" spans="1:6" ht="15" x14ac:dyDescent="0.25">
      <c r="A25" s="101"/>
      <c r="B25" s="123" t="s">
        <v>12</v>
      </c>
      <c r="C25" s="52"/>
      <c r="D25" s="52"/>
      <c r="E25" s="96"/>
    </row>
    <row r="26" spans="1:6" ht="18.75" customHeight="1" x14ac:dyDescent="0.25">
      <c r="A26" s="101"/>
      <c r="B26" s="123" t="s">
        <v>13</v>
      </c>
      <c r="C26" s="52"/>
      <c r="D26" s="52"/>
    </row>
    <row r="27" spans="1:6" ht="15" x14ac:dyDescent="0.25">
      <c r="A27" s="101"/>
      <c r="B27" s="123" t="s">
        <v>14</v>
      </c>
      <c r="C27" s="52"/>
      <c r="D27" s="52"/>
    </row>
    <row r="28" spans="1:6" ht="15.75" customHeight="1" x14ac:dyDescent="0.25">
      <c r="A28" s="102"/>
      <c r="B28" s="103" t="s">
        <v>15</v>
      </c>
      <c r="C28" s="52"/>
      <c r="D28" s="52"/>
      <c r="F28" s="96"/>
    </row>
    <row r="29" spans="1:6" s="96" customFormat="1" ht="13.8" x14ac:dyDescent="0.25">
      <c r="A29" s="102"/>
      <c r="B29" s="295" t="s">
        <v>42</v>
      </c>
      <c r="C29" s="104"/>
      <c r="D29" s="105"/>
      <c r="E29" s="52"/>
    </row>
    <row r="30" spans="1:6" s="96" customFormat="1" ht="27.6" x14ac:dyDescent="0.25">
      <c r="A30" s="106"/>
      <c r="B30" s="295" t="s">
        <v>43</v>
      </c>
      <c r="C30" s="104"/>
      <c r="D30" s="105"/>
      <c r="E30" s="52"/>
      <c r="F30" s="52"/>
    </row>
    <row r="31" spans="1:6" ht="13.5" customHeight="1" x14ac:dyDescent="0.25">
      <c r="A31" s="106"/>
      <c r="B31" s="103" t="s">
        <v>18</v>
      </c>
      <c r="C31" s="107"/>
      <c r="D31" s="105"/>
    </row>
    <row r="32" spans="1:6" ht="15" x14ac:dyDescent="0.25">
      <c r="A32" s="106"/>
      <c r="B32" s="313" t="s">
        <v>656</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60" fitToHeight="0"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4D71-D387-4DB4-BA4E-E964A93E7D44}">
  <sheetPr>
    <pageSetUpPr fitToPage="1"/>
  </sheetPr>
  <dimension ref="A1:F69"/>
  <sheetViews>
    <sheetView topLeftCell="A4" zoomScaleNormal="100" workbookViewId="0">
      <selection activeCell="A17" sqref="A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792</v>
      </c>
      <c r="B8" s="10"/>
      <c r="C8" s="58"/>
      <c r="D8" s="58"/>
    </row>
    <row r="9" spans="1:5" s="55" customFormat="1" ht="16.8" x14ac:dyDescent="0.4">
      <c r="A9" s="57" t="s">
        <v>793</v>
      </c>
      <c r="B9" s="10"/>
      <c r="C9" s="58"/>
      <c r="D9" s="58"/>
    </row>
    <row r="10" spans="1:5" s="55" customFormat="1" ht="16.8" x14ac:dyDescent="0.4">
      <c r="A10" s="57" t="s">
        <v>794</v>
      </c>
      <c r="B10" s="10"/>
      <c r="C10" s="58"/>
      <c r="D10" s="58"/>
    </row>
    <row r="11" spans="1:5" s="55" customFormat="1" ht="16.8" x14ac:dyDescent="0.4">
      <c r="A11" s="57" t="s">
        <v>795</v>
      </c>
      <c r="B11" s="10"/>
      <c r="C11" s="59"/>
      <c r="D11" s="58"/>
    </row>
    <row r="12" spans="1:5" s="55" customFormat="1" ht="15" customHeight="1" x14ac:dyDescent="0.4">
      <c r="A12" s="60" t="s">
        <v>801</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802</v>
      </c>
      <c r="C16" s="74">
        <v>7800</v>
      </c>
      <c r="D16" s="75">
        <f>A16*C16</f>
        <v>7800</v>
      </c>
      <c r="E16" s="76"/>
    </row>
    <row r="17" spans="1:6" ht="15.6" x14ac:dyDescent="0.25">
      <c r="A17" s="72"/>
      <c r="B17" s="75"/>
      <c r="C17" s="75"/>
      <c r="D17" s="75"/>
      <c r="E17" s="76"/>
    </row>
    <row r="18" spans="1:6" ht="15.6" x14ac:dyDescent="0.25">
      <c r="A18" s="89"/>
      <c r="B18" s="502" t="s">
        <v>797</v>
      </c>
      <c r="C18" s="91" t="s">
        <v>38</v>
      </c>
      <c r="D18" s="75">
        <f>SUM(D16:D16)</f>
        <v>7800</v>
      </c>
      <c r="E18" s="76"/>
    </row>
    <row r="19" spans="1:6" ht="15.6" x14ac:dyDescent="0.3">
      <c r="A19" s="92"/>
      <c r="B19" s="502" t="s">
        <v>798</v>
      </c>
      <c r="C19" s="93" t="s">
        <v>39</v>
      </c>
      <c r="D19" s="75">
        <f>D18*0.16</f>
        <v>1248</v>
      </c>
      <c r="E19" s="76"/>
    </row>
    <row r="20" spans="1:6" ht="16.2" thickBot="1" x14ac:dyDescent="0.35">
      <c r="A20" s="92"/>
      <c r="B20" s="502" t="s">
        <v>799</v>
      </c>
      <c r="C20" s="94" t="s">
        <v>40</v>
      </c>
      <c r="D20" s="95">
        <f>D18+D19</f>
        <v>9048</v>
      </c>
      <c r="E20" s="76"/>
    </row>
    <row r="21" spans="1:6" ht="16.2" thickBot="1" x14ac:dyDescent="0.3">
      <c r="A21" s="92"/>
      <c r="B21" s="1023" t="s">
        <v>800</v>
      </c>
      <c r="C21" s="1024"/>
      <c r="D21" s="1025"/>
      <c r="E21" s="76"/>
    </row>
    <row r="22" spans="1:6" ht="13.8" x14ac:dyDescent="0.25">
      <c r="B22" s="370" t="s">
        <v>9</v>
      </c>
      <c r="C22" s="98"/>
      <c r="D22" s="99"/>
      <c r="E22" s="76"/>
    </row>
    <row r="23" spans="1:6" ht="34.799999999999997" x14ac:dyDescent="0.25">
      <c r="B23" s="124" t="s">
        <v>484</v>
      </c>
      <c r="C23" s="76"/>
      <c r="D23" s="96"/>
    </row>
    <row r="24" spans="1:6" ht="13.8" x14ac:dyDescent="0.25">
      <c r="A24" s="96"/>
      <c r="B24" s="103" t="s">
        <v>11</v>
      </c>
      <c r="C24" s="96"/>
      <c r="D24" s="96"/>
      <c r="E24" s="96"/>
    </row>
    <row r="25" spans="1:6" ht="15" x14ac:dyDescent="0.25">
      <c r="A25" s="101"/>
      <c r="B25" s="123" t="s">
        <v>12</v>
      </c>
      <c r="C25" s="52"/>
      <c r="D25" s="52"/>
      <c r="E25" s="96"/>
    </row>
    <row r="26" spans="1:6" ht="18.75" customHeight="1" x14ac:dyDescent="0.25">
      <c r="A26" s="101"/>
      <c r="B26" s="123" t="s">
        <v>13</v>
      </c>
      <c r="C26" s="52"/>
      <c r="D26" s="52"/>
    </row>
    <row r="27" spans="1:6" ht="15" x14ac:dyDescent="0.25">
      <c r="A27" s="101"/>
      <c r="B27" s="123" t="s">
        <v>14</v>
      </c>
      <c r="C27" s="52"/>
      <c r="D27" s="52"/>
    </row>
    <row r="28" spans="1:6" ht="15.75" customHeight="1" x14ac:dyDescent="0.25">
      <c r="A28" s="102"/>
      <c r="B28" s="103" t="s">
        <v>15</v>
      </c>
      <c r="C28" s="52"/>
      <c r="D28" s="52"/>
      <c r="F28" s="96"/>
    </row>
    <row r="29" spans="1:6" s="96" customFormat="1" ht="13.8" x14ac:dyDescent="0.25">
      <c r="A29" s="102"/>
      <c r="B29" s="295" t="s">
        <v>42</v>
      </c>
      <c r="C29" s="104"/>
      <c r="D29" s="105"/>
      <c r="E29" s="52"/>
    </row>
    <row r="30" spans="1:6" s="96" customFormat="1" ht="27.6" x14ac:dyDescent="0.25">
      <c r="A30" s="106"/>
      <c r="B30" s="295" t="s">
        <v>43</v>
      </c>
      <c r="C30" s="104"/>
      <c r="D30" s="105"/>
      <c r="E30" s="52"/>
      <c r="F30" s="52"/>
    </row>
    <row r="31" spans="1:6" ht="13.5" customHeight="1" x14ac:dyDescent="0.25">
      <c r="A31" s="106"/>
      <c r="B31" s="103" t="s">
        <v>18</v>
      </c>
      <c r="C31" s="107"/>
      <c r="D31" s="105"/>
    </row>
    <row r="32" spans="1:6" ht="15" x14ac:dyDescent="0.25">
      <c r="A32" s="106"/>
      <c r="B32" s="313" t="s">
        <v>656</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60" fitToHeight="0"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AD2A-0D6F-406F-9AF7-FAA9EC224436}">
  <sheetPr>
    <tabColor theme="4" tint="-0.249977111117893"/>
    <pageSetUpPr fitToPage="1"/>
  </sheetPr>
  <dimension ref="A1:F58"/>
  <sheetViews>
    <sheetView zoomScaleNormal="100" workbookViewId="0">
      <selection activeCell="B14" sqref="B14"/>
    </sheetView>
  </sheetViews>
  <sheetFormatPr baseColWidth="10" defaultColWidth="11.44140625" defaultRowHeight="13.2" x14ac:dyDescent="0.25"/>
  <cols>
    <col min="1" max="1" width="6" style="108" customWidth="1"/>
    <col min="2" max="2" width="86.44140625" style="108" customWidth="1"/>
    <col min="3" max="4" width="12.6640625" style="107" customWidth="1"/>
    <col min="5" max="16384" width="11.441406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c r="C7" s="58"/>
      <c r="D7" s="58"/>
    </row>
    <row r="8" spans="1:6" s="10" customFormat="1" ht="16.8" x14ac:dyDescent="0.4">
      <c r="A8" s="137" t="s">
        <v>809</v>
      </c>
      <c r="B8" s="138"/>
      <c r="C8" s="139"/>
      <c r="D8" s="139"/>
    </row>
    <row r="9" spans="1:6" s="10" customFormat="1" ht="16.8" x14ac:dyDescent="0.4">
      <c r="A9" s="137" t="s">
        <v>810</v>
      </c>
      <c r="B9" s="138"/>
      <c r="C9" s="139"/>
      <c r="D9" s="139"/>
    </row>
    <row r="10" spans="1:6" s="10" customFormat="1" ht="16.8" x14ac:dyDescent="0.4">
      <c r="A10" s="137" t="s">
        <v>811</v>
      </c>
      <c r="B10" s="138"/>
      <c r="C10" s="139"/>
      <c r="D10" s="139"/>
    </row>
    <row r="11" spans="1:6" s="10" customFormat="1" ht="16.8" x14ac:dyDescent="0.4">
      <c r="A11" s="137" t="s">
        <v>812</v>
      </c>
      <c r="B11" s="138"/>
      <c r="C11" s="140"/>
      <c r="D11" s="139"/>
    </row>
    <row r="12" spans="1:6" s="10" customFormat="1" ht="15" customHeight="1" x14ac:dyDescent="0.4">
      <c r="A12" s="137" t="s">
        <v>813</v>
      </c>
      <c r="B12" s="138"/>
      <c r="C12" s="140"/>
      <c r="D12" s="139"/>
    </row>
    <row r="13" spans="1:6" s="10" customFormat="1" ht="15" customHeight="1" x14ac:dyDescent="0.4">
      <c r="A13" s="137" t="s">
        <v>6</v>
      </c>
      <c r="B13" s="141"/>
      <c r="C13" s="142"/>
      <c r="D13" s="143"/>
    </row>
    <row r="14" spans="1:6" s="10" customFormat="1" ht="16.8" x14ac:dyDescent="0.4">
      <c r="A14" s="144" t="s">
        <v>814</v>
      </c>
      <c r="B14" s="141"/>
      <c r="C14" s="142"/>
      <c r="D14" s="143"/>
      <c r="E14" s="186"/>
    </row>
    <row r="15" spans="1:6" s="188" customFormat="1" ht="13.8" x14ac:dyDescent="0.25">
      <c r="A15" s="198"/>
      <c r="B15" s="198"/>
      <c r="C15" s="201"/>
      <c r="D15" s="202"/>
      <c r="E15" s="189"/>
      <c r="F15" s="108"/>
    </row>
    <row r="16" spans="1:6" ht="26.4" x14ac:dyDescent="0.25">
      <c r="A16" s="145" t="s">
        <v>29</v>
      </c>
      <c r="B16" s="145" t="s">
        <v>30</v>
      </c>
      <c r="C16" s="146" t="s">
        <v>31</v>
      </c>
      <c r="D16" s="146" t="s">
        <v>32</v>
      </c>
      <c r="E16" s="189"/>
    </row>
    <row r="17" spans="1:6" s="191" customFormat="1" ht="15.75" customHeight="1" x14ac:dyDescent="0.25">
      <c r="A17" s="148"/>
      <c r="B17" s="149"/>
      <c r="C17" s="150"/>
      <c r="D17" s="150"/>
      <c r="E17" s="189"/>
      <c r="F17" s="108"/>
    </row>
    <row r="18" spans="1:6" ht="13.5" customHeight="1" x14ac:dyDescent="0.25">
      <c r="A18" s="162">
        <v>1</v>
      </c>
      <c r="B18" s="163" t="s">
        <v>102</v>
      </c>
      <c r="C18" s="184">
        <f>(11172)*(1.5)</f>
        <v>16758</v>
      </c>
      <c r="D18" s="165">
        <f t="shared" ref="D18:D21" si="0">A18*C18</f>
        <v>16758</v>
      </c>
      <c r="E18" s="189"/>
    </row>
    <row r="19" spans="1:6" ht="13.5" customHeight="1" x14ac:dyDescent="0.25">
      <c r="A19" s="203">
        <v>1</v>
      </c>
      <c r="B19" s="163" t="s">
        <v>131</v>
      </c>
      <c r="C19" s="184">
        <f>22400*1.3</f>
        <v>29120</v>
      </c>
      <c r="D19" s="165">
        <f t="shared" si="0"/>
        <v>29120</v>
      </c>
      <c r="E19" s="189"/>
    </row>
    <row r="20" spans="1:6" ht="13.5" customHeight="1" x14ac:dyDescent="0.25">
      <c r="A20" s="157">
        <v>1</v>
      </c>
      <c r="B20" s="158" t="s">
        <v>132</v>
      </c>
      <c r="C20" s="159">
        <f>(1520*20.5)*1.34</f>
        <v>41754.400000000001</v>
      </c>
      <c r="D20" s="161">
        <f t="shared" si="0"/>
        <v>41754.400000000001</v>
      </c>
      <c r="E20" s="189"/>
    </row>
    <row r="21" spans="1:6" ht="13.5" customHeight="1" x14ac:dyDescent="0.25">
      <c r="A21" s="162">
        <v>1</v>
      </c>
      <c r="B21" s="163" t="s">
        <v>133</v>
      </c>
      <c r="C21" s="184">
        <f>(1811*20.2)*1.3</f>
        <v>47556.86</v>
      </c>
      <c r="D21" s="165">
        <f t="shared" si="0"/>
        <v>47556.86</v>
      </c>
      <c r="E21" s="189"/>
    </row>
    <row r="22" spans="1:6" ht="13.5" customHeight="1" x14ac:dyDescent="0.25">
      <c r="A22" s="204"/>
      <c r="B22" s="204"/>
      <c r="C22" s="205"/>
      <c r="D22" s="205"/>
      <c r="E22" s="189"/>
    </row>
    <row r="23" spans="1:6" ht="13.5" customHeight="1" x14ac:dyDescent="0.25">
      <c r="A23" s="145" t="s">
        <v>29</v>
      </c>
      <c r="B23" s="145" t="s">
        <v>30</v>
      </c>
      <c r="C23" s="146" t="s">
        <v>31</v>
      </c>
      <c r="D23" s="146" t="s">
        <v>32</v>
      </c>
      <c r="E23" s="189"/>
    </row>
    <row r="24" spans="1:6" ht="13.5" customHeight="1" x14ac:dyDescent="0.25">
      <c r="A24" s="148"/>
      <c r="B24" s="149"/>
      <c r="C24" s="150"/>
      <c r="D24" s="150"/>
      <c r="E24" s="189"/>
    </row>
    <row r="25" spans="1:6" ht="18" customHeight="1" x14ac:dyDescent="0.25">
      <c r="A25" s="157">
        <v>260</v>
      </c>
      <c r="B25" s="158" t="s">
        <v>34</v>
      </c>
      <c r="C25" s="160">
        <v>16.12</v>
      </c>
      <c r="D25" s="161">
        <f>A25*C25</f>
        <v>4191.2</v>
      </c>
      <c r="E25" s="189"/>
    </row>
    <row r="26" spans="1:6" x14ac:dyDescent="0.25">
      <c r="A26" s="157">
        <v>260</v>
      </c>
      <c r="B26" s="158" t="s">
        <v>86</v>
      </c>
      <c r="C26" s="160">
        <v>36.869999999999997</v>
      </c>
      <c r="D26" s="161">
        <f t="shared" ref="D26" si="1">A26*C26</f>
        <v>9586.1999999999989</v>
      </c>
      <c r="E26" s="189"/>
    </row>
    <row r="27" spans="1:6" ht="13.5" customHeight="1" x14ac:dyDescent="0.25">
      <c r="A27" s="204"/>
      <c r="B27" s="204"/>
      <c r="C27" s="205"/>
      <c r="D27" s="205"/>
      <c r="E27" s="189"/>
    </row>
    <row r="28" spans="1:6" x14ac:dyDescent="0.25">
      <c r="A28" s="204"/>
      <c r="B28" s="206"/>
      <c r="C28" s="207"/>
      <c r="D28" s="205"/>
    </row>
    <row r="29" spans="1:6" ht="26.4" x14ac:dyDescent="0.25">
      <c r="A29" s="145" t="s">
        <v>29</v>
      </c>
      <c r="B29" s="145" t="s">
        <v>30</v>
      </c>
      <c r="C29" s="146" t="s">
        <v>31</v>
      </c>
      <c r="D29" s="146" t="s">
        <v>32</v>
      </c>
      <c r="E29" s="189"/>
    </row>
    <row r="30" spans="1:6" x14ac:dyDescent="0.25">
      <c r="A30" s="148"/>
      <c r="B30" s="149"/>
      <c r="C30" s="150"/>
      <c r="D30" s="150"/>
      <c r="E30" s="189"/>
    </row>
    <row r="31" spans="1:6" x14ac:dyDescent="0.25">
      <c r="A31" s="157">
        <v>1</v>
      </c>
      <c r="B31" s="158" t="s">
        <v>77</v>
      </c>
      <c r="C31" s="159">
        <f>(4500)*(1.5)</f>
        <v>6750</v>
      </c>
      <c r="D31" s="154">
        <f t="shared" ref="D31:D33" si="2">A31*C31</f>
        <v>6750</v>
      </c>
      <c r="E31" s="189"/>
    </row>
    <row r="32" spans="1:6" x14ac:dyDescent="0.25">
      <c r="A32" s="157">
        <v>1</v>
      </c>
      <c r="B32" s="158" t="s">
        <v>78</v>
      </c>
      <c r="C32" s="159">
        <f>(6188)*(1.51)</f>
        <v>9343.8799999999992</v>
      </c>
      <c r="D32" s="154">
        <f t="shared" si="2"/>
        <v>9343.8799999999992</v>
      </c>
    </row>
    <row r="33" spans="1:5" x14ac:dyDescent="0.25">
      <c r="A33" s="162">
        <v>1</v>
      </c>
      <c r="B33" s="163" t="s">
        <v>137</v>
      </c>
      <c r="C33" s="184">
        <f>(480*20.5)*1.3</f>
        <v>12792</v>
      </c>
      <c r="D33" s="165">
        <f t="shared" si="2"/>
        <v>12792</v>
      </c>
      <c r="E33" s="189"/>
    </row>
    <row r="34" spans="1:5" x14ac:dyDescent="0.25">
      <c r="A34" s="208"/>
      <c r="B34" s="204"/>
      <c r="C34" s="205"/>
      <c r="D34" s="209"/>
      <c r="E34" s="189"/>
    </row>
    <row r="35" spans="1:5" ht="26.4" x14ac:dyDescent="0.25">
      <c r="A35" s="162">
        <v>1</v>
      </c>
      <c r="B35" s="163" t="s">
        <v>138</v>
      </c>
      <c r="C35" s="210">
        <v>35627</v>
      </c>
      <c r="D35" s="165">
        <f>A35*C35</f>
        <v>35627</v>
      </c>
    </row>
    <row r="36" spans="1:5" ht="39.6" x14ac:dyDescent="0.25">
      <c r="A36" s="162">
        <v>1</v>
      </c>
      <c r="B36" s="163" t="s">
        <v>139</v>
      </c>
      <c r="C36" s="210">
        <v>37861</v>
      </c>
      <c r="D36" s="165">
        <f>A36*C36</f>
        <v>37861</v>
      </c>
    </row>
    <row r="37" spans="1:5" x14ac:dyDescent="0.25">
      <c r="A37" s="211">
        <v>1</v>
      </c>
      <c r="B37" s="212" t="s">
        <v>141</v>
      </c>
      <c r="C37" s="210">
        <v>6500</v>
      </c>
      <c r="D37" s="213">
        <f>A37*C37</f>
        <v>6500</v>
      </c>
    </row>
    <row r="38" spans="1:5" ht="26.4" x14ac:dyDescent="0.25">
      <c r="A38" s="211"/>
      <c r="B38" s="212" t="s">
        <v>142</v>
      </c>
      <c r="C38" s="210"/>
      <c r="D38" s="213"/>
    </row>
    <row r="39" spans="1:5" x14ac:dyDescent="0.25">
      <c r="A39" s="204"/>
      <c r="B39" s="206"/>
      <c r="C39" s="214"/>
      <c r="D39" s="215"/>
    </row>
    <row r="40" spans="1:5" ht="13.8" x14ac:dyDescent="0.25">
      <c r="B40" s="103" t="s">
        <v>15</v>
      </c>
    </row>
    <row r="41" spans="1:5" ht="15" x14ac:dyDescent="0.25">
      <c r="A41" s="106"/>
      <c r="B41" s="295" t="s">
        <v>42</v>
      </c>
    </row>
    <row r="42" spans="1:5" ht="41.4" x14ac:dyDescent="0.25">
      <c r="A42" s="106"/>
      <c r="B42" s="295" t="s">
        <v>143</v>
      </c>
      <c r="C42" s="109"/>
      <c r="D42" s="110"/>
    </row>
    <row r="43" spans="1:5" ht="15" x14ac:dyDescent="0.25">
      <c r="A43" s="106"/>
      <c r="B43" s="103" t="s">
        <v>18</v>
      </c>
      <c r="C43" s="109"/>
      <c r="D43" s="110"/>
    </row>
    <row r="44" spans="1:5" ht="15" x14ac:dyDescent="0.25">
      <c r="A44" s="106"/>
      <c r="B44" s="313" t="s">
        <v>144</v>
      </c>
      <c r="C44" s="109"/>
      <c r="D44" s="109"/>
    </row>
    <row r="45" spans="1:5" ht="15" x14ac:dyDescent="0.25">
      <c r="A45" s="106"/>
      <c r="B45" s="297" t="s">
        <v>20</v>
      </c>
      <c r="C45" s="109"/>
      <c r="D45" s="109"/>
    </row>
    <row r="46" spans="1:5" ht="13.8" x14ac:dyDescent="0.25">
      <c r="B46" s="103" t="s">
        <v>21</v>
      </c>
      <c r="D46" s="105"/>
    </row>
    <row r="47" spans="1:5" ht="15" x14ac:dyDescent="0.25">
      <c r="A47" s="106"/>
      <c r="B47" s="123" t="s">
        <v>145</v>
      </c>
      <c r="C47" s="109"/>
      <c r="D47" s="110"/>
    </row>
    <row r="48" spans="1:5" ht="15" x14ac:dyDescent="0.25">
      <c r="A48" s="106"/>
      <c r="B48" s="123" t="s">
        <v>44</v>
      </c>
      <c r="C48" s="109"/>
      <c r="D48" s="110"/>
    </row>
    <row r="49" spans="1:4" ht="15" x14ac:dyDescent="0.25">
      <c r="A49" s="106"/>
      <c r="B49" s="123" t="s">
        <v>45</v>
      </c>
      <c r="D49" s="181"/>
    </row>
    <row r="50" spans="1:4" ht="50.4" x14ac:dyDescent="0.25">
      <c r="A50" s="106"/>
      <c r="B50" s="314" t="s">
        <v>23</v>
      </c>
      <c r="C50" s="109"/>
      <c r="D50" s="109"/>
    </row>
    <row r="51" spans="1:4" ht="16.8" x14ac:dyDescent="0.4">
      <c r="A51" s="106"/>
      <c r="B51" s="219"/>
      <c r="C51" s="220"/>
      <c r="D51" s="220"/>
    </row>
    <row r="52" spans="1:4" ht="13.8" x14ac:dyDescent="0.25">
      <c r="A52" s="115" t="s">
        <v>0</v>
      </c>
      <c r="B52" s="181"/>
      <c r="C52" s="181"/>
      <c r="D52" s="108"/>
    </row>
    <row r="53" spans="1:4" ht="13.8" x14ac:dyDescent="0.25">
      <c r="A53" s="221"/>
      <c r="B53" s="181"/>
      <c r="C53" s="181"/>
      <c r="D53" s="108"/>
    </row>
    <row r="54" spans="1:4" x14ac:dyDescent="0.25">
      <c r="A54" s="222"/>
      <c r="B54" s="223"/>
      <c r="C54" s="181"/>
      <c r="D54" s="108"/>
    </row>
    <row r="55" spans="1:4" ht="15" x14ac:dyDescent="0.35">
      <c r="A55" s="222"/>
      <c r="B55" s="224"/>
      <c r="C55" s="181"/>
      <c r="D55" s="181"/>
    </row>
    <row r="56" spans="1:4" x14ac:dyDescent="0.25">
      <c r="A56" s="225"/>
    </row>
    <row r="57" spans="1:4" x14ac:dyDescent="0.25">
      <c r="A57" s="226" t="s">
        <v>0</v>
      </c>
    </row>
    <row r="58" spans="1:4" x14ac:dyDescent="0.25">
      <c r="A58" s="108"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76" fitToWidth="0" orientation="portrait" r:id="rId1"/>
  <headerFooter alignWithMargins="0">
    <oddFooter>Página &amp;P de &amp;N</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A030-27EA-44E2-8881-7EE9C99903D0}">
  <sheetPr>
    <pageSetUpPr fitToPage="1"/>
  </sheetPr>
  <dimension ref="A1:E66"/>
  <sheetViews>
    <sheetView zoomScaleNormal="100" workbookViewId="0">
      <selection activeCell="B37" sqref="B3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679</v>
      </c>
      <c r="B8" s="10"/>
      <c r="C8" s="58"/>
      <c r="D8" s="58"/>
    </row>
    <row r="9" spans="1:5" s="55" customFormat="1" ht="16.8" x14ac:dyDescent="0.4">
      <c r="A9" s="57" t="s">
        <v>680</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730</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815</v>
      </c>
      <c r="C16" s="74">
        <v>25815.599999999999</v>
      </c>
      <c r="D16" s="75">
        <f>A16*C16</f>
        <v>25815.599999999999</v>
      </c>
      <c r="E16" s="76"/>
    </row>
    <row r="17" spans="1:5" ht="30" x14ac:dyDescent="0.25">
      <c r="A17" s="72">
        <v>1</v>
      </c>
      <c r="B17" s="73" t="s">
        <v>816</v>
      </c>
      <c r="C17" s="74">
        <v>9796</v>
      </c>
      <c r="D17" s="75">
        <f>C17*A17</f>
        <v>9796</v>
      </c>
      <c r="E17" s="76"/>
    </row>
    <row r="18" spans="1:5" ht="15.6" x14ac:dyDescent="0.25">
      <c r="A18" s="72"/>
      <c r="B18" s="75"/>
      <c r="C18" s="75"/>
      <c r="D18" s="75"/>
      <c r="E18" s="76"/>
    </row>
    <row r="19" spans="1:5" ht="15.6" x14ac:dyDescent="0.25">
      <c r="A19" s="89"/>
      <c r="B19" s="90"/>
      <c r="C19" s="304" t="s">
        <v>38</v>
      </c>
      <c r="D19" s="75">
        <f>SUM(D16:D17)</f>
        <v>35611.599999999999</v>
      </c>
      <c r="E19" s="76"/>
    </row>
    <row r="20" spans="1:5" ht="15.6" x14ac:dyDescent="0.3">
      <c r="A20" s="92"/>
      <c r="B20" s="90"/>
      <c r="C20" s="305" t="s">
        <v>39</v>
      </c>
      <c r="D20" s="75">
        <f>D19*0.16</f>
        <v>5697.8559999999998</v>
      </c>
    </row>
    <row r="21" spans="1:5" ht="16.2" thickBot="1" x14ac:dyDescent="0.35">
      <c r="A21" s="92"/>
      <c r="B21" s="90"/>
      <c r="C21" s="306" t="s">
        <v>40</v>
      </c>
      <c r="D21" s="95">
        <f>D19+D20</f>
        <v>41309.455999999998</v>
      </c>
      <c r="E21" s="96"/>
    </row>
    <row r="22" spans="1:5" ht="16.2" thickBot="1" x14ac:dyDescent="0.3">
      <c r="A22" s="92"/>
      <c r="B22" s="1023" t="s">
        <v>719</v>
      </c>
      <c r="C22" s="1024"/>
      <c r="D22" s="1025"/>
      <c r="E22" s="96"/>
    </row>
    <row r="23" spans="1:5" ht="18.75" customHeight="1" x14ac:dyDescent="0.25">
      <c r="B23" s="97" t="s">
        <v>9</v>
      </c>
      <c r="C23" s="98"/>
      <c r="D23" s="99"/>
    </row>
    <row r="24" spans="1:5" ht="18.75" customHeight="1" x14ac:dyDescent="0.25">
      <c r="B24" s="532"/>
      <c r="C24" s="76"/>
      <c r="D24" s="96"/>
    </row>
    <row r="25" spans="1:5" ht="15.75" customHeight="1" x14ac:dyDescent="0.25">
      <c r="A25" s="426"/>
      <c r="B25" s="103" t="s">
        <v>11</v>
      </c>
      <c r="C25" s="96"/>
      <c r="D25" s="96"/>
    </row>
    <row r="26" spans="1:5" s="96" customFormat="1" ht="15" x14ac:dyDescent="0.25">
      <c r="A26" s="427"/>
      <c r="B26" s="123" t="s">
        <v>12</v>
      </c>
      <c r="C26" s="52"/>
      <c r="D26" s="52"/>
      <c r="E26" s="52"/>
    </row>
    <row r="27" spans="1:5" s="96" customFormat="1" ht="15.75" customHeight="1" x14ac:dyDescent="0.25">
      <c r="A27" s="427"/>
      <c r="B27" s="123" t="s">
        <v>13</v>
      </c>
      <c r="C27" s="52"/>
      <c r="D27" s="52"/>
      <c r="E27" s="52"/>
    </row>
    <row r="28" spans="1:5" ht="13.5" customHeight="1" x14ac:dyDescent="0.25">
      <c r="A28" s="427"/>
      <c r="B28" s="123" t="s">
        <v>14</v>
      </c>
      <c r="C28" s="52"/>
      <c r="D28" s="52"/>
    </row>
    <row r="29" spans="1:5" ht="13.5" customHeight="1" x14ac:dyDescent="0.25">
      <c r="A29" s="383"/>
      <c r="B29" s="103" t="s">
        <v>15</v>
      </c>
      <c r="C29" s="52"/>
      <c r="D29" s="52"/>
    </row>
    <row r="30" spans="1:5" ht="13.5" customHeight="1" x14ac:dyDescent="0.25">
      <c r="A30" s="383"/>
      <c r="B30" s="295" t="s">
        <v>42</v>
      </c>
      <c r="C30" s="104"/>
      <c r="D30" s="105"/>
    </row>
    <row r="31" spans="1:5" ht="27.6" x14ac:dyDescent="0.25">
      <c r="A31" s="390"/>
      <c r="B31" s="295" t="s">
        <v>43</v>
      </c>
      <c r="C31" s="104"/>
      <c r="D31" s="105"/>
    </row>
    <row r="32" spans="1:5" ht="15" x14ac:dyDescent="0.25">
      <c r="A32" s="390"/>
      <c r="B32" s="103" t="s">
        <v>18</v>
      </c>
      <c r="C32" s="107"/>
      <c r="D32" s="105"/>
    </row>
    <row r="33" spans="1:4" ht="13.5" customHeight="1" x14ac:dyDescent="0.25">
      <c r="A33" s="390"/>
      <c r="B33" s="313" t="s">
        <v>450</v>
      </c>
      <c r="C33" s="107"/>
      <c r="D33" s="105"/>
    </row>
    <row r="34" spans="1:4" ht="13.5" customHeight="1" x14ac:dyDescent="0.25">
      <c r="A34" s="390"/>
      <c r="B34" s="297" t="s">
        <v>20</v>
      </c>
      <c r="C34" s="107"/>
      <c r="D34" s="105"/>
    </row>
    <row r="35" spans="1:4" ht="13.5" customHeight="1" x14ac:dyDescent="0.25">
      <c r="A35" s="392"/>
      <c r="B35" s="103" t="s">
        <v>21</v>
      </c>
      <c r="C35" s="107"/>
      <c r="D35" s="105"/>
    </row>
    <row r="36" spans="1:4" ht="13.5" customHeight="1" x14ac:dyDescent="0.25">
      <c r="A36" s="390"/>
      <c r="B36" s="122" t="s">
        <v>52</v>
      </c>
      <c r="C36" s="107"/>
      <c r="D36" s="107"/>
    </row>
    <row r="37" spans="1:4" ht="13.5" customHeight="1" x14ac:dyDescent="0.25">
      <c r="A37" s="390"/>
      <c r="B37" s="123" t="s">
        <v>44</v>
      </c>
      <c r="C37" s="107"/>
      <c r="D37" s="107"/>
    </row>
    <row r="38" spans="1:4" ht="15" x14ac:dyDescent="0.25">
      <c r="A38" s="390"/>
      <c r="B38" s="123" t="s">
        <v>45</v>
      </c>
      <c r="C38" s="109"/>
      <c r="D38" s="110"/>
    </row>
    <row r="39" spans="1:4" ht="33.6" x14ac:dyDescent="0.25">
      <c r="A39" s="390"/>
      <c r="B39" s="314" t="s">
        <v>23</v>
      </c>
      <c r="C39" s="109"/>
      <c r="D39" s="110"/>
    </row>
    <row r="40" spans="1:4" ht="16.8"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57" spans="1:4" ht="15.75" customHeight="1" x14ac:dyDescent="0.25"/>
    <row r="61" spans="1:4" ht="16.5" customHeight="1" x14ac:dyDescent="0.25"/>
    <row r="65" ht="24" customHeight="1" x14ac:dyDescent="0.25"/>
    <row r="66"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CFA6-3123-4DBF-A585-31969033D9A2}">
  <sheetPr>
    <tabColor theme="4" tint="-0.249977111117893"/>
    <pageSetUpPr fitToPage="1"/>
  </sheetPr>
  <dimension ref="A1:F62"/>
  <sheetViews>
    <sheetView topLeftCell="A11" zoomScale="115" zoomScaleNormal="115" workbookViewId="0">
      <selection activeCell="C17" sqref="C17"/>
    </sheetView>
  </sheetViews>
  <sheetFormatPr baseColWidth="10" defaultColWidth="11.44140625" defaultRowHeight="13.2" x14ac:dyDescent="0.25"/>
  <cols>
    <col min="1" max="1" width="6" style="1" customWidth="1"/>
    <col min="2" max="2" width="86.33203125" style="1" customWidth="1"/>
    <col min="3" max="3" width="12.33203125" style="3" customWidth="1"/>
    <col min="4" max="4" width="13"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817</v>
      </c>
      <c r="B7" s="8"/>
      <c r="C7" s="9"/>
      <c r="D7" s="9"/>
    </row>
    <row r="8" spans="1:6" s="4" customFormat="1" ht="19.2" x14ac:dyDescent="0.45">
      <c r="A8" s="7" t="s">
        <v>818</v>
      </c>
      <c r="B8" s="8"/>
      <c r="C8" s="9"/>
      <c r="D8" s="9"/>
    </row>
    <row r="9" spans="1:6" s="4" customFormat="1" ht="19.2" x14ac:dyDescent="0.45">
      <c r="A9" s="7" t="s">
        <v>3</v>
      </c>
      <c r="B9" s="8"/>
      <c r="C9" s="9"/>
      <c r="D9" s="9"/>
    </row>
    <row r="10" spans="1:6" s="4" customFormat="1" ht="19.2" x14ac:dyDescent="0.45">
      <c r="A10" s="7" t="s">
        <v>819</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
      <c r="A13" s="16" t="s">
        <v>820</v>
      </c>
      <c r="B13" s="13"/>
      <c r="C13" s="14"/>
      <c r="D13" s="15"/>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52.8" x14ac:dyDescent="0.25">
      <c r="A17" s="157">
        <v>1</v>
      </c>
      <c r="B17" s="158" t="s">
        <v>821</v>
      </c>
      <c r="C17" s="159">
        <f>208716*1.17</f>
        <v>244197.71999999997</v>
      </c>
      <c r="D17" s="161">
        <f t="shared" ref="D17:D18" si="0">A17*C17</f>
        <v>244197.71999999997</v>
      </c>
      <c r="E17" s="147"/>
    </row>
    <row r="18" spans="1:5" ht="52.8" x14ac:dyDescent="0.25">
      <c r="A18" s="157">
        <v>1</v>
      </c>
      <c r="B18" s="158" t="s">
        <v>822</v>
      </c>
      <c r="C18" s="159">
        <f>118909*1.35</f>
        <v>160527.15000000002</v>
      </c>
      <c r="D18" s="161">
        <f t="shared" si="0"/>
        <v>160527.15000000002</v>
      </c>
      <c r="E18" s="147"/>
    </row>
    <row r="19" spans="1:5" ht="13.5" customHeight="1" x14ac:dyDescent="0.25">
      <c r="A19" s="32"/>
      <c r="B19" s="166"/>
      <c r="C19" s="167" t="s">
        <v>38</v>
      </c>
      <c r="D19" s="168">
        <f>SUM(D17:D18)</f>
        <v>404724.87</v>
      </c>
      <c r="E19" s="147"/>
    </row>
    <row r="20" spans="1:5" ht="13.5" customHeight="1" x14ac:dyDescent="0.25">
      <c r="A20" s="33"/>
      <c r="B20" s="33"/>
      <c r="C20" s="167" t="s">
        <v>90</v>
      </c>
      <c r="D20" s="168">
        <f>D19*0.16</f>
        <v>64755.979200000002</v>
      </c>
      <c r="E20" s="147"/>
    </row>
    <row r="21" spans="1:5" ht="13.5" customHeight="1" thickBot="1" x14ac:dyDescent="0.3">
      <c r="A21" s="33"/>
      <c r="B21" s="170"/>
      <c r="C21" s="171" t="s">
        <v>40</v>
      </c>
      <c r="D21" s="172">
        <f>D19+D20</f>
        <v>469480.8492</v>
      </c>
      <c r="E21" s="169"/>
    </row>
    <row r="22" spans="1:5" ht="13.8" thickBot="1" x14ac:dyDescent="0.3">
      <c r="A22" s="33"/>
      <c r="B22" s="1035"/>
      <c r="C22" s="1036"/>
      <c r="D22" s="1037"/>
    </row>
    <row r="23" spans="1:5" ht="13.8" x14ac:dyDescent="0.25">
      <c r="A23" s="33"/>
      <c r="B23" s="173" t="s">
        <v>9</v>
      </c>
      <c r="C23" s="174"/>
      <c r="D23" s="175"/>
    </row>
    <row r="24" spans="1:5" ht="17.399999999999999" x14ac:dyDescent="0.25">
      <c r="A24" s="176"/>
      <c r="B24" s="177" t="s">
        <v>10</v>
      </c>
      <c r="C24" s="169"/>
      <c r="D24" s="41"/>
    </row>
    <row r="25" spans="1:5" ht="15" x14ac:dyDescent="0.25">
      <c r="A25" s="178"/>
      <c r="B25" s="40" t="s">
        <v>11</v>
      </c>
      <c r="D25" s="41"/>
    </row>
    <row r="26" spans="1:5" ht="15" x14ac:dyDescent="0.25">
      <c r="A26" s="178"/>
      <c r="B26" s="131" t="s">
        <v>12</v>
      </c>
      <c r="D26" s="41"/>
    </row>
    <row r="27" spans="1:5" ht="13.5" customHeight="1" x14ac:dyDescent="0.25">
      <c r="A27" s="178"/>
      <c r="B27" s="131" t="s">
        <v>13</v>
      </c>
      <c r="D27" s="41"/>
    </row>
    <row r="28" spans="1:5" ht="13.5" customHeight="1" x14ac:dyDescent="0.25">
      <c r="A28" s="178"/>
      <c r="B28" s="131" t="s">
        <v>14</v>
      </c>
      <c r="D28" s="41"/>
    </row>
    <row r="29" spans="1:5" ht="13.8" x14ac:dyDescent="0.25">
      <c r="A29" s="129"/>
      <c r="B29" s="40" t="s">
        <v>15</v>
      </c>
    </row>
    <row r="30" spans="1:5" ht="15" x14ac:dyDescent="0.25">
      <c r="A30" s="178"/>
      <c r="B30" s="36" t="s">
        <v>42</v>
      </c>
    </row>
    <row r="31" spans="1:5" ht="41.4" x14ac:dyDescent="0.25">
      <c r="A31" s="178"/>
      <c r="B31" s="36" t="s">
        <v>43</v>
      </c>
      <c r="C31" s="38"/>
      <c r="D31" s="39"/>
    </row>
    <row r="32" spans="1:5" ht="15" x14ac:dyDescent="0.25">
      <c r="A32" s="178"/>
      <c r="B32" s="40" t="s">
        <v>18</v>
      </c>
      <c r="C32" s="38"/>
      <c r="D32" s="39"/>
    </row>
    <row r="33" spans="1:4" ht="15" x14ac:dyDescent="0.25">
      <c r="A33" s="178"/>
      <c r="B33" s="134" t="s">
        <v>92</v>
      </c>
      <c r="C33" s="38"/>
      <c r="D33" s="38"/>
    </row>
    <row r="34" spans="1:4" ht="15" x14ac:dyDescent="0.25">
      <c r="A34" s="178"/>
      <c r="B34" s="135" t="s">
        <v>20</v>
      </c>
      <c r="C34" s="38"/>
      <c r="D34" s="38"/>
    </row>
    <row r="35" spans="1:4" ht="13.8" x14ac:dyDescent="0.25">
      <c r="A35" s="129"/>
      <c r="B35" s="40" t="s">
        <v>21</v>
      </c>
      <c r="D35" s="41"/>
    </row>
    <row r="36" spans="1:4" ht="15" x14ac:dyDescent="0.25">
      <c r="A36" s="178"/>
      <c r="B36" s="179" t="s">
        <v>222</v>
      </c>
      <c r="C36" s="38"/>
      <c r="D36" s="39"/>
    </row>
    <row r="37" spans="1:4" ht="15" x14ac:dyDescent="0.25">
      <c r="A37" s="178"/>
      <c r="B37" s="131" t="s">
        <v>44</v>
      </c>
      <c r="C37" s="38"/>
      <c r="D37" s="39"/>
    </row>
    <row r="38" spans="1:4" ht="50.4" x14ac:dyDescent="0.25">
      <c r="A38" s="182" t="s">
        <v>0</v>
      </c>
      <c r="B38" s="183" t="s">
        <v>23</v>
      </c>
      <c r="C38" s="38"/>
      <c r="D38" s="38"/>
    </row>
    <row r="39" spans="1:4" ht="16.8" x14ac:dyDescent="0.4">
      <c r="A39" s="43"/>
      <c r="B39" s="44"/>
      <c r="C39" s="45"/>
      <c r="D39" s="45"/>
    </row>
    <row r="40" spans="1:4" x14ac:dyDescent="0.25">
      <c r="A40" s="46"/>
      <c r="B40" s="47"/>
      <c r="C40" s="47"/>
      <c r="D40" s="1"/>
    </row>
    <row r="41" spans="1:4" x14ac:dyDescent="0.25">
      <c r="A41" s="46"/>
      <c r="B41" s="47"/>
      <c r="C41" s="47"/>
      <c r="D41" s="1"/>
    </row>
    <row r="42" spans="1:4" ht="28.5" customHeight="1" x14ac:dyDescent="0.25">
      <c r="A42" s="48"/>
      <c r="B42" s="49"/>
      <c r="C42" s="47"/>
      <c r="D42" s="1"/>
    </row>
    <row r="43" spans="1:4" ht="15" x14ac:dyDescent="0.35">
      <c r="A43" s="50" t="s">
        <v>0</v>
      </c>
      <c r="B43" s="51"/>
      <c r="C43" s="47"/>
      <c r="D43" s="47"/>
    </row>
    <row r="44" spans="1:4" ht="13.5" customHeight="1" x14ac:dyDescent="0.25">
      <c r="A44" s="1" t="s">
        <v>0</v>
      </c>
    </row>
    <row r="52" ht="15.75" customHeight="1" x14ac:dyDescent="0.25"/>
    <row r="57" ht="16.5" customHeight="1" x14ac:dyDescent="0.25"/>
    <row r="62" ht="15" customHeight="1" x14ac:dyDescent="0.25"/>
  </sheetData>
  <mergeCells count="3">
    <mergeCell ref="A4:D4"/>
    <mergeCell ref="A14:D14"/>
    <mergeCell ref="B22:D22"/>
  </mergeCells>
  <printOptions horizontalCentered="1"/>
  <pageMargins left="0.25" right="0.25" top="0.75" bottom="0.75" header="0.3" footer="0.3"/>
  <pageSetup paperSize="9" scale="81" fitToWidth="0" orientation="portrait" r:id="rId1"/>
  <headerFooter alignWithMargins="0">
    <oddFooter>Página &amp;P de &amp;N</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4C05-41CD-435C-A9F9-CC9D27086E03}">
  <sheetPr>
    <tabColor theme="4" tint="-0.249977111117893"/>
    <pageSetUpPr fitToPage="1"/>
  </sheetPr>
  <dimension ref="A1:G43"/>
  <sheetViews>
    <sheetView topLeftCell="A10" zoomScaleNormal="100" workbookViewId="0">
      <selection activeCell="D15" sqref="D15"/>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416</v>
      </c>
      <c r="B7" s="228"/>
      <c r="C7" s="229"/>
      <c r="D7" s="229"/>
      <c r="E7" s="10"/>
      <c r="F7" s="10"/>
      <c r="G7" s="10"/>
    </row>
    <row r="8" spans="1:7" s="4" customFormat="1" ht="19.2" x14ac:dyDescent="0.45">
      <c r="A8" s="227" t="s">
        <v>417</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419</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480" t="s">
        <v>823</v>
      </c>
      <c r="B13" s="481"/>
      <c r="C13" s="232"/>
      <c r="D13" s="482"/>
      <c r="E13" s="17"/>
      <c r="F13" s="17"/>
    </row>
    <row r="14" spans="1:7" s="4" customFormat="1" ht="16.8" x14ac:dyDescent="0.4">
      <c r="A14" s="419"/>
      <c r="B14" s="420" t="s">
        <v>7</v>
      </c>
      <c r="C14" s="421"/>
      <c r="D14" s="421"/>
      <c r="E14" s="147"/>
      <c r="F14" s="1"/>
    </row>
    <row r="15" spans="1:7" s="17" customFormat="1" ht="30" x14ac:dyDescent="0.25">
      <c r="A15" s="422">
        <v>10</v>
      </c>
      <c r="B15" s="423" t="s">
        <v>828</v>
      </c>
      <c r="C15" s="424">
        <v>2543.1</v>
      </c>
      <c r="D15" s="425">
        <f t="shared" ref="D15" si="0">A15*C15</f>
        <v>25431</v>
      </c>
      <c r="E15" s="25"/>
      <c r="F15" s="26"/>
    </row>
    <row r="16" spans="1:7" ht="30" x14ac:dyDescent="0.25">
      <c r="A16" s="72">
        <v>1</v>
      </c>
      <c r="B16" s="73" t="s">
        <v>421</v>
      </c>
      <c r="C16" s="74">
        <v>5879.3</v>
      </c>
      <c r="D16" s="75">
        <f t="shared" ref="D16:D20" si="1">A16*C16</f>
        <v>5879.3</v>
      </c>
      <c r="E16" s="147"/>
      <c r="F16" s="26"/>
    </row>
    <row r="17" spans="1:6" s="26" customFormat="1" ht="30" x14ac:dyDescent="0.25">
      <c r="A17" s="72">
        <v>1</v>
      </c>
      <c r="B17" s="73" t="s">
        <v>424</v>
      </c>
      <c r="C17" s="74">
        <v>2327.6</v>
      </c>
      <c r="D17" s="75">
        <f t="shared" si="1"/>
        <v>2327.6</v>
      </c>
      <c r="E17" s="147"/>
    </row>
    <row r="18" spans="1:6" ht="30" x14ac:dyDescent="0.25">
      <c r="A18" s="422">
        <v>10</v>
      </c>
      <c r="B18" s="423" t="s">
        <v>829</v>
      </c>
      <c r="C18" s="424">
        <v>1017.24</v>
      </c>
      <c r="D18" s="425">
        <f t="shared" si="1"/>
        <v>10172.4</v>
      </c>
      <c r="E18" s="147"/>
      <c r="F18" s="26"/>
    </row>
    <row r="19" spans="1:6" ht="30" x14ac:dyDescent="0.25">
      <c r="A19" s="72">
        <v>1</v>
      </c>
      <c r="B19" s="73" t="s">
        <v>421</v>
      </c>
      <c r="C19" s="74">
        <v>3534.5</v>
      </c>
      <c r="D19" s="75">
        <f t="shared" si="1"/>
        <v>3534.5</v>
      </c>
      <c r="E19" s="147"/>
      <c r="F19" s="26"/>
    </row>
    <row r="20" spans="1:6" ht="30" x14ac:dyDescent="0.25">
      <c r="A20" s="72">
        <v>1</v>
      </c>
      <c r="B20" s="73" t="s">
        <v>8</v>
      </c>
      <c r="C20" s="74">
        <v>1551.7</v>
      </c>
      <c r="D20" s="75">
        <f t="shared" si="1"/>
        <v>1551.7</v>
      </c>
      <c r="E20" s="147"/>
    </row>
    <row r="21" spans="1:6" ht="15.6" x14ac:dyDescent="0.25">
      <c r="A21" s="89"/>
      <c r="B21" s="90"/>
      <c r="C21" s="91" t="s">
        <v>38</v>
      </c>
      <c r="D21" s="75">
        <f>SUM(D15:D20)</f>
        <v>48896.5</v>
      </c>
    </row>
    <row r="22" spans="1:6" ht="15.6" x14ac:dyDescent="0.3">
      <c r="A22" s="92"/>
      <c r="B22" s="90"/>
      <c r="C22" s="93" t="s">
        <v>39</v>
      </c>
      <c r="D22" s="75">
        <f>D21*0.16</f>
        <v>7823.4400000000005</v>
      </c>
    </row>
    <row r="23" spans="1:6" ht="16.2" thickBot="1" x14ac:dyDescent="0.35">
      <c r="A23" s="92"/>
      <c r="B23" s="90"/>
      <c r="C23" s="93" t="s">
        <v>40</v>
      </c>
      <c r="D23" s="75">
        <f>D21+D22</f>
        <v>56719.94</v>
      </c>
    </row>
    <row r="24" spans="1:6" ht="16.2" thickBot="1" x14ac:dyDescent="0.3">
      <c r="A24" s="92"/>
      <c r="B24" s="1023" t="s">
        <v>825</v>
      </c>
      <c r="C24" s="1084"/>
      <c r="D24" s="1085"/>
    </row>
    <row r="25" spans="1:6" ht="15" x14ac:dyDescent="0.25">
      <c r="A25" s="34"/>
      <c r="B25" s="35" t="s">
        <v>11</v>
      </c>
      <c r="C25" s="1"/>
      <c r="D25" s="1"/>
    </row>
    <row r="26" spans="1:6" ht="15" x14ac:dyDescent="0.25">
      <c r="A26" s="34"/>
      <c r="B26" s="408" t="s">
        <v>428</v>
      </c>
      <c r="C26" s="1"/>
      <c r="D26" s="1"/>
    </row>
    <row r="27" spans="1:6" ht="15" x14ac:dyDescent="0.25">
      <c r="A27" s="34"/>
      <c r="B27" s="131" t="s">
        <v>429</v>
      </c>
      <c r="C27" s="1"/>
      <c r="D27" s="1"/>
    </row>
    <row r="28" spans="1:6" ht="15" x14ac:dyDescent="0.25">
      <c r="A28" s="34"/>
      <c r="B28" s="408" t="s">
        <v>645</v>
      </c>
      <c r="C28" s="1"/>
      <c r="D28" s="1"/>
    </row>
    <row r="29" spans="1:6" ht="13.8" x14ac:dyDescent="0.25">
      <c r="B29" s="130" t="s">
        <v>431</v>
      </c>
      <c r="C29" s="1"/>
      <c r="D29" s="1"/>
    </row>
    <row r="30" spans="1:6" ht="15" x14ac:dyDescent="0.25">
      <c r="A30" s="34"/>
      <c r="B30" s="35" t="s">
        <v>15</v>
      </c>
      <c r="C30" s="37"/>
      <c r="D30" s="37"/>
    </row>
    <row r="31" spans="1:6" ht="27.6" x14ac:dyDescent="0.25">
      <c r="A31" s="34"/>
      <c r="B31" s="36" t="s">
        <v>17</v>
      </c>
      <c r="C31" s="38"/>
      <c r="D31" s="39"/>
    </row>
    <row r="32" spans="1:6" ht="15" x14ac:dyDescent="0.25">
      <c r="A32" s="34"/>
      <c r="B32" s="40" t="s">
        <v>18</v>
      </c>
      <c r="C32" s="38"/>
      <c r="D32" s="38"/>
    </row>
    <row r="33" spans="1:4" ht="15" x14ac:dyDescent="0.25">
      <c r="A33" s="34"/>
      <c r="B33" s="134" t="s">
        <v>19</v>
      </c>
      <c r="C33" s="38"/>
      <c r="D33" s="38"/>
    </row>
    <row r="34" spans="1:4" ht="13.8" x14ac:dyDescent="0.25">
      <c r="B34" s="135" t="s">
        <v>20</v>
      </c>
      <c r="D34" s="41"/>
    </row>
    <row r="35" spans="1:4" ht="15" x14ac:dyDescent="0.25">
      <c r="A35" s="34"/>
      <c r="B35" s="40" t="s">
        <v>21</v>
      </c>
      <c r="C35" s="38"/>
      <c r="D35" s="39"/>
    </row>
    <row r="36" spans="1:4" ht="15" x14ac:dyDescent="0.25">
      <c r="A36" s="34"/>
      <c r="B36" s="179" t="s">
        <v>571</v>
      </c>
      <c r="C36" s="38"/>
      <c r="D36" s="39"/>
    </row>
    <row r="37" spans="1:4" ht="13.8" x14ac:dyDescent="0.25">
      <c r="A37" s="42" t="s">
        <v>0</v>
      </c>
      <c r="B37" s="496" t="s">
        <v>641</v>
      </c>
      <c r="C37" s="38"/>
      <c r="D37" s="38"/>
    </row>
    <row r="38" spans="1:4" ht="50.4" x14ac:dyDescent="0.25">
      <c r="A38" s="43"/>
      <c r="B38" s="183" t="s">
        <v>23</v>
      </c>
      <c r="C38" s="45"/>
      <c r="D38" s="45"/>
    </row>
    <row r="39" spans="1:4" ht="16.8" x14ac:dyDescent="0.4">
      <c r="A39" s="46"/>
      <c r="B39" s="44"/>
      <c r="C39" s="47"/>
      <c r="D39" s="1"/>
    </row>
    <row r="40" spans="1:4" x14ac:dyDescent="0.25">
      <c r="A40" s="46"/>
      <c r="B40" s="47"/>
      <c r="C40" s="47"/>
      <c r="D40" s="1"/>
    </row>
    <row r="41" spans="1:4" x14ac:dyDescent="0.25">
      <c r="A41" s="48"/>
      <c r="B41" s="47"/>
      <c r="C41" s="47"/>
      <c r="D41" s="1"/>
    </row>
    <row r="42" spans="1:4" x14ac:dyDescent="0.25">
      <c r="A42" s="50" t="s">
        <v>0</v>
      </c>
      <c r="B42" s="49"/>
      <c r="C42" s="47"/>
      <c r="D42" s="47"/>
    </row>
    <row r="43" spans="1:4" ht="15" x14ac:dyDescent="0.35">
      <c r="A43" s="1" t="s">
        <v>0</v>
      </c>
      <c r="B43" s="51"/>
    </row>
  </sheetData>
  <mergeCells count="2">
    <mergeCell ref="A4:D4"/>
    <mergeCell ref="B24:D24"/>
  </mergeCells>
  <printOptions horizontalCentered="1"/>
  <pageMargins left="0.25" right="0.25" top="0.75" bottom="0.75" header="0.3" footer="0.3"/>
  <pageSetup fitToWidth="0" orientation="portrait" r:id="rId1"/>
  <headerFooter alignWithMargins="0">
    <oddFooter>Página &amp;P de &amp;N</odd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F58E-CB1B-4AE2-ACC0-6D64644CA5A9}">
  <sheetPr>
    <tabColor theme="4" tint="-0.249977111117893"/>
    <pageSetUpPr fitToPage="1"/>
  </sheetPr>
  <dimension ref="A1:F62"/>
  <sheetViews>
    <sheetView topLeftCell="A5" zoomScaleNormal="100" workbookViewId="0">
      <selection activeCell="D15" sqref="D15"/>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417</v>
      </c>
      <c r="B8" s="228"/>
      <c r="C8" s="229"/>
      <c r="D8" s="229"/>
    </row>
    <row r="9" spans="1:6" s="10" customFormat="1" ht="19.2" x14ac:dyDescent="0.45">
      <c r="A9" s="227" t="s">
        <v>418</v>
      </c>
      <c r="B9" s="228"/>
      <c r="C9" s="229"/>
      <c r="D9" s="229"/>
    </row>
    <row r="10" spans="1:6" s="10" customFormat="1" ht="19.2" x14ac:dyDescent="0.45">
      <c r="A10" s="227" t="s">
        <v>419</v>
      </c>
      <c r="B10" s="228"/>
      <c r="C10" s="230"/>
      <c r="D10" s="229"/>
    </row>
    <row r="11" spans="1:6" s="10" customFormat="1" ht="19.2" x14ac:dyDescent="0.45">
      <c r="A11" s="227" t="s">
        <v>420</v>
      </c>
      <c r="B11" s="228"/>
      <c r="C11" s="230"/>
      <c r="D11" s="229"/>
    </row>
    <row r="12" spans="1:6" s="10" customFormat="1" ht="15" customHeight="1" x14ac:dyDescent="0.45">
      <c r="A12" s="227" t="s">
        <v>6</v>
      </c>
      <c r="B12" s="231"/>
      <c r="C12" s="232"/>
      <c r="D12" s="233"/>
      <c r="E12" s="188"/>
    </row>
    <row r="13" spans="1:6" s="10" customFormat="1" ht="15" customHeight="1" x14ac:dyDescent="0.45">
      <c r="A13" s="480" t="s">
        <v>823</v>
      </c>
      <c r="B13" s="481"/>
      <c r="C13" s="232"/>
      <c r="D13" s="482"/>
      <c r="E13" s="189"/>
    </row>
    <row r="14" spans="1:6" s="10" customFormat="1" ht="16.8" x14ac:dyDescent="0.4">
      <c r="A14" s="262"/>
      <c r="B14" s="263"/>
      <c r="C14" s="264"/>
      <c r="D14" s="264"/>
      <c r="E14" s="190"/>
      <c r="F14" s="188"/>
    </row>
    <row r="15" spans="1:6" s="188" customFormat="1" ht="52.8" x14ac:dyDescent="0.25">
      <c r="A15" s="445">
        <v>1</v>
      </c>
      <c r="B15" s="446" t="s">
        <v>824</v>
      </c>
      <c r="C15" s="447">
        <v>69000</v>
      </c>
      <c r="D15" s="448">
        <f>A15*C15</f>
        <v>69000</v>
      </c>
      <c r="E15" s="189"/>
      <c r="F15" s="108"/>
    </row>
    <row r="16" spans="1:6" x14ac:dyDescent="0.25">
      <c r="A16" s="535">
        <v>1</v>
      </c>
      <c r="B16" s="446" t="s">
        <v>500</v>
      </c>
      <c r="C16" s="447">
        <v>1150</v>
      </c>
      <c r="D16" s="448"/>
      <c r="E16" s="189"/>
      <c r="F16" s="191"/>
    </row>
    <row r="17" spans="1:6" s="191" customFormat="1" ht="15.75" customHeight="1" x14ac:dyDescent="0.25">
      <c r="A17" s="536"/>
      <c r="B17" s="450"/>
      <c r="C17" s="451" t="s">
        <v>188</v>
      </c>
      <c r="D17" s="452">
        <f>SUM(D15:D15)</f>
        <v>69000</v>
      </c>
      <c r="E17" s="189"/>
      <c r="F17" s="108"/>
    </row>
    <row r="18" spans="1:6" x14ac:dyDescent="0.25">
      <c r="A18" s="453"/>
      <c r="B18" s="454"/>
      <c r="C18" s="455" t="s">
        <v>90</v>
      </c>
      <c r="D18" s="456">
        <f>D17*0.16</f>
        <v>11040</v>
      </c>
      <c r="E18" s="189"/>
    </row>
    <row r="19" spans="1:6" ht="13.8" thickBot="1" x14ac:dyDescent="0.3">
      <c r="A19" s="276"/>
      <c r="B19" s="385"/>
      <c r="C19" s="457" t="s">
        <v>40</v>
      </c>
      <c r="D19" s="458">
        <f>D17+D18</f>
        <v>80040</v>
      </c>
      <c r="E19" s="189"/>
    </row>
    <row r="20" spans="1:6" ht="13.8" thickBot="1" x14ac:dyDescent="0.3">
      <c r="A20" s="102"/>
      <c r="B20" s="459" t="s">
        <v>739</v>
      </c>
      <c r="C20" s="460"/>
      <c r="D20" s="461"/>
      <c r="E20" s="189"/>
    </row>
    <row r="21" spans="1:6" ht="13.5" customHeight="1" x14ac:dyDescent="0.25">
      <c r="A21" s="106"/>
      <c r="B21" s="97" t="s">
        <v>11</v>
      </c>
      <c r="C21" s="462"/>
      <c r="D21" s="254"/>
    </row>
    <row r="22" spans="1:6" ht="15" x14ac:dyDescent="0.25">
      <c r="A22" s="106"/>
      <c r="B22" s="123" t="s">
        <v>12</v>
      </c>
      <c r="D22" s="105"/>
      <c r="E22" s="189"/>
    </row>
    <row r="23" spans="1:6" ht="15" x14ac:dyDescent="0.25">
      <c r="A23" s="106"/>
      <c r="B23" s="123" t="s">
        <v>13</v>
      </c>
      <c r="D23" s="105"/>
    </row>
    <row r="24" spans="1:6" ht="15" x14ac:dyDescent="0.25">
      <c r="A24" s="106"/>
      <c r="B24" s="123" t="s">
        <v>14</v>
      </c>
      <c r="D24" s="105"/>
    </row>
    <row r="25" spans="1:6" ht="13.8" x14ac:dyDescent="0.25">
      <c r="B25" s="103" t="s">
        <v>15</v>
      </c>
    </row>
    <row r="26" spans="1:6" ht="27.6" x14ac:dyDescent="0.25">
      <c r="A26" s="106"/>
      <c r="B26" s="295" t="s">
        <v>42</v>
      </c>
    </row>
    <row r="27" spans="1:6" ht="41.4" x14ac:dyDescent="0.25">
      <c r="A27" s="106"/>
      <c r="B27" s="295" t="s">
        <v>43</v>
      </c>
      <c r="C27" s="109"/>
      <c r="D27" s="110"/>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85" fitToHeight="0" orientation="portrait" r:id="rId1"/>
  <headerFooter alignWithMargins="0">
    <oddFooter>Página &amp;P de &amp;N</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24134-B861-401A-97C4-5C02536470D5}">
  <sheetPr>
    <tabColor theme="4" tint="-0.249977111117893"/>
    <pageSetUpPr fitToPage="1"/>
  </sheetPr>
  <dimension ref="A1:F62"/>
  <sheetViews>
    <sheetView topLeftCell="A5" zoomScaleNormal="100" workbookViewId="0">
      <selection activeCell="A15" sqref="A15:D15"/>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417</v>
      </c>
      <c r="B8" s="228"/>
      <c r="C8" s="229"/>
      <c r="D8" s="229"/>
    </row>
    <row r="9" spans="1:6" s="10" customFormat="1" ht="19.2" x14ac:dyDescent="0.45">
      <c r="A9" s="227" t="s">
        <v>418</v>
      </c>
      <c r="B9" s="228"/>
      <c r="C9" s="229"/>
      <c r="D9" s="229"/>
    </row>
    <row r="10" spans="1:6" s="10" customFormat="1" ht="19.2" x14ac:dyDescent="0.45">
      <c r="A10" s="227" t="s">
        <v>419</v>
      </c>
      <c r="B10" s="228"/>
      <c r="C10" s="230"/>
      <c r="D10" s="229"/>
    </row>
    <row r="11" spans="1:6" s="10" customFormat="1" ht="19.2" x14ac:dyDescent="0.45">
      <c r="A11" s="227" t="s">
        <v>420</v>
      </c>
      <c r="B11" s="228"/>
      <c r="C11" s="230"/>
      <c r="D11" s="229"/>
    </row>
    <row r="12" spans="1:6" s="10" customFormat="1" ht="15" customHeight="1" x14ac:dyDescent="0.45">
      <c r="A12" s="227" t="s">
        <v>6</v>
      </c>
      <c r="B12" s="231"/>
      <c r="C12" s="232"/>
      <c r="D12" s="233"/>
      <c r="E12" s="188"/>
    </row>
    <row r="13" spans="1:6" s="10" customFormat="1" ht="15" customHeight="1" x14ac:dyDescent="0.45">
      <c r="A13" s="480" t="s">
        <v>823</v>
      </c>
      <c r="B13" s="481"/>
      <c r="C13" s="232"/>
      <c r="D13" s="482"/>
      <c r="E13" s="189"/>
    </row>
    <row r="14" spans="1:6" s="10" customFormat="1" ht="16.8" x14ac:dyDescent="0.4">
      <c r="A14" s="262"/>
      <c r="B14" s="263"/>
      <c r="C14" s="264"/>
      <c r="D14" s="264"/>
      <c r="E14" s="190"/>
      <c r="F14" s="188"/>
    </row>
    <row r="15" spans="1:6" s="188" customFormat="1" ht="26.4" x14ac:dyDescent="0.25">
      <c r="A15" s="445">
        <v>3</v>
      </c>
      <c r="B15" s="446" t="s">
        <v>826</v>
      </c>
      <c r="C15" s="447">
        <v>3333</v>
      </c>
      <c r="D15" s="448">
        <f>A15*C15</f>
        <v>9999</v>
      </c>
      <c r="E15" s="189"/>
      <c r="F15" s="108"/>
    </row>
    <row r="16" spans="1:6" x14ac:dyDescent="0.25">
      <c r="A16" s="536"/>
      <c r="B16" s="450"/>
      <c r="C16" s="451" t="s">
        <v>188</v>
      </c>
      <c r="D16" s="452">
        <f>SUM(D15:D15)</f>
        <v>9999</v>
      </c>
      <c r="E16" s="189"/>
      <c r="F16" s="191"/>
    </row>
    <row r="17" spans="1:6" s="191" customFormat="1" ht="15.75" customHeight="1" x14ac:dyDescent="0.25">
      <c r="A17" s="453"/>
      <c r="B17" s="454"/>
      <c r="C17" s="455" t="s">
        <v>90</v>
      </c>
      <c r="D17" s="456">
        <f>D16*0.16</f>
        <v>1599.8400000000001</v>
      </c>
      <c r="E17" s="189"/>
      <c r="F17" s="108"/>
    </row>
    <row r="18" spans="1:6" ht="13.8" thickBot="1" x14ac:dyDescent="0.3">
      <c r="A18" s="276"/>
      <c r="B18" s="385"/>
      <c r="C18" s="457" t="s">
        <v>40</v>
      </c>
      <c r="D18" s="458">
        <f>D16+D17</f>
        <v>11598.84</v>
      </c>
      <c r="E18" s="189"/>
    </row>
    <row r="19" spans="1:6" ht="13.8" thickBot="1" x14ac:dyDescent="0.3">
      <c r="A19" s="102"/>
      <c r="B19" s="459" t="s">
        <v>827</v>
      </c>
      <c r="C19" s="460"/>
      <c r="D19" s="461"/>
      <c r="E19" s="189"/>
    </row>
    <row r="20" spans="1:6" ht="15" x14ac:dyDescent="0.25">
      <c r="A20" s="106"/>
      <c r="B20" s="97" t="s">
        <v>11</v>
      </c>
      <c r="C20" s="462"/>
      <c r="D20" s="254"/>
    </row>
    <row r="21" spans="1:6" ht="13.5" customHeight="1" x14ac:dyDescent="0.25">
      <c r="A21" s="106"/>
      <c r="B21" s="123" t="s">
        <v>12</v>
      </c>
      <c r="D21" s="105"/>
      <c r="E21" s="189"/>
    </row>
    <row r="22" spans="1:6" ht="15" x14ac:dyDescent="0.25">
      <c r="A22" s="106"/>
      <c r="B22" s="123" t="s">
        <v>13</v>
      </c>
      <c r="D22" s="105"/>
    </row>
    <row r="23" spans="1:6" ht="15" x14ac:dyDescent="0.25">
      <c r="A23" s="106"/>
      <c r="B23" s="123" t="s">
        <v>14</v>
      </c>
      <c r="D23" s="105"/>
    </row>
    <row r="24" spans="1:6" ht="13.8" x14ac:dyDescent="0.25">
      <c r="B24" s="103" t="s">
        <v>15</v>
      </c>
    </row>
    <row r="25" spans="1:6" ht="27.6" x14ac:dyDescent="0.25">
      <c r="A25" s="106"/>
      <c r="B25" s="295" t="s">
        <v>42</v>
      </c>
    </row>
    <row r="26" spans="1:6" ht="41.4" x14ac:dyDescent="0.25">
      <c r="A26" s="106"/>
      <c r="B26" s="295" t="s">
        <v>43</v>
      </c>
      <c r="C26" s="109"/>
      <c r="D26" s="110"/>
    </row>
    <row r="27" spans="1:6" ht="15" x14ac:dyDescent="0.25">
      <c r="A27" s="106"/>
      <c r="B27" s="103" t="s">
        <v>18</v>
      </c>
      <c r="C27" s="109"/>
      <c r="D27" s="110"/>
    </row>
    <row r="28" spans="1:6" ht="15" x14ac:dyDescent="0.25">
      <c r="A28" s="106"/>
      <c r="B28" s="296" t="s">
        <v>501</v>
      </c>
      <c r="C28" s="109"/>
      <c r="D28" s="109"/>
    </row>
    <row r="29" spans="1:6" ht="13.5" customHeight="1" x14ac:dyDescent="0.25">
      <c r="A29" s="106"/>
      <c r="B29" s="297" t="s">
        <v>20</v>
      </c>
      <c r="C29" s="109"/>
      <c r="D29" s="109"/>
    </row>
    <row r="30" spans="1:6" ht="13.8" x14ac:dyDescent="0.25">
      <c r="B30" s="103" t="s">
        <v>21</v>
      </c>
      <c r="D30" s="105"/>
    </row>
    <row r="31" spans="1:6" ht="15" x14ac:dyDescent="0.25">
      <c r="A31" s="106"/>
      <c r="B31" s="122" t="s">
        <v>502</v>
      </c>
      <c r="C31" s="109"/>
      <c r="D31" s="110"/>
    </row>
    <row r="32" spans="1:6" ht="15" x14ac:dyDescent="0.25">
      <c r="A32" s="106"/>
      <c r="B32" s="123" t="s">
        <v>44</v>
      </c>
      <c r="C32" s="109"/>
      <c r="D32" s="110"/>
    </row>
    <row r="33" spans="1:4" ht="13.8" x14ac:dyDescent="0.25">
      <c r="A33" s="115" t="s">
        <v>0</v>
      </c>
      <c r="B33" s="298" t="s">
        <v>45</v>
      </c>
      <c r="C33" s="109"/>
    </row>
    <row r="34" spans="1:4" ht="15.75" customHeight="1" x14ac:dyDescent="0.25">
      <c r="A34" s="222"/>
      <c r="B34" s="314" t="s">
        <v>169</v>
      </c>
      <c r="C34" s="220"/>
      <c r="D34" s="108"/>
    </row>
    <row r="35" spans="1:4" x14ac:dyDescent="0.25">
      <c r="A35" s="222"/>
      <c r="B35" s="181"/>
      <c r="C35" s="181"/>
      <c r="D35" s="108"/>
    </row>
    <row r="36" spans="1:4" x14ac:dyDescent="0.25">
      <c r="A36" s="222"/>
      <c r="B36" s="181"/>
      <c r="C36" s="181"/>
      <c r="D36" s="108"/>
    </row>
    <row r="37" spans="1:4" x14ac:dyDescent="0.25">
      <c r="A37" s="225"/>
      <c r="B37" s="223"/>
      <c r="C37" s="181"/>
      <c r="D37" s="108"/>
    </row>
    <row r="38" spans="1:4" ht="15" x14ac:dyDescent="0.35">
      <c r="A38" s="226"/>
      <c r="B38" s="224"/>
      <c r="C38" s="181"/>
      <c r="D38" s="181"/>
    </row>
    <row r="39" spans="1:4" x14ac:dyDescent="0.25">
      <c r="A39"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85" fitToHeight="0" orientation="portrait" r:id="rId1"/>
  <headerFooter alignWithMargins="0">
    <oddFooter>Página &amp;P de &amp;N</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A95C-D9F0-4ABF-84F1-668C11A2664C}">
  <sheetPr>
    <tabColor theme="4" tint="-0.249977111117893"/>
  </sheetPr>
  <dimension ref="A1:G58"/>
  <sheetViews>
    <sheetView zoomScaleNormal="100" workbookViewId="0">
      <selection activeCell="E34" sqref="E34"/>
    </sheetView>
  </sheetViews>
  <sheetFormatPr baseColWidth="10" defaultColWidth="11.44140625" defaultRowHeight="13.2" x14ac:dyDescent="0.25"/>
  <cols>
    <col min="1" max="1" width="6" style="108" customWidth="1"/>
    <col min="2" max="2" width="67.33203125" style="108" customWidth="1"/>
    <col min="3" max="3" width="12.6640625" style="107" customWidth="1"/>
    <col min="4" max="4" width="12.6640625" style="107" bestFit="1"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385</v>
      </c>
      <c r="B7" s="228"/>
      <c r="C7" s="229"/>
      <c r="D7" s="229"/>
    </row>
    <row r="8" spans="1:7" s="10" customFormat="1" ht="19.2" x14ac:dyDescent="0.45">
      <c r="A8" s="227" t="s">
        <v>386</v>
      </c>
      <c r="B8" s="228"/>
      <c r="C8" s="229"/>
      <c r="D8" s="229"/>
    </row>
    <row r="9" spans="1:7" s="10" customFormat="1" ht="19.2" x14ac:dyDescent="0.45">
      <c r="A9" s="227" t="s">
        <v>387</v>
      </c>
      <c r="B9" s="228"/>
      <c r="C9" s="229"/>
      <c r="D9" s="229"/>
    </row>
    <row r="10" spans="1:7" s="10" customFormat="1" ht="19.2" x14ac:dyDescent="0.45">
      <c r="A10" s="227" t="s">
        <v>388</v>
      </c>
      <c r="B10" s="228"/>
      <c r="C10" s="230"/>
      <c r="D10" s="229"/>
    </row>
    <row r="11" spans="1:7" s="10" customFormat="1" ht="19.2" x14ac:dyDescent="0.45">
      <c r="A11" s="227" t="s">
        <v>6</v>
      </c>
      <c r="B11" s="228"/>
      <c r="C11" s="230"/>
      <c r="D11" s="229"/>
    </row>
    <row r="12" spans="1:7" s="10" customFormat="1" ht="16.5" customHeight="1" x14ac:dyDescent="0.45">
      <c r="A12" s="16" t="s">
        <v>782</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188" customFormat="1" ht="39.6" x14ac:dyDescent="0.25">
      <c r="A15" s="155">
        <v>1</v>
      </c>
      <c r="B15" s="396" t="s">
        <v>847</v>
      </c>
      <c r="C15" s="397">
        <v>8900</v>
      </c>
      <c r="D15" s="398">
        <f>A15*C15</f>
        <v>8900</v>
      </c>
      <c r="E15" s="190"/>
      <c r="F15" s="108"/>
      <c r="G15" s="108"/>
    </row>
    <row r="16" spans="1:7" x14ac:dyDescent="0.25">
      <c r="A16" s="155">
        <v>50</v>
      </c>
      <c r="B16" s="396" t="s">
        <v>848</v>
      </c>
      <c r="C16" s="397">
        <f>275.7*1.25</f>
        <v>344.625</v>
      </c>
      <c r="D16" s="398">
        <f>A16*C16</f>
        <v>17231.25</v>
      </c>
      <c r="E16" s="189"/>
      <c r="F16" s="191"/>
      <c r="G16" s="191"/>
    </row>
    <row r="17" spans="1:7" s="191" customFormat="1" x14ac:dyDescent="0.25">
      <c r="A17" s="155">
        <v>1</v>
      </c>
      <c r="B17" s="396" t="s">
        <v>849</v>
      </c>
      <c r="C17" s="397">
        <f>9196.32*1.25</f>
        <v>11495.4</v>
      </c>
      <c r="D17" s="398">
        <f t="shared" ref="D17:D18" si="0">A17*C17</f>
        <v>11495.4</v>
      </c>
      <c r="E17" s="189"/>
      <c r="F17" s="108"/>
      <c r="G17" s="108"/>
    </row>
    <row r="18" spans="1:7" ht="26.4" x14ac:dyDescent="0.25">
      <c r="A18" s="155">
        <v>1</v>
      </c>
      <c r="B18" s="396" t="s">
        <v>850</v>
      </c>
      <c r="C18" s="397">
        <v>3860</v>
      </c>
      <c r="D18" s="398">
        <f t="shared" si="0"/>
        <v>3860</v>
      </c>
      <c r="E18" s="189"/>
    </row>
    <row r="19" spans="1:7" x14ac:dyDescent="0.25">
      <c r="A19" s="399"/>
      <c r="B19" s="400"/>
      <c r="C19" s="401"/>
      <c r="D19" s="154"/>
      <c r="E19" s="189"/>
    </row>
    <row r="20" spans="1:7" x14ac:dyDescent="0.25">
      <c r="A20" s="250"/>
      <c r="B20" s="402"/>
      <c r="C20" s="403" t="s">
        <v>160</v>
      </c>
      <c r="D20" s="154">
        <f>SUM(D14:D19)</f>
        <v>41486.65</v>
      </c>
      <c r="E20" s="189"/>
    </row>
    <row r="21" spans="1:7" x14ac:dyDescent="0.25">
      <c r="A21" s="250"/>
      <c r="B21" s="250"/>
      <c r="C21" s="403" t="s">
        <v>392</v>
      </c>
      <c r="D21" s="154">
        <f>D20*0.16</f>
        <v>6637.8640000000005</v>
      </c>
      <c r="E21" s="189"/>
    </row>
    <row r="22" spans="1:7" ht="13.8" thickBot="1" x14ac:dyDescent="0.3">
      <c r="A22" s="250"/>
      <c r="B22" s="250"/>
      <c r="C22" s="403" t="s">
        <v>162</v>
      </c>
      <c r="D22" s="154">
        <f>D20+D21</f>
        <v>48124.514000000003</v>
      </c>
      <c r="E22" s="189"/>
    </row>
    <row r="23" spans="1:7" ht="13.8" thickBot="1" x14ac:dyDescent="0.3">
      <c r="A23" s="102"/>
      <c r="B23" s="1074" t="s">
        <v>393</v>
      </c>
      <c r="C23" s="1075"/>
      <c r="D23" s="1076"/>
      <c r="E23" s="189"/>
    </row>
    <row r="24" spans="1:7" ht="13.8" x14ac:dyDescent="0.25">
      <c r="A24" s="102"/>
      <c r="B24" s="103" t="s">
        <v>9</v>
      </c>
      <c r="C24" s="104"/>
      <c r="D24" s="105"/>
      <c r="E24" s="189"/>
    </row>
    <row r="25" spans="1:7" ht="15" x14ac:dyDescent="0.25">
      <c r="A25" s="106"/>
      <c r="B25" s="103" t="s">
        <v>11</v>
      </c>
      <c r="D25" s="105"/>
    </row>
    <row r="26" spans="1:7" ht="15" x14ac:dyDescent="0.25">
      <c r="A26" s="106"/>
      <c r="B26" s="123" t="s">
        <v>394</v>
      </c>
      <c r="D26" s="105"/>
    </row>
    <row r="27" spans="1:7" ht="13.5" customHeight="1" x14ac:dyDescent="0.25">
      <c r="A27" s="106"/>
      <c r="B27" s="123" t="s">
        <v>13</v>
      </c>
      <c r="D27" s="105"/>
    </row>
    <row r="28" spans="1:7" ht="17.25" customHeight="1" x14ac:dyDescent="0.25">
      <c r="A28" s="106"/>
      <c r="B28" s="123" t="s">
        <v>14</v>
      </c>
      <c r="D28" s="105"/>
    </row>
    <row r="29" spans="1:7" ht="15" x14ac:dyDescent="0.25">
      <c r="A29" s="106"/>
      <c r="B29" s="103" t="s">
        <v>18</v>
      </c>
      <c r="C29" s="109"/>
      <c r="D29" s="110"/>
      <c r="E29" s="189"/>
    </row>
    <row r="30" spans="1:7" ht="13.5" customHeight="1" x14ac:dyDescent="0.25">
      <c r="A30" s="106"/>
      <c r="B30" s="313" t="s">
        <v>851</v>
      </c>
      <c r="C30" s="109"/>
      <c r="D30" s="109"/>
      <c r="E30" s="189"/>
    </row>
    <row r="31" spans="1:7" ht="15" x14ac:dyDescent="0.25">
      <c r="A31" s="106"/>
      <c r="B31" s="297" t="s">
        <v>20</v>
      </c>
      <c r="C31" s="109"/>
      <c r="D31" s="109"/>
    </row>
    <row r="32" spans="1:7" ht="13.8" x14ac:dyDescent="0.25">
      <c r="B32" s="103" t="s">
        <v>21</v>
      </c>
      <c r="D32" s="105"/>
    </row>
    <row r="33" spans="1:4" ht="15" x14ac:dyDescent="0.25">
      <c r="A33" s="106"/>
      <c r="B33" s="179" t="s">
        <v>574</v>
      </c>
      <c r="C33" s="109"/>
      <c r="D33" s="110"/>
    </row>
    <row r="34" spans="1:4" ht="15" x14ac:dyDescent="0.25">
      <c r="A34" s="106"/>
      <c r="B34" s="123" t="s">
        <v>44</v>
      </c>
      <c r="C34" s="109"/>
      <c r="D34" s="110"/>
    </row>
    <row r="35" spans="1:4" ht="13.8" x14ac:dyDescent="0.25">
      <c r="A35" s="115" t="s">
        <v>0</v>
      </c>
      <c r="B35" s="123"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t="s">
        <v>0</v>
      </c>
      <c r="B40" s="224"/>
      <c r="C40" s="181"/>
      <c r="D40" s="181"/>
    </row>
    <row r="41" spans="1:4" x14ac:dyDescent="0.25">
      <c r="A41" s="108" t="s">
        <v>0</v>
      </c>
    </row>
    <row r="49" ht="12.75" customHeight="1" x14ac:dyDescent="0.25"/>
    <row r="53" ht="16.5" customHeight="1" x14ac:dyDescent="0.25"/>
    <row r="57" ht="15.75" customHeight="1" x14ac:dyDescent="0.25"/>
    <row r="58" ht="15" customHeight="1" x14ac:dyDescent="0.25"/>
  </sheetData>
  <mergeCells count="3">
    <mergeCell ref="A4:D4"/>
    <mergeCell ref="A13:D13"/>
    <mergeCell ref="B23:D23"/>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CC76F-B19B-4A63-ABBF-7E38141F282E}">
  <sheetPr>
    <tabColor theme="4" tint="-0.249977111117893"/>
    <pageSetUpPr fitToPage="1"/>
  </sheetPr>
  <dimension ref="A1:F62"/>
  <sheetViews>
    <sheetView topLeftCell="A3" zoomScale="115" zoomScaleNormal="115" workbookViewId="0">
      <selection activeCell="B17" sqref="B17"/>
    </sheetView>
  </sheetViews>
  <sheetFormatPr baseColWidth="10" defaultColWidth="11.44140625" defaultRowHeight="13.2" x14ac:dyDescent="0.25"/>
  <cols>
    <col min="1" max="1" width="6" style="1" customWidth="1"/>
    <col min="2" max="2" width="86.33203125" style="1" customWidth="1"/>
    <col min="3" max="3" width="12.33203125" style="3" customWidth="1"/>
    <col min="4" max="4" width="13"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817</v>
      </c>
      <c r="B7" s="8"/>
      <c r="C7" s="9"/>
      <c r="D7" s="9"/>
    </row>
    <row r="8" spans="1:6" s="4" customFormat="1" ht="19.2" x14ac:dyDescent="0.45">
      <c r="A8" s="7" t="s">
        <v>855</v>
      </c>
      <c r="B8" s="8"/>
      <c r="C8" s="9"/>
      <c r="D8" s="9"/>
    </row>
    <row r="9" spans="1:6" s="4" customFormat="1" ht="19.2" x14ac:dyDescent="0.45">
      <c r="A9" s="7" t="s">
        <v>3</v>
      </c>
      <c r="B9" s="8"/>
      <c r="C9" s="9"/>
      <c r="D9" s="9"/>
    </row>
    <row r="10" spans="1:6" s="4" customFormat="1" ht="19.2" x14ac:dyDescent="0.45">
      <c r="A10" s="7" t="s">
        <v>819</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
      <c r="A13" s="16" t="s">
        <v>845</v>
      </c>
      <c r="B13" s="13"/>
      <c r="C13" s="14"/>
      <c r="D13" s="15"/>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26.4" x14ac:dyDescent="0.25">
      <c r="A17" s="445">
        <v>1</v>
      </c>
      <c r="B17" s="446" t="s">
        <v>826</v>
      </c>
      <c r="C17" s="447">
        <v>7000</v>
      </c>
      <c r="D17" s="448">
        <f>A17*C17</f>
        <v>7000</v>
      </c>
      <c r="E17" s="147"/>
    </row>
    <row r="18" spans="1:5" x14ac:dyDescent="0.25">
      <c r="A18" s="32"/>
      <c r="B18" s="166"/>
      <c r="C18" s="167" t="s">
        <v>38</v>
      </c>
      <c r="D18" s="168">
        <f>SUM(D17:D17)</f>
        <v>7000</v>
      </c>
      <c r="E18" s="147"/>
    </row>
    <row r="19" spans="1:5" ht="13.5" customHeight="1" x14ac:dyDescent="0.25">
      <c r="A19" s="33"/>
      <c r="B19" s="33"/>
      <c r="C19" s="167" t="s">
        <v>90</v>
      </c>
      <c r="D19" s="168">
        <f>D18*0.16</f>
        <v>1120</v>
      </c>
      <c r="E19" s="147"/>
    </row>
    <row r="20" spans="1:5" ht="13.5" customHeight="1" thickBot="1" x14ac:dyDescent="0.3">
      <c r="A20" s="33"/>
      <c r="B20" s="170"/>
      <c r="C20" s="171" t="s">
        <v>40</v>
      </c>
      <c r="D20" s="172">
        <f>D18+D19</f>
        <v>8120</v>
      </c>
      <c r="E20" s="147"/>
    </row>
    <row r="21" spans="1:5" ht="13.5" customHeight="1" thickBot="1" x14ac:dyDescent="0.3">
      <c r="A21" s="33"/>
      <c r="B21" s="1035" t="s">
        <v>854</v>
      </c>
      <c r="C21" s="1036"/>
      <c r="D21" s="1037"/>
      <c r="E21" s="169"/>
    </row>
    <row r="22" spans="1:5" ht="13.8" x14ac:dyDescent="0.25">
      <c r="A22" s="33"/>
      <c r="B22" s="173" t="s">
        <v>9</v>
      </c>
      <c r="C22" s="174"/>
      <c r="D22" s="175"/>
    </row>
    <row r="23" spans="1:5" ht="17.399999999999999" x14ac:dyDescent="0.25">
      <c r="A23" s="176"/>
      <c r="B23" s="177" t="s">
        <v>10</v>
      </c>
      <c r="C23" s="169"/>
      <c r="D23" s="41"/>
    </row>
    <row r="24" spans="1:5" ht="15" x14ac:dyDescent="0.25">
      <c r="A24" s="178"/>
      <c r="B24" s="40" t="s">
        <v>11</v>
      </c>
      <c r="D24" s="41"/>
    </row>
    <row r="25" spans="1:5" ht="15" x14ac:dyDescent="0.25">
      <c r="A25" s="178"/>
      <c r="B25" s="131" t="s">
        <v>12</v>
      </c>
      <c r="D25" s="41"/>
    </row>
    <row r="26" spans="1:5" ht="15" x14ac:dyDescent="0.25">
      <c r="A26" s="178"/>
      <c r="B26" s="131" t="s">
        <v>13</v>
      </c>
      <c r="D26" s="41"/>
    </row>
    <row r="27" spans="1:5" ht="13.5" customHeight="1" x14ac:dyDescent="0.25">
      <c r="A27" s="178"/>
      <c r="B27" s="131" t="s">
        <v>14</v>
      </c>
      <c r="D27" s="41"/>
    </row>
    <row r="28" spans="1:5" ht="13.5" customHeight="1" x14ac:dyDescent="0.25">
      <c r="A28" s="129"/>
      <c r="B28" s="40" t="s">
        <v>15</v>
      </c>
    </row>
    <row r="29" spans="1:5" ht="15" x14ac:dyDescent="0.25">
      <c r="A29" s="178"/>
      <c r="B29" s="36" t="s">
        <v>42</v>
      </c>
    </row>
    <row r="30" spans="1:5" ht="41.4" x14ac:dyDescent="0.25">
      <c r="A30" s="178"/>
      <c r="B30" s="36" t="s">
        <v>43</v>
      </c>
      <c r="C30" s="38"/>
      <c r="D30" s="39"/>
    </row>
    <row r="31" spans="1:5" ht="15" x14ac:dyDescent="0.25">
      <c r="A31" s="178"/>
      <c r="B31" s="40" t="s">
        <v>18</v>
      </c>
      <c r="C31" s="38"/>
      <c r="D31" s="39"/>
    </row>
    <row r="32" spans="1:5" ht="15" x14ac:dyDescent="0.25">
      <c r="A32" s="178"/>
      <c r="B32" s="134" t="s">
        <v>92</v>
      </c>
      <c r="C32" s="38"/>
      <c r="D32" s="38"/>
    </row>
    <row r="33" spans="1:4" ht="15" x14ac:dyDescent="0.25">
      <c r="A33" s="178"/>
      <c r="B33" s="135" t="s">
        <v>20</v>
      </c>
      <c r="C33" s="38"/>
      <c r="D33" s="38"/>
    </row>
    <row r="34" spans="1:4" ht="13.8" x14ac:dyDescent="0.25">
      <c r="A34" s="129"/>
      <c r="B34" s="40" t="s">
        <v>21</v>
      </c>
      <c r="D34" s="41"/>
    </row>
    <row r="35" spans="1:4" ht="15" x14ac:dyDescent="0.25">
      <c r="A35" s="178"/>
      <c r="B35" s="179" t="s">
        <v>222</v>
      </c>
      <c r="C35" s="38"/>
      <c r="D35" s="39"/>
    </row>
    <row r="36" spans="1:4" ht="15" x14ac:dyDescent="0.25">
      <c r="A36" s="178"/>
      <c r="B36" s="131" t="s">
        <v>44</v>
      </c>
      <c r="C36" s="38"/>
      <c r="D36" s="39"/>
    </row>
    <row r="37" spans="1:4" ht="50.4" x14ac:dyDescent="0.25">
      <c r="A37" s="182" t="s">
        <v>0</v>
      </c>
      <c r="B37" s="183" t="s">
        <v>23</v>
      </c>
      <c r="C37" s="38"/>
      <c r="D37" s="38"/>
    </row>
    <row r="38" spans="1:4" ht="16.8" x14ac:dyDescent="0.4">
      <c r="A38" s="43"/>
      <c r="B38" s="44"/>
      <c r="C38" s="45"/>
      <c r="D38" s="45"/>
    </row>
    <row r="39" spans="1:4" x14ac:dyDescent="0.25">
      <c r="A39" s="46"/>
      <c r="B39" s="47"/>
      <c r="C39" s="47"/>
      <c r="D39" s="1"/>
    </row>
    <row r="40" spans="1:4" x14ac:dyDescent="0.25">
      <c r="A40" s="46"/>
      <c r="B40" s="47"/>
      <c r="C40" s="47"/>
      <c r="D40" s="1"/>
    </row>
    <row r="41" spans="1:4" x14ac:dyDescent="0.25">
      <c r="A41" s="48"/>
      <c r="B41" s="49"/>
      <c r="C41" s="47"/>
      <c r="D41" s="1"/>
    </row>
    <row r="42" spans="1:4" ht="28.5" customHeight="1" x14ac:dyDescent="0.35">
      <c r="A42" s="50" t="s">
        <v>0</v>
      </c>
      <c r="B42" s="51"/>
      <c r="C42" s="47"/>
      <c r="D42" s="47"/>
    </row>
    <row r="43" spans="1:4" x14ac:dyDescent="0.25">
      <c r="A43" s="1" t="s">
        <v>0</v>
      </c>
    </row>
    <row r="44" spans="1:4" ht="13.5" customHeight="1" x14ac:dyDescent="0.25"/>
    <row r="52" ht="15.75" customHeight="1" x14ac:dyDescent="0.25"/>
    <row r="57" ht="16.5" customHeight="1" x14ac:dyDescent="0.25"/>
    <row r="62" ht="15" customHeight="1" x14ac:dyDescent="0.25"/>
  </sheetData>
  <mergeCells count="3">
    <mergeCell ref="A4:D4"/>
    <mergeCell ref="A14:D14"/>
    <mergeCell ref="B21:D21"/>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0CF5-8D81-4E56-A8DB-B1D52EF68E49}">
  <sheetPr>
    <pageSetUpPr fitToPage="1"/>
  </sheetPr>
  <dimension ref="A1:I340"/>
  <sheetViews>
    <sheetView topLeftCell="A169" workbookViewId="0">
      <selection activeCell="E172" sqref="E172"/>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6" width="12.6640625" bestFit="1" customWidth="1"/>
    <col min="7" max="7" width="11.5546875" customWidth="1"/>
  </cols>
  <sheetData>
    <row r="1" spans="1:9" s="316" customFormat="1" ht="16.8" x14ac:dyDescent="0.3">
      <c r="A1" s="337"/>
      <c r="B1" s="361"/>
      <c r="C1" s="362"/>
      <c r="D1" s="363"/>
      <c r="E1" s="364"/>
      <c r="F1"/>
      <c r="G1"/>
      <c r="H1"/>
      <c r="I1"/>
    </row>
    <row r="2" spans="1:9" ht="16.8" x14ac:dyDescent="0.3">
      <c r="A2" s="337"/>
      <c r="B2" s="361"/>
      <c r="C2" s="362"/>
    </row>
    <row r="4" spans="1:9" ht="16.8" x14ac:dyDescent="0.4">
      <c r="D4" s="58"/>
      <c r="E4" s="316"/>
    </row>
    <row r="5" spans="1:9" ht="16.8" x14ac:dyDescent="0.4">
      <c r="D5" s="58"/>
      <c r="E5" s="316"/>
    </row>
    <row r="6" spans="1:9" ht="16.8" x14ac:dyDescent="0.4">
      <c r="D6" s="58"/>
      <c r="E6" s="316"/>
    </row>
    <row r="7" spans="1:9" ht="16.8" x14ac:dyDescent="0.4">
      <c r="A7" s="57" t="s">
        <v>856</v>
      </c>
      <c r="B7" s="10"/>
      <c r="C7" s="58"/>
      <c r="D7" s="63"/>
      <c r="E7" s="316"/>
    </row>
    <row r="8" spans="1:9" ht="16.8" x14ac:dyDescent="0.4">
      <c r="A8" s="57" t="s">
        <v>857</v>
      </c>
      <c r="B8" s="10"/>
      <c r="C8" s="58"/>
      <c r="D8" s="63"/>
      <c r="E8" s="316"/>
    </row>
    <row r="9" spans="1:9" ht="16.8" x14ac:dyDescent="0.4">
      <c r="A9" s="57" t="s">
        <v>859</v>
      </c>
      <c r="B9" s="10"/>
      <c r="C9" s="59"/>
    </row>
    <row r="10" spans="1:9" ht="16.8" x14ac:dyDescent="0.4">
      <c r="A10" s="57" t="s">
        <v>858</v>
      </c>
      <c r="B10" s="10"/>
      <c r="C10" s="59"/>
    </row>
    <row r="11" spans="1:9" ht="16.8" x14ac:dyDescent="0.4">
      <c r="A11" s="57" t="s">
        <v>6</v>
      </c>
      <c r="B11" s="61"/>
      <c r="C11" s="62"/>
    </row>
    <row r="12" spans="1:9" s="317" customFormat="1" ht="16.8" x14ac:dyDescent="0.4">
      <c r="A12" s="60" t="s">
        <v>845</v>
      </c>
      <c r="B12" s="61"/>
      <c r="C12" s="62"/>
      <c r="D12"/>
      <c r="E12"/>
      <c r="F12"/>
      <c r="G12"/>
      <c r="H12"/>
      <c r="I12"/>
    </row>
    <row r="13" spans="1:9" x14ac:dyDescent="0.3">
      <c r="A13" s="365" t="s">
        <v>287</v>
      </c>
      <c r="B13" s="366" t="s">
        <v>288</v>
      </c>
      <c r="C13" s="367" t="s">
        <v>289</v>
      </c>
      <c r="D13" s="321" t="s">
        <v>290</v>
      </c>
      <c r="E13" s="322" t="s">
        <v>291</v>
      </c>
    </row>
    <row r="14" spans="1:9" ht="27.6" x14ac:dyDescent="0.3">
      <c r="A14" s="1086" t="s">
        <v>860</v>
      </c>
      <c r="B14" s="1087"/>
      <c r="C14" s="324" t="s">
        <v>861</v>
      </c>
      <c r="D14" s="328">
        <f>((130*120)+(6000+3000))</f>
        <v>24600</v>
      </c>
      <c r="E14" s="343" t="s">
        <v>309</v>
      </c>
    </row>
    <row r="15" spans="1:9" ht="27.6" x14ac:dyDescent="0.3">
      <c r="A15" s="1086"/>
      <c r="B15" s="1087"/>
      <c r="C15" s="324" t="s">
        <v>870</v>
      </c>
      <c r="D15" s="328">
        <v>1100</v>
      </c>
      <c r="E15" s="317" t="s">
        <v>306</v>
      </c>
    </row>
    <row r="16" spans="1:9" ht="27.6" x14ac:dyDescent="0.3">
      <c r="A16" s="1086"/>
      <c r="B16" s="1087"/>
      <c r="C16" s="324" t="s">
        <v>863</v>
      </c>
      <c r="D16" s="328">
        <v>3600</v>
      </c>
      <c r="E16" s="343" t="s">
        <v>306</v>
      </c>
    </row>
    <row r="17" spans="1:6" ht="55.2" x14ac:dyDescent="0.3">
      <c r="A17" s="1086"/>
      <c r="B17" s="1087"/>
      <c r="C17" s="324" t="s">
        <v>864</v>
      </c>
      <c r="D17" s="328">
        <f>((5500)+(351*20))</f>
        <v>12520</v>
      </c>
      <c r="E17" s="343" t="s">
        <v>306</v>
      </c>
    </row>
    <row r="18" spans="1:6" ht="41.4" x14ac:dyDescent="0.3">
      <c r="A18" s="1086"/>
      <c r="B18" s="347"/>
      <c r="C18" s="324" t="s">
        <v>865</v>
      </c>
      <c r="D18" s="328">
        <f>(65000+9000)</f>
        <v>74000</v>
      </c>
      <c r="E18" s="343" t="s">
        <v>301</v>
      </c>
    </row>
    <row r="19" spans="1:6" ht="55.2" x14ac:dyDescent="0.3">
      <c r="A19" s="1086"/>
      <c r="B19" s="326"/>
      <c r="C19" s="324" t="s">
        <v>864</v>
      </c>
      <c r="D19" s="328">
        <f>((5500)+(351*20))</f>
        <v>12520</v>
      </c>
      <c r="E19" s="343" t="s">
        <v>306</v>
      </c>
    </row>
    <row r="20" spans="1:6" ht="41.4" x14ac:dyDescent="0.3">
      <c r="A20" s="337"/>
      <c r="B20" s="326"/>
      <c r="C20" s="324" t="s">
        <v>866</v>
      </c>
      <c r="D20" s="328">
        <f>((130*120)+(6000+3000))+(2300+3800)</f>
        <v>30700</v>
      </c>
      <c r="E20" s="343" t="s">
        <v>309</v>
      </c>
    </row>
    <row r="21" spans="1:6" ht="41.4" x14ac:dyDescent="0.3">
      <c r="A21" s="337"/>
      <c r="B21" s="348"/>
      <c r="C21" s="575" t="s">
        <v>867</v>
      </c>
      <c r="D21" s="328">
        <v>2500</v>
      </c>
      <c r="E21" s="343" t="s">
        <v>306</v>
      </c>
    </row>
    <row r="22" spans="1:6" ht="27.6" x14ac:dyDescent="0.3">
      <c r="A22" s="344"/>
      <c r="B22" s="348"/>
      <c r="C22" s="324" t="s">
        <v>868</v>
      </c>
      <c r="D22" s="328">
        <v>5400</v>
      </c>
      <c r="E22" s="343" t="s">
        <v>306</v>
      </c>
    </row>
    <row r="23" spans="1:6" x14ac:dyDescent="0.3">
      <c r="A23" s="344"/>
      <c r="B23" s="351"/>
      <c r="C23" s="349"/>
      <c r="D23" s="350">
        <f>SUM(D13:D22)</f>
        <v>166940</v>
      </c>
      <c r="E23" s="343"/>
    </row>
    <row r="24" spans="1:6" x14ac:dyDescent="0.3">
      <c r="A24" s="337"/>
      <c r="B24" s="351"/>
      <c r="C24" s="352"/>
      <c r="D24" s="350">
        <f>D23*0.16</f>
        <v>26710.400000000001</v>
      </c>
      <c r="E24" s="317"/>
    </row>
    <row r="25" spans="1:6" ht="15" thickBot="1" x14ac:dyDescent="0.35">
      <c r="A25" s="337"/>
      <c r="B25" s="351"/>
      <c r="C25" s="352"/>
      <c r="D25" s="353">
        <f>D23+D24</f>
        <v>193650.4</v>
      </c>
      <c r="E25" s="317"/>
    </row>
    <row r="26" spans="1:6" ht="15" thickBot="1" x14ac:dyDescent="0.35">
      <c r="A26" s="334"/>
      <c r="B26" s="357" t="s">
        <v>904</v>
      </c>
      <c r="C26" s="358"/>
      <c r="D26" s="359"/>
      <c r="E26" s="360"/>
    </row>
    <row r="27" spans="1:6" x14ac:dyDescent="0.3">
      <c r="A27" s="490"/>
      <c r="B27" s="579"/>
      <c r="C27" s="580" t="s">
        <v>11</v>
      </c>
      <c r="D27" s="581"/>
      <c r="E27" s="582"/>
      <c r="F27" s="581"/>
    </row>
    <row r="28" spans="1:6" x14ac:dyDescent="0.3">
      <c r="A28" s="490"/>
      <c r="B28" s="332"/>
      <c r="C28" s="583" t="s">
        <v>14</v>
      </c>
      <c r="D28" s="584"/>
      <c r="E28" s="585"/>
      <c r="F28" s="581"/>
    </row>
    <row r="29" spans="1:6" x14ac:dyDescent="0.3">
      <c r="A29" s="337"/>
      <c r="B29" s="102"/>
      <c r="C29" s="103" t="s">
        <v>15</v>
      </c>
      <c r="D29" s="107"/>
      <c r="E29" s="105"/>
    </row>
    <row r="30" spans="1:6" x14ac:dyDescent="0.3">
      <c r="A30" s="490"/>
      <c r="B30" s="491"/>
      <c r="C30" s="489" t="s">
        <v>42</v>
      </c>
      <c r="D30" s="107"/>
      <c r="E30" s="105"/>
    </row>
    <row r="31" spans="1:6" ht="20.399999999999999" x14ac:dyDescent="0.3">
      <c r="A31" s="490"/>
      <c r="B31" s="492"/>
      <c r="C31" s="489" t="s">
        <v>43</v>
      </c>
      <c r="D31" s="107"/>
      <c r="E31" s="105"/>
    </row>
    <row r="32" spans="1:6" x14ac:dyDescent="0.3">
      <c r="A32" s="490"/>
      <c r="B32" s="492"/>
      <c r="C32" s="586" t="s">
        <v>18</v>
      </c>
      <c r="D32" s="587"/>
      <c r="E32" s="585"/>
    </row>
    <row r="33" spans="1:5" x14ac:dyDescent="0.3">
      <c r="A33" s="490"/>
      <c r="B33" s="492"/>
      <c r="C33" s="565" t="s">
        <v>887</v>
      </c>
      <c r="D33" s="587"/>
      <c r="E33" s="585"/>
    </row>
    <row r="34" spans="1:5" x14ac:dyDescent="0.3">
      <c r="A34" s="490"/>
      <c r="B34" s="492"/>
      <c r="C34" s="588" t="s">
        <v>888</v>
      </c>
      <c r="D34" s="587"/>
      <c r="E34" s="587"/>
    </row>
    <row r="35" spans="1:5" x14ac:dyDescent="0.3">
      <c r="A35" s="490"/>
      <c r="B35" s="589"/>
      <c r="C35" s="586" t="s">
        <v>21</v>
      </c>
      <c r="D35" s="587"/>
      <c r="E35" s="587"/>
    </row>
    <row r="36" spans="1:5" x14ac:dyDescent="0.3">
      <c r="A36" s="490"/>
      <c r="B36" s="492"/>
      <c r="C36" s="590" t="s">
        <v>262</v>
      </c>
      <c r="D36" s="581"/>
      <c r="E36" s="585"/>
    </row>
    <row r="37" spans="1:5" x14ac:dyDescent="0.3">
      <c r="A37" s="490"/>
      <c r="B37" s="492"/>
      <c r="C37" s="583" t="s">
        <v>889</v>
      </c>
      <c r="D37" s="581"/>
      <c r="E37" s="581"/>
    </row>
    <row r="38" spans="1:5" x14ac:dyDescent="0.3">
      <c r="A38" s="490"/>
      <c r="B38" s="492"/>
      <c r="C38" s="583" t="s">
        <v>890</v>
      </c>
      <c r="D38" s="581"/>
      <c r="E38" s="581"/>
    </row>
    <row r="39" spans="1:5" x14ac:dyDescent="0.3">
      <c r="A39" s="490"/>
      <c r="B39" s="591"/>
      <c r="C39" s="592"/>
      <c r="D39" s="581"/>
      <c r="E39" s="581"/>
    </row>
    <row r="40" spans="1:5" x14ac:dyDescent="0.3">
      <c r="A40" s="490"/>
      <c r="B40" s="591"/>
      <c r="C40" s="592"/>
      <c r="D40" s="581"/>
      <c r="E40" s="581"/>
    </row>
    <row r="41" spans="1:5" ht="16.8" x14ac:dyDescent="0.4">
      <c r="D41" s="58"/>
      <c r="E41" s="316"/>
    </row>
    <row r="42" spans="1:5" ht="16.8" x14ac:dyDescent="0.4">
      <c r="D42" s="58"/>
      <c r="E42" s="316"/>
    </row>
    <row r="43" spans="1:5" ht="16.8" x14ac:dyDescent="0.4">
      <c r="D43" s="58"/>
      <c r="E43" s="316"/>
    </row>
    <row r="44" spans="1:5" ht="16.8" x14ac:dyDescent="0.4">
      <c r="D44" s="58"/>
      <c r="E44" s="316"/>
    </row>
    <row r="45" spans="1:5" ht="16.8" x14ac:dyDescent="0.4">
      <c r="A45" s="57" t="s">
        <v>856</v>
      </c>
      <c r="B45" s="10"/>
      <c r="C45" s="58"/>
      <c r="D45" s="63"/>
      <c r="E45" s="316"/>
    </row>
    <row r="46" spans="1:5" ht="16.8" x14ac:dyDescent="0.4">
      <c r="A46" s="57" t="s">
        <v>857</v>
      </c>
      <c r="B46" s="10"/>
      <c r="C46" s="58"/>
      <c r="D46" s="63"/>
      <c r="E46" s="316"/>
    </row>
    <row r="47" spans="1:5" ht="16.8" x14ac:dyDescent="0.4">
      <c r="A47" s="57" t="s">
        <v>869</v>
      </c>
      <c r="B47" s="10"/>
      <c r="C47" s="59"/>
    </row>
    <row r="48" spans="1:5" ht="16.8" x14ac:dyDescent="0.4">
      <c r="A48" s="57" t="s">
        <v>858</v>
      </c>
      <c r="B48" s="10"/>
      <c r="C48" s="59"/>
    </row>
    <row r="49" spans="1:5" ht="16.8" x14ac:dyDescent="0.4">
      <c r="A49" s="57" t="s">
        <v>6</v>
      </c>
      <c r="B49" s="61"/>
      <c r="C49" s="62"/>
    </row>
    <row r="50" spans="1:5" ht="16.8" x14ac:dyDescent="0.4">
      <c r="A50" s="60" t="s">
        <v>845</v>
      </c>
      <c r="B50" s="61"/>
      <c r="C50" s="62"/>
    </row>
    <row r="51" spans="1:5" x14ac:dyDescent="0.3">
      <c r="A51" s="365" t="s">
        <v>287</v>
      </c>
      <c r="B51" s="366" t="s">
        <v>288</v>
      </c>
      <c r="C51" s="367" t="s">
        <v>289</v>
      </c>
      <c r="D51" s="321" t="s">
        <v>290</v>
      </c>
      <c r="E51" s="322" t="s">
        <v>291</v>
      </c>
    </row>
    <row r="52" spans="1:5" ht="27.6" x14ac:dyDescent="0.3">
      <c r="A52" s="1086" t="s">
        <v>871</v>
      </c>
      <c r="B52" s="1087"/>
      <c r="C52" s="324" t="s">
        <v>861</v>
      </c>
      <c r="D52" s="328">
        <f>((130*110)+(6000+3000))</f>
        <v>23300</v>
      </c>
      <c r="E52" s="343" t="s">
        <v>309</v>
      </c>
    </row>
    <row r="53" spans="1:5" ht="27.6" x14ac:dyDescent="0.3">
      <c r="A53" s="1086"/>
      <c r="B53" s="1087"/>
      <c r="C53" s="324" t="s">
        <v>862</v>
      </c>
      <c r="D53" s="328">
        <v>1100</v>
      </c>
      <c r="E53" s="317" t="s">
        <v>306</v>
      </c>
    </row>
    <row r="54" spans="1:5" ht="27.6" x14ac:dyDescent="0.3">
      <c r="A54" s="1086"/>
      <c r="B54" s="1087"/>
      <c r="C54" s="324" t="s">
        <v>863</v>
      </c>
      <c r="D54" s="328">
        <v>3600</v>
      </c>
      <c r="E54" s="343" t="s">
        <v>306</v>
      </c>
    </row>
    <row r="55" spans="1:5" ht="55.2" x14ac:dyDescent="0.3">
      <c r="A55" s="1086"/>
      <c r="B55" s="1087"/>
      <c r="C55" s="324" t="s">
        <v>864</v>
      </c>
      <c r="D55" s="328">
        <f>((5500)+(351*20))</f>
        <v>12520</v>
      </c>
      <c r="E55" s="343" t="s">
        <v>306</v>
      </c>
    </row>
    <row r="56" spans="1:5" ht="41.4" x14ac:dyDescent="0.3">
      <c r="A56" s="1086"/>
      <c r="B56" s="347"/>
      <c r="C56" s="324" t="s">
        <v>865</v>
      </c>
      <c r="D56" s="328">
        <f>(65000+9000)</f>
        <v>74000</v>
      </c>
      <c r="E56" s="343" t="s">
        <v>301</v>
      </c>
    </row>
    <row r="57" spans="1:5" ht="55.2" x14ac:dyDescent="0.3">
      <c r="A57" s="1086"/>
      <c r="B57" s="326"/>
      <c r="C57" s="324" t="s">
        <v>864</v>
      </c>
      <c r="D57" s="328">
        <f>((5500)+(351*20))</f>
        <v>12520</v>
      </c>
      <c r="E57" s="343" t="s">
        <v>306</v>
      </c>
    </row>
    <row r="58" spans="1:5" ht="41.4" x14ac:dyDescent="0.3">
      <c r="A58" s="337"/>
      <c r="B58" s="326"/>
      <c r="C58" s="324" t="s">
        <v>866</v>
      </c>
      <c r="D58" s="328">
        <f>((130*120)+(6000+3000))+(2300+3800)</f>
        <v>30700</v>
      </c>
      <c r="E58" s="343" t="s">
        <v>309</v>
      </c>
    </row>
    <row r="59" spans="1:5" ht="41.4" x14ac:dyDescent="0.3">
      <c r="A59" s="337"/>
      <c r="B59" s="348"/>
      <c r="C59" s="575" t="s">
        <v>867</v>
      </c>
      <c r="D59" s="328">
        <v>2500</v>
      </c>
      <c r="E59" s="343" t="s">
        <v>306</v>
      </c>
    </row>
    <row r="60" spans="1:5" ht="27.6" x14ac:dyDescent="0.3">
      <c r="A60" s="344"/>
      <c r="B60" s="348"/>
      <c r="C60" s="324" t="s">
        <v>868</v>
      </c>
      <c r="D60" s="328">
        <v>5400</v>
      </c>
      <c r="E60" s="343" t="s">
        <v>306</v>
      </c>
    </row>
    <row r="61" spans="1:5" x14ac:dyDescent="0.3">
      <c r="A61" s="344"/>
      <c r="B61" s="351"/>
      <c r="C61" s="349"/>
      <c r="D61" s="350">
        <f>SUM(D51:D60)</f>
        <v>165640</v>
      </c>
      <c r="E61" s="343"/>
    </row>
    <row r="62" spans="1:5" x14ac:dyDescent="0.3">
      <c r="A62" s="337"/>
      <c r="B62" s="351"/>
      <c r="C62" s="352"/>
      <c r="D62" s="350">
        <f>D61*0.16</f>
        <v>26502.400000000001</v>
      </c>
      <c r="E62" s="317"/>
    </row>
    <row r="63" spans="1:5" ht="15" thickBot="1" x14ac:dyDescent="0.35">
      <c r="A63" s="337"/>
      <c r="B63" s="351"/>
      <c r="C63" s="352"/>
      <c r="D63" s="353">
        <f>D61+D62</f>
        <v>192142.4</v>
      </c>
      <c r="E63" s="317"/>
    </row>
    <row r="64" spans="1:5" ht="15" thickBot="1" x14ac:dyDescent="0.35">
      <c r="A64" s="334"/>
      <c r="B64" s="357" t="s">
        <v>905</v>
      </c>
      <c r="C64" s="358"/>
      <c r="D64" s="359"/>
      <c r="E64" s="360"/>
    </row>
    <row r="65" spans="1:6" x14ac:dyDescent="0.3">
      <c r="A65" s="490"/>
      <c r="B65" s="579"/>
      <c r="C65" s="580" t="s">
        <v>11</v>
      </c>
      <c r="D65" s="581"/>
      <c r="E65" s="582"/>
      <c r="F65" s="581"/>
    </row>
    <row r="66" spans="1:6" x14ac:dyDescent="0.3">
      <c r="A66" s="490"/>
      <c r="B66" s="332"/>
      <c r="C66" s="583" t="s">
        <v>14</v>
      </c>
      <c r="D66" s="584"/>
      <c r="E66" s="585"/>
      <c r="F66" s="581"/>
    </row>
    <row r="67" spans="1:6" x14ac:dyDescent="0.3">
      <c r="A67" s="337"/>
      <c r="B67" s="102"/>
      <c r="C67" s="103" t="s">
        <v>15</v>
      </c>
      <c r="D67" s="107"/>
      <c r="E67" s="105"/>
    </row>
    <row r="68" spans="1:6" x14ac:dyDescent="0.3">
      <c r="A68" s="490"/>
      <c r="B68" s="491"/>
      <c r="C68" s="489" t="s">
        <v>42</v>
      </c>
      <c r="D68" s="107"/>
      <c r="E68" s="105"/>
    </row>
    <row r="69" spans="1:6" ht="20.399999999999999" x14ac:dyDescent="0.3">
      <c r="A69" s="490"/>
      <c r="B69" s="492"/>
      <c r="C69" s="489" t="s">
        <v>43</v>
      </c>
      <c r="D69" s="107"/>
      <c r="E69" s="105"/>
    </row>
    <row r="70" spans="1:6" x14ac:dyDescent="0.3">
      <c r="A70" s="490"/>
      <c r="B70" s="492"/>
      <c r="C70" s="586" t="s">
        <v>18</v>
      </c>
      <c r="D70" s="587"/>
      <c r="E70" s="585"/>
    </row>
    <row r="71" spans="1:6" x14ac:dyDescent="0.3">
      <c r="A71" s="490"/>
      <c r="B71" s="492"/>
      <c r="C71" s="565" t="s">
        <v>887</v>
      </c>
      <c r="D71" s="587"/>
      <c r="E71" s="585"/>
    </row>
    <row r="72" spans="1:6" x14ac:dyDescent="0.3">
      <c r="A72" s="490"/>
      <c r="B72" s="492"/>
      <c r="C72" s="588" t="s">
        <v>888</v>
      </c>
      <c r="D72" s="587"/>
      <c r="E72" s="587"/>
    </row>
    <row r="73" spans="1:6" x14ac:dyDescent="0.3">
      <c r="A73" s="490"/>
      <c r="B73" s="589"/>
      <c r="C73" s="586" t="s">
        <v>21</v>
      </c>
      <c r="D73" s="587"/>
      <c r="E73" s="587"/>
    </row>
    <row r="74" spans="1:6" x14ac:dyDescent="0.3">
      <c r="A74" s="490"/>
      <c r="B74" s="492"/>
      <c r="C74" s="590" t="s">
        <v>262</v>
      </c>
      <c r="D74" s="581"/>
      <c r="E74" s="585"/>
    </row>
    <row r="75" spans="1:6" x14ac:dyDescent="0.3">
      <c r="A75" s="490"/>
      <c r="B75" s="492"/>
      <c r="C75" s="583" t="s">
        <v>889</v>
      </c>
      <c r="D75" s="581"/>
      <c r="E75" s="581"/>
    </row>
    <row r="76" spans="1:6" x14ac:dyDescent="0.3">
      <c r="A76" s="490"/>
      <c r="B76" s="492"/>
      <c r="C76" s="583" t="s">
        <v>890</v>
      </c>
      <c r="D76" s="581"/>
      <c r="E76" s="581"/>
    </row>
    <row r="77" spans="1:6" x14ac:dyDescent="0.3">
      <c r="A77" s="490"/>
      <c r="B77" s="591"/>
      <c r="C77" s="592"/>
      <c r="D77" s="581"/>
      <c r="E77" s="581"/>
    </row>
    <row r="78" spans="1:6" x14ac:dyDescent="0.3">
      <c r="A78" s="490"/>
      <c r="B78" s="591"/>
      <c r="C78" s="592"/>
      <c r="D78" s="581"/>
      <c r="E78" s="581"/>
    </row>
    <row r="79" spans="1:6" ht="16.8" x14ac:dyDescent="0.4">
      <c r="D79" s="58"/>
      <c r="E79" s="316"/>
    </row>
    <row r="80" spans="1:6" ht="16.8" x14ac:dyDescent="0.4">
      <c r="D80" s="58"/>
      <c r="E80" s="316"/>
    </row>
    <row r="81" spans="1:5" ht="16.8" x14ac:dyDescent="0.4">
      <c r="D81" s="58"/>
      <c r="E81" s="316"/>
    </row>
    <row r="82" spans="1:5" ht="16.8" x14ac:dyDescent="0.4">
      <c r="D82" s="58"/>
      <c r="E82" s="316"/>
    </row>
    <row r="83" spans="1:5" ht="16.8" x14ac:dyDescent="0.4">
      <c r="A83" s="57" t="s">
        <v>856</v>
      </c>
      <c r="B83" s="10"/>
      <c r="C83" s="58"/>
      <c r="D83" s="63"/>
      <c r="E83" s="316"/>
    </row>
    <row r="84" spans="1:5" ht="16.8" x14ac:dyDescent="0.4">
      <c r="A84" s="57" t="s">
        <v>892</v>
      </c>
      <c r="B84" s="10"/>
      <c r="C84" s="58"/>
      <c r="D84" s="63"/>
      <c r="E84" s="316"/>
    </row>
    <row r="85" spans="1:5" ht="16.8" x14ac:dyDescent="0.4">
      <c r="A85" s="57" t="s">
        <v>893</v>
      </c>
      <c r="B85" s="10"/>
      <c r="C85" s="59"/>
    </row>
    <row r="86" spans="1:5" ht="16.8" x14ac:dyDescent="0.4">
      <c r="A86" s="57" t="s">
        <v>894</v>
      </c>
      <c r="B86" s="10"/>
      <c r="C86" s="59"/>
    </row>
    <row r="87" spans="1:5" ht="16.8" x14ac:dyDescent="0.4">
      <c r="A87" s="57" t="s">
        <v>6</v>
      </c>
      <c r="B87" s="61"/>
      <c r="C87" s="62"/>
    </row>
    <row r="88" spans="1:5" ht="16.8" x14ac:dyDescent="0.4">
      <c r="A88" s="60" t="s">
        <v>845</v>
      </c>
      <c r="B88" s="61"/>
      <c r="C88" s="62"/>
    </row>
    <row r="89" spans="1:5" x14ac:dyDescent="0.3">
      <c r="A89" s="365" t="s">
        <v>287</v>
      </c>
      <c r="B89" s="366" t="s">
        <v>288</v>
      </c>
      <c r="C89" s="367" t="s">
        <v>289</v>
      </c>
      <c r="D89" s="321" t="s">
        <v>290</v>
      </c>
      <c r="E89" s="322" t="s">
        <v>291</v>
      </c>
    </row>
    <row r="90" spans="1:5" ht="27.6" x14ac:dyDescent="0.3">
      <c r="A90" s="1086" t="s">
        <v>891</v>
      </c>
      <c r="B90" s="1087"/>
      <c r="C90" s="324" t="s">
        <v>903</v>
      </c>
      <c r="D90" s="328">
        <f>((120*110)+(3000+3000))</f>
        <v>19200</v>
      </c>
      <c r="E90" s="343" t="s">
        <v>309</v>
      </c>
    </row>
    <row r="91" spans="1:5" ht="27.6" x14ac:dyDescent="0.3">
      <c r="A91" s="1086"/>
      <c r="B91" s="1087"/>
      <c r="C91" s="324" t="s">
        <v>862</v>
      </c>
      <c r="D91" s="328">
        <v>1100</v>
      </c>
      <c r="E91" s="317" t="s">
        <v>306</v>
      </c>
    </row>
    <row r="92" spans="1:5" ht="27.6" x14ac:dyDescent="0.3">
      <c r="A92" s="1086"/>
      <c r="B92" s="1087"/>
      <c r="C92" s="324" t="s">
        <v>863</v>
      </c>
      <c r="D92" s="328">
        <v>3600</v>
      </c>
      <c r="E92" s="343" t="s">
        <v>306</v>
      </c>
    </row>
    <row r="93" spans="1:5" ht="55.2" x14ac:dyDescent="0.3">
      <c r="A93" s="1086"/>
      <c r="B93" s="1087"/>
      <c r="C93" s="324" t="s">
        <v>864</v>
      </c>
      <c r="D93" s="328">
        <f>((5500)+(170*20))</f>
        <v>8900</v>
      </c>
      <c r="E93" s="343" t="s">
        <v>306</v>
      </c>
    </row>
    <row r="94" spans="1:5" ht="41.4" x14ac:dyDescent="0.3">
      <c r="A94" s="1086"/>
      <c r="B94" s="347"/>
      <c r="C94" s="324" t="s">
        <v>865</v>
      </c>
      <c r="D94" s="328">
        <f>(65000+5000)</f>
        <v>70000</v>
      </c>
      <c r="E94" s="343" t="s">
        <v>909</v>
      </c>
    </row>
    <row r="95" spans="1:5" ht="55.2" x14ac:dyDescent="0.3">
      <c r="A95" s="1086"/>
      <c r="B95" s="326"/>
      <c r="C95" s="324" t="s">
        <v>864</v>
      </c>
      <c r="D95" s="328">
        <f>((5500)+(170*20))</f>
        <v>8900</v>
      </c>
      <c r="E95" s="343" t="s">
        <v>306</v>
      </c>
    </row>
    <row r="96" spans="1:5" ht="27.6" x14ac:dyDescent="0.3">
      <c r="A96" s="337"/>
      <c r="B96" s="326"/>
      <c r="C96" s="324" t="s">
        <v>903</v>
      </c>
      <c r="D96" s="328">
        <f>((110*120)+(3000+3000))+(2300+3800)</f>
        <v>25300</v>
      </c>
      <c r="E96" s="343" t="s">
        <v>309</v>
      </c>
    </row>
    <row r="97" spans="1:6" ht="41.4" x14ac:dyDescent="0.3">
      <c r="A97" s="337"/>
      <c r="B97" s="348"/>
      <c r="C97" s="575" t="s">
        <v>867</v>
      </c>
      <c r="D97" s="328">
        <v>2500</v>
      </c>
      <c r="E97" s="343" t="s">
        <v>306</v>
      </c>
    </row>
    <row r="98" spans="1:6" ht="41.4" x14ac:dyDescent="0.3">
      <c r="A98" s="344"/>
      <c r="B98" s="348"/>
      <c r="C98" s="324" t="s">
        <v>895</v>
      </c>
      <c r="D98" s="328">
        <v>8500</v>
      </c>
      <c r="E98" s="343" t="s">
        <v>306</v>
      </c>
    </row>
    <row r="99" spans="1:6" x14ac:dyDescent="0.3">
      <c r="A99" s="344"/>
      <c r="B99" s="351"/>
      <c r="C99" s="349"/>
      <c r="D99" s="350">
        <f>SUM(D89:D98)</f>
        <v>148000</v>
      </c>
      <c r="E99" s="343"/>
    </row>
    <row r="100" spans="1:6" x14ac:dyDescent="0.3">
      <c r="A100" s="337"/>
      <c r="B100" s="351"/>
      <c r="C100" s="352"/>
      <c r="D100" s="350">
        <f>D99*0.16</f>
        <v>23680</v>
      </c>
      <c r="E100" s="317"/>
    </row>
    <row r="101" spans="1:6" ht="15" thickBot="1" x14ac:dyDescent="0.35">
      <c r="A101" s="337"/>
      <c r="B101" s="351"/>
      <c r="C101" s="352"/>
      <c r="D101" s="353">
        <f>D99+D100</f>
        <v>171680</v>
      </c>
      <c r="E101" s="317"/>
    </row>
    <row r="102" spans="1:6" ht="15" thickBot="1" x14ac:dyDescent="0.35">
      <c r="A102" s="334"/>
      <c r="B102" s="357" t="s">
        <v>906</v>
      </c>
      <c r="C102" s="358"/>
      <c r="D102" s="359"/>
      <c r="E102" s="360"/>
    </row>
    <row r="103" spans="1:6" ht="7.2" customHeight="1" x14ac:dyDescent="0.3">
      <c r="A103" s="490"/>
      <c r="B103" s="579"/>
      <c r="C103" s="580" t="s">
        <v>11</v>
      </c>
      <c r="D103" s="581"/>
      <c r="E103" s="582"/>
      <c r="F103" s="581"/>
    </row>
    <row r="104" spans="1:6" x14ac:dyDescent="0.3">
      <c r="A104" s="490"/>
      <c r="B104" s="332"/>
      <c r="C104" s="583" t="s">
        <v>14</v>
      </c>
      <c r="D104" s="584"/>
      <c r="E104" s="585"/>
      <c r="F104" s="581"/>
    </row>
    <row r="105" spans="1:6" ht="8.4" customHeight="1" x14ac:dyDescent="0.3">
      <c r="A105" s="337"/>
      <c r="B105" s="102"/>
      <c r="C105" s="103" t="s">
        <v>15</v>
      </c>
      <c r="D105" s="107"/>
      <c r="E105" s="105"/>
    </row>
    <row r="106" spans="1:6" x14ac:dyDescent="0.3">
      <c r="A106" s="490"/>
      <c r="B106" s="491"/>
      <c r="C106" s="489" t="s">
        <v>42</v>
      </c>
      <c r="D106" s="107"/>
      <c r="E106" s="105"/>
    </row>
    <row r="107" spans="1:6" ht="20.399999999999999" x14ac:dyDescent="0.3">
      <c r="A107" s="490"/>
      <c r="B107" s="492"/>
      <c r="C107" s="489" t="s">
        <v>43</v>
      </c>
      <c r="D107" s="107"/>
      <c r="E107" s="105"/>
    </row>
    <row r="108" spans="1:6" x14ac:dyDescent="0.3">
      <c r="A108" s="490"/>
      <c r="B108" s="492"/>
      <c r="C108" s="586" t="s">
        <v>18</v>
      </c>
      <c r="D108" s="587"/>
      <c r="E108" s="585"/>
    </row>
    <row r="109" spans="1:6" x14ac:dyDescent="0.3">
      <c r="A109" s="490"/>
      <c r="B109" s="492"/>
      <c r="C109" s="565" t="s">
        <v>887</v>
      </c>
      <c r="D109" s="587"/>
      <c r="E109" s="585"/>
    </row>
    <row r="110" spans="1:6" x14ac:dyDescent="0.3">
      <c r="A110" s="490"/>
      <c r="B110" s="492"/>
      <c r="C110" s="588" t="s">
        <v>888</v>
      </c>
      <c r="D110" s="587"/>
      <c r="E110" s="587"/>
    </row>
    <row r="111" spans="1:6" x14ac:dyDescent="0.3">
      <c r="A111" s="490"/>
      <c r="B111" s="589"/>
      <c r="C111" s="586" t="s">
        <v>21</v>
      </c>
      <c r="D111" s="587"/>
      <c r="E111" s="587"/>
    </row>
    <row r="112" spans="1:6" x14ac:dyDescent="0.3">
      <c r="A112" s="490"/>
      <c r="B112" s="492"/>
      <c r="C112" s="590" t="s">
        <v>262</v>
      </c>
      <c r="D112" s="581"/>
      <c r="E112" s="585"/>
    </row>
    <row r="113" spans="1:5" x14ac:dyDescent="0.3">
      <c r="A113" s="490"/>
      <c r="B113" s="492"/>
      <c r="C113" s="583" t="s">
        <v>889</v>
      </c>
      <c r="D113" s="581"/>
      <c r="E113" s="581"/>
    </row>
    <row r="114" spans="1:5" x14ac:dyDescent="0.3">
      <c r="A114" s="490"/>
      <c r="B114" s="492"/>
      <c r="C114" s="583" t="s">
        <v>890</v>
      </c>
      <c r="D114" s="581"/>
      <c r="E114" s="581"/>
    </row>
    <row r="115" spans="1:5" x14ac:dyDescent="0.3">
      <c r="A115" s="490"/>
      <c r="B115" s="591"/>
      <c r="C115" s="592"/>
      <c r="D115" s="581"/>
      <c r="E115" s="581"/>
    </row>
    <row r="116" spans="1:5" x14ac:dyDescent="0.3">
      <c r="A116" s="490"/>
      <c r="B116" s="591"/>
      <c r="C116" s="592"/>
      <c r="D116" s="581"/>
      <c r="E116" s="581"/>
    </row>
    <row r="117" spans="1:5" x14ac:dyDescent="0.3">
      <c r="A117" s="490"/>
      <c r="B117" s="591"/>
      <c r="C117" s="592"/>
      <c r="D117" s="581"/>
      <c r="E117" s="581"/>
    </row>
    <row r="118" spans="1:5" ht="16.8" x14ac:dyDescent="0.4">
      <c r="D118" s="58"/>
      <c r="E118" s="316"/>
    </row>
    <row r="119" spans="1:5" ht="16.8" x14ac:dyDescent="0.4">
      <c r="D119" s="58"/>
      <c r="E119" s="316"/>
    </row>
    <row r="120" spans="1:5" ht="16.8" x14ac:dyDescent="0.4">
      <c r="D120" s="58"/>
      <c r="E120" s="316"/>
    </row>
    <row r="121" spans="1:5" ht="16.8" x14ac:dyDescent="0.4">
      <c r="D121" s="58"/>
      <c r="E121" s="316"/>
    </row>
    <row r="122" spans="1:5" ht="16.8" x14ac:dyDescent="0.4">
      <c r="A122" s="57" t="s">
        <v>856</v>
      </c>
      <c r="B122" s="10"/>
      <c r="C122" s="58"/>
      <c r="D122" s="63"/>
      <c r="E122" s="316"/>
    </row>
    <row r="123" spans="1:5" ht="16.8" x14ac:dyDescent="0.4">
      <c r="A123" s="57" t="s">
        <v>892</v>
      </c>
      <c r="B123" s="10"/>
      <c r="C123" s="58"/>
      <c r="D123" s="63"/>
      <c r="E123" s="316"/>
    </row>
    <row r="124" spans="1:5" ht="16.8" x14ac:dyDescent="0.4">
      <c r="A124" s="57" t="s">
        <v>896</v>
      </c>
      <c r="B124" s="10"/>
      <c r="C124" s="59"/>
    </row>
    <row r="125" spans="1:5" ht="16.8" x14ac:dyDescent="0.4">
      <c r="A125" s="57" t="s">
        <v>894</v>
      </c>
      <c r="B125" s="10"/>
      <c r="C125" s="59"/>
    </row>
    <row r="126" spans="1:5" ht="16.8" x14ac:dyDescent="0.4">
      <c r="A126" s="57" t="s">
        <v>6</v>
      </c>
      <c r="B126" s="61"/>
      <c r="C126" s="62"/>
    </row>
    <row r="127" spans="1:5" ht="16.8" x14ac:dyDescent="0.4">
      <c r="A127" s="60" t="s">
        <v>845</v>
      </c>
      <c r="B127" s="61"/>
      <c r="C127" s="62"/>
    </row>
    <row r="128" spans="1:5" x14ac:dyDescent="0.3">
      <c r="A128" s="365" t="s">
        <v>287</v>
      </c>
      <c r="B128" s="366" t="s">
        <v>288</v>
      </c>
      <c r="C128" s="367" t="s">
        <v>289</v>
      </c>
      <c r="D128" s="321" t="s">
        <v>290</v>
      </c>
      <c r="E128" s="322" t="s">
        <v>291</v>
      </c>
    </row>
    <row r="129" spans="1:6" ht="27.6" x14ac:dyDescent="0.3">
      <c r="A129" s="1086" t="s">
        <v>898</v>
      </c>
      <c r="B129" s="1087"/>
      <c r="C129" s="324" t="s">
        <v>897</v>
      </c>
      <c r="D129" s="328">
        <f>((240*80)+(3000+3000))</f>
        <v>25200</v>
      </c>
      <c r="E129" s="343" t="s">
        <v>309</v>
      </c>
    </row>
    <row r="130" spans="1:6" ht="27.6" x14ac:dyDescent="0.3">
      <c r="A130" s="1086"/>
      <c r="B130" s="1087"/>
      <c r="C130" s="324" t="s">
        <v>862</v>
      </c>
      <c r="D130" s="328">
        <v>1100</v>
      </c>
      <c r="E130" s="317" t="s">
        <v>306</v>
      </c>
    </row>
    <row r="131" spans="1:6" ht="27.6" x14ac:dyDescent="0.3">
      <c r="A131" s="1086"/>
      <c r="B131" s="1087"/>
      <c r="C131" s="324" t="s">
        <v>863</v>
      </c>
      <c r="D131" s="328">
        <v>3600</v>
      </c>
      <c r="E131" s="343" t="s">
        <v>306</v>
      </c>
    </row>
    <row r="132" spans="1:6" ht="55.2" x14ac:dyDescent="0.3">
      <c r="A132" s="1086"/>
      <c r="B132" s="1087"/>
      <c r="C132" s="324" t="s">
        <v>864</v>
      </c>
      <c r="D132" s="328">
        <f>((5500)+(170*20))</f>
        <v>8900</v>
      </c>
      <c r="E132" s="343" t="s">
        <v>306</v>
      </c>
    </row>
    <row r="133" spans="1:6" ht="40.799999999999997" customHeight="1" x14ac:dyDescent="0.3">
      <c r="A133" s="1086"/>
      <c r="B133" s="347"/>
      <c r="C133" s="324" t="s">
        <v>865</v>
      </c>
      <c r="D133" s="328">
        <f>(70000+5000)</f>
        <v>75000</v>
      </c>
      <c r="E133" s="343" t="s">
        <v>909</v>
      </c>
    </row>
    <row r="134" spans="1:6" ht="55.2" x14ac:dyDescent="0.3">
      <c r="A134" s="1086"/>
      <c r="B134" s="326"/>
      <c r="C134" s="324" t="s">
        <v>899</v>
      </c>
      <c r="D134" s="328">
        <f>((5500)+(170*20))</f>
        <v>8900</v>
      </c>
      <c r="E134" s="343" t="s">
        <v>306</v>
      </c>
    </row>
    <row r="135" spans="1:6" ht="27.6" x14ac:dyDescent="0.3">
      <c r="A135" s="337"/>
      <c r="B135" s="326"/>
      <c r="C135" s="324" t="s">
        <v>897</v>
      </c>
      <c r="D135" s="328">
        <f>((240*80)+(3000+3000))+(2300+3800)</f>
        <v>31300</v>
      </c>
      <c r="E135" s="343" t="s">
        <v>309</v>
      </c>
    </row>
    <row r="136" spans="1:6" ht="41.4" x14ac:dyDescent="0.3">
      <c r="A136" s="337"/>
      <c r="B136" s="348"/>
      <c r="C136" s="575" t="s">
        <v>867</v>
      </c>
      <c r="D136" s="328">
        <v>2500</v>
      </c>
      <c r="E136" s="343" t="s">
        <v>306</v>
      </c>
    </row>
    <row r="137" spans="1:6" ht="41.4" x14ac:dyDescent="0.3">
      <c r="A137" s="344"/>
      <c r="B137" s="348"/>
      <c r="C137" s="324" t="s">
        <v>895</v>
      </c>
      <c r="D137" s="328">
        <v>8500</v>
      </c>
      <c r="E137" s="343" t="s">
        <v>306</v>
      </c>
    </row>
    <row r="138" spans="1:6" x14ac:dyDescent="0.3">
      <c r="A138" s="344"/>
      <c r="B138" s="351"/>
      <c r="C138" s="349"/>
      <c r="D138" s="350">
        <f>SUM(D128:D137)</f>
        <v>165000</v>
      </c>
      <c r="E138" s="343"/>
    </row>
    <row r="139" spans="1:6" x14ac:dyDescent="0.3">
      <c r="A139" s="337"/>
      <c r="B139" s="351"/>
      <c r="C139" s="352"/>
      <c r="D139" s="350">
        <f>D138*0.16</f>
        <v>26400</v>
      </c>
      <c r="E139" s="317"/>
    </row>
    <row r="140" spans="1:6" ht="15" thickBot="1" x14ac:dyDescent="0.35">
      <c r="A140" s="337"/>
      <c r="B140" s="351"/>
      <c r="C140" s="352"/>
      <c r="D140" s="353">
        <f>D138+D139</f>
        <v>191400</v>
      </c>
      <c r="E140" s="317"/>
    </row>
    <row r="141" spans="1:6" ht="15" thickBot="1" x14ac:dyDescent="0.35">
      <c r="A141" s="334"/>
      <c r="B141" s="357" t="s">
        <v>907</v>
      </c>
      <c r="C141" s="358"/>
      <c r="D141" s="359"/>
      <c r="E141" s="360"/>
    </row>
    <row r="142" spans="1:6" x14ac:dyDescent="0.3">
      <c r="A142" s="490"/>
      <c r="B142" s="579"/>
      <c r="C142" s="580" t="s">
        <v>11</v>
      </c>
      <c r="D142" s="581"/>
      <c r="E142" s="582"/>
      <c r="F142" s="581"/>
    </row>
    <row r="143" spans="1:6" x14ac:dyDescent="0.3">
      <c r="A143" s="490"/>
      <c r="B143" s="332"/>
      <c r="C143" s="583" t="s">
        <v>14</v>
      </c>
      <c r="D143" s="584"/>
      <c r="E143" s="585"/>
      <c r="F143" s="581"/>
    </row>
    <row r="144" spans="1:6" x14ac:dyDescent="0.3">
      <c r="A144" s="337"/>
      <c r="B144" s="102"/>
      <c r="C144" s="103" t="s">
        <v>15</v>
      </c>
      <c r="D144" s="107"/>
      <c r="E144" s="105"/>
    </row>
    <row r="145" spans="1:5" x14ac:dyDescent="0.3">
      <c r="A145" s="490"/>
      <c r="B145" s="491"/>
      <c r="C145" s="489" t="s">
        <v>42</v>
      </c>
      <c r="D145" s="107"/>
      <c r="E145" s="105"/>
    </row>
    <row r="146" spans="1:5" ht="20.399999999999999" x14ac:dyDescent="0.3">
      <c r="A146" s="490"/>
      <c r="B146" s="492"/>
      <c r="C146" s="489" t="s">
        <v>43</v>
      </c>
      <c r="D146" s="107"/>
      <c r="E146" s="105"/>
    </row>
    <row r="147" spans="1:5" x14ac:dyDescent="0.3">
      <c r="A147" s="490"/>
      <c r="B147" s="492"/>
      <c r="C147" s="586" t="s">
        <v>18</v>
      </c>
      <c r="D147" s="587"/>
      <c r="E147" s="585"/>
    </row>
    <row r="148" spans="1:5" x14ac:dyDescent="0.3">
      <c r="A148" s="490"/>
      <c r="B148" s="492"/>
      <c r="C148" s="565" t="s">
        <v>887</v>
      </c>
      <c r="D148" s="587"/>
      <c r="E148" s="585"/>
    </row>
    <row r="149" spans="1:5" x14ac:dyDescent="0.3">
      <c r="A149" s="490"/>
      <c r="B149" s="492"/>
      <c r="C149" s="588" t="s">
        <v>888</v>
      </c>
      <c r="D149" s="587"/>
      <c r="E149" s="587"/>
    </row>
    <row r="150" spans="1:5" x14ac:dyDescent="0.3">
      <c r="A150" s="490"/>
      <c r="B150" s="589"/>
      <c r="C150" s="586" t="s">
        <v>21</v>
      </c>
      <c r="D150" s="587"/>
      <c r="E150" s="587"/>
    </row>
    <row r="151" spans="1:5" x14ac:dyDescent="0.3">
      <c r="A151" s="490"/>
      <c r="B151" s="492"/>
      <c r="C151" s="590" t="s">
        <v>262</v>
      </c>
      <c r="D151" s="581"/>
      <c r="E151" s="585"/>
    </row>
    <row r="152" spans="1:5" x14ac:dyDescent="0.3">
      <c r="A152" s="490"/>
      <c r="B152" s="492"/>
      <c r="C152" s="583" t="s">
        <v>889</v>
      </c>
      <c r="D152" s="581"/>
      <c r="E152" s="581"/>
    </row>
    <row r="153" spans="1:5" x14ac:dyDescent="0.3">
      <c r="A153" s="490"/>
      <c r="B153" s="492"/>
      <c r="C153" s="583" t="s">
        <v>890</v>
      </c>
      <c r="D153" s="581"/>
      <c r="E153" s="581"/>
    </row>
    <row r="154" spans="1:5" x14ac:dyDescent="0.3">
      <c r="A154" s="490"/>
      <c r="B154" s="591"/>
      <c r="C154" s="592"/>
      <c r="D154" s="581"/>
      <c r="E154" s="581"/>
    </row>
    <row r="155" spans="1:5" x14ac:dyDescent="0.3">
      <c r="A155" s="490"/>
      <c r="B155" s="591"/>
      <c r="C155" s="592"/>
      <c r="D155" s="581"/>
      <c r="E155" s="581"/>
    </row>
    <row r="156" spans="1:5" ht="16.8" x14ac:dyDescent="0.4">
      <c r="D156" s="58"/>
      <c r="E156" s="316"/>
    </row>
    <row r="157" spans="1:5" ht="16.8" x14ac:dyDescent="0.4">
      <c r="D157" s="58"/>
      <c r="E157" s="316"/>
    </row>
    <row r="158" spans="1:5" ht="16.8" x14ac:dyDescent="0.4">
      <c r="D158" s="58"/>
      <c r="E158" s="316"/>
    </row>
    <row r="159" spans="1:5" ht="16.8" x14ac:dyDescent="0.4">
      <c r="D159" s="58"/>
      <c r="E159" s="316"/>
    </row>
    <row r="160" spans="1:5" ht="16.8" x14ac:dyDescent="0.4">
      <c r="A160" s="57" t="s">
        <v>856</v>
      </c>
      <c r="B160" s="10"/>
      <c r="C160" s="58"/>
      <c r="D160" s="63"/>
      <c r="E160" s="316"/>
    </row>
    <row r="161" spans="1:5" ht="16.8" x14ac:dyDescent="0.4">
      <c r="A161" s="57" t="s">
        <v>892</v>
      </c>
      <c r="B161" s="10"/>
      <c r="C161" s="58"/>
      <c r="D161" s="63"/>
      <c r="E161" s="316"/>
    </row>
    <row r="162" spans="1:5" ht="16.8" x14ac:dyDescent="0.4">
      <c r="A162" s="57" t="s">
        <v>900</v>
      </c>
      <c r="B162" s="10"/>
      <c r="C162" s="59"/>
    </row>
    <row r="163" spans="1:5" ht="16.8" x14ac:dyDescent="0.4">
      <c r="A163" s="57" t="s">
        <v>894</v>
      </c>
      <c r="B163" s="10"/>
      <c r="C163" s="59"/>
    </row>
    <row r="164" spans="1:5" ht="16.8" x14ac:dyDescent="0.4">
      <c r="A164" s="57" t="s">
        <v>6</v>
      </c>
      <c r="B164" s="61"/>
      <c r="C164" s="62"/>
    </row>
    <row r="165" spans="1:5" ht="16.8" x14ac:dyDescent="0.4">
      <c r="A165" s="60" t="s">
        <v>845</v>
      </c>
      <c r="B165" s="61"/>
      <c r="C165" s="62"/>
    </row>
    <row r="166" spans="1:5" x14ac:dyDescent="0.3">
      <c r="A166" s="365" t="s">
        <v>287</v>
      </c>
      <c r="B166" s="366" t="s">
        <v>288</v>
      </c>
      <c r="C166" s="367" t="s">
        <v>289</v>
      </c>
      <c r="D166" s="321" t="s">
        <v>290</v>
      </c>
      <c r="E166" s="322" t="s">
        <v>291</v>
      </c>
    </row>
    <row r="167" spans="1:5" ht="27.6" x14ac:dyDescent="0.3">
      <c r="A167" s="1086" t="s">
        <v>901</v>
      </c>
      <c r="B167" s="1087"/>
      <c r="C167" s="324" t="s">
        <v>902</v>
      </c>
      <c r="D167" s="328">
        <f>((260*100)+(3000+3000))</f>
        <v>32000</v>
      </c>
      <c r="E167" s="343" t="s">
        <v>309</v>
      </c>
    </row>
    <row r="168" spans="1:5" ht="27.6" x14ac:dyDescent="0.3">
      <c r="A168" s="1086"/>
      <c r="B168" s="1087"/>
      <c r="C168" s="324" t="s">
        <v>862</v>
      </c>
      <c r="D168" s="328">
        <v>1100</v>
      </c>
      <c r="E168" s="317" t="s">
        <v>306</v>
      </c>
    </row>
    <row r="169" spans="1:5" ht="27.6" x14ac:dyDescent="0.3">
      <c r="A169" s="1086"/>
      <c r="B169" s="1087"/>
      <c r="C169" s="324" t="s">
        <v>863</v>
      </c>
      <c r="D169" s="328">
        <v>3600</v>
      </c>
      <c r="E169" s="343" t="s">
        <v>306</v>
      </c>
    </row>
    <row r="170" spans="1:5" ht="55.2" x14ac:dyDescent="0.3">
      <c r="A170" s="1086"/>
      <c r="B170" s="1087"/>
      <c r="C170" s="324" t="s">
        <v>864</v>
      </c>
      <c r="D170" s="328">
        <f>((5500)+(170*20))</f>
        <v>8900</v>
      </c>
      <c r="E170" s="343" t="s">
        <v>306</v>
      </c>
    </row>
    <row r="171" spans="1:5" ht="41.4" x14ac:dyDescent="0.3">
      <c r="A171" s="1086"/>
      <c r="B171" s="347"/>
      <c r="C171" s="324" t="s">
        <v>865</v>
      </c>
      <c r="D171" s="328">
        <f>(73000+5000)</f>
        <v>78000</v>
      </c>
      <c r="E171" s="343" t="s">
        <v>909</v>
      </c>
    </row>
    <row r="172" spans="1:5" ht="55.2" x14ac:dyDescent="0.3">
      <c r="A172" s="1086"/>
      <c r="B172" s="326"/>
      <c r="C172" s="324" t="s">
        <v>864</v>
      </c>
      <c r="D172" s="328">
        <f>((5500)+(170*20))</f>
        <v>8900</v>
      </c>
      <c r="E172" s="343" t="s">
        <v>306</v>
      </c>
    </row>
    <row r="173" spans="1:5" ht="27.6" x14ac:dyDescent="0.3">
      <c r="A173" s="337"/>
      <c r="B173" s="326"/>
      <c r="C173" s="324" t="s">
        <v>902</v>
      </c>
      <c r="D173" s="328">
        <f>((266*100)+(3000+3000))+(2300+3800)</f>
        <v>38700</v>
      </c>
      <c r="E173" s="343" t="s">
        <v>309</v>
      </c>
    </row>
    <row r="174" spans="1:5" ht="41.4" x14ac:dyDescent="0.3">
      <c r="A174" s="337"/>
      <c r="B174" s="348"/>
      <c r="C174" s="575" t="s">
        <v>867</v>
      </c>
      <c r="D174" s="328">
        <v>2500</v>
      </c>
      <c r="E174" s="343" t="s">
        <v>306</v>
      </c>
    </row>
    <row r="175" spans="1:5" ht="41.4" x14ac:dyDescent="0.3">
      <c r="A175" s="344"/>
      <c r="B175" s="348"/>
      <c r="C175" s="324" t="s">
        <v>895</v>
      </c>
      <c r="D175" s="328">
        <v>8500</v>
      </c>
      <c r="E175" s="343" t="s">
        <v>306</v>
      </c>
    </row>
    <row r="176" spans="1:5" x14ac:dyDescent="0.3">
      <c r="A176" s="344"/>
      <c r="B176" s="351"/>
      <c r="C176" s="349"/>
      <c r="D176" s="350">
        <f>SUM(D166:D175)</f>
        <v>182200</v>
      </c>
      <c r="E176" s="343"/>
    </row>
    <row r="177" spans="1:6" x14ac:dyDescent="0.3">
      <c r="A177" s="337"/>
      <c r="B177" s="351"/>
      <c r="C177" s="352"/>
      <c r="D177" s="350">
        <f>D176*0.16</f>
        <v>29152</v>
      </c>
      <c r="E177" s="317"/>
    </row>
    <row r="178" spans="1:6" ht="15" thickBot="1" x14ac:dyDescent="0.35">
      <c r="A178" s="337"/>
      <c r="B178" s="351"/>
      <c r="C178" s="352"/>
      <c r="D178" s="353">
        <f>D176+D177</f>
        <v>211352</v>
      </c>
      <c r="E178" s="317"/>
    </row>
    <row r="179" spans="1:6" ht="15" thickBot="1" x14ac:dyDescent="0.35">
      <c r="A179" s="334"/>
      <c r="B179" s="357" t="s">
        <v>908</v>
      </c>
      <c r="C179" s="358"/>
      <c r="D179" s="359"/>
      <c r="E179" s="360"/>
    </row>
    <row r="180" spans="1:6" x14ac:dyDescent="0.3">
      <c r="A180" s="490"/>
      <c r="B180" s="579"/>
      <c r="C180" s="580" t="s">
        <v>11</v>
      </c>
      <c r="D180" s="581"/>
      <c r="E180" s="582"/>
      <c r="F180" s="581"/>
    </row>
    <row r="181" spans="1:6" x14ac:dyDescent="0.3">
      <c r="A181" s="490"/>
      <c r="B181" s="332"/>
      <c r="C181" s="583" t="s">
        <v>14</v>
      </c>
      <c r="D181" s="584"/>
      <c r="E181" s="585"/>
      <c r="F181" s="581"/>
    </row>
    <row r="182" spans="1:6" x14ac:dyDescent="0.3">
      <c r="A182" s="337"/>
      <c r="B182" s="102"/>
      <c r="C182" s="103" t="s">
        <v>15</v>
      </c>
      <c r="D182" s="107"/>
      <c r="E182" s="105"/>
    </row>
    <row r="183" spans="1:6" x14ac:dyDescent="0.3">
      <c r="A183" s="490"/>
      <c r="B183" s="491"/>
      <c r="C183" s="489" t="s">
        <v>42</v>
      </c>
      <c r="D183" s="107"/>
      <c r="E183" s="105"/>
    </row>
    <row r="184" spans="1:6" ht="20.399999999999999" x14ac:dyDescent="0.3">
      <c r="A184" s="490"/>
      <c r="B184" s="492"/>
      <c r="C184" s="489" t="s">
        <v>43</v>
      </c>
      <c r="D184" s="107"/>
      <c r="E184" s="105"/>
    </row>
    <row r="185" spans="1:6" x14ac:dyDescent="0.3">
      <c r="A185" s="490"/>
      <c r="B185" s="492"/>
      <c r="C185" s="586" t="s">
        <v>18</v>
      </c>
      <c r="D185" s="587"/>
      <c r="E185" s="585"/>
    </row>
    <row r="186" spans="1:6" x14ac:dyDescent="0.3">
      <c r="A186" s="490"/>
      <c r="B186" s="492"/>
      <c r="C186" s="565" t="s">
        <v>887</v>
      </c>
      <c r="D186" s="587"/>
      <c r="E186" s="585"/>
    </row>
    <row r="187" spans="1:6" x14ac:dyDescent="0.3">
      <c r="A187" s="490"/>
      <c r="B187" s="492"/>
      <c r="C187" s="588" t="s">
        <v>888</v>
      </c>
      <c r="D187" s="587"/>
      <c r="E187" s="587"/>
    </row>
    <row r="188" spans="1:6" x14ac:dyDescent="0.3">
      <c r="A188" s="490"/>
      <c r="B188" s="589"/>
      <c r="C188" s="586" t="s">
        <v>21</v>
      </c>
      <c r="D188" s="587"/>
      <c r="E188" s="587"/>
    </row>
    <row r="189" spans="1:6" x14ac:dyDescent="0.3">
      <c r="A189" s="490"/>
      <c r="B189" s="492"/>
      <c r="C189" s="590" t="s">
        <v>262</v>
      </c>
      <c r="D189" s="581"/>
      <c r="E189" s="585"/>
    </row>
    <row r="190" spans="1:6" x14ac:dyDescent="0.3">
      <c r="A190" s="490"/>
      <c r="B190" s="492"/>
      <c r="C190" s="583" t="s">
        <v>889</v>
      </c>
      <c r="D190" s="581"/>
      <c r="E190" s="581"/>
    </row>
    <row r="191" spans="1:6" x14ac:dyDescent="0.3">
      <c r="A191" s="490"/>
      <c r="B191" s="492"/>
      <c r="C191" s="583" t="s">
        <v>890</v>
      </c>
      <c r="D191" s="581"/>
      <c r="E191" s="581"/>
    </row>
    <row r="340" ht="18.75" customHeight="1" x14ac:dyDescent="0.3"/>
  </sheetData>
  <mergeCells count="10">
    <mergeCell ref="A167:A172"/>
    <mergeCell ref="B167:B170"/>
    <mergeCell ref="A52:A57"/>
    <mergeCell ref="B52:B55"/>
    <mergeCell ref="A14:A19"/>
    <mergeCell ref="B14:B17"/>
    <mergeCell ref="A90:A95"/>
    <mergeCell ref="B90:B93"/>
    <mergeCell ref="A129:A134"/>
    <mergeCell ref="B129:B132"/>
  </mergeCells>
  <pageMargins left="0.25" right="0.25" top="0.75" bottom="0.75" header="0.3" footer="0.3"/>
  <pageSetup fitToHeight="0"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3A3F8-8CE2-4601-86BF-9FEBE4454AA9}">
  <sheetPr>
    <pageSetUpPr fitToPage="1"/>
  </sheetPr>
  <dimension ref="A1:E69"/>
  <sheetViews>
    <sheetView topLeftCell="A6" zoomScaleNormal="100" workbookViewId="0">
      <selection activeCell="B21" sqref="B21"/>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876</v>
      </c>
      <c r="B8" s="10"/>
      <c r="C8" s="58"/>
      <c r="D8" s="58"/>
    </row>
    <row r="9" spans="1:5" s="55" customFormat="1" ht="16.8" x14ac:dyDescent="0.4">
      <c r="A9" s="57" t="s">
        <v>877</v>
      </c>
      <c r="B9" s="10"/>
      <c r="C9" s="58"/>
      <c r="D9" s="58"/>
    </row>
    <row r="10" spans="1:5" s="55" customFormat="1" ht="16.8" x14ac:dyDescent="0.4">
      <c r="A10" s="57" t="s">
        <v>880</v>
      </c>
      <c r="B10" s="10"/>
      <c r="C10" s="58"/>
      <c r="D10" s="58"/>
    </row>
    <row r="11" spans="1:5" s="55" customFormat="1" ht="16.8" x14ac:dyDescent="0.4">
      <c r="A11" s="57" t="s">
        <v>878</v>
      </c>
      <c r="B11" s="10"/>
      <c r="C11" s="59"/>
      <c r="D11" s="58"/>
    </row>
    <row r="12" spans="1:5" s="55" customFormat="1" ht="15" customHeight="1" x14ac:dyDescent="0.4">
      <c r="A12" s="60" t="s">
        <v>879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873</v>
      </c>
      <c r="C16" s="74">
        <v>13500</v>
      </c>
      <c r="D16" s="75">
        <f>A16*C16</f>
        <v>13500</v>
      </c>
      <c r="E16" s="76"/>
    </row>
    <row r="17" spans="1:5" ht="15.6" x14ac:dyDescent="0.25">
      <c r="A17" s="72">
        <v>4</v>
      </c>
      <c r="B17" s="73" t="s">
        <v>872</v>
      </c>
      <c r="C17" s="74">
        <v>2387</v>
      </c>
      <c r="D17" s="75">
        <f>C17*A17</f>
        <v>9548</v>
      </c>
      <c r="E17" s="76"/>
    </row>
    <row r="18" spans="1:5" ht="45" x14ac:dyDescent="0.25">
      <c r="A18" s="72">
        <v>1</v>
      </c>
      <c r="B18" s="73" t="s">
        <v>874</v>
      </c>
      <c r="C18" s="74">
        <v>16500</v>
      </c>
      <c r="D18" s="75">
        <f>A18*C18</f>
        <v>16500</v>
      </c>
      <c r="E18" s="76"/>
    </row>
    <row r="19" spans="1:5" ht="15.6" x14ac:dyDescent="0.25">
      <c r="A19" s="72"/>
      <c r="B19" s="75"/>
      <c r="C19" s="75"/>
      <c r="D19" s="75"/>
      <c r="E19" s="76"/>
    </row>
    <row r="20" spans="1:5" ht="15.6" x14ac:dyDescent="0.25">
      <c r="A20" s="89"/>
      <c r="B20" s="90"/>
      <c r="C20" s="578" t="s">
        <v>38</v>
      </c>
      <c r="D20" s="418">
        <f>SUM(D16:D18)</f>
        <v>39548</v>
      </c>
      <c r="E20" s="76"/>
    </row>
    <row r="21" spans="1:5" ht="15.6" x14ac:dyDescent="0.3">
      <c r="A21" s="92"/>
      <c r="B21" s="90"/>
      <c r="C21" s="305" t="s">
        <v>39</v>
      </c>
      <c r="D21" s="75">
        <f>D20*0.16</f>
        <v>6327.68</v>
      </c>
      <c r="E21" s="76"/>
    </row>
    <row r="22" spans="1:5" ht="16.2" thickBot="1" x14ac:dyDescent="0.35">
      <c r="A22" s="92"/>
      <c r="B22" s="90"/>
      <c r="C22" s="306" t="s">
        <v>40</v>
      </c>
      <c r="D22" s="95">
        <f>D20+D21</f>
        <v>45875.68</v>
      </c>
      <c r="E22" s="76"/>
    </row>
    <row r="23" spans="1:5" ht="19.5" customHeight="1" thickBot="1" x14ac:dyDescent="0.3">
      <c r="A23" s="92"/>
      <c r="B23" s="1023" t="s">
        <v>875</v>
      </c>
      <c r="C23" s="1024"/>
      <c r="D23" s="1025"/>
      <c r="E23" s="76"/>
    </row>
    <row r="24" spans="1:5" ht="18.75" customHeight="1" x14ac:dyDescent="0.25">
      <c r="B24" s="97" t="s">
        <v>9</v>
      </c>
      <c r="C24" s="98"/>
      <c r="D24" s="99"/>
      <c r="E24" s="76"/>
    </row>
    <row r="25" spans="1:5" ht="34.799999999999997" x14ac:dyDescent="0.25">
      <c r="B25" s="124" t="s">
        <v>843</v>
      </c>
      <c r="C25" s="76"/>
      <c r="D25" s="96"/>
      <c r="E25" s="76"/>
    </row>
    <row r="26" spans="1:5" ht="18.75" customHeight="1" x14ac:dyDescent="0.25">
      <c r="A26" s="426"/>
      <c r="B26" s="103" t="s">
        <v>11</v>
      </c>
      <c r="C26" s="96"/>
      <c r="D26" s="96"/>
    </row>
    <row r="27" spans="1:5" ht="18.75" customHeight="1" x14ac:dyDescent="0.25">
      <c r="A27" s="427"/>
      <c r="B27" s="123" t="s">
        <v>12</v>
      </c>
      <c r="C27" s="52"/>
      <c r="D27" s="52"/>
      <c r="E27" s="96"/>
    </row>
    <row r="28" spans="1:5" ht="15" x14ac:dyDescent="0.25">
      <c r="A28" s="427"/>
      <c r="B28" s="123" t="s">
        <v>13</v>
      </c>
      <c r="C28" s="52"/>
      <c r="D28" s="52"/>
      <c r="E28" s="96"/>
    </row>
    <row r="29" spans="1:5" s="96" customFormat="1" ht="15" x14ac:dyDescent="0.25">
      <c r="A29" s="427"/>
      <c r="B29" s="123" t="s">
        <v>14</v>
      </c>
      <c r="C29" s="52"/>
      <c r="D29" s="52"/>
      <c r="E29" s="52"/>
    </row>
    <row r="30" spans="1:5" s="96" customFormat="1" ht="15.75" customHeight="1" x14ac:dyDescent="0.25">
      <c r="A30" s="383"/>
      <c r="B30" s="103" t="s">
        <v>15</v>
      </c>
      <c r="C30" s="52"/>
      <c r="D30" s="52"/>
      <c r="E30" s="52"/>
    </row>
    <row r="31" spans="1:5" ht="13.5" customHeight="1" x14ac:dyDescent="0.25">
      <c r="A31" s="383"/>
      <c r="B31" s="295" t="s">
        <v>42</v>
      </c>
      <c r="C31" s="104"/>
      <c r="D31" s="105"/>
    </row>
    <row r="32" spans="1:5" ht="13.5" customHeight="1" x14ac:dyDescent="0.25">
      <c r="A32" s="390"/>
      <c r="B32" s="295" t="s">
        <v>43</v>
      </c>
      <c r="C32" s="104"/>
      <c r="D32" s="105"/>
    </row>
    <row r="33" spans="1:4" ht="13.5" customHeight="1" x14ac:dyDescent="0.25">
      <c r="A33" s="390"/>
      <c r="B33" s="103" t="s">
        <v>18</v>
      </c>
      <c r="C33" s="107"/>
      <c r="D33" s="105"/>
    </row>
    <row r="34" spans="1:4" ht="15" x14ac:dyDescent="0.25">
      <c r="A34" s="390"/>
      <c r="B34" s="313" t="s">
        <v>808</v>
      </c>
      <c r="C34" s="107"/>
      <c r="D34" s="105"/>
    </row>
    <row r="35" spans="1:4" ht="15" x14ac:dyDescent="0.25">
      <c r="A35" s="390"/>
      <c r="B35" s="297" t="s">
        <v>20</v>
      </c>
      <c r="C35" s="107"/>
      <c r="D35" s="105"/>
    </row>
    <row r="36" spans="1:4" ht="13.5" customHeight="1" x14ac:dyDescent="0.25">
      <c r="A36" s="392"/>
      <c r="B36" s="103" t="s">
        <v>21</v>
      </c>
      <c r="C36" s="107"/>
      <c r="D36" s="105"/>
    </row>
    <row r="37" spans="1:4" ht="13.5" customHeight="1" x14ac:dyDescent="0.25">
      <c r="A37" s="390"/>
      <c r="B37" s="122" t="s">
        <v>262</v>
      </c>
      <c r="C37" s="107"/>
      <c r="D37" s="107"/>
    </row>
    <row r="38" spans="1:4" ht="13.5" customHeight="1" x14ac:dyDescent="0.25">
      <c r="A38" s="390"/>
      <c r="B38" s="123" t="s">
        <v>44</v>
      </c>
      <c r="C38" s="107"/>
      <c r="D38" s="107"/>
    </row>
    <row r="39" spans="1:4" ht="13.5" customHeight="1" x14ac:dyDescent="0.25">
      <c r="A39" s="390"/>
      <c r="B39" s="123" t="s">
        <v>45</v>
      </c>
      <c r="C39" s="109"/>
      <c r="D39" s="110"/>
    </row>
    <row r="40" spans="1:4" ht="33.6" x14ac:dyDescent="0.25">
      <c r="A40" s="390"/>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64" fitToHeight="0"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7238-BA39-4924-8A45-4536671B82F4}">
  <sheetPr>
    <pageSetUpPr fitToPage="1"/>
  </sheetPr>
  <dimension ref="A1:E69"/>
  <sheetViews>
    <sheetView topLeftCell="A10" zoomScaleNormal="100" workbookViewId="0">
      <selection activeCell="D17" sqref="D17:D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876</v>
      </c>
      <c r="B8" s="10"/>
      <c r="C8" s="58"/>
      <c r="D8" s="58"/>
    </row>
    <row r="9" spans="1:5" s="55" customFormat="1" ht="16.8" x14ac:dyDescent="0.4">
      <c r="A9" s="57" t="s">
        <v>877</v>
      </c>
      <c r="B9" s="10"/>
      <c r="C9" s="58"/>
      <c r="D9" s="58"/>
    </row>
    <row r="10" spans="1:5" s="55" customFormat="1" ht="16.8" x14ac:dyDescent="0.4">
      <c r="A10" s="57" t="s">
        <v>880</v>
      </c>
      <c r="B10" s="10"/>
      <c r="C10" s="58"/>
      <c r="D10" s="58"/>
    </row>
    <row r="11" spans="1:5" s="55" customFormat="1" ht="16.8" x14ac:dyDescent="0.4">
      <c r="A11" s="57" t="s">
        <v>878</v>
      </c>
      <c r="B11" s="10"/>
      <c r="C11" s="59"/>
      <c r="D11" s="58"/>
    </row>
    <row r="12" spans="1:5" s="55" customFormat="1" ht="15" customHeight="1" x14ac:dyDescent="0.4">
      <c r="A12" s="60" t="s">
        <v>879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873</v>
      </c>
      <c r="C16" s="74">
        <v>13500</v>
      </c>
      <c r="D16" s="75">
        <f>A16*C16</f>
        <v>13500</v>
      </c>
      <c r="E16" s="76"/>
    </row>
    <row r="17" spans="1:5" ht="15.6" x14ac:dyDescent="0.25">
      <c r="A17" s="72">
        <v>1</v>
      </c>
      <c r="B17" s="73" t="s">
        <v>881</v>
      </c>
      <c r="C17" s="74">
        <f>(60574.5*1.12)</f>
        <v>67843.44</v>
      </c>
      <c r="D17" s="75">
        <f>C17*A17</f>
        <v>67843.44</v>
      </c>
      <c r="E17" s="76"/>
    </row>
    <row r="18" spans="1:5" ht="15.6" x14ac:dyDescent="0.25">
      <c r="A18" s="72">
        <v>1</v>
      </c>
      <c r="B18" s="73" t="s">
        <v>882</v>
      </c>
      <c r="C18" s="74">
        <f>(38293.5*1.12)</f>
        <v>42888.72</v>
      </c>
      <c r="D18" s="75">
        <f>C18*A18</f>
        <v>42888.72</v>
      </c>
      <c r="E18" s="76"/>
    </row>
    <row r="19" spans="1:5" ht="45" x14ac:dyDescent="0.25">
      <c r="A19" s="72">
        <v>1</v>
      </c>
      <c r="B19" s="73" t="s">
        <v>874</v>
      </c>
      <c r="C19" s="74">
        <v>16500</v>
      </c>
      <c r="D19" s="75">
        <f>A19*C19</f>
        <v>16500</v>
      </c>
      <c r="E19" s="76"/>
    </row>
    <row r="20" spans="1:5" ht="15.6" x14ac:dyDescent="0.25">
      <c r="A20" s="72"/>
      <c r="B20" s="75"/>
      <c r="C20" s="75"/>
      <c r="D20" s="75"/>
      <c r="E20" s="76"/>
    </row>
    <row r="21" spans="1:5" ht="15.6" x14ac:dyDescent="0.25">
      <c r="A21" s="89"/>
      <c r="B21" s="90"/>
      <c r="C21" s="578" t="s">
        <v>38</v>
      </c>
      <c r="D21" s="418">
        <f>SUM(D16:D19)</f>
        <v>140732.16</v>
      </c>
      <c r="E21" s="76"/>
    </row>
    <row r="22" spans="1:5" ht="15.6" x14ac:dyDescent="0.3">
      <c r="A22" s="92"/>
      <c r="B22" s="90"/>
      <c r="C22" s="305" t="s">
        <v>39</v>
      </c>
      <c r="D22" s="75">
        <f>D21*0.16</f>
        <v>22517.1456</v>
      </c>
      <c r="E22" s="76"/>
    </row>
    <row r="23" spans="1:5" ht="19.5" customHeight="1" thickBot="1" x14ac:dyDescent="0.35">
      <c r="A23" s="92"/>
      <c r="B23" s="90"/>
      <c r="C23" s="306" t="s">
        <v>40</v>
      </c>
      <c r="D23" s="95">
        <f>D21+D22</f>
        <v>163249.30559999999</v>
      </c>
      <c r="E23" s="76"/>
    </row>
    <row r="24" spans="1:5" ht="18.75" customHeight="1" thickBot="1" x14ac:dyDescent="0.3">
      <c r="A24" s="92"/>
      <c r="B24" s="1023" t="s">
        <v>883</v>
      </c>
      <c r="C24" s="1024"/>
      <c r="D24" s="1025"/>
      <c r="E24" s="76"/>
    </row>
    <row r="25" spans="1:5" ht="13.8" x14ac:dyDescent="0.25">
      <c r="B25" s="97" t="s">
        <v>9</v>
      </c>
      <c r="C25" s="98"/>
      <c r="D25" s="99"/>
      <c r="E25" s="76"/>
    </row>
    <row r="26" spans="1:5" ht="34.799999999999997" x14ac:dyDescent="0.25">
      <c r="B26" s="124" t="s">
        <v>843</v>
      </c>
      <c r="C26" s="76"/>
      <c r="D26" s="96"/>
    </row>
    <row r="27" spans="1:5" ht="18.75" customHeight="1" x14ac:dyDescent="0.25">
      <c r="A27" s="426"/>
      <c r="B27" s="103" t="s">
        <v>11</v>
      </c>
      <c r="C27" s="96"/>
      <c r="D27" s="96"/>
      <c r="E27" s="96"/>
    </row>
    <row r="28" spans="1:5" ht="15" x14ac:dyDescent="0.25">
      <c r="A28" s="427"/>
      <c r="B28" s="123" t="s">
        <v>12</v>
      </c>
      <c r="C28" s="52"/>
      <c r="D28" s="52"/>
      <c r="E28" s="96"/>
    </row>
    <row r="29" spans="1:5" s="96" customFormat="1" ht="15" x14ac:dyDescent="0.25">
      <c r="A29" s="427"/>
      <c r="B29" s="123" t="s">
        <v>13</v>
      </c>
      <c r="C29" s="52"/>
      <c r="D29" s="52"/>
      <c r="E29" s="52"/>
    </row>
    <row r="30" spans="1:5" s="96" customFormat="1" ht="15.75" customHeight="1" x14ac:dyDescent="0.25">
      <c r="A30" s="427"/>
      <c r="B30" s="123" t="s">
        <v>14</v>
      </c>
      <c r="C30" s="52"/>
      <c r="D30" s="52"/>
      <c r="E30" s="52"/>
    </row>
    <row r="31" spans="1:5" ht="13.5" customHeight="1" x14ac:dyDescent="0.25">
      <c r="A31" s="383"/>
      <c r="B31" s="103" t="s">
        <v>15</v>
      </c>
      <c r="C31" s="52"/>
      <c r="D31" s="52"/>
    </row>
    <row r="32" spans="1:5" ht="13.5" customHeight="1" x14ac:dyDescent="0.25">
      <c r="A32" s="383"/>
      <c r="B32" s="295" t="s">
        <v>42</v>
      </c>
      <c r="C32" s="104"/>
      <c r="D32" s="105"/>
    </row>
    <row r="33" spans="1:4" ht="13.5" customHeight="1" x14ac:dyDescent="0.25">
      <c r="A33" s="390"/>
      <c r="B33" s="295" t="s">
        <v>43</v>
      </c>
      <c r="C33" s="104"/>
      <c r="D33" s="105"/>
    </row>
    <row r="34" spans="1:4" ht="15" x14ac:dyDescent="0.25">
      <c r="A34" s="390"/>
      <c r="B34" s="103" t="s">
        <v>18</v>
      </c>
      <c r="C34" s="107"/>
      <c r="D34" s="105"/>
    </row>
    <row r="35" spans="1:4" ht="15" x14ac:dyDescent="0.25">
      <c r="A35" s="390"/>
      <c r="B35" s="313" t="s">
        <v>808</v>
      </c>
      <c r="C35" s="107"/>
      <c r="D35" s="105"/>
    </row>
    <row r="36" spans="1:4" ht="13.5" customHeight="1" x14ac:dyDescent="0.25">
      <c r="A36" s="390"/>
      <c r="B36" s="297" t="s">
        <v>20</v>
      </c>
      <c r="C36" s="107"/>
      <c r="D36" s="105"/>
    </row>
    <row r="37" spans="1:4" ht="13.5" customHeight="1" x14ac:dyDescent="0.25">
      <c r="A37" s="392"/>
      <c r="B37" s="103" t="s">
        <v>21</v>
      </c>
      <c r="C37" s="107"/>
      <c r="D37" s="105"/>
    </row>
    <row r="38" spans="1:4" ht="13.5" customHeight="1" x14ac:dyDescent="0.25">
      <c r="A38" s="390"/>
      <c r="B38" s="122" t="s">
        <v>262</v>
      </c>
      <c r="C38" s="107"/>
      <c r="D38" s="107"/>
    </row>
    <row r="39" spans="1:4" ht="13.5" customHeight="1" x14ac:dyDescent="0.25">
      <c r="A39" s="390"/>
      <c r="B39" s="123" t="s">
        <v>44</v>
      </c>
      <c r="C39" s="107"/>
      <c r="D39" s="107"/>
    </row>
    <row r="40" spans="1:4" ht="15" x14ac:dyDescent="0.25">
      <c r="A40" s="390"/>
      <c r="B40" s="123" t="s">
        <v>45</v>
      </c>
      <c r="C40" s="109"/>
      <c r="D40" s="110"/>
    </row>
    <row r="41" spans="1:4" ht="33.6" x14ac:dyDescent="0.25">
      <c r="A41" s="390"/>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4:D24"/>
  </mergeCells>
  <pageMargins left="0.25" right="0.25" top="0.75" bottom="0.75" header="0.3" footer="0.3"/>
  <pageSetup scale="64" fitToHeight="0"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BA62-0E40-43ED-9EA6-30BBD4E20201}">
  <sheetPr>
    <pageSetUpPr fitToPage="1"/>
  </sheetPr>
  <dimension ref="A1:E69"/>
  <sheetViews>
    <sheetView topLeftCell="A9" zoomScaleNormal="100" workbookViewId="0">
      <selection activeCell="B39" sqref="B3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876</v>
      </c>
      <c r="B8" s="10"/>
      <c r="C8" s="58"/>
      <c r="D8" s="58"/>
    </row>
    <row r="9" spans="1:5" s="55" customFormat="1" ht="16.8" x14ac:dyDescent="0.4">
      <c r="A9" s="57" t="s">
        <v>877</v>
      </c>
      <c r="B9" s="10"/>
      <c r="C9" s="58"/>
      <c r="D9" s="58"/>
    </row>
    <row r="10" spans="1:5" s="55" customFormat="1" ht="16.8" x14ac:dyDescent="0.4">
      <c r="A10" s="57" t="s">
        <v>880</v>
      </c>
      <c r="B10" s="10"/>
      <c r="C10" s="58"/>
      <c r="D10" s="58"/>
    </row>
    <row r="11" spans="1:5" s="55" customFormat="1" ht="16.8" x14ac:dyDescent="0.4">
      <c r="A11" s="57" t="s">
        <v>878</v>
      </c>
      <c r="B11" s="10"/>
      <c r="C11" s="59"/>
      <c r="D11" s="58"/>
    </row>
    <row r="12" spans="1:5" s="55" customFormat="1" ht="15" customHeight="1" x14ac:dyDescent="0.4">
      <c r="A12" s="60" t="s">
        <v>879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873</v>
      </c>
      <c r="C16" s="74">
        <v>13500</v>
      </c>
      <c r="D16" s="75">
        <f>A16*C16</f>
        <v>13500</v>
      </c>
      <c r="E16" s="76"/>
    </row>
    <row r="17" spans="1:5" ht="23.4" customHeight="1" x14ac:dyDescent="0.25">
      <c r="A17" s="72">
        <v>1</v>
      </c>
      <c r="B17" s="73" t="s">
        <v>885</v>
      </c>
      <c r="C17" s="74">
        <f>(102353*1.25)</f>
        <v>127941.25</v>
      </c>
      <c r="D17" s="75">
        <f>C17*A17</f>
        <v>127941.25</v>
      </c>
      <c r="E17" s="76"/>
    </row>
    <row r="18" spans="1:5" ht="16.8" customHeight="1" x14ac:dyDescent="0.25">
      <c r="A18" s="72">
        <v>1</v>
      </c>
      <c r="B18" s="73" t="s">
        <v>884</v>
      </c>
      <c r="C18" s="74">
        <f>(75643*1.25)</f>
        <v>94553.75</v>
      </c>
      <c r="D18" s="75">
        <f>C18*A18</f>
        <v>94553.75</v>
      </c>
      <c r="E18" s="76"/>
    </row>
    <row r="19" spans="1:5" ht="45" x14ac:dyDescent="0.25">
      <c r="A19" s="72">
        <v>1</v>
      </c>
      <c r="B19" s="73" t="s">
        <v>874</v>
      </c>
      <c r="C19" s="74">
        <v>16500</v>
      </c>
      <c r="D19" s="75">
        <f>A19*C19</f>
        <v>16500</v>
      </c>
      <c r="E19" s="76"/>
    </row>
    <row r="20" spans="1:5" ht="15.6" x14ac:dyDescent="0.25">
      <c r="A20" s="72"/>
      <c r="B20" s="75"/>
      <c r="C20" s="75"/>
      <c r="D20" s="75"/>
      <c r="E20" s="76"/>
    </row>
    <row r="21" spans="1:5" ht="15.6" x14ac:dyDescent="0.25">
      <c r="A21" s="89"/>
      <c r="B21" s="90"/>
      <c r="C21" s="578" t="s">
        <v>38</v>
      </c>
      <c r="D21" s="418">
        <f>SUM(D16:D19)</f>
        <v>252495</v>
      </c>
      <c r="E21" s="76"/>
    </row>
    <row r="22" spans="1:5" ht="15.6" x14ac:dyDescent="0.3">
      <c r="A22" s="92"/>
      <c r="B22" s="90"/>
      <c r="C22" s="305" t="s">
        <v>39</v>
      </c>
      <c r="D22" s="75">
        <f>D21*0.16</f>
        <v>40399.200000000004</v>
      </c>
      <c r="E22" s="76"/>
    </row>
    <row r="23" spans="1:5" ht="19.5" customHeight="1" thickBot="1" x14ac:dyDescent="0.35">
      <c r="A23" s="92"/>
      <c r="B23" s="90"/>
      <c r="C23" s="306" t="s">
        <v>40</v>
      </c>
      <c r="D23" s="95">
        <f>D21+D22</f>
        <v>292894.2</v>
      </c>
      <c r="E23" s="76"/>
    </row>
    <row r="24" spans="1:5" ht="18.75" customHeight="1" thickBot="1" x14ac:dyDescent="0.3">
      <c r="A24" s="92"/>
      <c r="B24" s="1023" t="s">
        <v>886</v>
      </c>
      <c r="C24" s="1024"/>
      <c r="D24" s="1025"/>
      <c r="E24" s="76"/>
    </row>
    <row r="25" spans="1:5" ht="13.8" x14ac:dyDescent="0.25">
      <c r="B25" s="97" t="s">
        <v>9</v>
      </c>
      <c r="C25" s="98"/>
      <c r="D25" s="99"/>
      <c r="E25" s="76"/>
    </row>
    <row r="26" spans="1:5" ht="34.799999999999997" x14ac:dyDescent="0.25">
      <c r="B26" s="124" t="s">
        <v>843</v>
      </c>
      <c r="C26" s="76"/>
      <c r="D26" s="96"/>
    </row>
    <row r="27" spans="1:5" ht="18.75" customHeight="1" x14ac:dyDescent="0.25">
      <c r="A27" s="426"/>
      <c r="B27" s="103" t="s">
        <v>11</v>
      </c>
      <c r="C27" s="96"/>
      <c r="D27" s="96"/>
      <c r="E27" s="96"/>
    </row>
    <row r="28" spans="1:5" ht="15" x14ac:dyDescent="0.25">
      <c r="A28" s="427"/>
      <c r="B28" s="123" t="s">
        <v>12</v>
      </c>
      <c r="C28" s="52"/>
      <c r="D28" s="52"/>
      <c r="E28" s="96"/>
    </row>
    <row r="29" spans="1:5" s="96" customFormat="1" ht="15" x14ac:dyDescent="0.25">
      <c r="A29" s="427"/>
      <c r="B29" s="123" t="s">
        <v>13</v>
      </c>
      <c r="C29" s="52"/>
      <c r="D29" s="52"/>
      <c r="E29" s="52"/>
    </row>
    <row r="30" spans="1:5" s="96" customFormat="1" ht="15.75" customHeight="1" x14ac:dyDescent="0.25">
      <c r="A30" s="427"/>
      <c r="B30" s="123" t="s">
        <v>14</v>
      </c>
      <c r="C30" s="52"/>
      <c r="D30" s="52"/>
      <c r="E30" s="52"/>
    </row>
    <row r="31" spans="1:5" ht="13.5" customHeight="1" x14ac:dyDescent="0.25">
      <c r="A31" s="383"/>
      <c r="B31" s="103" t="s">
        <v>15</v>
      </c>
      <c r="C31" s="52"/>
      <c r="D31" s="52"/>
    </row>
    <row r="32" spans="1:5" ht="13.5" customHeight="1" x14ac:dyDescent="0.25">
      <c r="A32" s="383"/>
      <c r="B32" s="295" t="s">
        <v>42</v>
      </c>
      <c r="C32" s="104"/>
      <c r="D32" s="105"/>
    </row>
    <row r="33" spans="1:4" ht="13.5" customHeight="1" x14ac:dyDescent="0.25">
      <c r="A33" s="390"/>
      <c r="B33" s="295" t="s">
        <v>43</v>
      </c>
      <c r="C33" s="104"/>
      <c r="D33" s="105"/>
    </row>
    <row r="34" spans="1:4" ht="15" x14ac:dyDescent="0.25">
      <c r="A34" s="390"/>
      <c r="B34" s="103" t="s">
        <v>18</v>
      </c>
      <c r="C34" s="107"/>
      <c r="D34" s="105"/>
    </row>
    <row r="35" spans="1:4" ht="15" x14ac:dyDescent="0.25">
      <c r="A35" s="390"/>
      <c r="B35" s="313" t="s">
        <v>808</v>
      </c>
      <c r="C35" s="107"/>
      <c r="D35" s="105"/>
    </row>
    <row r="36" spans="1:4" ht="13.5" customHeight="1" x14ac:dyDescent="0.25">
      <c r="A36" s="390"/>
      <c r="B36" s="297" t="s">
        <v>20</v>
      </c>
      <c r="C36" s="107"/>
      <c r="D36" s="105"/>
    </row>
    <row r="37" spans="1:4" ht="13.5" customHeight="1" x14ac:dyDescent="0.25">
      <c r="A37" s="392"/>
      <c r="B37" s="103" t="s">
        <v>21</v>
      </c>
      <c r="C37" s="107"/>
      <c r="D37" s="105"/>
    </row>
    <row r="38" spans="1:4" ht="13.5" customHeight="1" x14ac:dyDescent="0.25">
      <c r="A38" s="390"/>
      <c r="B38" s="122" t="s">
        <v>262</v>
      </c>
      <c r="C38" s="107"/>
      <c r="D38" s="107"/>
    </row>
    <row r="39" spans="1:4" ht="13.5" customHeight="1" x14ac:dyDescent="0.25">
      <c r="A39" s="390"/>
      <c r="B39" s="123" t="s">
        <v>44</v>
      </c>
      <c r="C39" s="107"/>
      <c r="D39" s="107"/>
    </row>
    <row r="40" spans="1:4" ht="15" x14ac:dyDescent="0.25">
      <c r="A40" s="390"/>
      <c r="B40" s="123" t="s">
        <v>45</v>
      </c>
      <c r="C40" s="109"/>
      <c r="D40" s="110"/>
    </row>
    <row r="41" spans="1:4" ht="33.6" x14ac:dyDescent="0.25">
      <c r="A41" s="390"/>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4:D24"/>
  </mergeCells>
  <pageMargins left="0.25" right="0.25" top="0.75" bottom="0.75" header="0.3" footer="0.3"/>
  <pageSetup fitToHeight="0"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3F5F-9CF1-434A-8E89-08F1338477C6}">
  <sheetPr>
    <pageSetUpPr fitToPage="1"/>
  </sheetPr>
  <dimension ref="A1:E66"/>
  <sheetViews>
    <sheetView topLeftCell="A12" zoomScaleNormal="100" workbookViewId="0">
      <selection activeCell="B30" sqref="B3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446</v>
      </c>
      <c r="B8" s="10"/>
      <c r="C8" s="58"/>
      <c r="D8" s="58"/>
    </row>
    <row r="9" spans="1:5" s="55" customFormat="1" ht="16.8" x14ac:dyDescent="0.4">
      <c r="A9" s="57" t="s">
        <v>447</v>
      </c>
      <c r="B9" s="10"/>
      <c r="C9" s="58"/>
      <c r="D9" s="58"/>
    </row>
    <row r="10" spans="1:5" s="55" customFormat="1" ht="16.8" x14ac:dyDescent="0.4">
      <c r="A10" s="57" t="s">
        <v>284</v>
      </c>
      <c r="B10" s="10"/>
      <c r="C10" s="58"/>
      <c r="D10" s="58"/>
    </row>
    <row r="11" spans="1:5" s="55" customFormat="1" ht="16.8" x14ac:dyDescent="0.4">
      <c r="A11" s="57" t="s">
        <v>448</v>
      </c>
      <c r="B11" s="10"/>
      <c r="C11" s="59"/>
      <c r="D11" s="58"/>
    </row>
    <row r="12" spans="1:5" s="55" customFormat="1" ht="15" customHeight="1" x14ac:dyDescent="0.4">
      <c r="A12" s="60" t="s">
        <v>913</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3">
      <c r="A16" s="595">
        <v>1</v>
      </c>
      <c r="B16" s="593" t="s">
        <v>911</v>
      </c>
      <c r="C16" s="428">
        <v>2300</v>
      </c>
      <c r="D16" s="75">
        <f t="shared" ref="D16" si="0">A16*C16</f>
        <v>2300</v>
      </c>
      <c r="E16" s="76"/>
    </row>
    <row r="17" spans="1:5" ht="15.6" x14ac:dyDescent="0.25">
      <c r="A17" s="67"/>
      <c r="B17" s="593" t="s">
        <v>912</v>
      </c>
      <c r="C17" s="594"/>
      <c r="D17" s="75"/>
      <c r="E17" s="76"/>
    </row>
    <row r="18" spans="1:5" ht="30" x14ac:dyDescent="0.25">
      <c r="A18" s="72">
        <v>1</v>
      </c>
      <c r="B18" s="73" t="s">
        <v>910</v>
      </c>
      <c r="C18" s="428">
        <v>6000</v>
      </c>
      <c r="D18" s="75">
        <f>A18*C18</f>
        <v>6000</v>
      </c>
      <c r="E18" s="76"/>
    </row>
    <row r="19" spans="1:5" ht="45" x14ac:dyDescent="0.25">
      <c r="A19" s="429">
        <v>1</v>
      </c>
      <c r="B19" s="73" t="s">
        <v>445</v>
      </c>
      <c r="C19" s="428">
        <v>7300</v>
      </c>
      <c r="D19" s="75">
        <f t="shared" ref="D19:D24" si="1">A19*C19</f>
        <v>7300</v>
      </c>
      <c r="E19" s="76"/>
    </row>
    <row r="20" spans="1:5" ht="45" x14ac:dyDescent="0.25">
      <c r="A20" s="72">
        <v>1</v>
      </c>
      <c r="B20" s="73" t="s">
        <v>444</v>
      </c>
      <c r="C20" s="74">
        <v>21000</v>
      </c>
      <c r="D20" s="75">
        <f t="shared" si="1"/>
        <v>21000</v>
      </c>
      <c r="E20" s="76"/>
    </row>
    <row r="21" spans="1:5" ht="15.6" x14ac:dyDescent="0.25">
      <c r="A21" s="72">
        <v>1</v>
      </c>
      <c r="B21" s="73" t="s">
        <v>442</v>
      </c>
      <c r="C21" s="74">
        <f>6797/2</f>
        <v>3398.5</v>
      </c>
      <c r="D21" s="75">
        <f t="shared" si="1"/>
        <v>3398.5</v>
      </c>
      <c r="E21" s="76"/>
    </row>
    <row r="22" spans="1:5" ht="15.6" x14ac:dyDescent="0.25">
      <c r="A22" s="72">
        <v>1</v>
      </c>
      <c r="B22" s="73" t="s">
        <v>443</v>
      </c>
      <c r="C22" s="74">
        <f>5664/2</f>
        <v>2832</v>
      </c>
      <c r="D22" s="75">
        <f t="shared" si="1"/>
        <v>2832</v>
      </c>
      <c r="E22" s="76"/>
    </row>
    <row r="23" spans="1:5" ht="18.75" customHeight="1" x14ac:dyDescent="0.25">
      <c r="A23" s="571">
        <v>2</v>
      </c>
      <c r="B23" s="572" t="s">
        <v>270</v>
      </c>
      <c r="C23" s="573">
        <v>320</v>
      </c>
      <c r="D23" s="75">
        <f t="shared" si="1"/>
        <v>640</v>
      </c>
      <c r="E23" s="76"/>
    </row>
    <row r="24" spans="1:5" ht="30" x14ac:dyDescent="0.25">
      <c r="A24" s="72">
        <v>1</v>
      </c>
      <c r="B24" s="73" t="s">
        <v>494</v>
      </c>
      <c r="C24" s="74">
        <v>6000</v>
      </c>
      <c r="D24" s="75">
        <f t="shared" si="1"/>
        <v>6000</v>
      </c>
      <c r="E24" s="76"/>
    </row>
    <row r="25" spans="1:5" ht="15.75" customHeight="1" x14ac:dyDescent="0.25">
      <c r="A25" s="570"/>
      <c r="B25" s="418"/>
      <c r="C25" s="418"/>
      <c r="D25" s="418"/>
      <c r="E25" s="76"/>
    </row>
    <row r="26" spans="1:5" s="96" customFormat="1" ht="19.5" customHeight="1" x14ac:dyDescent="0.25">
      <c r="A26" s="89"/>
      <c r="B26" s="90"/>
      <c r="C26" s="304" t="s">
        <v>38</v>
      </c>
      <c r="D26" s="75">
        <f>SUM(D16:D24)</f>
        <v>49470.5</v>
      </c>
      <c r="E26" s="52"/>
    </row>
    <row r="27" spans="1:5" s="96" customFormat="1" ht="15.75" customHeight="1" x14ac:dyDescent="0.3">
      <c r="A27" s="92"/>
      <c r="B27" s="90"/>
      <c r="C27" s="305" t="s">
        <v>39</v>
      </c>
      <c r="D27" s="75">
        <f>D26*0.16</f>
        <v>7915.28</v>
      </c>
    </row>
    <row r="28" spans="1:5" ht="13.5" customHeight="1" thickBot="1" x14ac:dyDescent="0.35">
      <c r="A28" s="92"/>
      <c r="B28" s="501"/>
      <c r="C28" s="306" t="s">
        <v>40</v>
      </c>
      <c r="D28" s="95">
        <f>D26+D27</f>
        <v>57385.78</v>
      </c>
      <c r="E28" s="96"/>
    </row>
    <row r="29" spans="1:5" ht="13.5" customHeight="1" thickBot="1" x14ac:dyDescent="0.3">
      <c r="A29" s="92"/>
      <c r="B29" s="1023"/>
      <c r="C29" s="1024"/>
      <c r="D29" s="1025"/>
    </row>
    <row r="30" spans="1:5" ht="13.5" customHeight="1" x14ac:dyDescent="0.25">
      <c r="B30" s="97" t="s">
        <v>9</v>
      </c>
      <c r="C30" s="98"/>
      <c r="D30" s="99"/>
    </row>
    <row r="31" spans="1:5" ht="17.399999999999999" x14ac:dyDescent="0.25">
      <c r="B31" s="255"/>
      <c r="C31" s="76"/>
      <c r="D31" s="96"/>
    </row>
    <row r="32" spans="1:5" ht="13.8" x14ac:dyDescent="0.25">
      <c r="A32" s="426"/>
      <c r="B32" s="103" t="s">
        <v>11</v>
      </c>
      <c r="C32" s="96"/>
      <c r="D32" s="96"/>
    </row>
    <row r="33" spans="1:4" ht="13.5" customHeight="1" x14ac:dyDescent="0.25">
      <c r="A33" s="427"/>
      <c r="B33" s="123" t="s">
        <v>12</v>
      </c>
      <c r="C33" s="52"/>
      <c r="D33" s="52"/>
    </row>
    <row r="34" spans="1:4" ht="13.5" customHeight="1" x14ac:dyDescent="0.25">
      <c r="A34" s="427"/>
      <c r="B34" s="123" t="s">
        <v>13</v>
      </c>
      <c r="C34" s="52"/>
      <c r="D34" s="52"/>
    </row>
    <row r="35" spans="1:4" ht="13.5" customHeight="1" x14ac:dyDescent="0.25">
      <c r="A35" s="427"/>
      <c r="B35" s="123" t="s">
        <v>14</v>
      </c>
      <c r="C35" s="52"/>
      <c r="D35" s="52"/>
    </row>
    <row r="36" spans="1:4" ht="13.5" customHeight="1" x14ac:dyDescent="0.25">
      <c r="A36" s="383"/>
      <c r="B36" s="103" t="s">
        <v>15</v>
      </c>
      <c r="C36" s="52"/>
      <c r="D36" s="52"/>
    </row>
    <row r="37" spans="1:4" ht="13.5" customHeight="1" x14ac:dyDescent="0.25">
      <c r="A37" s="383"/>
      <c r="B37" s="295" t="s">
        <v>42</v>
      </c>
      <c r="C37" s="104"/>
      <c r="D37" s="105"/>
    </row>
    <row r="38" spans="1:4" ht="27.6" x14ac:dyDescent="0.25">
      <c r="A38" s="390"/>
      <c r="B38" s="295" t="s">
        <v>43</v>
      </c>
      <c r="C38" s="104"/>
      <c r="D38" s="105"/>
    </row>
    <row r="39" spans="1:4" ht="15" x14ac:dyDescent="0.25">
      <c r="A39" s="390"/>
      <c r="B39" s="103" t="s">
        <v>18</v>
      </c>
      <c r="C39" s="107"/>
      <c r="D39" s="105"/>
    </row>
    <row r="40" spans="1:4" ht="15" x14ac:dyDescent="0.25">
      <c r="A40" s="390"/>
      <c r="B40" s="313" t="s">
        <v>450</v>
      </c>
      <c r="C40" s="107"/>
      <c r="D40" s="105"/>
    </row>
    <row r="41" spans="1:4" ht="15" x14ac:dyDescent="0.25">
      <c r="A41" s="390"/>
      <c r="B41" s="297" t="s">
        <v>20</v>
      </c>
      <c r="C41" s="107"/>
      <c r="D41" s="105"/>
    </row>
    <row r="42" spans="1:4" ht="13.8" x14ac:dyDescent="0.25">
      <c r="A42" s="392"/>
      <c r="B42" s="103" t="s">
        <v>21</v>
      </c>
      <c r="C42" s="107"/>
      <c r="D42" s="105"/>
    </row>
    <row r="43" spans="1:4" ht="15" x14ac:dyDescent="0.25">
      <c r="A43" s="390"/>
      <c r="B43" s="122" t="s">
        <v>262</v>
      </c>
      <c r="C43" s="107"/>
      <c r="D43" s="107"/>
    </row>
    <row r="44" spans="1:4" ht="15" x14ac:dyDescent="0.25">
      <c r="A44" s="390"/>
      <c r="B44" s="123" t="s">
        <v>44</v>
      </c>
      <c r="C44" s="107"/>
      <c r="D44" s="107"/>
    </row>
    <row r="45" spans="1:4" ht="15" x14ac:dyDescent="0.25">
      <c r="A45" s="390"/>
      <c r="B45" s="123" t="s">
        <v>45</v>
      </c>
      <c r="C45" s="109"/>
      <c r="D45" s="110"/>
    </row>
    <row r="46" spans="1:4" ht="33.6" x14ac:dyDescent="0.25">
      <c r="A46" s="390"/>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ht="15.75" customHeight="1" x14ac:dyDescent="0.25">
      <c r="A57" s="120" t="s">
        <v>0</v>
      </c>
      <c r="C57" s="112"/>
      <c r="D57" s="52"/>
    </row>
    <row r="58" spans="1:4" x14ac:dyDescent="0.25">
      <c r="A58" s="52" t="s">
        <v>0</v>
      </c>
      <c r="C58" s="112"/>
      <c r="D58" s="112"/>
    </row>
    <row r="61" spans="1:4" ht="16.5" customHeight="1" x14ac:dyDescent="0.25"/>
    <row r="65" ht="24" customHeight="1" x14ac:dyDescent="0.25"/>
    <row r="66" ht="24" customHeight="1" x14ac:dyDescent="0.25"/>
  </sheetData>
  <mergeCells count="3">
    <mergeCell ref="A4:D4"/>
    <mergeCell ref="A13:D13"/>
    <mergeCell ref="B29:D29"/>
  </mergeCells>
  <pageMargins left="0.25" right="0.25" top="0.75" bottom="0.75" header="0.3" footer="0.3"/>
  <pageSetup scale="64" fitToHeight="0"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0101-2A12-48F9-A171-CA57F7F24E26}">
  <sheetPr>
    <pageSetUpPr fitToPage="1"/>
  </sheetPr>
  <dimension ref="A1:F69"/>
  <sheetViews>
    <sheetView topLeftCell="A12" zoomScaleNormal="100" workbookViewId="0">
      <selection activeCell="A19" sqref="A19:D2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790</v>
      </c>
      <c r="B8" s="10"/>
      <c r="C8" s="58"/>
      <c r="D8" s="58"/>
    </row>
    <row r="9" spans="1:5" s="55" customFormat="1" ht="16.8" x14ac:dyDescent="0.4">
      <c r="A9" s="57" t="s">
        <v>791</v>
      </c>
      <c r="B9" s="10"/>
      <c r="C9" s="58"/>
      <c r="D9" s="58"/>
    </row>
    <row r="10" spans="1:5" s="55" customFormat="1" ht="16.8" x14ac:dyDescent="0.4">
      <c r="A10" s="57" t="s">
        <v>919</v>
      </c>
      <c r="B10" s="10"/>
      <c r="C10" s="58"/>
      <c r="D10" s="58"/>
    </row>
    <row r="11" spans="1:5" s="55" customFormat="1" ht="16.8" x14ac:dyDescent="0.4">
      <c r="A11" s="57" t="s">
        <v>404</v>
      </c>
      <c r="B11" s="10"/>
      <c r="C11" s="59"/>
      <c r="D11" s="58"/>
    </row>
    <row r="12" spans="1:5" s="55" customFormat="1" ht="15" customHeight="1" x14ac:dyDescent="0.4">
      <c r="A12" s="60" t="s">
        <v>913</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3">
      <c r="A16" s="595">
        <v>1</v>
      </c>
      <c r="B16" s="593" t="s">
        <v>911</v>
      </c>
      <c r="C16" s="428">
        <v>2300</v>
      </c>
      <c r="D16" s="75">
        <f t="shared" ref="D16" si="0">A16*C16</f>
        <v>2300</v>
      </c>
      <c r="E16" s="70"/>
    </row>
    <row r="17" spans="1:6" ht="15.6" x14ac:dyDescent="0.25">
      <c r="A17" s="67"/>
      <c r="B17" s="593" t="s">
        <v>912</v>
      </c>
      <c r="C17" s="594"/>
      <c r="D17" s="75"/>
      <c r="E17" s="76"/>
    </row>
    <row r="18" spans="1:6" ht="45" x14ac:dyDescent="0.25">
      <c r="A18" s="72">
        <v>1</v>
      </c>
      <c r="B18" s="73" t="s">
        <v>914</v>
      </c>
      <c r="C18" s="74">
        <f>100*110</f>
        <v>11000</v>
      </c>
      <c r="D18" s="75">
        <f>A18*C18</f>
        <v>11000</v>
      </c>
      <c r="E18" s="76"/>
    </row>
    <row r="19" spans="1:6" ht="45" x14ac:dyDescent="0.25">
      <c r="A19" s="429">
        <v>1</v>
      </c>
      <c r="B19" s="73" t="s">
        <v>445</v>
      </c>
      <c r="C19" s="428">
        <v>7300</v>
      </c>
      <c r="D19" s="75">
        <f t="shared" ref="D19:D25" si="1">A19*C19</f>
        <v>7300</v>
      </c>
      <c r="E19" s="76"/>
    </row>
    <row r="20" spans="1:6" ht="45" x14ac:dyDescent="0.25">
      <c r="A20" s="72">
        <v>1</v>
      </c>
      <c r="B20" s="73" t="s">
        <v>915</v>
      </c>
      <c r="C20" s="74">
        <v>47000</v>
      </c>
      <c r="D20" s="75">
        <f t="shared" si="1"/>
        <v>47000</v>
      </c>
      <c r="E20" s="76"/>
    </row>
    <row r="21" spans="1:6" ht="15.6" x14ac:dyDescent="0.25">
      <c r="A21" s="72">
        <v>1</v>
      </c>
      <c r="B21" s="73" t="s">
        <v>442</v>
      </c>
      <c r="C21" s="74">
        <f>6797/2</f>
        <v>3398.5</v>
      </c>
      <c r="D21" s="75">
        <f t="shared" si="1"/>
        <v>3398.5</v>
      </c>
      <c r="E21" s="76"/>
    </row>
    <row r="22" spans="1:6" ht="15.6" x14ac:dyDescent="0.25">
      <c r="A22" s="72">
        <v>1</v>
      </c>
      <c r="B22" s="73" t="s">
        <v>443</v>
      </c>
      <c r="C22" s="74">
        <f>5664/2</f>
        <v>2832</v>
      </c>
      <c r="D22" s="75">
        <f t="shared" si="1"/>
        <v>2832</v>
      </c>
      <c r="E22" s="76"/>
    </row>
    <row r="23" spans="1:6" ht="15.6" x14ac:dyDescent="0.25">
      <c r="A23" s="571">
        <v>2</v>
      </c>
      <c r="B23" s="572" t="s">
        <v>270</v>
      </c>
      <c r="C23" s="573">
        <v>320</v>
      </c>
      <c r="D23" s="75">
        <f t="shared" si="1"/>
        <v>640</v>
      </c>
      <c r="E23" s="76"/>
    </row>
    <row r="24" spans="1:6" ht="15.6" x14ac:dyDescent="0.25">
      <c r="A24" s="571">
        <v>1</v>
      </c>
      <c r="B24" s="572" t="s">
        <v>917</v>
      </c>
      <c r="C24" s="573">
        <v>2356</v>
      </c>
      <c r="D24" s="75">
        <f t="shared" si="1"/>
        <v>2356</v>
      </c>
      <c r="E24" s="76"/>
    </row>
    <row r="25" spans="1:6" ht="45" x14ac:dyDescent="0.25">
      <c r="A25" s="571">
        <v>1</v>
      </c>
      <c r="B25" s="572" t="s">
        <v>918</v>
      </c>
      <c r="C25" s="573">
        <v>4670</v>
      </c>
      <c r="D25" s="75">
        <f t="shared" si="1"/>
        <v>4670</v>
      </c>
    </row>
    <row r="26" spans="1:6" ht="45" x14ac:dyDescent="0.25">
      <c r="A26" s="72">
        <v>1</v>
      </c>
      <c r="B26" s="73" t="s">
        <v>916</v>
      </c>
      <c r="C26" s="74">
        <f>100*110</f>
        <v>11000</v>
      </c>
      <c r="D26" s="75">
        <f>A26*C26</f>
        <v>11000</v>
      </c>
      <c r="E26" s="96"/>
    </row>
    <row r="27" spans="1:6" ht="18.75" customHeight="1" x14ac:dyDescent="0.25">
      <c r="A27" s="72"/>
      <c r="B27" s="75"/>
      <c r="C27" s="75"/>
      <c r="D27" s="75"/>
      <c r="E27" s="96"/>
      <c r="F27" s="96"/>
    </row>
    <row r="28" spans="1:6" ht="15.6" x14ac:dyDescent="0.25">
      <c r="A28" s="89"/>
      <c r="B28" s="90"/>
      <c r="C28" s="578" t="s">
        <v>38</v>
      </c>
      <c r="D28" s="418">
        <f>SUM(D16:D26)</f>
        <v>92496.5</v>
      </c>
      <c r="F28" s="96"/>
    </row>
    <row r="29" spans="1:6" s="96" customFormat="1" ht="15.6" x14ac:dyDescent="0.3">
      <c r="A29" s="92"/>
      <c r="B29" s="90"/>
      <c r="C29" s="305" t="s">
        <v>39</v>
      </c>
      <c r="D29" s="75">
        <f>D28*0.16</f>
        <v>14799.44</v>
      </c>
      <c r="E29" s="52"/>
      <c r="F29" s="52"/>
    </row>
    <row r="30" spans="1:6" s="96" customFormat="1" ht="15.75" customHeight="1" thickBot="1" x14ac:dyDescent="0.35">
      <c r="A30" s="92"/>
      <c r="B30" s="90"/>
      <c r="C30" s="306" t="s">
        <v>40</v>
      </c>
      <c r="D30" s="95">
        <f>D28+D29</f>
        <v>107295.94</v>
      </c>
      <c r="E30" s="52"/>
      <c r="F30" s="52"/>
    </row>
    <row r="31" spans="1:6" ht="13.5" customHeight="1" thickBot="1" x14ac:dyDescent="0.3">
      <c r="A31" s="92"/>
      <c r="B31" s="1023" t="s">
        <v>920</v>
      </c>
      <c r="C31" s="1024"/>
      <c r="D31" s="1025"/>
    </row>
    <row r="32" spans="1:6" ht="13.5" customHeight="1" x14ac:dyDescent="0.25">
      <c r="B32" s="97" t="s">
        <v>9</v>
      </c>
      <c r="C32" s="98"/>
      <c r="D32" s="99"/>
    </row>
    <row r="33" spans="1:4" ht="13.5" customHeight="1" x14ac:dyDescent="0.25">
      <c r="B33" s="124" t="s">
        <v>843</v>
      </c>
      <c r="C33" s="76"/>
      <c r="D33" s="96"/>
    </row>
    <row r="34" spans="1:4" ht="13.8" x14ac:dyDescent="0.25">
      <c r="A34" s="426"/>
      <c r="B34" s="103" t="s">
        <v>11</v>
      </c>
      <c r="C34" s="96"/>
      <c r="D34" s="96"/>
    </row>
    <row r="35" spans="1:4" ht="15" x14ac:dyDescent="0.25">
      <c r="A35" s="427"/>
      <c r="B35" s="123" t="s">
        <v>12</v>
      </c>
      <c r="C35" s="52"/>
      <c r="D35" s="52"/>
    </row>
    <row r="36" spans="1:4" ht="13.5" customHeight="1" x14ac:dyDescent="0.25">
      <c r="A36" s="427"/>
      <c r="B36" s="123" t="s">
        <v>13</v>
      </c>
      <c r="C36" s="52"/>
      <c r="D36" s="52"/>
    </row>
    <row r="37" spans="1:4" ht="13.5" customHeight="1" x14ac:dyDescent="0.25">
      <c r="A37" s="427"/>
      <c r="B37" s="123" t="s">
        <v>14</v>
      </c>
      <c r="C37" s="52"/>
      <c r="D37" s="52"/>
    </row>
    <row r="38" spans="1:4" ht="13.5" customHeight="1" x14ac:dyDescent="0.25">
      <c r="A38" s="383"/>
      <c r="B38" s="103" t="s">
        <v>15</v>
      </c>
      <c r="C38" s="52"/>
      <c r="D38" s="52"/>
    </row>
    <row r="39" spans="1:4" ht="13.5" customHeight="1" x14ac:dyDescent="0.25">
      <c r="A39" s="383"/>
      <c r="B39" s="295" t="s">
        <v>42</v>
      </c>
      <c r="C39" s="104"/>
      <c r="D39" s="105"/>
    </row>
    <row r="40" spans="1:4" ht="27.6" x14ac:dyDescent="0.25">
      <c r="A40" s="390"/>
      <c r="B40" s="295" t="s">
        <v>43</v>
      </c>
      <c r="C40" s="104"/>
      <c r="D40" s="105"/>
    </row>
    <row r="41" spans="1:4" ht="15" x14ac:dyDescent="0.25">
      <c r="A41" s="390"/>
      <c r="B41" s="103" t="s">
        <v>18</v>
      </c>
      <c r="C41" s="107"/>
      <c r="D41" s="105"/>
    </row>
    <row r="42" spans="1:4" ht="15" x14ac:dyDescent="0.25">
      <c r="A42" s="390"/>
      <c r="B42" s="313" t="s">
        <v>808</v>
      </c>
      <c r="C42" s="107"/>
      <c r="D42" s="105"/>
    </row>
    <row r="43" spans="1:4" ht="15" x14ac:dyDescent="0.25">
      <c r="A43" s="390"/>
      <c r="B43" s="297" t="s">
        <v>20</v>
      </c>
      <c r="C43" s="107"/>
      <c r="D43" s="105"/>
    </row>
    <row r="44" spans="1:4" ht="13.8" x14ac:dyDescent="0.25">
      <c r="A44" s="392"/>
      <c r="B44" s="103" t="s">
        <v>21</v>
      </c>
      <c r="C44" s="107"/>
      <c r="D44" s="105"/>
    </row>
    <row r="45" spans="1:4" ht="15" x14ac:dyDescent="0.25">
      <c r="A45" s="390"/>
      <c r="B45" s="122" t="s">
        <v>262</v>
      </c>
      <c r="C45" s="107"/>
      <c r="D45" s="107"/>
    </row>
    <row r="46" spans="1:4" ht="15" x14ac:dyDescent="0.25">
      <c r="A46" s="390"/>
      <c r="B46" s="123" t="s">
        <v>44</v>
      </c>
      <c r="C46" s="107"/>
      <c r="D46" s="107"/>
    </row>
    <row r="47" spans="1:4" ht="15" x14ac:dyDescent="0.25">
      <c r="A47" s="390"/>
      <c r="B47" s="123" t="s">
        <v>45</v>
      </c>
      <c r="C47" s="109"/>
      <c r="D47" s="110"/>
    </row>
    <row r="48" spans="1:4" ht="33.6" x14ac:dyDescent="0.25">
      <c r="A48" s="390"/>
      <c r="B48" s="314" t="s">
        <v>23</v>
      </c>
      <c r="C48" s="109"/>
      <c r="D48" s="110"/>
    </row>
    <row r="49" spans="1:4" ht="16.8" x14ac:dyDescent="0.4">
      <c r="A49" s="106"/>
      <c r="B49" s="111"/>
      <c r="C49" s="109"/>
      <c r="D49" s="109"/>
    </row>
    <row r="50" spans="1:4" ht="13.8" x14ac:dyDescent="0.25">
      <c r="A50" s="108"/>
      <c r="B50" s="112"/>
      <c r="C50" s="109"/>
      <c r="D50" s="109"/>
    </row>
    <row r="51" spans="1:4" ht="15" x14ac:dyDescent="0.25">
      <c r="A51" s="106"/>
      <c r="B51" s="112"/>
      <c r="C51" s="107"/>
      <c r="D51" s="105"/>
    </row>
    <row r="52" spans="1:4" ht="15" x14ac:dyDescent="0.25">
      <c r="A52" s="106"/>
      <c r="B52" s="113"/>
      <c r="C52" s="109"/>
      <c r="D52" s="110"/>
    </row>
    <row r="53" spans="1:4" ht="16.2" x14ac:dyDescent="0.35">
      <c r="A53" s="106"/>
      <c r="B53" s="114"/>
      <c r="C53" s="109"/>
      <c r="D53" s="110"/>
    </row>
    <row r="54" spans="1:4" ht="13.8" x14ac:dyDescent="0.25">
      <c r="A54" s="115" t="s">
        <v>0</v>
      </c>
      <c r="C54" s="109"/>
      <c r="D54" s="110"/>
    </row>
    <row r="55" spans="1:4" ht="13.8" x14ac:dyDescent="0.25">
      <c r="A55" s="116"/>
      <c r="C55" s="109"/>
      <c r="D55" s="109"/>
    </row>
    <row r="56" spans="1:4" ht="13.8" x14ac:dyDescent="0.25">
      <c r="A56" s="117"/>
      <c r="C56" s="118"/>
      <c r="D56" s="118"/>
    </row>
    <row r="57" spans="1:4" x14ac:dyDescent="0.25">
      <c r="A57" s="117"/>
      <c r="C57" s="112"/>
      <c r="D57" s="52"/>
    </row>
    <row r="58" spans="1:4" x14ac:dyDescent="0.25">
      <c r="A58" s="119"/>
      <c r="C58" s="112"/>
      <c r="D58" s="52"/>
    </row>
    <row r="59" spans="1:4" x14ac:dyDescent="0.25">
      <c r="A59" s="120" t="s">
        <v>0</v>
      </c>
      <c r="C59" s="112"/>
      <c r="D59" s="52"/>
    </row>
    <row r="60" spans="1:4" ht="15.75" customHeight="1" x14ac:dyDescent="0.25">
      <c r="A60" s="52" t="s">
        <v>0</v>
      </c>
      <c r="C60" s="112"/>
      <c r="D60" s="112"/>
    </row>
    <row r="64" spans="1:4" ht="16.5" customHeight="1" x14ac:dyDescent="0.25"/>
    <row r="68" ht="24" customHeight="1" x14ac:dyDescent="0.25"/>
    <row r="69" ht="24" customHeight="1" x14ac:dyDescent="0.25"/>
  </sheetData>
  <mergeCells count="3">
    <mergeCell ref="A4:D4"/>
    <mergeCell ref="A13:D13"/>
    <mergeCell ref="B31:D31"/>
  </mergeCells>
  <pageMargins left="0.25" right="0.25" top="0.75" bottom="0.75" header="0.3" footer="0.3"/>
  <pageSetup scale="60" fitToHeight="0"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E970-78BF-4EF1-AA01-7A3A90C9287C}">
  <sheetPr>
    <pageSetUpPr fitToPage="1"/>
  </sheetPr>
  <dimension ref="A1:E69"/>
  <sheetViews>
    <sheetView topLeftCell="A5" zoomScaleNormal="100" workbookViewId="0">
      <selection activeCell="B18" sqref="B18"/>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832</v>
      </c>
      <c r="B8" s="10"/>
      <c r="C8" s="58"/>
      <c r="D8" s="58"/>
    </row>
    <row r="9" spans="1:5" s="55" customFormat="1" ht="16.8" x14ac:dyDescent="0.4">
      <c r="A9" s="57" t="s">
        <v>833</v>
      </c>
      <c r="B9" s="10"/>
      <c r="C9" s="58"/>
      <c r="D9" s="58"/>
    </row>
    <row r="10" spans="1:5" s="55" customFormat="1" ht="16.8" x14ac:dyDescent="0.4">
      <c r="A10" s="57" t="s">
        <v>834</v>
      </c>
      <c r="B10" s="10"/>
      <c r="C10" s="58"/>
      <c r="D10" s="58"/>
    </row>
    <row r="11" spans="1:5" s="55" customFormat="1" ht="16.8" x14ac:dyDescent="0.4">
      <c r="A11" s="57" t="s">
        <v>835</v>
      </c>
      <c r="B11" s="10"/>
      <c r="C11" s="59"/>
      <c r="D11" s="58"/>
    </row>
    <row r="12" spans="1:5" s="55" customFormat="1" ht="15" customHeight="1" x14ac:dyDescent="0.4">
      <c r="A12" s="60" t="s">
        <v>836</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830</v>
      </c>
      <c r="C16" s="74">
        <v>8500</v>
      </c>
      <c r="D16" s="75">
        <f>A16*C16</f>
        <v>8500</v>
      </c>
      <c r="E16" s="76"/>
    </row>
    <row r="17" spans="1:5" ht="30" x14ac:dyDescent="0.25">
      <c r="A17" s="72">
        <v>1</v>
      </c>
      <c r="B17" s="574" t="s">
        <v>831</v>
      </c>
      <c r="C17" s="74">
        <v>6500</v>
      </c>
      <c r="D17" s="75">
        <f>A17*C17</f>
        <v>6500</v>
      </c>
      <c r="E17" s="76"/>
    </row>
    <row r="18" spans="1:5" ht="15.6" x14ac:dyDescent="0.25">
      <c r="A18" s="72"/>
      <c r="B18" s="75"/>
      <c r="C18" s="75"/>
      <c r="D18" s="75"/>
      <c r="E18" s="76"/>
    </row>
    <row r="19" spans="1:5" ht="15.6" x14ac:dyDescent="0.25">
      <c r="A19" s="89"/>
      <c r="B19" s="90"/>
      <c r="C19" s="304" t="s">
        <v>38</v>
      </c>
      <c r="D19" s="75">
        <f>SUM(D16:D17)</f>
        <v>15000</v>
      </c>
      <c r="E19" s="76"/>
    </row>
    <row r="20" spans="1:5" ht="15.6" x14ac:dyDescent="0.3">
      <c r="A20" s="92"/>
      <c r="B20" s="90"/>
      <c r="C20" s="305" t="s">
        <v>39</v>
      </c>
      <c r="D20" s="75">
        <f>D19*0.16</f>
        <v>2400</v>
      </c>
      <c r="E20" s="76"/>
    </row>
    <row r="21" spans="1:5" ht="16.2" thickBot="1" x14ac:dyDescent="0.35">
      <c r="A21" s="92"/>
      <c r="B21" s="90"/>
      <c r="C21" s="305" t="s">
        <v>40</v>
      </c>
      <c r="D21" s="75">
        <f>D19+D20</f>
        <v>17400</v>
      </c>
      <c r="E21" s="76"/>
    </row>
    <row r="22" spans="1:5" ht="16.2" thickBot="1" x14ac:dyDescent="0.3">
      <c r="A22" s="92"/>
      <c r="B22" s="1023"/>
      <c r="C22" s="1084"/>
      <c r="D22" s="1085"/>
      <c r="E22" s="76"/>
    </row>
    <row r="23" spans="1:5" ht="19.5" customHeight="1" x14ac:dyDescent="0.25">
      <c r="B23" s="97" t="s">
        <v>9</v>
      </c>
      <c r="C23" s="98"/>
      <c r="D23" s="99"/>
      <c r="E23" s="76"/>
    </row>
    <row r="24" spans="1:5" ht="34.799999999999997" x14ac:dyDescent="0.25">
      <c r="B24" s="124" t="s">
        <v>41</v>
      </c>
      <c r="C24" s="76"/>
      <c r="D24" s="96"/>
    </row>
    <row r="25" spans="1:5" ht="18.75" customHeight="1" x14ac:dyDescent="0.25">
      <c r="A25" s="96"/>
      <c r="B25" s="100" t="s">
        <v>11</v>
      </c>
      <c r="C25" s="96"/>
      <c r="D25" s="96"/>
      <c r="E25" s="96"/>
    </row>
    <row r="26" spans="1:5" ht="15" x14ac:dyDescent="0.25">
      <c r="A26" s="101"/>
      <c r="B26" s="123" t="s">
        <v>12</v>
      </c>
      <c r="C26" s="52"/>
      <c r="D26" s="52"/>
      <c r="E26" s="96"/>
    </row>
    <row r="27" spans="1:5" ht="15" x14ac:dyDescent="0.25">
      <c r="A27" s="101"/>
      <c r="B27" s="123" t="s">
        <v>13</v>
      </c>
      <c r="C27" s="52"/>
      <c r="D27" s="52"/>
    </row>
    <row r="28" spans="1:5" ht="15" x14ac:dyDescent="0.25">
      <c r="A28" s="101"/>
      <c r="B28" s="123" t="s">
        <v>14</v>
      </c>
      <c r="C28" s="52"/>
      <c r="D28" s="52"/>
    </row>
    <row r="29" spans="1:5" s="96" customFormat="1" ht="13.8" x14ac:dyDescent="0.25">
      <c r="A29" s="102"/>
      <c r="B29" s="103" t="s">
        <v>15</v>
      </c>
      <c r="C29" s="52"/>
      <c r="D29" s="52"/>
      <c r="E29" s="52"/>
    </row>
    <row r="30" spans="1:5" s="96" customFormat="1" ht="15.75" customHeight="1" x14ac:dyDescent="0.25">
      <c r="A30" s="102"/>
      <c r="B30" s="295" t="s">
        <v>42</v>
      </c>
      <c r="C30" s="104"/>
      <c r="D30" s="105"/>
      <c r="E30" s="52"/>
    </row>
    <row r="31" spans="1:5" ht="13.5" customHeight="1" x14ac:dyDescent="0.25">
      <c r="A31" s="106"/>
      <c r="B31" s="295" t="s">
        <v>43</v>
      </c>
      <c r="C31" s="104"/>
      <c r="D31" s="105"/>
    </row>
    <row r="32" spans="1:5" ht="13.5" customHeight="1" x14ac:dyDescent="0.25">
      <c r="A32" s="106"/>
      <c r="B32" s="103" t="s">
        <v>18</v>
      </c>
      <c r="C32" s="107"/>
      <c r="D32" s="105"/>
    </row>
    <row r="33" spans="1:4" ht="13.5" customHeight="1" x14ac:dyDescent="0.25">
      <c r="A33" s="106"/>
      <c r="B33" s="313" t="s">
        <v>808</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262</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E950-7A8A-4AEB-8354-C922AC545026}">
  <sheetPr>
    <pageSetUpPr fitToPage="1"/>
  </sheetPr>
  <dimension ref="A1:E69"/>
  <sheetViews>
    <sheetView topLeftCell="A6" zoomScaleNormal="100" workbookViewId="0">
      <selection activeCell="B26" sqref="B2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832</v>
      </c>
      <c r="B8" s="10"/>
      <c r="C8" s="58"/>
      <c r="D8" s="58"/>
    </row>
    <row r="9" spans="1:5" s="55" customFormat="1" ht="16.8" x14ac:dyDescent="0.4">
      <c r="A9" s="57" t="s">
        <v>833</v>
      </c>
      <c r="B9" s="10"/>
      <c r="C9" s="58"/>
      <c r="D9" s="58"/>
    </row>
    <row r="10" spans="1:5" s="55" customFormat="1" ht="16.8" x14ac:dyDescent="0.4">
      <c r="A10" s="57" t="s">
        <v>834</v>
      </c>
      <c r="B10" s="10"/>
      <c r="C10" s="58"/>
      <c r="D10" s="58"/>
    </row>
    <row r="11" spans="1:5" s="55" customFormat="1" ht="16.8" x14ac:dyDescent="0.4">
      <c r="A11" s="57" t="s">
        <v>835</v>
      </c>
      <c r="B11" s="10"/>
      <c r="C11" s="59"/>
      <c r="D11" s="58"/>
    </row>
    <row r="12" spans="1:5" s="55" customFormat="1" ht="15" customHeight="1" x14ac:dyDescent="0.4">
      <c r="A12" s="60" t="s">
        <v>922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830</v>
      </c>
      <c r="C16" s="74">
        <v>8500</v>
      </c>
      <c r="D16" s="75">
        <f>A16*C16</f>
        <v>8500</v>
      </c>
      <c r="E16" s="76"/>
    </row>
    <row r="17" spans="1:5" ht="15.6" x14ac:dyDescent="0.25">
      <c r="A17" s="72">
        <v>1</v>
      </c>
      <c r="B17" s="73" t="s">
        <v>923</v>
      </c>
      <c r="C17" s="74">
        <f>((449+338)*20.7)*1.3</f>
        <v>21178.170000000002</v>
      </c>
      <c r="D17" s="75">
        <f>A17*C17</f>
        <v>21178.170000000002</v>
      </c>
      <c r="E17" s="76"/>
    </row>
    <row r="18" spans="1:5" ht="30" x14ac:dyDescent="0.25">
      <c r="A18" s="72">
        <v>1</v>
      </c>
      <c r="B18" s="73" t="s">
        <v>831</v>
      </c>
      <c r="C18" s="74">
        <v>6500</v>
      </c>
      <c r="D18" s="75">
        <f>A18*C18</f>
        <v>6500</v>
      </c>
      <c r="E18" s="76"/>
    </row>
    <row r="19" spans="1:5" ht="30" x14ac:dyDescent="0.25">
      <c r="A19" s="72">
        <v>1</v>
      </c>
      <c r="B19" s="73" t="s">
        <v>924</v>
      </c>
      <c r="C19" s="74">
        <v>3600</v>
      </c>
      <c r="D19" s="75">
        <f>A19*C19</f>
        <v>3600</v>
      </c>
      <c r="E19" s="76"/>
    </row>
    <row r="20" spans="1:5" ht="45" x14ac:dyDescent="0.25">
      <c r="A20" s="72">
        <v>1</v>
      </c>
      <c r="B20" s="73" t="s">
        <v>921</v>
      </c>
      <c r="C20" s="74">
        <v>8500</v>
      </c>
      <c r="D20" s="75">
        <f>A20*C20</f>
        <v>8500</v>
      </c>
      <c r="E20" s="76"/>
    </row>
    <row r="21" spans="1:5" ht="15.6" x14ac:dyDescent="0.25">
      <c r="A21" s="72"/>
      <c r="B21" s="75"/>
      <c r="C21" s="75"/>
      <c r="D21" s="75"/>
      <c r="E21" s="76"/>
    </row>
    <row r="22" spans="1:5" ht="15.6" x14ac:dyDescent="0.25">
      <c r="A22" s="89"/>
      <c r="B22" s="90"/>
      <c r="C22" s="304" t="s">
        <v>38</v>
      </c>
      <c r="D22" s="75">
        <f>SUM(D16:D20)</f>
        <v>48278.17</v>
      </c>
      <c r="E22" s="76"/>
    </row>
    <row r="23" spans="1:5" ht="19.5" customHeight="1" x14ac:dyDescent="0.3">
      <c r="A23" s="92"/>
      <c r="B23" s="90"/>
      <c r="C23" s="305" t="s">
        <v>39</v>
      </c>
      <c r="D23" s="75">
        <f>D22*0.16</f>
        <v>7724.5072</v>
      </c>
      <c r="E23" s="76"/>
    </row>
    <row r="24" spans="1:5" ht="16.2" thickBot="1" x14ac:dyDescent="0.35">
      <c r="A24" s="92"/>
      <c r="B24" s="90"/>
      <c r="C24" s="306" t="s">
        <v>40</v>
      </c>
      <c r="D24" s="95">
        <f>D22+D23</f>
        <v>56002.677199999998</v>
      </c>
    </row>
    <row r="25" spans="1:5" ht="18.75" customHeight="1" thickBot="1" x14ac:dyDescent="0.3">
      <c r="A25" s="92"/>
      <c r="B25" s="1023" t="s">
        <v>925</v>
      </c>
      <c r="C25" s="1024"/>
      <c r="D25" s="1025"/>
      <c r="E25" s="96"/>
    </row>
    <row r="26" spans="1:5" ht="13.8" x14ac:dyDescent="0.25">
      <c r="B26" s="97" t="s">
        <v>9</v>
      </c>
      <c r="C26" s="98"/>
      <c r="D26" s="99"/>
      <c r="E26" s="96"/>
    </row>
    <row r="27" spans="1:5" ht="34.799999999999997" x14ac:dyDescent="0.25">
      <c r="B27" s="124" t="s">
        <v>41</v>
      </c>
      <c r="C27" s="76"/>
      <c r="D27" s="96"/>
    </row>
    <row r="28" spans="1:5" ht="13.8" x14ac:dyDescent="0.25">
      <c r="A28" s="96"/>
      <c r="B28" s="100" t="s">
        <v>11</v>
      </c>
      <c r="C28" s="96"/>
      <c r="D28" s="96"/>
    </row>
    <row r="29" spans="1:5" s="96" customFormat="1" ht="15" x14ac:dyDescent="0.25">
      <c r="A29" s="101"/>
      <c r="B29" s="123" t="s">
        <v>12</v>
      </c>
      <c r="C29" s="52"/>
      <c r="D29" s="52"/>
      <c r="E29" s="52"/>
    </row>
    <row r="30" spans="1:5" s="96" customFormat="1" ht="15.75" customHeight="1" x14ac:dyDescent="0.25">
      <c r="A30" s="101"/>
      <c r="B30" s="123" t="s">
        <v>13</v>
      </c>
      <c r="C30" s="52"/>
      <c r="D30" s="52"/>
      <c r="E30" s="52"/>
    </row>
    <row r="31" spans="1:5" ht="13.5" customHeight="1" x14ac:dyDescent="0.25">
      <c r="A31" s="101"/>
      <c r="B31" s="123" t="s">
        <v>14</v>
      </c>
      <c r="C31" s="52"/>
      <c r="D31" s="52"/>
    </row>
    <row r="32" spans="1:5" ht="13.5" customHeight="1" x14ac:dyDescent="0.25">
      <c r="A32" s="102"/>
      <c r="B32" s="103" t="s">
        <v>15</v>
      </c>
      <c r="C32" s="52"/>
      <c r="D32" s="52"/>
    </row>
    <row r="33" spans="1:4" ht="13.5" customHeight="1" x14ac:dyDescent="0.25">
      <c r="A33" s="102"/>
      <c r="B33" s="295" t="s">
        <v>42</v>
      </c>
      <c r="C33" s="104"/>
      <c r="D33" s="105"/>
    </row>
    <row r="34" spans="1:4" ht="27.6" x14ac:dyDescent="0.25">
      <c r="A34" s="106"/>
      <c r="B34" s="295" t="s">
        <v>43</v>
      </c>
      <c r="C34" s="104"/>
      <c r="D34" s="105"/>
    </row>
    <row r="35" spans="1:4" ht="15" x14ac:dyDescent="0.25">
      <c r="A35" s="106"/>
      <c r="B35" s="103" t="s">
        <v>18</v>
      </c>
      <c r="C35" s="107"/>
      <c r="D35" s="105"/>
    </row>
    <row r="36" spans="1:4" ht="13.5" customHeight="1" x14ac:dyDescent="0.25">
      <c r="A36" s="106"/>
      <c r="B36" s="313" t="s">
        <v>808</v>
      </c>
      <c r="C36" s="107"/>
      <c r="D36" s="105"/>
    </row>
    <row r="37" spans="1:4" ht="13.5" customHeight="1" x14ac:dyDescent="0.25">
      <c r="A37" s="106"/>
      <c r="B37" s="297" t="s">
        <v>20</v>
      </c>
      <c r="C37" s="107"/>
      <c r="D37" s="105"/>
    </row>
    <row r="38" spans="1:4" ht="13.5" customHeight="1" x14ac:dyDescent="0.25">
      <c r="A38" s="108"/>
      <c r="B38" s="103" t="s">
        <v>21</v>
      </c>
      <c r="C38" s="107"/>
      <c r="D38" s="105"/>
    </row>
    <row r="39" spans="1:4" ht="13.5" customHeight="1" x14ac:dyDescent="0.25">
      <c r="A39" s="106"/>
      <c r="B39" s="122" t="s">
        <v>262</v>
      </c>
      <c r="C39" s="107"/>
      <c r="D39" s="107"/>
    </row>
    <row r="40" spans="1:4" ht="13.5" customHeight="1" x14ac:dyDescent="0.25">
      <c r="A40" s="106"/>
      <c r="B40" s="123" t="s">
        <v>44</v>
      </c>
      <c r="C40" s="107"/>
      <c r="D40" s="107"/>
    </row>
    <row r="41" spans="1:4" ht="15" x14ac:dyDescent="0.25">
      <c r="A41" s="106"/>
      <c r="B41" s="123" t="s">
        <v>45</v>
      </c>
      <c r="C41" s="109"/>
      <c r="D41" s="110"/>
    </row>
    <row r="42" spans="1:4" ht="33.6" x14ac:dyDescent="0.25">
      <c r="A42" s="106"/>
      <c r="B42" s="314"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5:D25"/>
  </mergeCells>
  <pageMargins left="0.25" right="0.25" top="0.75" bottom="0.75" header="0.3" footer="0.3"/>
  <pageSetup scale="64" fitToHeight="0"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3B54-D436-4B81-B6E9-FB47390CF8F7}">
  <sheetPr>
    <pageSetUpPr fitToPage="1"/>
  </sheetPr>
  <dimension ref="A1:E69"/>
  <sheetViews>
    <sheetView zoomScaleNormal="100" workbookViewId="0">
      <selection activeCell="B35" sqref="B35"/>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929</v>
      </c>
      <c r="B8" s="10"/>
      <c r="C8" s="58"/>
      <c r="D8" s="58"/>
    </row>
    <row r="9" spans="1:5" s="55" customFormat="1" ht="16.8" x14ac:dyDescent="0.4">
      <c r="A9" s="57" t="s">
        <v>930</v>
      </c>
      <c r="B9" s="10"/>
      <c r="C9" s="58"/>
      <c r="D9" s="58"/>
    </row>
    <row r="10" spans="1:5" s="55" customFormat="1" ht="16.8" x14ac:dyDescent="0.4">
      <c r="A10" s="57" t="s">
        <v>931</v>
      </c>
      <c r="B10" s="10"/>
      <c r="C10" s="58"/>
      <c r="D10" s="58"/>
    </row>
    <row r="11" spans="1:5" s="55" customFormat="1" ht="16.8" x14ac:dyDescent="0.4">
      <c r="A11" s="57" t="s">
        <v>561</v>
      </c>
      <c r="B11" s="10"/>
      <c r="C11" s="59"/>
      <c r="D11" s="58"/>
    </row>
    <row r="12" spans="1:5" s="55" customFormat="1" ht="15" customHeight="1" x14ac:dyDescent="0.4">
      <c r="A12" s="60" t="s">
        <v>922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926</v>
      </c>
      <c r="C16" s="74">
        <v>39816.400000000001</v>
      </c>
      <c r="D16" s="75">
        <f>A16*C16</f>
        <v>39816.400000000001</v>
      </c>
      <c r="E16" s="76"/>
    </row>
    <row r="17" spans="1:5" ht="30" x14ac:dyDescent="0.25">
      <c r="A17" s="72">
        <v>1</v>
      </c>
      <c r="B17" s="73" t="s">
        <v>927</v>
      </c>
      <c r="C17" s="74">
        <v>3879.3</v>
      </c>
      <c r="D17" s="75">
        <f>A17*C17</f>
        <v>3879.3</v>
      </c>
      <c r="E17" s="76"/>
    </row>
    <row r="18" spans="1:5" ht="15.6" x14ac:dyDescent="0.25">
      <c r="A18" s="72"/>
      <c r="B18" s="75"/>
      <c r="C18" s="75"/>
      <c r="D18" s="75"/>
      <c r="E18" s="76"/>
    </row>
    <row r="19" spans="1:5" ht="15.6" x14ac:dyDescent="0.25">
      <c r="A19" s="89"/>
      <c r="B19" s="90"/>
      <c r="C19" s="304" t="s">
        <v>38</v>
      </c>
      <c r="D19" s="75">
        <f>SUM(D16:D17)</f>
        <v>43695.700000000004</v>
      </c>
      <c r="E19" s="76"/>
    </row>
    <row r="20" spans="1:5" ht="15.6" x14ac:dyDescent="0.3">
      <c r="A20" s="92"/>
      <c r="B20" s="90"/>
      <c r="C20" s="305" t="s">
        <v>39</v>
      </c>
      <c r="D20" s="75">
        <f>D19*0.16</f>
        <v>6991.3120000000008</v>
      </c>
      <c r="E20" s="76"/>
    </row>
    <row r="21" spans="1:5" ht="16.2" thickBot="1" x14ac:dyDescent="0.35">
      <c r="A21" s="92"/>
      <c r="B21" s="90"/>
      <c r="C21" s="306" t="s">
        <v>40</v>
      </c>
      <c r="D21" s="95">
        <f>D19+D20</f>
        <v>50687.012000000002</v>
      </c>
    </row>
    <row r="22" spans="1:5" ht="16.2" thickBot="1" x14ac:dyDescent="0.3">
      <c r="A22" s="92"/>
      <c r="B22" s="1023" t="s">
        <v>928</v>
      </c>
      <c r="C22" s="1024"/>
      <c r="D22" s="1025"/>
      <c r="E22" s="96"/>
    </row>
    <row r="23" spans="1:5" ht="19.5" customHeight="1" x14ac:dyDescent="0.25">
      <c r="B23" s="97" t="s">
        <v>9</v>
      </c>
      <c r="C23" s="98"/>
      <c r="D23" s="99"/>
      <c r="E23" s="96"/>
    </row>
    <row r="24" spans="1:5" ht="34.799999999999997" x14ac:dyDescent="0.25">
      <c r="B24" s="124" t="s">
        <v>41</v>
      </c>
      <c r="C24" s="76"/>
      <c r="D24" s="96"/>
    </row>
    <row r="25" spans="1:5" ht="18.75" customHeight="1" x14ac:dyDescent="0.25">
      <c r="A25" s="96"/>
      <c r="B25" s="100" t="s">
        <v>11</v>
      </c>
      <c r="C25" s="96"/>
      <c r="D25" s="96"/>
    </row>
    <row r="26" spans="1:5" ht="15" x14ac:dyDescent="0.25">
      <c r="A26" s="101"/>
      <c r="B26" s="123" t="s">
        <v>12</v>
      </c>
      <c r="C26" s="52"/>
      <c r="D26" s="52"/>
    </row>
    <row r="27" spans="1:5" ht="15" x14ac:dyDescent="0.25">
      <c r="A27" s="101"/>
      <c r="B27" s="123" t="s">
        <v>13</v>
      </c>
      <c r="C27" s="52"/>
      <c r="D27" s="52"/>
    </row>
    <row r="28" spans="1:5" ht="15" x14ac:dyDescent="0.25">
      <c r="A28" s="101"/>
      <c r="B28" s="123" t="s">
        <v>14</v>
      </c>
      <c r="C28" s="52"/>
      <c r="D28" s="52"/>
    </row>
    <row r="29" spans="1:5" s="96" customFormat="1" ht="13.8" x14ac:dyDescent="0.25">
      <c r="A29" s="102"/>
      <c r="B29" s="103" t="s">
        <v>15</v>
      </c>
      <c r="C29" s="52"/>
      <c r="D29" s="52"/>
      <c r="E29" s="52"/>
    </row>
    <row r="30" spans="1:5" s="96" customFormat="1" ht="15.75" customHeight="1" x14ac:dyDescent="0.25">
      <c r="A30" s="102"/>
      <c r="B30" s="295" t="s">
        <v>42</v>
      </c>
      <c r="C30" s="104"/>
      <c r="D30" s="105"/>
      <c r="E30" s="52"/>
    </row>
    <row r="31" spans="1:5" ht="13.5" customHeight="1" x14ac:dyDescent="0.25">
      <c r="A31" s="106"/>
      <c r="B31" s="295" t="s">
        <v>43</v>
      </c>
      <c r="C31" s="104"/>
      <c r="D31" s="105"/>
    </row>
    <row r="32" spans="1:5" ht="13.5" customHeight="1" x14ac:dyDescent="0.25">
      <c r="A32" s="106"/>
      <c r="B32" s="103" t="s">
        <v>18</v>
      </c>
      <c r="C32" s="107"/>
      <c r="D32" s="105"/>
    </row>
    <row r="33" spans="1:4" ht="13.5" customHeight="1" x14ac:dyDescent="0.25">
      <c r="A33" s="106"/>
      <c r="B33" s="313" t="s">
        <v>808</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262</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B6B0-0DA2-482E-920F-1CA4250F9692}">
  <sheetPr>
    <tabColor theme="4" tint="-0.249977111117893"/>
    <pageSetUpPr fitToPage="1"/>
  </sheetPr>
  <dimension ref="A1:G43"/>
  <sheetViews>
    <sheetView topLeftCell="A10" zoomScaleNormal="100" workbookViewId="0">
      <selection activeCell="D20" sqref="D20"/>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416</v>
      </c>
      <c r="B7" s="228"/>
      <c r="C7" s="229"/>
      <c r="D7" s="229"/>
      <c r="E7" s="10"/>
      <c r="F7" s="10"/>
      <c r="G7" s="10"/>
    </row>
    <row r="8" spans="1:7" s="4" customFormat="1" ht="19.2" x14ac:dyDescent="0.45">
      <c r="A8" s="227" t="s">
        <v>417</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419</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480" t="s">
        <v>922</v>
      </c>
      <c r="B13" s="481"/>
      <c r="C13" s="232"/>
      <c r="D13" s="482"/>
      <c r="E13" s="17"/>
      <c r="F13" s="17"/>
    </row>
    <row r="14" spans="1:7" s="4" customFormat="1" ht="16.8" x14ac:dyDescent="0.4">
      <c r="A14" s="419"/>
      <c r="B14" s="420" t="s">
        <v>7</v>
      </c>
      <c r="C14" s="421"/>
      <c r="D14" s="421"/>
      <c r="E14" s="147"/>
      <c r="F14" s="1"/>
    </row>
    <row r="15" spans="1:7" s="17" customFormat="1" ht="30" x14ac:dyDescent="0.25">
      <c r="A15" s="422">
        <v>10</v>
      </c>
      <c r="B15" s="423" t="s">
        <v>932</v>
      </c>
      <c r="C15" s="424">
        <v>2543.1</v>
      </c>
      <c r="D15" s="425">
        <f t="shared" ref="D15:D20" si="0">A15*C15</f>
        <v>25431</v>
      </c>
      <c r="E15" s="25"/>
      <c r="F15" s="26"/>
    </row>
    <row r="16" spans="1:7" ht="30" x14ac:dyDescent="0.25">
      <c r="A16" s="72">
        <v>1</v>
      </c>
      <c r="B16" s="73" t="s">
        <v>421</v>
      </c>
      <c r="C16" s="74">
        <v>5879.3</v>
      </c>
      <c r="D16" s="75">
        <f t="shared" si="0"/>
        <v>5879.3</v>
      </c>
      <c r="E16" s="147"/>
      <c r="F16" s="26"/>
    </row>
    <row r="17" spans="1:6" s="26" customFormat="1" ht="30" x14ac:dyDescent="0.25">
      <c r="A17" s="72">
        <v>1</v>
      </c>
      <c r="B17" s="73" t="s">
        <v>424</v>
      </c>
      <c r="C17" s="74">
        <v>2327.6</v>
      </c>
      <c r="D17" s="75">
        <f t="shared" si="0"/>
        <v>2327.6</v>
      </c>
      <c r="E17" s="147"/>
    </row>
    <row r="18" spans="1:6" ht="30" x14ac:dyDescent="0.25">
      <c r="A18" s="422">
        <v>10</v>
      </c>
      <c r="B18" s="423" t="s">
        <v>933</v>
      </c>
      <c r="C18" s="424">
        <v>1017.24</v>
      </c>
      <c r="D18" s="425">
        <f t="shared" si="0"/>
        <v>10172.4</v>
      </c>
      <c r="E18" s="147"/>
      <c r="F18" s="26"/>
    </row>
    <row r="19" spans="1:6" ht="30" x14ac:dyDescent="0.25">
      <c r="A19" s="72">
        <v>1</v>
      </c>
      <c r="B19" s="73" t="s">
        <v>421</v>
      </c>
      <c r="C19" s="74">
        <v>3534.5</v>
      </c>
      <c r="D19" s="75">
        <f t="shared" si="0"/>
        <v>3534.5</v>
      </c>
      <c r="E19" s="147"/>
      <c r="F19" s="26"/>
    </row>
    <row r="20" spans="1:6" ht="30" x14ac:dyDescent="0.25">
      <c r="A20" s="72">
        <v>1</v>
      </c>
      <c r="B20" s="73" t="s">
        <v>8</v>
      </c>
      <c r="C20" s="74">
        <v>1551.7</v>
      </c>
      <c r="D20" s="75">
        <f t="shared" si="0"/>
        <v>1551.7</v>
      </c>
      <c r="E20" s="147"/>
    </row>
    <row r="21" spans="1:6" ht="15.6" x14ac:dyDescent="0.25">
      <c r="A21" s="89"/>
      <c r="B21" s="90"/>
      <c r="C21" s="91" t="s">
        <v>38</v>
      </c>
      <c r="D21" s="75">
        <f>SUM(D15:D20)</f>
        <v>48896.5</v>
      </c>
    </row>
    <row r="22" spans="1:6" ht="15.6" x14ac:dyDescent="0.3">
      <c r="A22" s="92"/>
      <c r="B22" s="90"/>
      <c r="C22" s="93" t="s">
        <v>39</v>
      </c>
      <c r="D22" s="75">
        <f>D21*0.16</f>
        <v>7823.4400000000005</v>
      </c>
    </row>
    <row r="23" spans="1:6" ht="16.2" thickBot="1" x14ac:dyDescent="0.35">
      <c r="A23" s="92"/>
      <c r="B23" s="90"/>
      <c r="C23" s="93" t="s">
        <v>40</v>
      </c>
      <c r="D23" s="75">
        <f>D21+D22</f>
        <v>56719.94</v>
      </c>
    </row>
    <row r="24" spans="1:6" ht="16.2" thickBot="1" x14ac:dyDescent="0.3">
      <c r="A24" s="92"/>
      <c r="B24" s="1023" t="s">
        <v>825</v>
      </c>
      <c r="C24" s="1084"/>
      <c r="D24" s="1085"/>
    </row>
    <row r="25" spans="1:6" ht="15" x14ac:dyDescent="0.25">
      <c r="A25" s="34"/>
      <c r="B25" s="35" t="s">
        <v>11</v>
      </c>
      <c r="C25" s="1"/>
      <c r="D25" s="1"/>
    </row>
    <row r="26" spans="1:6" ht="15" x14ac:dyDescent="0.25">
      <c r="A26" s="34"/>
      <c r="B26" s="408" t="s">
        <v>428</v>
      </c>
      <c r="C26" s="1"/>
      <c r="D26" s="1"/>
    </row>
    <row r="27" spans="1:6" ht="15" x14ac:dyDescent="0.25">
      <c r="A27" s="34"/>
      <c r="B27" s="131" t="s">
        <v>429</v>
      </c>
      <c r="C27" s="1"/>
      <c r="D27" s="1"/>
    </row>
    <row r="28" spans="1:6" ht="15" x14ac:dyDescent="0.25">
      <c r="A28" s="34"/>
      <c r="B28" s="408" t="s">
        <v>645</v>
      </c>
      <c r="C28" s="1"/>
      <c r="D28" s="1"/>
    </row>
    <row r="29" spans="1:6" ht="13.8" x14ac:dyDescent="0.25">
      <c r="B29" s="130" t="s">
        <v>431</v>
      </c>
      <c r="C29" s="1"/>
      <c r="D29" s="1"/>
    </row>
    <row r="30" spans="1:6" ht="15" x14ac:dyDescent="0.25">
      <c r="A30" s="34"/>
      <c r="B30" s="35" t="s">
        <v>15</v>
      </c>
      <c r="C30" s="37"/>
      <c r="D30" s="37"/>
    </row>
    <row r="31" spans="1:6" ht="27.6" x14ac:dyDescent="0.25">
      <c r="A31" s="34"/>
      <c r="B31" s="36" t="s">
        <v>17</v>
      </c>
      <c r="C31" s="38"/>
      <c r="D31" s="39"/>
    </row>
    <row r="32" spans="1:6" ht="15" x14ac:dyDescent="0.25">
      <c r="A32" s="34"/>
      <c r="B32" s="40" t="s">
        <v>18</v>
      </c>
      <c r="C32" s="38"/>
      <c r="D32" s="38"/>
    </row>
    <row r="33" spans="1:4" ht="15" x14ac:dyDescent="0.25">
      <c r="A33" s="34"/>
      <c r="B33" s="134" t="s">
        <v>19</v>
      </c>
      <c r="C33" s="38"/>
      <c r="D33" s="38"/>
    </row>
    <row r="34" spans="1:4" ht="13.8" x14ac:dyDescent="0.25">
      <c r="B34" s="135" t="s">
        <v>20</v>
      </c>
      <c r="D34" s="41"/>
    </row>
    <row r="35" spans="1:4" ht="15" x14ac:dyDescent="0.25">
      <c r="A35" s="34"/>
      <c r="B35" s="40" t="s">
        <v>21</v>
      </c>
      <c r="C35" s="38"/>
      <c r="D35" s="39"/>
    </row>
    <row r="36" spans="1:4" ht="15" x14ac:dyDescent="0.25">
      <c r="A36" s="34"/>
      <c r="B36" s="179" t="s">
        <v>571</v>
      </c>
      <c r="C36" s="38"/>
      <c r="D36" s="39"/>
    </row>
    <row r="37" spans="1:4" ht="13.8" x14ac:dyDescent="0.25">
      <c r="A37" s="42" t="s">
        <v>0</v>
      </c>
      <c r="B37" s="496" t="s">
        <v>641</v>
      </c>
      <c r="C37" s="38"/>
      <c r="D37" s="38"/>
    </row>
    <row r="38" spans="1:4" ht="50.4" x14ac:dyDescent="0.25">
      <c r="A38" s="43"/>
      <c r="B38" s="183" t="s">
        <v>23</v>
      </c>
      <c r="C38" s="45"/>
      <c r="D38" s="45"/>
    </row>
    <row r="39" spans="1:4" ht="16.8" x14ac:dyDescent="0.4">
      <c r="A39" s="46"/>
      <c r="B39" s="44"/>
      <c r="C39" s="47"/>
      <c r="D39" s="1"/>
    </row>
    <row r="40" spans="1:4" x14ac:dyDescent="0.25">
      <c r="A40" s="46"/>
      <c r="B40" s="47"/>
      <c r="C40" s="47"/>
      <c r="D40" s="1"/>
    </row>
    <row r="41" spans="1:4" x14ac:dyDescent="0.25">
      <c r="A41" s="48"/>
      <c r="B41" s="47"/>
      <c r="C41" s="47"/>
      <c r="D41" s="1"/>
    </row>
    <row r="42" spans="1:4" x14ac:dyDescent="0.25">
      <c r="A42" s="50" t="s">
        <v>0</v>
      </c>
      <c r="B42" s="49"/>
      <c r="C42" s="47"/>
      <c r="D42" s="47"/>
    </row>
    <row r="43" spans="1:4" ht="15" x14ac:dyDescent="0.35">
      <c r="A43" s="1" t="s">
        <v>0</v>
      </c>
      <c r="B43" s="51"/>
    </row>
  </sheetData>
  <mergeCells count="2">
    <mergeCell ref="A4:D4"/>
    <mergeCell ref="B24:D24"/>
  </mergeCells>
  <printOptions horizontalCentered="1"/>
  <pageMargins left="0.25" right="0.25" top="0.75" bottom="0.75" header="0.3" footer="0.3"/>
  <pageSetup scale="74" fitToWidth="0" orientation="portrait" r:id="rId1"/>
  <headerFooter alignWithMargins="0">
    <oddFooter>Página &amp;P de &amp;N</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FC3F-385C-40B1-B655-E51199562A1B}">
  <sheetPr>
    <pageSetUpPr fitToPage="1"/>
  </sheetPr>
  <dimension ref="A1:E69"/>
  <sheetViews>
    <sheetView topLeftCell="A10" zoomScaleNormal="100" workbookViewId="0">
      <selection activeCell="C16" sqref="C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940</v>
      </c>
      <c r="B8" s="10"/>
      <c r="C8" s="58"/>
      <c r="D8" s="58"/>
    </row>
    <row r="9" spans="1:5" s="55" customFormat="1" ht="16.8" x14ac:dyDescent="0.4">
      <c r="A9" s="57" t="s">
        <v>941</v>
      </c>
      <c r="B9" s="10"/>
      <c r="C9" s="58"/>
      <c r="D9" s="58"/>
    </row>
    <row r="10" spans="1:5" s="55" customFormat="1" ht="16.8" x14ac:dyDescent="0.4">
      <c r="A10" s="57" t="s">
        <v>938</v>
      </c>
      <c r="B10" s="10"/>
      <c r="C10" s="58"/>
      <c r="D10" s="58"/>
    </row>
    <row r="11" spans="1:5" s="55" customFormat="1" ht="16.8" x14ac:dyDescent="0.4">
      <c r="A11" s="57" t="s">
        <v>835</v>
      </c>
      <c r="B11" s="10"/>
      <c r="C11" s="59"/>
      <c r="D11" s="58"/>
    </row>
    <row r="12" spans="1:5" s="55" customFormat="1" ht="15" customHeight="1" x14ac:dyDescent="0.4">
      <c r="A12" s="60" t="s">
        <v>939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934</v>
      </c>
      <c r="C16" s="74">
        <f>240*110</f>
        <v>26400</v>
      </c>
      <c r="D16" s="75">
        <f>A16*C16</f>
        <v>26400</v>
      </c>
      <c r="E16" s="76"/>
    </row>
    <row r="17" spans="1:5" ht="45" x14ac:dyDescent="0.25">
      <c r="A17" s="72">
        <v>1</v>
      </c>
      <c r="B17" s="73" t="s">
        <v>936</v>
      </c>
      <c r="C17" s="74">
        <f>4300+2800</f>
        <v>7100</v>
      </c>
      <c r="D17" s="75">
        <f>A17*C17</f>
        <v>7100</v>
      </c>
      <c r="E17" s="76"/>
    </row>
    <row r="18" spans="1:5" ht="45" x14ac:dyDescent="0.25">
      <c r="A18" s="72">
        <v>1</v>
      </c>
      <c r="B18" s="73" t="s">
        <v>935</v>
      </c>
      <c r="C18" s="74">
        <f>240*110</f>
        <v>26400</v>
      </c>
      <c r="D18" s="75">
        <f>A18*C18</f>
        <v>26400</v>
      </c>
      <c r="E18" s="76"/>
    </row>
    <row r="19" spans="1:5" ht="15.6" x14ac:dyDescent="0.25">
      <c r="A19" s="72"/>
      <c r="B19" s="75"/>
      <c r="C19" s="75"/>
      <c r="D19" s="75"/>
      <c r="E19" s="76"/>
    </row>
    <row r="20" spans="1:5" ht="15.6" x14ac:dyDescent="0.25">
      <c r="A20" s="89"/>
      <c r="B20" s="90"/>
      <c r="C20" s="304" t="s">
        <v>38</v>
      </c>
      <c r="D20" s="75">
        <f>SUM(D16:D18)</f>
        <v>59900</v>
      </c>
      <c r="E20" s="76"/>
    </row>
    <row r="21" spans="1:5" ht="15.6" x14ac:dyDescent="0.3">
      <c r="A21" s="92"/>
      <c r="B21" s="90"/>
      <c r="C21" s="305" t="s">
        <v>39</v>
      </c>
      <c r="D21" s="75">
        <f>D20*0.16</f>
        <v>9584</v>
      </c>
      <c r="E21" s="76"/>
    </row>
    <row r="22" spans="1:5" ht="16.2" thickBot="1" x14ac:dyDescent="0.35">
      <c r="A22" s="92"/>
      <c r="B22" s="90"/>
      <c r="C22" s="306" t="s">
        <v>40</v>
      </c>
      <c r="D22" s="95">
        <f>D20+D21</f>
        <v>69484</v>
      </c>
    </row>
    <row r="23" spans="1:5" ht="19.5" customHeight="1" thickBot="1" x14ac:dyDescent="0.3">
      <c r="A23" s="92"/>
      <c r="B23" s="1023" t="s">
        <v>937</v>
      </c>
      <c r="C23" s="1024"/>
      <c r="D23" s="1025"/>
      <c r="E23" s="96"/>
    </row>
    <row r="24" spans="1:5" ht="13.8" x14ac:dyDescent="0.25">
      <c r="B24" s="97" t="s">
        <v>9</v>
      </c>
      <c r="C24" s="98"/>
      <c r="D24" s="99"/>
      <c r="E24" s="96"/>
    </row>
    <row r="25" spans="1:5" ht="18.75" customHeight="1" x14ac:dyDescent="0.25">
      <c r="B25" s="124" t="s">
        <v>41</v>
      </c>
      <c r="C25" s="76"/>
      <c r="D25" s="96"/>
    </row>
    <row r="26" spans="1:5" ht="13.8" x14ac:dyDescent="0.25">
      <c r="A26" s="96"/>
      <c r="B26" s="100" t="s">
        <v>11</v>
      </c>
      <c r="C26" s="96"/>
      <c r="D26" s="96"/>
    </row>
    <row r="27" spans="1:5" ht="15" x14ac:dyDescent="0.25">
      <c r="A27" s="101"/>
      <c r="B27" s="123" t="s">
        <v>12</v>
      </c>
      <c r="C27" s="52"/>
      <c r="D27" s="52"/>
    </row>
    <row r="28" spans="1:5" ht="15" x14ac:dyDescent="0.25">
      <c r="A28" s="101"/>
      <c r="B28" s="123" t="s">
        <v>13</v>
      </c>
      <c r="C28" s="52"/>
      <c r="D28" s="52"/>
    </row>
    <row r="29" spans="1:5" s="96" customFormat="1" ht="15" x14ac:dyDescent="0.25">
      <c r="A29" s="101"/>
      <c r="B29" s="123" t="s">
        <v>14</v>
      </c>
      <c r="C29" s="52"/>
      <c r="D29" s="52"/>
      <c r="E29" s="52"/>
    </row>
    <row r="30" spans="1:5" s="96" customFormat="1" ht="15.75" customHeight="1" x14ac:dyDescent="0.25">
      <c r="A30" s="102"/>
      <c r="B30" s="103" t="s">
        <v>15</v>
      </c>
      <c r="C30" s="52"/>
      <c r="D30" s="52"/>
      <c r="E30" s="52"/>
    </row>
    <row r="31" spans="1:5" ht="13.5" customHeight="1" x14ac:dyDescent="0.25">
      <c r="A31" s="102"/>
      <c r="B31" s="295" t="s">
        <v>42</v>
      </c>
      <c r="C31" s="104"/>
      <c r="D31" s="105"/>
    </row>
    <row r="32" spans="1:5" ht="13.5" customHeight="1" x14ac:dyDescent="0.25">
      <c r="A32" s="106"/>
      <c r="B32" s="295" t="s">
        <v>43</v>
      </c>
      <c r="C32" s="104"/>
      <c r="D32" s="105"/>
    </row>
    <row r="33" spans="1:4" ht="13.5" customHeight="1" x14ac:dyDescent="0.25">
      <c r="A33" s="106"/>
      <c r="B33" s="103" t="s">
        <v>18</v>
      </c>
      <c r="C33" s="107"/>
      <c r="D33" s="105"/>
    </row>
    <row r="34" spans="1:4" ht="15" x14ac:dyDescent="0.25">
      <c r="A34" s="106"/>
      <c r="B34" s="313" t="s">
        <v>808</v>
      </c>
      <c r="C34" s="107"/>
      <c r="D34" s="105"/>
    </row>
    <row r="35" spans="1:4" ht="15" x14ac:dyDescent="0.25">
      <c r="A35" s="106"/>
      <c r="B35" s="297" t="s">
        <v>20</v>
      </c>
      <c r="C35" s="107"/>
      <c r="D35" s="105"/>
    </row>
    <row r="36" spans="1:4" ht="13.5" customHeight="1" x14ac:dyDescent="0.25">
      <c r="A36" s="108"/>
      <c r="B36" s="103" t="s">
        <v>21</v>
      </c>
      <c r="C36" s="107"/>
      <c r="D36" s="105"/>
    </row>
    <row r="37" spans="1:4" ht="13.5" customHeight="1" x14ac:dyDescent="0.25">
      <c r="A37" s="106"/>
      <c r="B37" s="122" t="s">
        <v>262</v>
      </c>
      <c r="C37" s="107"/>
      <c r="D37" s="107"/>
    </row>
    <row r="38" spans="1:4" ht="13.5" customHeight="1" x14ac:dyDescent="0.25">
      <c r="A38" s="106"/>
      <c r="B38" s="123" t="s">
        <v>44</v>
      </c>
      <c r="C38" s="107"/>
      <c r="D38" s="107"/>
    </row>
    <row r="39" spans="1:4" ht="13.5" customHeight="1" x14ac:dyDescent="0.25">
      <c r="A39" s="106"/>
      <c r="B39" s="123" t="s">
        <v>45</v>
      </c>
      <c r="C39" s="109"/>
      <c r="D39" s="110"/>
    </row>
    <row r="40" spans="1:4" ht="13.5" customHeight="1" x14ac:dyDescent="0.25">
      <c r="A40" s="106"/>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64" fitToHeight="0"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02D3-C5A7-4A81-B078-2F7E05D2359C}">
  <sheetPr>
    <tabColor theme="4" tint="-0.249977111117893"/>
    <pageSetUpPr fitToPage="1"/>
  </sheetPr>
  <dimension ref="A1:F62"/>
  <sheetViews>
    <sheetView topLeftCell="A6" zoomScaleNormal="100" workbookViewId="0">
      <selection activeCell="C22" sqref="C22"/>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969</v>
      </c>
      <c r="B7" s="8"/>
      <c r="C7" s="9"/>
      <c r="D7" s="9"/>
    </row>
    <row r="8" spans="1:6" s="4" customFormat="1" ht="19.2" x14ac:dyDescent="0.45">
      <c r="A8" s="7" t="s">
        <v>970</v>
      </c>
      <c r="B8" s="8"/>
      <c r="C8" s="9"/>
      <c r="D8" s="9"/>
    </row>
    <row r="9" spans="1:6" s="4" customFormat="1" ht="19.2" x14ac:dyDescent="0.45">
      <c r="A9" s="7" t="s">
        <v>3</v>
      </c>
      <c r="B9" s="8"/>
      <c r="C9" s="9"/>
      <c r="D9" s="9"/>
    </row>
    <row r="10" spans="1:6" s="4" customFormat="1" ht="19.2" x14ac:dyDescent="0.45">
      <c r="A10" s="7" t="s">
        <v>971</v>
      </c>
      <c r="B10" s="8"/>
      <c r="C10" s="11"/>
      <c r="D10" s="9"/>
    </row>
    <row r="11" spans="1:6" s="4" customFormat="1" ht="19.2" x14ac:dyDescent="0.45">
      <c r="A11" s="7" t="s">
        <v>972</v>
      </c>
      <c r="B11" s="8"/>
      <c r="C11" s="11"/>
      <c r="D11" s="9"/>
    </row>
    <row r="12" spans="1:6" s="4" customFormat="1" ht="15" customHeight="1" x14ac:dyDescent="0.4">
      <c r="A12" s="12" t="s">
        <v>6</v>
      </c>
      <c r="B12" s="13"/>
      <c r="C12" s="14"/>
      <c r="D12" s="15"/>
    </row>
    <row r="13" spans="1:6" s="4" customFormat="1" ht="15" customHeight="1" x14ac:dyDescent="0.4">
      <c r="A13" s="16" t="s">
        <v>973</v>
      </c>
      <c r="B13" s="13"/>
      <c r="C13" s="14"/>
      <c r="D13" s="15"/>
    </row>
    <row r="14" spans="1:6" s="4" customFormat="1" ht="11.25" customHeight="1" x14ac:dyDescent="0.4">
      <c r="A14" s="1031" t="s">
        <v>73</v>
      </c>
      <c r="B14" s="1032"/>
      <c r="C14" s="1033"/>
      <c r="D14" s="1034"/>
      <c r="E14" s="17"/>
      <c r="F14" s="17"/>
    </row>
    <row r="15" spans="1:6" s="17" customFormat="1" ht="13.8" x14ac:dyDescent="0.25">
      <c r="A15" s="145" t="s">
        <v>29</v>
      </c>
      <c r="B15" s="145" t="s">
        <v>30</v>
      </c>
      <c r="C15" s="146" t="s">
        <v>31</v>
      </c>
      <c r="D15" s="146" t="s">
        <v>32</v>
      </c>
      <c r="E15" s="147"/>
      <c r="F15" s="1"/>
    </row>
    <row r="16" spans="1:6" ht="9" customHeight="1" x14ac:dyDescent="0.25">
      <c r="A16" s="148"/>
      <c r="B16" s="149"/>
      <c r="C16" s="150"/>
      <c r="D16" s="150"/>
      <c r="E16" s="25"/>
      <c r="F16" s="26"/>
    </row>
    <row r="17" spans="1:6" s="26" customFormat="1" ht="16.5" customHeight="1" x14ac:dyDescent="0.25">
      <c r="A17" s="157">
        <v>82</v>
      </c>
      <c r="B17" s="158" t="s">
        <v>974</v>
      </c>
      <c r="C17" s="160">
        <f>(3817.8+463.7)*1.34</f>
        <v>5737.21</v>
      </c>
      <c r="D17" s="161">
        <f>A17*C17</f>
        <v>470451.22000000003</v>
      </c>
      <c r="E17" s="169">
        <f>4281.5*82</f>
        <v>351083</v>
      </c>
      <c r="F17" s="3">
        <f>D17-E17</f>
        <v>119368.22000000003</v>
      </c>
    </row>
    <row r="18" spans="1:6" ht="13.5" customHeight="1" x14ac:dyDescent="0.25">
      <c r="A18" s="157"/>
      <c r="B18" s="158" t="s">
        <v>975</v>
      </c>
      <c r="C18" s="160"/>
      <c r="D18" s="161"/>
      <c r="E18" s="147"/>
    </row>
    <row r="19" spans="1:6" ht="13.5" customHeight="1" x14ac:dyDescent="0.25">
      <c r="A19" s="157">
        <v>4</v>
      </c>
      <c r="B19" s="158" t="s">
        <v>976</v>
      </c>
      <c r="C19" s="159">
        <f>(509.5*20.5)*(1.22)</f>
        <v>12742.594999999999</v>
      </c>
      <c r="D19" s="154">
        <f>A19*C19</f>
        <v>50970.38</v>
      </c>
      <c r="E19" s="147"/>
    </row>
    <row r="20" spans="1:6" ht="13.5" customHeight="1" x14ac:dyDescent="0.25">
      <c r="A20" s="157">
        <v>4</v>
      </c>
      <c r="B20" s="158" t="s">
        <v>78</v>
      </c>
      <c r="C20" s="159">
        <f>(6659)*(1.35)</f>
        <v>8989.6500000000015</v>
      </c>
      <c r="D20" s="154">
        <f>A20*C20</f>
        <v>35958.600000000006</v>
      </c>
      <c r="E20" s="147"/>
    </row>
    <row r="21" spans="1:6" ht="13.5" customHeight="1" x14ac:dyDescent="0.25">
      <c r="A21" s="157">
        <v>2</v>
      </c>
      <c r="B21" s="158" t="s">
        <v>977</v>
      </c>
      <c r="C21" s="159">
        <v>2768</v>
      </c>
      <c r="D21" s="161">
        <f>A21*C21</f>
        <v>5536</v>
      </c>
      <c r="E21" s="147"/>
    </row>
    <row r="22" spans="1:6" x14ac:dyDescent="0.25">
      <c r="A22" s="32"/>
      <c r="B22" s="166"/>
      <c r="C22" s="167" t="s">
        <v>38</v>
      </c>
      <c r="D22" s="168">
        <f>SUM(D14:D21)</f>
        <v>562916.20000000007</v>
      </c>
      <c r="E22" s="147"/>
    </row>
    <row r="23" spans="1:6" x14ac:dyDescent="0.25">
      <c r="A23" s="33"/>
      <c r="B23" s="33"/>
      <c r="C23" s="167" t="s">
        <v>90</v>
      </c>
      <c r="D23" s="168">
        <f>D22*0.16</f>
        <v>90066.592000000019</v>
      </c>
      <c r="E23" s="147"/>
    </row>
    <row r="24" spans="1:6" ht="13.8" thickBot="1" x14ac:dyDescent="0.3">
      <c r="A24" s="33"/>
      <c r="B24" s="170"/>
      <c r="C24" s="171" t="s">
        <v>40</v>
      </c>
      <c r="D24" s="172">
        <f>D22+D23</f>
        <v>652982.79200000013</v>
      </c>
      <c r="E24" s="147"/>
    </row>
    <row r="25" spans="1:6" ht="13.8" thickBot="1" x14ac:dyDescent="0.3">
      <c r="A25" s="33"/>
      <c r="B25" s="1035" t="s">
        <v>978</v>
      </c>
      <c r="C25" s="1036"/>
      <c r="D25" s="1037"/>
      <c r="E25" s="147"/>
    </row>
    <row r="26" spans="1:6" ht="13.8" x14ac:dyDescent="0.25">
      <c r="A26" s="33"/>
      <c r="B26" s="173" t="s">
        <v>9</v>
      </c>
      <c r="C26" s="174"/>
      <c r="D26" s="175"/>
    </row>
    <row r="27" spans="1:6" ht="13.5" customHeight="1" x14ac:dyDescent="0.25">
      <c r="A27" s="33"/>
      <c r="B27" s="597" t="s">
        <v>10</v>
      </c>
      <c r="C27" s="169"/>
      <c r="D27" s="41"/>
    </row>
    <row r="28" spans="1:6" ht="13.5" customHeight="1" x14ac:dyDescent="0.25">
      <c r="A28" s="34"/>
      <c r="B28" s="598" t="s">
        <v>11</v>
      </c>
      <c r="D28" s="41"/>
    </row>
    <row r="29" spans="1:6" ht="15" x14ac:dyDescent="0.25">
      <c r="A29" s="34"/>
      <c r="B29" s="599" t="s">
        <v>12</v>
      </c>
      <c r="D29" s="41"/>
    </row>
    <row r="30" spans="1:6" ht="15" x14ac:dyDescent="0.25">
      <c r="A30" s="34"/>
      <c r="B30" s="599" t="s">
        <v>13</v>
      </c>
      <c r="D30" s="41"/>
    </row>
    <row r="31" spans="1:6" ht="15" x14ac:dyDescent="0.25">
      <c r="A31" s="34"/>
      <c r="B31" s="599" t="s">
        <v>14</v>
      </c>
      <c r="D31" s="41"/>
    </row>
    <row r="32" spans="1:6" ht="13.8" x14ac:dyDescent="0.25">
      <c r="B32" s="40" t="s">
        <v>15</v>
      </c>
    </row>
    <row r="33" spans="1:4" ht="15" x14ac:dyDescent="0.25">
      <c r="A33" s="34"/>
      <c r="B33" s="600" t="s">
        <v>42</v>
      </c>
    </row>
    <row r="34" spans="1:4" ht="27.6" x14ac:dyDescent="0.25">
      <c r="A34" s="34"/>
      <c r="B34" s="600" t="s">
        <v>43</v>
      </c>
      <c r="C34" s="38"/>
      <c r="D34" s="39"/>
    </row>
    <row r="35" spans="1:4" ht="15" x14ac:dyDescent="0.25">
      <c r="A35" s="34"/>
      <c r="B35" s="40" t="s">
        <v>18</v>
      </c>
      <c r="C35" s="38"/>
      <c r="D35" s="39"/>
    </row>
    <row r="36" spans="1:4" ht="15" x14ac:dyDescent="0.25">
      <c r="A36" s="34"/>
      <c r="B36" s="17" t="s">
        <v>92</v>
      </c>
      <c r="C36" s="38"/>
      <c r="D36" s="38"/>
    </row>
    <row r="37" spans="1:4" ht="15" x14ac:dyDescent="0.25">
      <c r="A37" s="34"/>
      <c r="B37" s="601" t="s">
        <v>20</v>
      </c>
      <c r="C37" s="38"/>
      <c r="D37" s="38"/>
    </row>
    <row r="38" spans="1:4" ht="13.8" x14ac:dyDescent="0.25">
      <c r="B38" s="40" t="s">
        <v>21</v>
      </c>
      <c r="D38" s="41"/>
    </row>
    <row r="39" spans="1:4" ht="15" x14ac:dyDescent="0.25">
      <c r="A39" s="34"/>
      <c r="B39" s="602" t="s">
        <v>222</v>
      </c>
      <c r="C39" s="38"/>
      <c r="D39" s="39"/>
    </row>
    <row r="40" spans="1:4" ht="15" x14ac:dyDescent="0.25">
      <c r="A40" s="34"/>
      <c r="B40" s="603" t="s">
        <v>44</v>
      </c>
      <c r="C40" s="38"/>
      <c r="D40" s="39"/>
    </row>
    <row r="41" spans="1:4" ht="33.6" x14ac:dyDescent="0.4">
      <c r="A41" s="42" t="s">
        <v>0</v>
      </c>
      <c r="B41" s="604" t="s">
        <v>23</v>
      </c>
      <c r="C41" s="38"/>
      <c r="D41" s="38"/>
    </row>
    <row r="42" spans="1:4" ht="16.8" x14ac:dyDescent="0.4">
      <c r="A42" s="43"/>
      <c r="B42" s="44"/>
      <c r="C42" s="45"/>
      <c r="D42" s="45"/>
    </row>
    <row r="43" spans="1:4" x14ac:dyDescent="0.25">
      <c r="A43" s="46"/>
      <c r="B43" s="47"/>
      <c r="C43" s="47"/>
      <c r="D43" s="1"/>
    </row>
    <row r="44" spans="1:4" x14ac:dyDescent="0.25">
      <c r="A44" s="46"/>
      <c r="B44" s="47"/>
      <c r="C44" s="47"/>
      <c r="D44" s="1"/>
    </row>
    <row r="45" spans="1:4" x14ac:dyDescent="0.25">
      <c r="A45" s="48"/>
      <c r="B45" s="49"/>
      <c r="C45" s="47"/>
      <c r="D45" s="1"/>
    </row>
    <row r="46" spans="1:4" ht="15" x14ac:dyDescent="0.35">
      <c r="A46" s="50" t="s">
        <v>0</v>
      </c>
      <c r="B46" s="51"/>
      <c r="C46" s="47"/>
      <c r="D46" s="47"/>
    </row>
    <row r="47" spans="1:4" ht="31.5" customHeight="1" x14ac:dyDescent="0.25">
      <c r="A47" s="1" t="s">
        <v>0</v>
      </c>
    </row>
    <row r="52" ht="15.75" customHeight="1" x14ac:dyDescent="0.25"/>
    <row r="57" ht="16.5" customHeight="1" x14ac:dyDescent="0.25"/>
    <row r="61" ht="15.75" customHeight="1" x14ac:dyDescent="0.25"/>
    <row r="62" ht="15" customHeight="1" x14ac:dyDescent="0.25"/>
  </sheetData>
  <mergeCells count="3">
    <mergeCell ref="A4:D4"/>
    <mergeCell ref="A14:D14"/>
    <mergeCell ref="B25:D25"/>
  </mergeCells>
  <printOptions horizontalCentered="1"/>
  <pageMargins left="0.25" right="0.25" top="0.75" bottom="0.75" header="0.3" footer="0.3"/>
  <pageSetup paperSize="9" scale="58" fitToHeight="0" orientation="portrait" r:id="rId1"/>
  <headerFooter alignWithMargins="0">
    <oddFooter>Página &amp;P de &amp;N</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BE19-A31D-4167-862C-698882330FBC}">
  <sheetPr>
    <pageSetUpPr fitToPage="1"/>
  </sheetPr>
  <dimension ref="A1:E69"/>
  <sheetViews>
    <sheetView topLeftCell="A13" zoomScaleNormal="100" workbookViewId="0">
      <selection activeCell="C19" sqref="C1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804</v>
      </c>
      <c r="B9" s="10"/>
      <c r="C9" s="58"/>
      <c r="D9" s="58"/>
    </row>
    <row r="10" spans="1:5" s="55" customFormat="1" ht="16.8" x14ac:dyDescent="0.4">
      <c r="A10" s="57" t="s">
        <v>675</v>
      </c>
      <c r="B10" s="10"/>
      <c r="C10" s="58"/>
      <c r="D10" s="58"/>
    </row>
    <row r="11" spans="1:5" s="55" customFormat="1" ht="16.8" x14ac:dyDescent="0.4">
      <c r="A11" s="57" t="s">
        <v>805</v>
      </c>
      <c r="B11" s="10"/>
      <c r="C11" s="59"/>
      <c r="D11" s="58"/>
    </row>
    <row r="12" spans="1:5" s="55" customFormat="1" ht="15" customHeight="1" x14ac:dyDescent="0.4">
      <c r="A12" s="60" t="s">
        <v>839</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54.75" customHeight="1" x14ac:dyDescent="0.25">
      <c r="A16" s="72">
        <v>1</v>
      </c>
      <c r="B16" s="73" t="s">
        <v>840</v>
      </c>
      <c r="C16" s="74">
        <v>59000</v>
      </c>
      <c r="D16" s="75">
        <f>A16*C16</f>
        <v>59000</v>
      </c>
      <c r="E16" s="76"/>
    </row>
    <row r="17" spans="1:5" ht="33.75" customHeight="1" x14ac:dyDescent="0.25">
      <c r="A17" s="72">
        <v>1</v>
      </c>
      <c r="B17" s="73" t="s">
        <v>268</v>
      </c>
      <c r="C17" s="74">
        <v>6797</v>
      </c>
      <c r="D17" s="75">
        <f>C17*A17</f>
        <v>6797</v>
      </c>
      <c r="E17" s="76"/>
    </row>
    <row r="18" spans="1:5" ht="33.75" customHeight="1" x14ac:dyDescent="0.25">
      <c r="A18" s="72">
        <v>3</v>
      </c>
      <c r="B18" s="73" t="s">
        <v>270</v>
      </c>
      <c r="C18" s="74">
        <v>320</v>
      </c>
      <c r="D18" s="75">
        <f>A18*C18</f>
        <v>960</v>
      </c>
      <c r="E18" s="76"/>
    </row>
    <row r="19" spans="1:5" ht="45" x14ac:dyDescent="0.25">
      <c r="A19" s="72">
        <v>1</v>
      </c>
      <c r="B19" s="73" t="s">
        <v>806</v>
      </c>
      <c r="C19" s="74">
        <v>22000</v>
      </c>
      <c r="D19" s="75">
        <f>A19*C19</f>
        <v>22000</v>
      </c>
      <c r="E19" s="76"/>
    </row>
    <row r="20" spans="1:5" ht="30" x14ac:dyDescent="0.25">
      <c r="A20" s="72">
        <v>1</v>
      </c>
      <c r="B20" s="73" t="s">
        <v>807</v>
      </c>
      <c r="C20" s="74">
        <v>11000</v>
      </c>
      <c r="D20" s="75">
        <f>A20*C20</f>
        <v>11000</v>
      </c>
      <c r="E20" s="76"/>
    </row>
    <row r="21" spans="1:5" ht="45" x14ac:dyDescent="0.25">
      <c r="A21" s="72">
        <v>1</v>
      </c>
      <c r="B21" s="73" t="s">
        <v>841</v>
      </c>
      <c r="C21" s="74">
        <v>15000</v>
      </c>
      <c r="D21" s="75">
        <f>A21*C21</f>
        <v>15000</v>
      </c>
      <c r="E21" s="76"/>
    </row>
    <row r="22" spans="1:5" ht="15.6" x14ac:dyDescent="0.25">
      <c r="A22" s="72"/>
      <c r="B22" s="75"/>
      <c r="C22" s="75"/>
      <c r="D22" s="75"/>
      <c r="E22" s="76"/>
    </row>
    <row r="23" spans="1:5" ht="19.5" customHeight="1" x14ac:dyDescent="0.25">
      <c r="A23" s="89"/>
      <c r="B23" s="90"/>
      <c r="C23" s="304" t="s">
        <v>38</v>
      </c>
      <c r="D23" s="75">
        <f>SUM(D16:D21)</f>
        <v>114757</v>
      </c>
      <c r="E23" s="76"/>
    </row>
    <row r="24" spans="1:5" ht="18.75" customHeight="1" x14ac:dyDescent="0.3">
      <c r="A24" s="92"/>
      <c r="B24" s="90" t="s">
        <v>260</v>
      </c>
      <c r="C24" s="305" t="s">
        <v>39</v>
      </c>
      <c r="D24" s="75">
        <f>D23*0.16</f>
        <v>18361.12</v>
      </c>
      <c r="E24" s="76"/>
    </row>
    <row r="25" spans="1:5" ht="18.75" customHeight="1" thickBot="1" x14ac:dyDescent="0.35">
      <c r="A25" s="92"/>
      <c r="B25" s="90"/>
      <c r="C25" s="306" t="s">
        <v>40</v>
      </c>
      <c r="D25" s="95">
        <f>D23+D24</f>
        <v>133118.12</v>
      </c>
      <c r="E25" s="76"/>
    </row>
    <row r="26" spans="1:5" ht="18.75" customHeight="1" thickBot="1" x14ac:dyDescent="0.3">
      <c r="A26" s="92"/>
      <c r="B26" s="1023" t="s">
        <v>842</v>
      </c>
      <c r="C26" s="1024"/>
      <c r="D26" s="1025"/>
      <c r="E26" s="76"/>
    </row>
    <row r="27" spans="1:5" ht="18.75" customHeight="1" x14ac:dyDescent="0.25">
      <c r="B27" s="97" t="s">
        <v>9</v>
      </c>
      <c r="C27" s="98"/>
      <c r="D27" s="99"/>
    </row>
    <row r="28" spans="1:5" ht="39" customHeight="1" x14ac:dyDescent="0.25">
      <c r="B28" s="124" t="s">
        <v>843</v>
      </c>
      <c r="C28" s="76"/>
      <c r="D28" s="96"/>
      <c r="E28" s="96"/>
    </row>
    <row r="29" spans="1:5" s="96" customFormat="1" ht="13.8" x14ac:dyDescent="0.25">
      <c r="B29" s="100" t="s">
        <v>11</v>
      </c>
    </row>
    <row r="30" spans="1:5" s="96" customFormat="1" ht="15.75" customHeight="1" x14ac:dyDescent="0.25">
      <c r="A30" s="101"/>
      <c r="B30" s="256" t="s">
        <v>12</v>
      </c>
      <c r="C30" s="52"/>
      <c r="D30" s="52"/>
      <c r="E30" s="52"/>
    </row>
    <row r="31" spans="1:5" ht="13.5" customHeight="1" x14ac:dyDescent="0.25">
      <c r="A31" s="101"/>
      <c r="B31" s="256" t="s">
        <v>13</v>
      </c>
      <c r="C31" s="52"/>
      <c r="D31" s="52"/>
    </row>
    <row r="32" spans="1:5" ht="13.5" customHeight="1" x14ac:dyDescent="0.25">
      <c r="A32" s="101"/>
      <c r="B32" s="256" t="s">
        <v>14</v>
      </c>
      <c r="C32" s="52"/>
      <c r="D32" s="52"/>
    </row>
    <row r="33" spans="1:4" ht="13.5" customHeight="1" x14ac:dyDescent="0.25">
      <c r="A33" s="102"/>
      <c r="B33" s="103" t="s">
        <v>15</v>
      </c>
      <c r="C33" s="52"/>
      <c r="D33" s="52"/>
    </row>
    <row r="34" spans="1:4" ht="13.8" x14ac:dyDescent="0.25">
      <c r="A34" s="102"/>
      <c r="B34" s="216" t="s">
        <v>42</v>
      </c>
      <c r="C34" s="104"/>
      <c r="D34" s="105"/>
    </row>
    <row r="35" spans="1:4" ht="27.6" x14ac:dyDescent="0.25">
      <c r="A35" s="106"/>
      <c r="B35" s="216" t="s">
        <v>43</v>
      </c>
      <c r="C35" s="104"/>
      <c r="D35" s="105"/>
    </row>
    <row r="36" spans="1:4" ht="13.5" customHeight="1" x14ac:dyDescent="0.25">
      <c r="A36" s="106"/>
      <c r="B36" s="103" t="s">
        <v>18</v>
      </c>
      <c r="C36" s="107"/>
      <c r="D36" s="105"/>
    </row>
    <row r="37" spans="1:4" ht="13.5" customHeight="1" x14ac:dyDescent="0.25">
      <c r="A37" s="106"/>
      <c r="B37" s="188" t="s">
        <v>808</v>
      </c>
      <c r="C37" s="107"/>
      <c r="D37" s="105"/>
    </row>
    <row r="38" spans="1:4" ht="13.5" customHeight="1" x14ac:dyDescent="0.25">
      <c r="A38" s="106"/>
      <c r="B38" s="217" t="s">
        <v>20</v>
      </c>
      <c r="C38" s="107"/>
      <c r="D38" s="105"/>
    </row>
    <row r="39" spans="1:4" ht="13.5" customHeight="1" x14ac:dyDescent="0.25">
      <c r="A39" s="108"/>
      <c r="B39" s="103" t="s">
        <v>21</v>
      </c>
      <c r="C39" s="107"/>
      <c r="D39" s="105"/>
    </row>
    <row r="40" spans="1:4" ht="13.5" customHeight="1" x14ac:dyDescent="0.25">
      <c r="A40" s="106"/>
      <c r="B40" s="310" t="s">
        <v>262</v>
      </c>
      <c r="C40" s="107"/>
      <c r="D40" s="107"/>
    </row>
    <row r="41" spans="1:4" ht="15" x14ac:dyDescent="0.25">
      <c r="A41" s="106"/>
      <c r="B41" s="180" t="s">
        <v>44</v>
      </c>
      <c r="C41" s="107"/>
      <c r="D41" s="107"/>
    </row>
    <row r="42" spans="1:4" ht="15" x14ac:dyDescent="0.25">
      <c r="A42" s="106"/>
      <c r="B42" s="180" t="s">
        <v>45</v>
      </c>
      <c r="C42" s="109"/>
      <c r="D42" s="110"/>
    </row>
    <row r="43" spans="1:4" ht="33.6" x14ac:dyDescent="0.4">
      <c r="A43" s="106"/>
      <c r="B43" s="218" t="s">
        <v>23</v>
      </c>
      <c r="C43" s="109"/>
      <c r="D43" s="110"/>
    </row>
    <row r="44" spans="1:4" ht="16.8" x14ac:dyDescent="0.4">
      <c r="A44" s="106"/>
      <c r="B44" s="111"/>
      <c r="C44" s="109"/>
      <c r="D44" s="109"/>
    </row>
    <row r="45" spans="1:4" ht="13.8" x14ac:dyDescent="0.25">
      <c r="A45" s="108"/>
      <c r="B45" s="112"/>
      <c r="C45" s="109"/>
      <c r="D45" s="109"/>
    </row>
    <row r="46" spans="1:4" ht="15" x14ac:dyDescent="0.25">
      <c r="A46" s="106"/>
      <c r="B46" s="112"/>
      <c r="C46" s="107"/>
      <c r="D46" s="105"/>
    </row>
    <row r="47" spans="1:4" ht="15" x14ac:dyDescent="0.25">
      <c r="A47" s="106"/>
      <c r="B47" s="113"/>
      <c r="C47" s="109"/>
      <c r="D47" s="110"/>
    </row>
    <row r="48" spans="1:4" ht="16.2" x14ac:dyDescent="0.35">
      <c r="A48" s="106"/>
      <c r="B48" s="114"/>
      <c r="C48" s="109"/>
      <c r="D48" s="110"/>
    </row>
    <row r="49" spans="1:4" ht="13.8" x14ac:dyDescent="0.25">
      <c r="A49" s="115" t="s">
        <v>0</v>
      </c>
      <c r="C49" s="109"/>
      <c r="D49" s="110"/>
    </row>
    <row r="50" spans="1:4" ht="13.8" x14ac:dyDescent="0.25">
      <c r="A50" s="116"/>
      <c r="C50" s="109"/>
      <c r="D50" s="109"/>
    </row>
    <row r="51" spans="1:4" ht="13.8" x14ac:dyDescent="0.25">
      <c r="A51" s="117"/>
      <c r="C51" s="118"/>
      <c r="D51" s="118"/>
    </row>
    <row r="52" spans="1:4" x14ac:dyDescent="0.25">
      <c r="A52" s="117"/>
      <c r="C52" s="112"/>
      <c r="D52" s="52"/>
    </row>
    <row r="53" spans="1:4" x14ac:dyDescent="0.25">
      <c r="A53" s="119"/>
      <c r="C53" s="112"/>
      <c r="D53" s="52"/>
    </row>
    <row r="54" spans="1:4" x14ac:dyDescent="0.25">
      <c r="A54" s="120" t="s">
        <v>0</v>
      </c>
      <c r="C54" s="112"/>
      <c r="D54" s="52"/>
    </row>
    <row r="55" spans="1:4" x14ac:dyDescent="0.25">
      <c r="A55" s="52" t="s">
        <v>0</v>
      </c>
      <c r="C55" s="112"/>
      <c r="D55"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6:D26"/>
  </mergeCells>
  <pageMargins left="0.25" right="0.25" top="0.75" bottom="0.75" header="0.3" footer="0.3"/>
  <pageSetup scale="64" fitToHeight="0"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2546-D473-4AE4-A1F8-7B9ED6E021F7}">
  <sheetPr>
    <tabColor theme="4" tint="-0.249977111117893"/>
    <pageSetUpPr fitToPage="1"/>
  </sheetPr>
  <dimension ref="A1:F62"/>
  <sheetViews>
    <sheetView topLeftCell="A6" zoomScaleNormal="100" workbookViewId="0">
      <selection activeCell="E17" sqref="E17"/>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969</v>
      </c>
      <c r="B7" s="8"/>
      <c r="C7" s="9"/>
      <c r="D7" s="9"/>
    </row>
    <row r="8" spans="1:6" s="4" customFormat="1" ht="19.2" x14ac:dyDescent="0.45">
      <c r="A8" s="7" t="s">
        <v>970</v>
      </c>
      <c r="B8" s="8"/>
      <c r="C8" s="9"/>
      <c r="D8" s="9"/>
    </row>
    <row r="9" spans="1:6" s="4" customFormat="1" ht="19.2" x14ac:dyDescent="0.45">
      <c r="A9" s="7" t="s">
        <v>3</v>
      </c>
      <c r="B9" s="8"/>
      <c r="C9" s="9"/>
      <c r="D9" s="9"/>
    </row>
    <row r="10" spans="1:6" s="4" customFormat="1" ht="19.2" x14ac:dyDescent="0.45">
      <c r="A10" s="7" t="s">
        <v>971</v>
      </c>
      <c r="B10" s="8"/>
      <c r="C10" s="11"/>
      <c r="D10" s="9"/>
    </row>
    <row r="11" spans="1:6" s="4" customFormat="1" ht="19.2" x14ac:dyDescent="0.45">
      <c r="A11" s="7" t="s">
        <v>972</v>
      </c>
      <c r="B11" s="8"/>
      <c r="C11" s="11"/>
      <c r="D11" s="9"/>
    </row>
    <row r="12" spans="1:6" s="4" customFormat="1" ht="15" customHeight="1" x14ac:dyDescent="0.4">
      <c r="A12" s="12" t="s">
        <v>6</v>
      </c>
      <c r="B12" s="13"/>
      <c r="C12" s="14"/>
      <c r="D12" s="15"/>
    </row>
    <row r="13" spans="1:6" s="4" customFormat="1" ht="15" customHeight="1" x14ac:dyDescent="0.4">
      <c r="A13" s="16" t="s">
        <v>994</v>
      </c>
      <c r="B13" s="13"/>
      <c r="C13" s="14"/>
      <c r="D13" s="15"/>
    </row>
    <row r="14" spans="1:6" s="4" customFormat="1" ht="11.25" customHeight="1" x14ac:dyDescent="0.4">
      <c r="A14" s="1031" t="s">
        <v>73</v>
      </c>
      <c r="B14" s="1032"/>
      <c r="C14" s="1033"/>
      <c r="D14" s="1034"/>
      <c r="E14" s="17"/>
      <c r="F14" s="17"/>
    </row>
    <row r="15" spans="1:6" s="17" customFormat="1" ht="13.8" x14ac:dyDescent="0.25">
      <c r="A15" s="145" t="s">
        <v>29</v>
      </c>
      <c r="B15" s="145" t="s">
        <v>30</v>
      </c>
      <c r="C15" s="146" t="s">
        <v>31</v>
      </c>
      <c r="D15" s="146" t="s">
        <v>32</v>
      </c>
      <c r="E15" s="147"/>
      <c r="F15" s="1"/>
    </row>
    <row r="16" spans="1:6" ht="9" customHeight="1" x14ac:dyDescent="0.25">
      <c r="A16" s="148"/>
      <c r="B16" s="149"/>
      <c r="C16" s="150"/>
      <c r="D16" s="150"/>
      <c r="E16" s="25"/>
      <c r="F16" s="26"/>
    </row>
    <row r="17" spans="1:6" s="26" customFormat="1" ht="16.5" customHeight="1" x14ac:dyDescent="0.25">
      <c r="A17" s="157">
        <v>82</v>
      </c>
      <c r="B17" s="158" t="s">
        <v>979</v>
      </c>
      <c r="C17" s="160">
        <f>(3560)*1.32</f>
        <v>4699.2</v>
      </c>
      <c r="D17" s="161">
        <f>A17*C17</f>
        <v>385334.39999999997</v>
      </c>
      <c r="E17" s="169">
        <f>3560*82</f>
        <v>291920</v>
      </c>
      <c r="F17" s="3"/>
    </row>
    <row r="18" spans="1:6" ht="13.5" customHeight="1" x14ac:dyDescent="0.25">
      <c r="A18" s="157"/>
      <c r="B18" s="158" t="s">
        <v>980</v>
      </c>
      <c r="C18" s="160"/>
      <c r="D18" s="161"/>
      <c r="E18" s="147"/>
    </row>
    <row r="19" spans="1:6" ht="13.5" customHeight="1" x14ac:dyDescent="0.25">
      <c r="A19" s="157">
        <v>4</v>
      </c>
      <c r="B19" s="158" t="s">
        <v>976</v>
      </c>
      <c r="C19" s="159">
        <f>(510*20.5)*(1.3)</f>
        <v>13591.5</v>
      </c>
      <c r="D19" s="154">
        <f>A19*C19</f>
        <v>54366</v>
      </c>
      <c r="E19" s="147"/>
    </row>
    <row r="20" spans="1:6" ht="13.5" customHeight="1" x14ac:dyDescent="0.25">
      <c r="A20" s="157">
        <v>4</v>
      </c>
      <c r="B20" s="158" t="s">
        <v>78</v>
      </c>
      <c r="C20" s="159">
        <f>(6574)*(1.35)</f>
        <v>8874.9000000000015</v>
      </c>
      <c r="D20" s="154">
        <f>A20*C20</f>
        <v>35499.600000000006</v>
      </c>
      <c r="E20" s="147"/>
    </row>
    <row r="21" spans="1:6" ht="13.5" customHeight="1" x14ac:dyDescent="0.25">
      <c r="A21" s="157">
        <v>2</v>
      </c>
      <c r="B21" s="158" t="s">
        <v>977</v>
      </c>
      <c r="C21" s="159">
        <v>2356</v>
      </c>
      <c r="D21" s="161">
        <f>A21*C21</f>
        <v>4712</v>
      </c>
      <c r="E21" s="147"/>
    </row>
    <row r="22" spans="1:6" x14ac:dyDescent="0.25">
      <c r="A22" s="32"/>
      <c r="B22" s="166"/>
      <c r="C22" s="167" t="s">
        <v>38</v>
      </c>
      <c r="D22" s="168">
        <f>SUM(D14:D21)</f>
        <v>479912</v>
      </c>
      <c r="E22" s="147"/>
    </row>
    <row r="23" spans="1:6" x14ac:dyDescent="0.25">
      <c r="A23" s="33"/>
      <c r="B23" s="33"/>
      <c r="C23" s="167" t="s">
        <v>90</v>
      </c>
      <c r="D23" s="168">
        <f>D22*0.16</f>
        <v>76785.919999999998</v>
      </c>
      <c r="E23" s="147"/>
    </row>
    <row r="24" spans="1:6" ht="13.8" thickBot="1" x14ac:dyDescent="0.3">
      <c r="A24" s="33"/>
      <c r="B24" s="170"/>
      <c r="C24" s="171" t="s">
        <v>40</v>
      </c>
      <c r="D24" s="172">
        <f>D22+D23</f>
        <v>556697.92000000004</v>
      </c>
      <c r="E24" s="147"/>
    </row>
    <row r="25" spans="1:6" ht="13.8" thickBot="1" x14ac:dyDescent="0.3">
      <c r="A25" s="33"/>
      <c r="B25" s="1035" t="s">
        <v>981</v>
      </c>
      <c r="C25" s="1036"/>
      <c r="D25" s="1037"/>
      <c r="E25" s="147"/>
    </row>
    <row r="26" spans="1:6" ht="13.8" x14ac:dyDescent="0.25">
      <c r="A26" s="33"/>
      <c r="B26" s="611" t="s">
        <v>9</v>
      </c>
      <c r="C26" s="174"/>
      <c r="D26" s="175"/>
    </row>
    <row r="27" spans="1:6" ht="13.5" customHeight="1" x14ac:dyDescent="0.25">
      <c r="A27" s="33"/>
      <c r="B27" s="177" t="s">
        <v>10</v>
      </c>
      <c r="C27" s="169"/>
      <c r="D27" s="41"/>
    </row>
    <row r="28" spans="1:6" ht="13.5" customHeight="1" x14ac:dyDescent="0.25">
      <c r="A28" s="34"/>
      <c r="B28" s="40" t="s">
        <v>11</v>
      </c>
      <c r="D28" s="41"/>
    </row>
    <row r="29" spans="1:6" ht="15" x14ac:dyDescent="0.25">
      <c r="A29" s="34"/>
      <c r="B29" s="131" t="s">
        <v>12</v>
      </c>
      <c r="D29" s="41"/>
    </row>
    <row r="30" spans="1:6" ht="15" x14ac:dyDescent="0.25">
      <c r="A30" s="34"/>
      <c r="B30" s="131" t="s">
        <v>13</v>
      </c>
      <c r="D30" s="41"/>
    </row>
    <row r="31" spans="1:6" ht="15" x14ac:dyDescent="0.25">
      <c r="A31" s="34"/>
      <c r="B31" s="131" t="s">
        <v>14</v>
      </c>
      <c r="D31" s="41"/>
    </row>
    <row r="32" spans="1:6" ht="13.8" x14ac:dyDescent="0.25">
      <c r="B32" s="40" t="s">
        <v>15</v>
      </c>
    </row>
    <row r="33" spans="1:4" ht="15" x14ac:dyDescent="0.25">
      <c r="A33" s="34"/>
      <c r="B33" s="36" t="s">
        <v>42</v>
      </c>
    </row>
    <row r="34" spans="1:4" ht="27.6" x14ac:dyDescent="0.25">
      <c r="A34" s="34"/>
      <c r="B34" s="36" t="s">
        <v>43</v>
      </c>
      <c r="C34" s="38"/>
      <c r="D34" s="39"/>
    </row>
    <row r="35" spans="1:4" ht="15" x14ac:dyDescent="0.25">
      <c r="A35" s="34"/>
      <c r="B35" s="40" t="s">
        <v>18</v>
      </c>
      <c r="C35" s="38"/>
      <c r="D35" s="39"/>
    </row>
    <row r="36" spans="1:4" ht="15" x14ac:dyDescent="0.25">
      <c r="A36" s="34"/>
      <c r="B36" s="134" t="s">
        <v>92</v>
      </c>
      <c r="C36" s="38"/>
      <c r="D36" s="38"/>
    </row>
    <row r="37" spans="1:4" ht="15" x14ac:dyDescent="0.25">
      <c r="A37" s="34"/>
      <c r="B37" s="135" t="s">
        <v>20</v>
      </c>
      <c r="C37" s="38"/>
      <c r="D37" s="38"/>
    </row>
    <row r="38" spans="1:4" ht="13.8" x14ac:dyDescent="0.25">
      <c r="B38" s="40" t="s">
        <v>21</v>
      </c>
      <c r="D38" s="41"/>
    </row>
    <row r="39" spans="1:4" ht="15" x14ac:dyDescent="0.25">
      <c r="A39" s="34"/>
      <c r="B39" s="179" t="s">
        <v>222</v>
      </c>
      <c r="C39" s="38"/>
      <c r="D39" s="39"/>
    </row>
    <row r="40" spans="1:4" ht="15" x14ac:dyDescent="0.25">
      <c r="A40" s="34"/>
      <c r="B40" s="131" t="s">
        <v>44</v>
      </c>
      <c r="C40" s="38"/>
      <c r="D40" s="39"/>
    </row>
    <row r="41" spans="1:4" ht="33.6" x14ac:dyDescent="0.25">
      <c r="A41" s="42" t="s">
        <v>0</v>
      </c>
      <c r="B41" s="183" t="s">
        <v>23</v>
      </c>
      <c r="C41" s="38"/>
      <c r="D41" s="38"/>
    </row>
    <row r="42" spans="1:4" ht="16.8" x14ac:dyDescent="0.4">
      <c r="A42" s="43"/>
      <c r="B42" s="44"/>
      <c r="C42" s="45"/>
      <c r="D42" s="45"/>
    </row>
    <row r="43" spans="1:4" x14ac:dyDescent="0.25">
      <c r="A43" s="46"/>
      <c r="B43" s="47"/>
      <c r="C43" s="47"/>
      <c r="D43" s="1"/>
    </row>
    <row r="44" spans="1:4" x14ac:dyDescent="0.25">
      <c r="A44" s="46"/>
      <c r="B44" s="47"/>
      <c r="C44" s="47"/>
      <c r="D44" s="1"/>
    </row>
    <row r="45" spans="1:4" x14ac:dyDescent="0.25">
      <c r="A45" s="48"/>
      <c r="B45" s="49"/>
      <c r="C45" s="47"/>
      <c r="D45" s="1"/>
    </row>
    <row r="46" spans="1:4" ht="15" x14ac:dyDescent="0.35">
      <c r="A46" s="50" t="s">
        <v>0</v>
      </c>
      <c r="B46" s="51"/>
      <c r="C46" s="47"/>
      <c r="D46" s="47"/>
    </row>
    <row r="47" spans="1:4" ht="31.5" customHeight="1" x14ac:dyDescent="0.25">
      <c r="A47" s="1" t="s">
        <v>0</v>
      </c>
    </row>
    <row r="52" ht="15.75" customHeight="1" x14ac:dyDescent="0.25"/>
    <row r="57" ht="16.5" customHeight="1" x14ac:dyDescent="0.25"/>
    <row r="61" ht="15.75" customHeight="1" x14ac:dyDescent="0.25"/>
    <row r="62" ht="15" customHeight="1" x14ac:dyDescent="0.25"/>
  </sheetData>
  <mergeCells count="3">
    <mergeCell ref="A4:D4"/>
    <mergeCell ref="A14:D14"/>
    <mergeCell ref="B25:D25"/>
  </mergeCells>
  <printOptions horizontalCentered="1"/>
  <pageMargins left="0.25" right="0.25" top="0.75" bottom="0.75" header="0.3" footer="0.3"/>
  <pageSetup paperSize="9" scale="58" fitToHeight="0" orientation="portrait" r:id="rId1"/>
  <headerFooter alignWithMargins="0">
    <oddFooter>Página &amp;P de &amp;N</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B0EA-15E1-4344-B423-20B4ED397B14}">
  <sheetPr>
    <tabColor theme="4" tint="-0.249977111117893"/>
  </sheetPr>
  <dimension ref="A1:I55"/>
  <sheetViews>
    <sheetView topLeftCell="A10" zoomScaleNormal="100" workbookViewId="0">
      <selection activeCell="E17" sqref="E17"/>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994</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182</v>
      </c>
      <c r="C12" s="376">
        <v>63910</v>
      </c>
      <c r="D12" s="377">
        <f>A12*C12</f>
        <v>63910</v>
      </c>
      <c r="E12" s="190"/>
      <c r="F12" s="191"/>
    </row>
    <row r="13" spans="1:9" s="10" customFormat="1" ht="16.8" x14ac:dyDescent="0.4">
      <c r="A13" s="378"/>
      <c r="B13" s="379" t="s">
        <v>374</v>
      </c>
      <c r="C13" s="376"/>
      <c r="D13" s="377"/>
      <c r="E13" s="190"/>
      <c r="F13" s="191"/>
      <c r="G13" s="188"/>
      <c r="H13" s="188"/>
      <c r="I13" s="188"/>
    </row>
    <row r="14" spans="1:9" s="10" customFormat="1" ht="16.8" x14ac:dyDescent="0.4">
      <c r="A14" s="378"/>
      <c r="B14" s="379" t="s">
        <v>376</v>
      </c>
      <c r="C14" s="376"/>
      <c r="D14" s="377"/>
      <c r="E14" s="190"/>
      <c r="F14" s="191"/>
      <c r="G14" s="108"/>
      <c r="H14" s="108"/>
      <c r="I14" s="108"/>
    </row>
    <row r="15" spans="1:9" s="188" customFormat="1" ht="14.4" x14ac:dyDescent="0.3">
      <c r="A15" s="378"/>
      <c r="B15" s="379" t="s">
        <v>986</v>
      </c>
      <c r="C15" s="376"/>
      <c r="D15" s="377"/>
      <c r="E15" s="190"/>
      <c r="F15" s="276"/>
      <c r="G15" s="191"/>
      <c r="H15" s="191"/>
      <c r="I15" s="191"/>
    </row>
    <row r="16" spans="1:9" ht="14.4" x14ac:dyDescent="0.3">
      <c r="A16" s="380">
        <v>1</v>
      </c>
      <c r="B16" s="379" t="s">
        <v>987</v>
      </c>
      <c r="C16" s="381">
        <v>7260</v>
      </c>
      <c r="D16" s="377">
        <f>A16*C16</f>
        <v>7260</v>
      </c>
      <c r="E16" s="190"/>
    </row>
    <row r="17" spans="1:6" s="191" customFormat="1" ht="15.75" customHeight="1" x14ac:dyDescent="0.3">
      <c r="A17" s="380"/>
      <c r="B17" s="379" t="s">
        <v>185</v>
      </c>
      <c r="C17" s="381"/>
      <c r="D17" s="377"/>
      <c r="E17" s="190"/>
    </row>
    <row r="18" spans="1:6" x14ac:dyDescent="0.25">
      <c r="A18" s="380"/>
      <c r="B18" s="605" t="s">
        <v>988</v>
      </c>
      <c r="C18" s="381"/>
      <c r="D18" s="377"/>
      <c r="E18" s="190"/>
    </row>
    <row r="19" spans="1:6" ht="14.4" x14ac:dyDescent="0.25">
      <c r="A19" s="374">
        <v>1</v>
      </c>
      <c r="B19" s="375" t="s">
        <v>182</v>
      </c>
      <c r="C19" s="376">
        <v>63910</v>
      </c>
      <c r="D19" s="377">
        <f>A19*C19</f>
        <v>63910</v>
      </c>
      <c r="E19" s="190"/>
      <c r="F19" s="191"/>
    </row>
    <row r="20" spans="1:6" ht="14.4" x14ac:dyDescent="0.3">
      <c r="A20" s="378"/>
      <c r="B20" s="379" t="s">
        <v>374</v>
      </c>
      <c r="C20" s="376"/>
      <c r="D20" s="377"/>
      <c r="E20" s="190"/>
      <c r="F20" s="191"/>
    </row>
    <row r="21" spans="1:6" ht="14.4" x14ac:dyDescent="0.3">
      <c r="A21" s="378"/>
      <c r="B21" s="379" t="s">
        <v>376</v>
      </c>
      <c r="C21" s="376"/>
      <c r="D21" s="377"/>
      <c r="E21" s="190"/>
      <c r="F21" s="191"/>
    </row>
    <row r="22" spans="1:6" ht="14.4" x14ac:dyDescent="0.3">
      <c r="A22" s="378"/>
      <c r="B22" s="379" t="s">
        <v>377</v>
      </c>
      <c r="C22" s="376"/>
      <c r="D22" s="377"/>
      <c r="E22" s="190"/>
      <c r="F22" s="276"/>
    </row>
    <row r="23" spans="1:6" ht="14.4" x14ac:dyDescent="0.3">
      <c r="A23" s="380">
        <v>3</v>
      </c>
      <c r="B23" s="379" t="s">
        <v>378</v>
      </c>
      <c r="C23" s="381">
        <v>2198</v>
      </c>
      <c r="D23" s="377">
        <f>A23*C23</f>
        <v>6594</v>
      </c>
      <c r="E23" s="190"/>
    </row>
    <row r="24" spans="1:6" ht="14.4" x14ac:dyDescent="0.3">
      <c r="A24" s="380">
        <v>1</v>
      </c>
      <c r="B24" s="379" t="s">
        <v>187</v>
      </c>
      <c r="C24" s="381">
        <v>3500</v>
      </c>
      <c r="D24" s="377">
        <f>A24*C24</f>
        <v>3500</v>
      </c>
      <c r="E24" s="190"/>
      <c r="F24" s="190"/>
    </row>
    <row r="25" spans="1:6" x14ac:dyDescent="0.25">
      <c r="A25" s="286"/>
      <c r="B25" s="206"/>
      <c r="C25" s="382" t="s">
        <v>188</v>
      </c>
      <c r="D25" s="606">
        <f>SUM(D12:D24)</f>
        <v>145174</v>
      </c>
      <c r="E25" s="189"/>
    </row>
    <row r="26" spans="1:6" x14ac:dyDescent="0.25">
      <c r="A26" s="102"/>
      <c r="B26" s="383" t="s">
        <v>380</v>
      </c>
      <c r="C26" s="384" t="s">
        <v>90</v>
      </c>
      <c r="D26" s="607">
        <f>D25*0.16</f>
        <v>23227.84</v>
      </c>
      <c r="E26" s="189"/>
    </row>
    <row r="27" spans="1:6" ht="13.8" thickBot="1" x14ac:dyDescent="0.3">
      <c r="A27" s="102"/>
      <c r="B27" s="385" t="s">
        <v>381</v>
      </c>
      <c r="C27" s="386" t="s">
        <v>40</v>
      </c>
      <c r="D27" s="608">
        <f>D25+D26</f>
        <v>168401.84</v>
      </c>
      <c r="E27" s="189"/>
    </row>
    <row r="28" spans="1:6" ht="13.8" thickBot="1" x14ac:dyDescent="0.3">
      <c r="A28" s="276"/>
      <c r="B28" s="1050" t="s">
        <v>995</v>
      </c>
      <c r="C28" s="1051"/>
      <c r="D28" s="1052"/>
      <c r="E28" s="189"/>
    </row>
    <row r="29" spans="1:6" ht="17.399999999999999" x14ac:dyDescent="0.25">
      <c r="A29" s="102"/>
      <c r="B29" s="303" t="s">
        <v>10</v>
      </c>
      <c r="C29" s="104"/>
      <c r="D29" s="105"/>
    </row>
    <row r="30" spans="1:6" ht="15" x14ac:dyDescent="0.25">
      <c r="A30" s="106"/>
      <c r="B30" s="100" t="s">
        <v>11</v>
      </c>
      <c r="C30" s="104"/>
      <c r="D30" s="105"/>
    </row>
    <row r="31" spans="1:6" ht="15" x14ac:dyDescent="0.25">
      <c r="A31" s="106"/>
      <c r="B31" s="256" t="s">
        <v>13</v>
      </c>
      <c r="D31" s="105"/>
    </row>
    <row r="32" spans="1:6" ht="13.8" x14ac:dyDescent="0.25">
      <c r="B32" s="103" t="s">
        <v>15</v>
      </c>
    </row>
    <row r="33" spans="1:4" ht="27.6" x14ac:dyDescent="0.25">
      <c r="A33" s="106"/>
      <c r="B33" s="216" t="s">
        <v>192</v>
      </c>
      <c r="C33" s="109"/>
      <c r="D33" s="110"/>
    </row>
    <row r="34" spans="1:4" ht="13.5" customHeight="1" x14ac:dyDescent="0.25">
      <c r="A34" s="106"/>
      <c r="B34" s="216" t="s">
        <v>43</v>
      </c>
      <c r="C34" s="109"/>
      <c r="D34" s="110"/>
    </row>
    <row r="35" spans="1:4" ht="15.75" customHeight="1" x14ac:dyDescent="0.25">
      <c r="A35" s="106"/>
      <c r="B35" s="103" t="s">
        <v>18</v>
      </c>
      <c r="C35" s="109"/>
    </row>
    <row r="36" spans="1:4" ht="13.5" customHeight="1" x14ac:dyDescent="0.25">
      <c r="A36" s="106"/>
      <c r="B36" s="188" t="s">
        <v>996</v>
      </c>
      <c r="C36" s="220"/>
    </row>
    <row r="37" spans="1:4" ht="12" customHeight="1" x14ac:dyDescent="0.25">
      <c r="A37" s="106"/>
      <c r="B37" s="217" t="s">
        <v>20</v>
      </c>
      <c r="C37" s="109"/>
      <c r="D37" s="108"/>
    </row>
    <row r="38" spans="1:4" ht="11.25" customHeight="1" x14ac:dyDescent="0.25">
      <c r="B38" s="103" t="s">
        <v>21</v>
      </c>
      <c r="C38" s="220"/>
      <c r="D38" s="108"/>
    </row>
    <row r="39" spans="1:4" ht="15" x14ac:dyDescent="0.25">
      <c r="A39" s="390"/>
      <c r="B39" s="123" t="s">
        <v>145</v>
      </c>
      <c r="C39" s="181"/>
      <c r="D39" s="108"/>
    </row>
    <row r="40" spans="1:4" ht="15" x14ac:dyDescent="0.25">
      <c r="A40" s="390"/>
      <c r="B40" s="123" t="s">
        <v>44</v>
      </c>
      <c r="C40" s="181"/>
      <c r="D40" s="181"/>
    </row>
    <row r="41" spans="1:4" ht="14.25" customHeight="1" x14ac:dyDescent="0.25">
      <c r="A41" s="390"/>
      <c r="B41" s="123" t="s">
        <v>45</v>
      </c>
      <c r="D41" s="181"/>
    </row>
    <row r="43" spans="1:4" ht="16.5" customHeight="1" x14ac:dyDescent="0.25"/>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28:D2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E2D5-BD51-453C-8D6C-C00C2B0C3F2A}">
  <sheetPr>
    <tabColor theme="4" tint="-0.249977111117893"/>
  </sheetPr>
  <dimension ref="A1:I55"/>
  <sheetViews>
    <sheetView topLeftCell="A8" zoomScaleNormal="100" workbookViewId="0">
      <selection activeCell="C19" sqref="C1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994</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182</v>
      </c>
      <c r="C12" s="376">
        <v>63910</v>
      </c>
      <c r="D12" s="377">
        <f>A12*C12</f>
        <v>63910</v>
      </c>
      <c r="E12" s="190"/>
      <c r="F12" s="191"/>
    </row>
    <row r="13" spans="1:9" s="10" customFormat="1" ht="16.8" x14ac:dyDescent="0.4">
      <c r="A13" s="378"/>
      <c r="B13" s="379" t="s">
        <v>374</v>
      </c>
      <c r="C13" s="376"/>
      <c r="D13" s="377"/>
      <c r="E13" s="190"/>
      <c r="F13" s="191"/>
      <c r="G13" s="188"/>
      <c r="H13" s="188"/>
      <c r="I13" s="188"/>
    </row>
    <row r="14" spans="1:9" s="10" customFormat="1" ht="16.8" x14ac:dyDescent="0.4">
      <c r="A14" s="378"/>
      <c r="B14" s="379" t="s">
        <v>376</v>
      </c>
      <c r="C14" s="376"/>
      <c r="D14" s="377"/>
      <c r="E14" s="190"/>
      <c r="F14" s="191"/>
      <c r="G14" s="108"/>
      <c r="H14" s="108"/>
      <c r="I14" s="108"/>
    </row>
    <row r="15" spans="1:9" s="188" customFormat="1" ht="14.4" x14ac:dyDescent="0.3">
      <c r="A15" s="378"/>
      <c r="B15" s="379" t="s">
        <v>986</v>
      </c>
      <c r="C15" s="376"/>
      <c r="D15" s="377"/>
      <c r="E15" s="190"/>
      <c r="F15" s="276"/>
      <c r="G15" s="191"/>
      <c r="H15" s="191"/>
      <c r="I15" s="191"/>
    </row>
    <row r="16" spans="1:9" ht="14.4" x14ac:dyDescent="0.3">
      <c r="A16" s="380">
        <v>1</v>
      </c>
      <c r="B16" s="379" t="s">
        <v>987</v>
      </c>
      <c r="C16" s="381">
        <v>7260</v>
      </c>
      <c r="D16" s="377">
        <f>A16*C16</f>
        <v>7260</v>
      </c>
      <c r="E16" s="190"/>
    </row>
    <row r="17" spans="1:6" s="191" customFormat="1" ht="15.75" customHeight="1" x14ac:dyDescent="0.3">
      <c r="A17" s="380"/>
      <c r="B17" s="379" t="s">
        <v>185</v>
      </c>
      <c r="C17" s="381"/>
      <c r="D17" s="377"/>
      <c r="F17" s="190"/>
    </row>
    <row r="18" spans="1:6" x14ac:dyDescent="0.25">
      <c r="A18" s="380"/>
      <c r="B18" s="605" t="s">
        <v>988</v>
      </c>
      <c r="C18" s="381"/>
      <c r="D18" s="377"/>
      <c r="E18" s="190"/>
    </row>
    <row r="19" spans="1:6" ht="14.4" x14ac:dyDescent="0.25">
      <c r="A19" s="374">
        <v>1</v>
      </c>
      <c r="B19" s="375" t="s">
        <v>182</v>
      </c>
      <c r="C19" s="376">
        <v>63910</v>
      </c>
      <c r="D19" s="377">
        <f>A19*C19</f>
        <v>63910</v>
      </c>
      <c r="E19" s="190"/>
      <c r="F19" s="191"/>
    </row>
    <row r="20" spans="1:6" ht="14.4" x14ac:dyDescent="0.3">
      <c r="A20" s="378"/>
      <c r="B20" s="379" t="s">
        <v>374</v>
      </c>
      <c r="C20" s="376"/>
      <c r="D20" s="377"/>
      <c r="E20" s="190"/>
      <c r="F20" s="191"/>
    </row>
    <row r="21" spans="1:6" ht="14.4" x14ac:dyDescent="0.3">
      <c r="A21" s="378"/>
      <c r="B21" s="379" t="s">
        <v>376</v>
      </c>
      <c r="C21" s="376"/>
      <c r="D21" s="377"/>
      <c r="E21" s="190"/>
      <c r="F21" s="191"/>
    </row>
    <row r="22" spans="1:6" ht="14.4" x14ac:dyDescent="0.3">
      <c r="A22" s="378"/>
      <c r="B22" s="379" t="s">
        <v>377</v>
      </c>
      <c r="C22" s="376"/>
      <c r="D22" s="377"/>
      <c r="E22" s="190"/>
      <c r="F22" s="276"/>
    </row>
    <row r="23" spans="1:6" ht="14.4" x14ac:dyDescent="0.3">
      <c r="A23" s="380">
        <v>4</v>
      </c>
      <c r="B23" s="379" t="s">
        <v>378</v>
      </c>
      <c r="C23" s="381">
        <v>2198</v>
      </c>
      <c r="D23" s="377">
        <f>A23*C23</f>
        <v>8792</v>
      </c>
      <c r="E23" s="190"/>
    </row>
    <row r="24" spans="1:6" ht="14.4" x14ac:dyDescent="0.3">
      <c r="A24" s="380">
        <v>1</v>
      </c>
      <c r="B24" s="379" t="s">
        <v>187</v>
      </c>
      <c r="C24" s="381">
        <v>3500</v>
      </c>
      <c r="D24" s="377">
        <f>A24*C24</f>
        <v>3500</v>
      </c>
      <c r="E24" s="190"/>
      <c r="F24" s="190"/>
    </row>
    <row r="25" spans="1:6" x14ac:dyDescent="0.25">
      <c r="A25" s="286"/>
      <c r="B25" s="206"/>
      <c r="C25" s="382" t="s">
        <v>188</v>
      </c>
      <c r="D25" s="606">
        <f>SUM(D12:D24)</f>
        <v>147372</v>
      </c>
      <c r="E25" s="189"/>
    </row>
    <row r="26" spans="1:6" x14ac:dyDescent="0.25">
      <c r="A26" s="286"/>
      <c r="B26" s="206"/>
      <c r="C26" s="382" t="s">
        <v>991</v>
      </c>
      <c r="D26" s="606">
        <f>D25*0.09</f>
        <v>13263.48</v>
      </c>
      <c r="E26" s="189"/>
    </row>
    <row r="27" spans="1:6" x14ac:dyDescent="0.25">
      <c r="A27" s="286"/>
      <c r="B27" s="206"/>
      <c r="C27" s="382" t="s">
        <v>992</v>
      </c>
      <c r="D27" s="606">
        <f>D25-D26</f>
        <v>134108.51999999999</v>
      </c>
      <c r="E27" s="189"/>
    </row>
    <row r="28" spans="1:6" x14ac:dyDescent="0.25">
      <c r="A28" s="102"/>
      <c r="B28" s="383" t="s">
        <v>993</v>
      </c>
      <c r="C28" s="384" t="s">
        <v>90</v>
      </c>
      <c r="D28" s="607">
        <f>D27*0.16</f>
        <v>21457.3632</v>
      </c>
      <c r="E28" s="189"/>
    </row>
    <row r="29" spans="1:6" ht="13.8" thickBot="1" x14ac:dyDescent="0.3">
      <c r="A29" s="102"/>
      <c r="B29" s="385" t="s">
        <v>381</v>
      </c>
      <c r="C29" s="386" t="s">
        <v>40</v>
      </c>
      <c r="D29" s="608">
        <f>D27+D28</f>
        <v>155565.88319999998</v>
      </c>
      <c r="E29" s="189"/>
    </row>
    <row r="30" spans="1:6" ht="13.8" thickBot="1" x14ac:dyDescent="0.3">
      <c r="A30" s="276"/>
      <c r="B30" s="1050" t="s">
        <v>989</v>
      </c>
      <c r="C30" s="1051"/>
      <c r="D30" s="1052"/>
      <c r="E30" s="189"/>
    </row>
    <row r="31" spans="1:6" ht="17.399999999999999" x14ac:dyDescent="0.25">
      <c r="A31" s="102"/>
      <c r="B31" s="303" t="s">
        <v>10</v>
      </c>
      <c r="C31" s="104"/>
      <c r="D31" s="105"/>
    </row>
    <row r="32" spans="1:6" ht="15" x14ac:dyDescent="0.25">
      <c r="A32" s="106"/>
      <c r="B32" s="100" t="s">
        <v>11</v>
      </c>
      <c r="C32" s="104"/>
      <c r="D32" s="105"/>
    </row>
    <row r="33" spans="1:4" ht="15" x14ac:dyDescent="0.25">
      <c r="A33" s="106"/>
      <c r="B33" s="256" t="s">
        <v>13</v>
      </c>
      <c r="D33" s="105"/>
    </row>
    <row r="34" spans="1:4" ht="13.5" customHeight="1" x14ac:dyDescent="0.25">
      <c r="B34" s="103" t="s">
        <v>15</v>
      </c>
    </row>
    <row r="35" spans="1:4" ht="15.75" customHeight="1" x14ac:dyDescent="0.25">
      <c r="A35" s="106"/>
      <c r="B35" s="216" t="s">
        <v>192</v>
      </c>
      <c r="C35" s="109"/>
      <c r="D35" s="110"/>
    </row>
    <row r="36" spans="1:4" ht="13.5" customHeight="1" x14ac:dyDescent="0.25">
      <c r="A36" s="106"/>
      <c r="B36" s="216" t="s">
        <v>43</v>
      </c>
      <c r="C36" s="109"/>
      <c r="D36" s="110"/>
    </row>
    <row r="37" spans="1:4" ht="12" customHeight="1" x14ac:dyDescent="0.25">
      <c r="A37" s="106"/>
      <c r="B37" s="103" t="s">
        <v>18</v>
      </c>
      <c r="C37" s="109"/>
    </row>
    <row r="38" spans="1:4" ht="11.25" customHeight="1" x14ac:dyDescent="0.25">
      <c r="A38" s="106"/>
      <c r="B38" s="188" t="s">
        <v>990</v>
      </c>
      <c r="C38" s="220"/>
    </row>
    <row r="39" spans="1:4" ht="15" x14ac:dyDescent="0.25">
      <c r="A39" s="106"/>
      <c r="B39" s="217" t="s">
        <v>20</v>
      </c>
      <c r="C39" s="109"/>
      <c r="D39" s="108"/>
    </row>
    <row r="40" spans="1:4" ht="13.8" x14ac:dyDescent="0.25">
      <c r="B40" s="103" t="s">
        <v>21</v>
      </c>
      <c r="C40" s="220"/>
      <c r="D40" s="108"/>
    </row>
    <row r="41" spans="1:4" ht="14.25" customHeight="1" x14ac:dyDescent="0.25">
      <c r="A41" s="106"/>
      <c r="B41" s="310" t="s">
        <v>262</v>
      </c>
      <c r="C41" s="181"/>
      <c r="D41" s="108"/>
    </row>
    <row r="42" spans="1:4" ht="15" x14ac:dyDescent="0.25">
      <c r="A42" s="106"/>
      <c r="B42" s="180" t="s">
        <v>44</v>
      </c>
      <c r="C42" s="181"/>
      <c r="D42" s="181"/>
    </row>
    <row r="43" spans="1:4" ht="16.5" customHeight="1" x14ac:dyDescent="0.25">
      <c r="A43" s="106"/>
      <c r="B43" s="180" t="s">
        <v>45</v>
      </c>
      <c r="D43" s="181"/>
    </row>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30:D30"/>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D979-52E7-4E02-9A51-7C571B3A7730}">
  <sheetPr>
    <tabColor theme="4" tint="-0.249977111117893"/>
  </sheetPr>
  <dimension ref="A1:I55"/>
  <sheetViews>
    <sheetView zoomScaleNormal="100" workbookViewId="0">
      <selection activeCell="B15" sqref="B15"/>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1008</v>
      </c>
      <c r="C4" s="58"/>
      <c r="D4" s="58"/>
    </row>
    <row r="5" spans="1:9" s="10" customFormat="1" ht="16.8" x14ac:dyDescent="0.4">
      <c r="A5" s="57" t="s">
        <v>1009</v>
      </c>
      <c r="C5" s="58"/>
      <c r="D5" s="58"/>
    </row>
    <row r="6" spans="1:9" s="10" customFormat="1" ht="16.8" x14ac:dyDescent="0.4">
      <c r="A6" s="57" t="s">
        <v>1010</v>
      </c>
      <c r="C6" s="59"/>
      <c r="D6" s="58"/>
    </row>
    <row r="7" spans="1:9" s="10" customFormat="1" ht="16.8" x14ac:dyDescent="0.4">
      <c r="A7" s="57" t="s">
        <v>1011</v>
      </c>
      <c r="C7" s="59"/>
      <c r="D7" s="58"/>
    </row>
    <row r="8" spans="1:9" s="10" customFormat="1" ht="16.8" x14ac:dyDescent="0.4">
      <c r="A8" s="57" t="s">
        <v>6</v>
      </c>
      <c r="B8" s="61"/>
      <c r="C8" s="62"/>
      <c r="D8" s="63"/>
    </row>
    <row r="9" spans="1:9" s="10" customFormat="1" ht="16.8" x14ac:dyDescent="0.4">
      <c r="A9" s="60" t="s">
        <v>1030</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30</v>
      </c>
      <c r="B12" s="375" t="s">
        <v>1004</v>
      </c>
      <c r="C12" s="376">
        <v>4840</v>
      </c>
      <c r="D12" s="377">
        <f>A12*C12</f>
        <v>145200</v>
      </c>
      <c r="E12" s="190"/>
      <c r="F12" s="191"/>
    </row>
    <row r="13" spans="1:9" s="10" customFormat="1" ht="16.8" x14ac:dyDescent="0.4">
      <c r="A13" s="378"/>
      <c r="B13" s="379" t="s">
        <v>1005</v>
      </c>
      <c r="C13" s="376"/>
      <c r="D13" s="377"/>
      <c r="E13" s="190"/>
      <c r="F13" s="191"/>
      <c r="G13" s="188"/>
      <c r="H13" s="188"/>
      <c r="I13" s="188"/>
    </row>
    <row r="14" spans="1:9" s="10" customFormat="1" ht="16.8" x14ac:dyDescent="0.4">
      <c r="A14" s="286"/>
      <c r="B14" s="206" t="s">
        <v>1031</v>
      </c>
      <c r="C14" s="382" t="s">
        <v>188</v>
      </c>
      <c r="D14" s="606">
        <f>SUM(D12:D13)</f>
        <v>145200</v>
      </c>
      <c r="E14" s="189"/>
    </row>
    <row r="15" spans="1:9" s="188" customFormat="1" ht="13.8" x14ac:dyDescent="0.25">
      <c r="A15" s="102"/>
      <c r="B15" s="383" t="s">
        <v>380</v>
      </c>
      <c r="C15" s="384" t="s">
        <v>90</v>
      </c>
      <c r="D15" s="607">
        <f>D14*0.16</f>
        <v>23232</v>
      </c>
      <c r="E15" s="189"/>
    </row>
    <row r="16" spans="1:9" ht="13.8" thickBot="1" x14ac:dyDescent="0.3">
      <c r="A16" s="102"/>
      <c r="B16" s="385" t="s">
        <v>381</v>
      </c>
      <c r="C16" s="386" t="s">
        <v>40</v>
      </c>
      <c r="D16" s="608">
        <f>D14+D15</f>
        <v>168432</v>
      </c>
      <c r="E16" s="189"/>
    </row>
    <row r="17" spans="1:5" s="191" customFormat="1" ht="15.75" customHeight="1" thickBot="1" x14ac:dyDescent="0.3">
      <c r="A17" s="276"/>
      <c r="B17" s="1050" t="s">
        <v>1006</v>
      </c>
      <c r="C17" s="1051"/>
      <c r="D17" s="1052"/>
      <c r="E17" s="189"/>
    </row>
    <row r="18" spans="1:5" ht="17.399999999999999" x14ac:dyDescent="0.25">
      <c r="A18" s="383"/>
      <c r="B18" s="387" t="s">
        <v>10</v>
      </c>
      <c r="C18" s="388"/>
      <c r="D18" s="389"/>
    </row>
    <row r="19" spans="1:5" ht="15" x14ac:dyDescent="0.25">
      <c r="A19" s="390"/>
      <c r="B19" s="103" t="s">
        <v>11</v>
      </c>
      <c r="C19" s="388"/>
      <c r="D19" s="389"/>
    </row>
    <row r="20" spans="1:5" ht="15" x14ac:dyDescent="0.25">
      <c r="A20" s="390"/>
      <c r="B20" s="123" t="s">
        <v>13</v>
      </c>
      <c r="C20" s="391"/>
      <c r="D20" s="389"/>
    </row>
    <row r="21" spans="1:5" ht="13.8" x14ac:dyDescent="0.25">
      <c r="A21" s="392"/>
      <c r="B21" s="103" t="s">
        <v>15</v>
      </c>
      <c r="C21" s="391"/>
      <c r="D21" s="391"/>
    </row>
    <row r="22" spans="1:5" ht="27.6" x14ac:dyDescent="0.25">
      <c r="A22" s="390"/>
      <c r="B22" s="295" t="s">
        <v>192</v>
      </c>
      <c r="C22" s="393"/>
      <c r="D22" s="394"/>
    </row>
    <row r="23" spans="1:5" ht="41.4" x14ac:dyDescent="0.25">
      <c r="A23" s="390"/>
      <c r="B23" s="295" t="s">
        <v>43</v>
      </c>
      <c r="C23" s="393"/>
      <c r="D23" s="394"/>
    </row>
    <row r="24" spans="1:5" ht="15" x14ac:dyDescent="0.25">
      <c r="A24" s="390"/>
      <c r="B24" s="103" t="s">
        <v>18</v>
      </c>
      <c r="C24" s="393"/>
      <c r="D24" s="391"/>
    </row>
    <row r="25" spans="1:5" ht="15" x14ac:dyDescent="0.25">
      <c r="A25" s="390"/>
      <c r="B25" s="313" t="s">
        <v>1007</v>
      </c>
      <c r="C25" s="393"/>
      <c r="D25" s="391"/>
    </row>
    <row r="26" spans="1:5" ht="15" x14ac:dyDescent="0.25">
      <c r="A26" s="390"/>
      <c r="B26" s="297" t="s">
        <v>20</v>
      </c>
      <c r="C26" s="393"/>
      <c r="D26" s="392"/>
    </row>
    <row r="27" spans="1:5" ht="13.8" x14ac:dyDescent="0.25">
      <c r="A27" s="392"/>
      <c r="B27" s="103" t="s">
        <v>21</v>
      </c>
      <c r="C27" s="393"/>
      <c r="D27" s="392"/>
    </row>
    <row r="28" spans="1:5" ht="15" x14ac:dyDescent="0.25">
      <c r="A28" s="390"/>
      <c r="B28" s="123" t="s">
        <v>145</v>
      </c>
      <c r="C28" s="395"/>
      <c r="D28" s="392"/>
    </row>
    <row r="29" spans="1:5" ht="15" x14ac:dyDescent="0.25">
      <c r="A29" s="390"/>
      <c r="B29" s="123" t="s">
        <v>44</v>
      </c>
      <c r="C29" s="395"/>
      <c r="D29" s="395"/>
    </row>
    <row r="30" spans="1:5" ht="15" x14ac:dyDescent="0.25">
      <c r="A30" s="390"/>
      <c r="B30" s="123" t="s">
        <v>45</v>
      </c>
      <c r="C30" s="391"/>
      <c r="D30" s="395"/>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7:D17"/>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E2A4-AF74-4741-8197-A6FD69E5E62A}">
  <sheetPr>
    <pageSetUpPr fitToPage="1"/>
  </sheetPr>
  <dimension ref="A1:G69"/>
  <sheetViews>
    <sheetView topLeftCell="A8" zoomScaleNormal="100" workbookViewId="0">
      <selection activeCell="B17" sqref="B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951</v>
      </c>
      <c r="B9" s="10"/>
      <c r="C9" s="58"/>
      <c r="D9" s="58"/>
    </row>
    <row r="10" spans="1:5" s="55" customFormat="1" ht="16.8" x14ac:dyDescent="0.4">
      <c r="A10" s="57" t="s">
        <v>952</v>
      </c>
      <c r="B10" s="10"/>
      <c r="C10" s="58"/>
      <c r="D10" s="58"/>
    </row>
    <row r="11" spans="1:5" s="55" customFormat="1" ht="16.8" x14ac:dyDescent="0.4">
      <c r="A11" s="57" t="s">
        <v>953</v>
      </c>
      <c r="B11" s="10"/>
      <c r="C11" s="59"/>
      <c r="D11" s="58"/>
    </row>
    <row r="12" spans="1:5" s="55" customFormat="1" ht="15" customHeight="1" x14ac:dyDescent="0.4">
      <c r="A12" s="60" t="s">
        <v>1015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73" t="s">
        <v>942</v>
      </c>
      <c r="C16" s="74">
        <f>(2433.37*20.3)*1.2</f>
        <v>59276.893199999999</v>
      </c>
      <c r="D16" s="75">
        <f>A16*C16</f>
        <v>59276.893199999999</v>
      </c>
      <c r="E16" s="76"/>
    </row>
    <row r="17" spans="1:7" ht="15.6" x14ac:dyDescent="0.25">
      <c r="A17" s="72">
        <v>1</v>
      </c>
      <c r="B17" s="73" t="s">
        <v>943</v>
      </c>
      <c r="C17" s="74">
        <f>(4599.87*20.3)*1.2</f>
        <v>112052.83320000001</v>
      </c>
      <c r="D17" s="75">
        <f>C17*A17</f>
        <v>112052.83320000001</v>
      </c>
      <c r="E17" s="76"/>
    </row>
    <row r="18" spans="1:7" ht="15.6" x14ac:dyDescent="0.25">
      <c r="A18" s="72">
        <v>20</v>
      </c>
      <c r="B18" s="73" t="s">
        <v>949</v>
      </c>
      <c r="C18" s="74">
        <f>8050*1.25</f>
        <v>10062.5</v>
      </c>
      <c r="D18" s="75">
        <f>C18*A18</f>
        <v>201250</v>
      </c>
      <c r="E18" s="76"/>
    </row>
    <row r="19" spans="1:7" ht="15.6" x14ac:dyDescent="0.25">
      <c r="A19" s="72">
        <v>1</v>
      </c>
      <c r="B19" s="73" t="s">
        <v>944</v>
      </c>
      <c r="C19" s="74">
        <f>(6672.69*20.3)*1.2</f>
        <v>162546.72839999999</v>
      </c>
      <c r="D19" s="75">
        <f t="shared" ref="D19:D24" si="0">A19*C19</f>
        <v>162546.72839999999</v>
      </c>
      <c r="E19" s="76"/>
    </row>
    <row r="20" spans="1:7" ht="15.6" x14ac:dyDescent="0.25">
      <c r="A20" s="72">
        <v>2</v>
      </c>
      <c r="B20" s="73" t="s">
        <v>945</v>
      </c>
      <c r="C20" s="74">
        <f>(1201.1*20.3)*1.2</f>
        <v>29258.795999999998</v>
      </c>
      <c r="D20" s="75">
        <f t="shared" si="0"/>
        <v>58517.591999999997</v>
      </c>
      <c r="E20" s="76"/>
    </row>
    <row r="21" spans="1:7" ht="15.6" x14ac:dyDescent="0.25">
      <c r="A21" s="72">
        <v>150</v>
      </c>
      <c r="B21" s="73" t="s">
        <v>950</v>
      </c>
      <c r="C21" s="74">
        <f>920*1.22</f>
        <v>1122.3999999999999</v>
      </c>
      <c r="D21" s="75">
        <f t="shared" si="0"/>
        <v>168359.99999999997</v>
      </c>
      <c r="E21" s="76"/>
    </row>
    <row r="22" spans="1:7" ht="45" x14ac:dyDescent="0.25">
      <c r="A22" s="72">
        <v>1</v>
      </c>
      <c r="B22" s="73" t="s">
        <v>946</v>
      </c>
      <c r="C22" s="74">
        <v>13800</v>
      </c>
      <c r="D22" s="75">
        <f t="shared" si="0"/>
        <v>13800</v>
      </c>
      <c r="E22" s="76"/>
    </row>
    <row r="23" spans="1:7" ht="15.6" x14ac:dyDescent="0.25">
      <c r="A23" s="72">
        <v>1</v>
      </c>
      <c r="B23" s="73" t="s">
        <v>1012</v>
      </c>
      <c r="C23" s="74">
        <v>6000</v>
      </c>
      <c r="D23" s="75">
        <f t="shared" si="0"/>
        <v>6000</v>
      </c>
      <c r="E23" s="76"/>
    </row>
    <row r="24" spans="1:7" ht="30" x14ac:dyDescent="0.25">
      <c r="A24" s="72">
        <v>1</v>
      </c>
      <c r="B24" s="73" t="s">
        <v>948</v>
      </c>
      <c r="C24" s="74">
        <v>2000</v>
      </c>
      <c r="D24" s="75">
        <f t="shared" si="0"/>
        <v>2000</v>
      </c>
      <c r="E24" s="76"/>
    </row>
    <row r="25" spans="1:7" ht="18.75" customHeight="1" x14ac:dyDescent="0.25">
      <c r="A25" s="72"/>
      <c r="B25" s="75"/>
      <c r="C25" s="75"/>
      <c r="D25" s="75"/>
      <c r="E25" s="76"/>
    </row>
    <row r="26" spans="1:7" ht="15.6" x14ac:dyDescent="0.25">
      <c r="A26" s="89"/>
      <c r="B26" s="90"/>
      <c r="C26" s="304" t="s">
        <v>38</v>
      </c>
      <c r="D26" s="75">
        <f>SUM(D16:D24)</f>
        <v>783804.04680000001</v>
      </c>
      <c r="E26" s="76"/>
    </row>
    <row r="27" spans="1:7" ht="15.6" x14ac:dyDescent="0.3">
      <c r="A27" s="92"/>
      <c r="B27" s="90"/>
      <c r="C27" s="305" t="s">
        <v>39</v>
      </c>
      <c r="D27" s="75">
        <f>D26*0.16</f>
        <v>125408.647488</v>
      </c>
      <c r="E27" s="76"/>
    </row>
    <row r="28" spans="1:7" ht="16.2" thickBot="1" x14ac:dyDescent="0.35">
      <c r="A28" s="92"/>
      <c r="B28" s="90"/>
      <c r="C28" s="306" t="s">
        <v>40</v>
      </c>
      <c r="D28" s="95">
        <f>D26+D27</f>
        <v>909212.694288</v>
      </c>
      <c r="E28" s="76"/>
    </row>
    <row r="29" spans="1:7" s="96" customFormat="1" ht="16.2" thickBot="1" x14ac:dyDescent="0.3">
      <c r="A29" s="92"/>
      <c r="B29" s="1023" t="s">
        <v>1013</v>
      </c>
      <c r="C29" s="1024"/>
      <c r="D29" s="1025"/>
      <c r="E29" s="76"/>
      <c r="F29" s="52"/>
      <c r="G29" s="52"/>
    </row>
    <row r="30" spans="1:7" s="96" customFormat="1" ht="15.75" customHeight="1" x14ac:dyDescent="0.25">
      <c r="A30" s="52"/>
      <c r="B30" s="97" t="s">
        <v>9</v>
      </c>
      <c r="C30" s="98"/>
      <c r="D30" s="99"/>
      <c r="E30" s="52"/>
      <c r="F30" s="52"/>
    </row>
    <row r="31" spans="1:7" ht="156.6" x14ac:dyDescent="0.25">
      <c r="B31" s="596" t="s">
        <v>958</v>
      </c>
      <c r="C31" s="76"/>
      <c r="D31" s="96"/>
      <c r="E31" s="96"/>
      <c r="F31" s="96"/>
      <c r="G31" s="96"/>
    </row>
    <row r="32" spans="1:7" ht="13.5" customHeight="1" x14ac:dyDescent="0.25">
      <c r="A32" s="426"/>
      <c r="B32" s="103" t="s">
        <v>11</v>
      </c>
      <c r="C32" s="96"/>
      <c r="D32" s="96"/>
      <c r="E32" s="96"/>
      <c r="F32" s="96"/>
    </row>
    <row r="33" spans="1:4" ht="13.5" customHeight="1" x14ac:dyDescent="0.25">
      <c r="A33" s="427"/>
      <c r="B33" s="123" t="s">
        <v>12</v>
      </c>
      <c r="C33" s="52"/>
      <c r="D33" s="52"/>
    </row>
    <row r="34" spans="1:4" ht="15" x14ac:dyDescent="0.25">
      <c r="A34" s="427"/>
      <c r="B34" s="123" t="s">
        <v>13</v>
      </c>
      <c r="C34" s="52"/>
      <c r="D34" s="52"/>
    </row>
    <row r="35" spans="1:4" ht="15" x14ac:dyDescent="0.25">
      <c r="A35" s="427"/>
      <c r="B35" s="123" t="s">
        <v>14</v>
      </c>
      <c r="C35" s="52"/>
      <c r="D35" s="52"/>
    </row>
    <row r="36" spans="1:4" ht="13.5" customHeight="1" x14ac:dyDescent="0.25">
      <c r="A36" s="383"/>
      <c r="B36" s="103" t="s">
        <v>15</v>
      </c>
      <c r="C36" s="52"/>
      <c r="D36" s="52"/>
    </row>
    <row r="37" spans="1:4" ht="13.5" customHeight="1" x14ac:dyDescent="0.25">
      <c r="A37" s="383"/>
      <c r="B37" s="295" t="s">
        <v>42</v>
      </c>
      <c r="C37" s="104"/>
      <c r="D37" s="105"/>
    </row>
    <row r="38" spans="1:4" ht="13.5" customHeight="1" x14ac:dyDescent="0.25">
      <c r="A38" s="390"/>
      <c r="B38" s="295" t="s">
        <v>43</v>
      </c>
      <c r="C38" s="104"/>
      <c r="D38" s="105"/>
    </row>
    <row r="39" spans="1:4" ht="13.5" customHeight="1" x14ac:dyDescent="0.25">
      <c r="A39" s="390"/>
      <c r="B39" s="103" t="s">
        <v>18</v>
      </c>
      <c r="C39" s="107"/>
      <c r="D39" s="105"/>
    </row>
    <row r="40" spans="1:4" ht="13.5" customHeight="1" x14ac:dyDescent="0.25">
      <c r="A40" s="390"/>
      <c r="B40" s="313" t="s">
        <v>808</v>
      </c>
      <c r="C40" s="107"/>
      <c r="D40" s="105"/>
    </row>
    <row r="41" spans="1:4" ht="15" x14ac:dyDescent="0.25">
      <c r="A41" s="390"/>
      <c r="B41" s="297" t="s">
        <v>20</v>
      </c>
      <c r="C41" s="107"/>
      <c r="D41" s="105"/>
    </row>
    <row r="42" spans="1:4" ht="13.8" x14ac:dyDescent="0.25">
      <c r="A42" s="392"/>
      <c r="B42" s="103" t="s">
        <v>21</v>
      </c>
      <c r="C42" s="107"/>
      <c r="D42" s="105"/>
    </row>
    <row r="43" spans="1:4" ht="15" x14ac:dyDescent="0.25">
      <c r="A43" s="390"/>
      <c r="B43" s="122" t="s">
        <v>262</v>
      </c>
      <c r="C43" s="107"/>
      <c r="D43" s="107"/>
    </row>
    <row r="44" spans="1:4" ht="15" x14ac:dyDescent="0.25">
      <c r="A44" s="390"/>
      <c r="B44" s="123" t="s">
        <v>44</v>
      </c>
      <c r="C44" s="107"/>
      <c r="D44" s="107"/>
    </row>
    <row r="45" spans="1:4" ht="15" x14ac:dyDescent="0.25">
      <c r="A45" s="390"/>
      <c r="B45" s="123" t="s">
        <v>45</v>
      </c>
      <c r="C45" s="109"/>
      <c r="D45" s="110"/>
    </row>
    <row r="46" spans="1:4" ht="33.6" x14ac:dyDescent="0.25">
      <c r="A46" s="390"/>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56" fitToHeight="0"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B1EC-69C8-43C7-9716-91D6474F6BB8}">
  <sheetPr>
    <pageSetUpPr fitToPage="1"/>
  </sheetPr>
  <dimension ref="A1:G69"/>
  <sheetViews>
    <sheetView topLeftCell="A8" zoomScaleNormal="100" workbookViewId="0">
      <selection activeCell="B30" sqref="B3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951</v>
      </c>
      <c r="B9" s="10"/>
      <c r="C9" s="58"/>
      <c r="D9" s="58"/>
    </row>
    <row r="10" spans="1:5" s="55" customFormat="1" ht="16.8" x14ac:dyDescent="0.4">
      <c r="A10" s="57" t="s">
        <v>952</v>
      </c>
      <c r="B10" s="10"/>
      <c r="C10" s="58"/>
      <c r="D10" s="58"/>
    </row>
    <row r="11" spans="1:5" s="55" customFormat="1" ht="16.8" x14ac:dyDescent="0.4">
      <c r="A11" s="57" t="s">
        <v>953</v>
      </c>
      <c r="B11" s="10"/>
      <c r="C11" s="59"/>
      <c r="D11" s="58"/>
    </row>
    <row r="12" spans="1:5" s="55" customFormat="1" ht="15" customHeight="1" x14ac:dyDescent="0.4">
      <c r="A12" s="60" t="s">
        <v>1015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955</v>
      </c>
      <c r="C16" s="74">
        <f>(76816*1.2)</f>
        <v>92179.199999999997</v>
      </c>
      <c r="D16" s="75">
        <f>A16*C16</f>
        <v>92179.199999999997</v>
      </c>
      <c r="E16" s="76"/>
    </row>
    <row r="17" spans="1:7" ht="15.6" x14ac:dyDescent="0.25">
      <c r="A17" s="72">
        <v>1</v>
      </c>
      <c r="B17" s="73" t="s">
        <v>956</v>
      </c>
      <c r="C17" s="74">
        <f>(170854.95)*1.23</f>
        <v>210151.58850000001</v>
      </c>
      <c r="D17" s="75">
        <f>C17*A17</f>
        <v>210151.58850000001</v>
      </c>
      <c r="E17" s="76"/>
    </row>
    <row r="18" spans="1:7" ht="15.6" x14ac:dyDescent="0.25">
      <c r="A18" s="72">
        <v>20</v>
      </c>
      <c r="B18" s="73" t="s">
        <v>949</v>
      </c>
      <c r="C18" s="74">
        <f>8050*1.25</f>
        <v>10062.5</v>
      </c>
      <c r="D18" s="75">
        <f>C18*A18</f>
        <v>201250</v>
      </c>
      <c r="E18" s="76"/>
    </row>
    <row r="19" spans="1:7" ht="45" x14ac:dyDescent="0.25">
      <c r="A19" s="72">
        <v>1</v>
      </c>
      <c r="B19" s="73" t="s">
        <v>957</v>
      </c>
      <c r="C19" s="74">
        <f>(265000)*1.23</f>
        <v>325950</v>
      </c>
      <c r="D19" s="75">
        <f t="shared" ref="D19:D24" si="0">A19*C19</f>
        <v>325950</v>
      </c>
      <c r="E19" s="76"/>
    </row>
    <row r="20" spans="1:7" ht="15.6" x14ac:dyDescent="0.25">
      <c r="A20" s="72">
        <v>2</v>
      </c>
      <c r="B20" s="73" t="s">
        <v>1014</v>
      </c>
      <c r="C20" s="74">
        <f>(22258)*1.3</f>
        <v>28935.4</v>
      </c>
      <c r="D20" s="75">
        <f t="shared" si="0"/>
        <v>57870.8</v>
      </c>
      <c r="E20" s="76"/>
    </row>
    <row r="21" spans="1:7" ht="15.6" x14ac:dyDescent="0.25">
      <c r="A21" s="72">
        <v>150</v>
      </c>
      <c r="B21" s="73" t="s">
        <v>950</v>
      </c>
      <c r="C21" s="74">
        <f>920*1.22</f>
        <v>1122.3999999999999</v>
      </c>
      <c r="D21" s="75">
        <f t="shared" si="0"/>
        <v>168359.99999999997</v>
      </c>
      <c r="E21" s="76"/>
    </row>
    <row r="22" spans="1:7" ht="45" x14ac:dyDescent="0.25">
      <c r="A22" s="72">
        <v>1</v>
      </c>
      <c r="B22" s="73" t="s">
        <v>946</v>
      </c>
      <c r="C22" s="74">
        <v>13800</v>
      </c>
      <c r="D22" s="75">
        <f t="shared" si="0"/>
        <v>13800</v>
      </c>
      <c r="E22" s="76"/>
    </row>
    <row r="23" spans="1:7" ht="15.6" x14ac:dyDescent="0.25">
      <c r="A23" s="72">
        <v>1</v>
      </c>
      <c r="B23" s="73" t="s">
        <v>947</v>
      </c>
      <c r="C23" s="74">
        <v>6500</v>
      </c>
      <c r="D23" s="75">
        <f t="shared" si="0"/>
        <v>6500</v>
      </c>
      <c r="E23" s="76"/>
    </row>
    <row r="24" spans="1:7" ht="30" x14ac:dyDescent="0.25">
      <c r="A24" s="72">
        <v>1</v>
      </c>
      <c r="B24" s="73" t="s">
        <v>948</v>
      </c>
      <c r="C24" s="74">
        <v>2000</v>
      </c>
      <c r="D24" s="75">
        <f t="shared" si="0"/>
        <v>2000</v>
      </c>
      <c r="E24" s="76"/>
    </row>
    <row r="25" spans="1:7" ht="18.75" customHeight="1" x14ac:dyDescent="0.25">
      <c r="A25" s="72"/>
      <c r="B25" s="75"/>
      <c r="C25" s="75"/>
      <c r="D25" s="75"/>
      <c r="E25" s="76"/>
    </row>
    <row r="26" spans="1:7" ht="15.6" x14ac:dyDescent="0.25">
      <c r="A26" s="89"/>
      <c r="B26" s="90"/>
      <c r="C26" s="304" t="s">
        <v>38</v>
      </c>
      <c r="D26" s="75">
        <f>SUM(D16:D24)</f>
        <v>1078061.5885000001</v>
      </c>
      <c r="E26" s="76"/>
    </row>
    <row r="27" spans="1:7" ht="15.6" x14ac:dyDescent="0.3">
      <c r="A27" s="92"/>
      <c r="B27" s="90"/>
      <c r="C27" s="305" t="s">
        <v>39</v>
      </c>
      <c r="D27" s="75">
        <f>D26*0.16</f>
        <v>172489.85416000002</v>
      </c>
      <c r="E27" s="76"/>
    </row>
    <row r="28" spans="1:7" ht="16.2" thickBot="1" x14ac:dyDescent="0.35">
      <c r="A28" s="92"/>
      <c r="B28" s="90"/>
      <c r="C28" s="306" t="s">
        <v>40</v>
      </c>
      <c r="D28" s="95">
        <f>D26+D27</f>
        <v>1250551.4426600002</v>
      </c>
      <c r="E28" s="76"/>
    </row>
    <row r="29" spans="1:7" s="96" customFormat="1" ht="16.2" thickBot="1" x14ac:dyDescent="0.3">
      <c r="A29" s="92"/>
      <c r="B29" s="1023" t="s">
        <v>1023</v>
      </c>
      <c r="C29" s="1024"/>
      <c r="D29" s="1025"/>
      <c r="E29" s="76"/>
      <c r="F29" s="52"/>
      <c r="G29" s="52"/>
    </row>
    <row r="30" spans="1:7" s="96" customFormat="1" ht="15.75" customHeight="1" x14ac:dyDescent="0.25">
      <c r="A30" s="52"/>
      <c r="B30" s="97" t="s">
        <v>9</v>
      </c>
      <c r="C30" s="98"/>
      <c r="D30" s="99"/>
      <c r="E30" s="52"/>
      <c r="F30" s="52"/>
    </row>
    <row r="31" spans="1:7" ht="156.6" x14ac:dyDescent="0.25">
      <c r="B31" s="596" t="s">
        <v>958</v>
      </c>
      <c r="C31" s="76"/>
      <c r="D31" s="96"/>
      <c r="E31" s="96"/>
      <c r="F31" s="96"/>
      <c r="G31" s="96"/>
    </row>
    <row r="32" spans="1:7" ht="13.5" customHeight="1" x14ac:dyDescent="0.25">
      <c r="A32" s="426"/>
      <c r="B32" s="103" t="s">
        <v>11</v>
      </c>
      <c r="C32" s="96"/>
      <c r="D32" s="96"/>
      <c r="E32" s="96"/>
      <c r="F32" s="96"/>
    </row>
    <row r="33" spans="1:4" ht="13.5" customHeight="1" x14ac:dyDescent="0.25">
      <c r="A33" s="427"/>
      <c r="B33" s="123" t="s">
        <v>12</v>
      </c>
      <c r="C33" s="52"/>
      <c r="D33" s="52"/>
    </row>
    <row r="34" spans="1:4" ht="15" x14ac:dyDescent="0.25">
      <c r="A34" s="427"/>
      <c r="B34" s="123" t="s">
        <v>13</v>
      </c>
      <c r="C34" s="52"/>
      <c r="D34" s="52"/>
    </row>
    <row r="35" spans="1:4" ht="15" x14ac:dyDescent="0.25">
      <c r="A35" s="427"/>
      <c r="B35" s="123" t="s">
        <v>14</v>
      </c>
      <c r="C35" s="52"/>
      <c r="D35" s="52"/>
    </row>
    <row r="36" spans="1:4" ht="13.5" customHeight="1" x14ac:dyDescent="0.25">
      <c r="A36" s="383"/>
      <c r="B36" s="103" t="s">
        <v>15</v>
      </c>
      <c r="C36" s="52"/>
      <c r="D36" s="52"/>
    </row>
    <row r="37" spans="1:4" ht="13.5" customHeight="1" x14ac:dyDescent="0.25">
      <c r="A37" s="383"/>
      <c r="B37" s="295" t="s">
        <v>42</v>
      </c>
      <c r="C37" s="104"/>
      <c r="D37" s="105"/>
    </row>
    <row r="38" spans="1:4" ht="13.5" customHeight="1" x14ac:dyDescent="0.25">
      <c r="A38" s="390"/>
      <c r="B38" s="295" t="s">
        <v>43</v>
      </c>
      <c r="C38" s="104"/>
      <c r="D38" s="105"/>
    </row>
    <row r="39" spans="1:4" ht="13.5" customHeight="1" x14ac:dyDescent="0.25">
      <c r="A39" s="390"/>
      <c r="B39" s="103" t="s">
        <v>18</v>
      </c>
      <c r="C39" s="107"/>
      <c r="D39" s="105"/>
    </row>
    <row r="40" spans="1:4" ht="13.5" customHeight="1" x14ac:dyDescent="0.25">
      <c r="A40" s="390"/>
      <c r="B40" s="313" t="s">
        <v>808</v>
      </c>
      <c r="C40" s="107"/>
      <c r="D40" s="105"/>
    </row>
    <row r="41" spans="1:4" ht="15" x14ac:dyDescent="0.25">
      <c r="A41" s="390"/>
      <c r="B41" s="297" t="s">
        <v>20</v>
      </c>
      <c r="C41" s="107"/>
      <c r="D41" s="105"/>
    </row>
    <row r="42" spans="1:4" ht="13.8" x14ac:dyDescent="0.25">
      <c r="A42" s="392"/>
      <c r="B42" s="103" t="s">
        <v>21</v>
      </c>
      <c r="C42" s="107"/>
      <c r="D42" s="105"/>
    </row>
    <row r="43" spans="1:4" ht="15" x14ac:dyDescent="0.25">
      <c r="A43" s="390"/>
      <c r="B43" s="122" t="s">
        <v>262</v>
      </c>
      <c r="C43" s="107"/>
      <c r="D43" s="107"/>
    </row>
    <row r="44" spans="1:4" ht="15" x14ac:dyDescent="0.25">
      <c r="A44" s="390"/>
      <c r="B44" s="123" t="s">
        <v>44</v>
      </c>
      <c r="C44" s="107"/>
      <c r="D44" s="107"/>
    </row>
    <row r="45" spans="1:4" ht="15" x14ac:dyDescent="0.25">
      <c r="A45" s="390"/>
      <c r="B45" s="123" t="s">
        <v>45</v>
      </c>
      <c r="C45" s="109"/>
      <c r="D45" s="110"/>
    </row>
    <row r="46" spans="1:4" ht="33.6" x14ac:dyDescent="0.25">
      <c r="A46" s="390"/>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56" fitToHeight="0"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4D9F-CB89-4091-8BA8-8DFB0E47AEA3}">
  <sheetPr>
    <tabColor theme="4" tint="-0.249977111117893"/>
    <pageSetUpPr fitToPage="1"/>
  </sheetPr>
  <dimension ref="A1:H68"/>
  <sheetViews>
    <sheetView zoomScaleNormal="100" workbookViewId="0">
      <selection activeCell="D26" sqref="D26:D27"/>
    </sheetView>
  </sheetViews>
  <sheetFormatPr baseColWidth="10" defaultColWidth="11.44140625" defaultRowHeight="13.2" x14ac:dyDescent="0.25"/>
  <cols>
    <col min="1" max="1" width="6" style="108" customWidth="1"/>
    <col min="2" max="2" width="100.33203125" style="108" customWidth="1"/>
    <col min="3" max="3" width="12.6640625" style="107" customWidth="1"/>
    <col min="4" max="4" width="14.5546875" style="107" customWidth="1"/>
    <col min="5" max="16384" width="11.44140625" style="108"/>
  </cols>
  <sheetData>
    <row r="1" spans="1:8" ht="81" customHeight="1" x14ac:dyDescent="0.25">
      <c r="A1" s="108" t="s">
        <v>0</v>
      </c>
      <c r="C1" s="185"/>
    </row>
    <row r="2" spans="1:8" ht="9" customHeight="1" x14ac:dyDescent="0.25">
      <c r="C2" s="185"/>
    </row>
    <row r="3" spans="1:8" ht="9" customHeight="1" x14ac:dyDescent="0.25">
      <c r="C3" s="185"/>
    </row>
    <row r="4" spans="1:8" s="10" customFormat="1" ht="16.8" x14ac:dyDescent="0.4">
      <c r="A4" s="1038"/>
      <c r="B4" s="1038"/>
      <c r="C4" s="1038"/>
      <c r="D4" s="1038"/>
    </row>
    <row r="5" spans="1:8" s="10" customFormat="1" ht="16.8" x14ac:dyDescent="0.4">
      <c r="A5" s="57"/>
      <c r="C5" s="58"/>
      <c r="D5" s="58"/>
    </row>
    <row r="6" spans="1:8" s="10" customFormat="1" ht="16.8" x14ac:dyDescent="0.4">
      <c r="A6" s="57"/>
      <c r="C6" s="58"/>
      <c r="D6" s="58"/>
    </row>
    <row r="7" spans="1:8" s="10" customFormat="1" ht="16.8" x14ac:dyDescent="0.4">
      <c r="A7" s="57"/>
      <c r="C7" s="58"/>
      <c r="D7" s="58"/>
    </row>
    <row r="8" spans="1:8" s="10" customFormat="1" ht="16.8" x14ac:dyDescent="0.4">
      <c r="A8" s="57" t="s">
        <v>803</v>
      </c>
      <c r="C8" s="139"/>
      <c r="D8" s="139"/>
    </row>
    <row r="9" spans="1:8" s="10" customFormat="1" ht="16.8" x14ac:dyDescent="0.4">
      <c r="A9" s="57" t="s">
        <v>951</v>
      </c>
      <c r="C9" s="139"/>
      <c r="D9" s="139"/>
    </row>
    <row r="10" spans="1:8" s="10" customFormat="1" ht="16.8" x14ac:dyDescent="0.4">
      <c r="A10" s="57" t="s">
        <v>952</v>
      </c>
      <c r="C10" s="139"/>
      <c r="D10" s="139"/>
    </row>
    <row r="11" spans="1:8" s="10" customFormat="1" ht="16.8" x14ac:dyDescent="0.4">
      <c r="A11" s="57" t="s">
        <v>953</v>
      </c>
      <c r="C11" s="140"/>
      <c r="D11" s="139"/>
    </row>
    <row r="12" spans="1:8" s="10" customFormat="1" ht="15" customHeight="1" x14ac:dyDescent="0.4">
      <c r="A12" s="60" t="s">
        <v>954</v>
      </c>
      <c r="B12" s="61"/>
      <c r="C12" s="140"/>
      <c r="D12" s="139"/>
    </row>
    <row r="13" spans="1:8" s="10" customFormat="1" ht="15" customHeight="1" x14ac:dyDescent="0.4">
      <c r="A13" s="148"/>
      <c r="B13" s="149"/>
      <c r="C13" s="150"/>
      <c r="D13" s="150"/>
      <c r="E13" s="187"/>
      <c r="F13" s="188"/>
      <c r="G13" s="188"/>
      <c r="H13" s="188"/>
    </row>
    <row r="14" spans="1:8" s="10" customFormat="1" ht="16.8" x14ac:dyDescent="0.4">
      <c r="A14" s="211">
        <v>1</v>
      </c>
      <c r="B14" s="212" t="s">
        <v>956</v>
      </c>
      <c r="C14" s="210">
        <f>(94130)*1.23</f>
        <v>115779.9</v>
      </c>
      <c r="D14" s="213">
        <f>C14*A14</f>
        <v>115779.9</v>
      </c>
      <c r="E14" s="189"/>
      <c r="F14" s="108"/>
      <c r="G14" s="108"/>
      <c r="H14" s="108"/>
    </row>
    <row r="15" spans="1:8" s="188" customFormat="1" ht="13.8" x14ac:dyDescent="0.25">
      <c r="A15" s="155"/>
      <c r="B15" s="156" t="s">
        <v>117</v>
      </c>
      <c r="C15" s="153"/>
      <c r="D15" s="154"/>
      <c r="E15" s="190"/>
      <c r="F15" s="191"/>
      <c r="G15" s="191"/>
      <c r="H15" s="191"/>
    </row>
    <row r="16" spans="1:8" x14ac:dyDescent="0.25">
      <c r="A16" s="211">
        <v>1</v>
      </c>
      <c r="B16" s="212" t="s">
        <v>956</v>
      </c>
      <c r="C16" s="210">
        <f>(94130)*1.23</f>
        <v>115779.9</v>
      </c>
      <c r="D16" s="213">
        <f>C16*A16</f>
        <v>115779.9</v>
      </c>
      <c r="E16" s="190"/>
    </row>
    <row r="17" spans="1:8" s="191" customFormat="1" ht="15.75" customHeight="1" x14ac:dyDescent="0.25">
      <c r="A17" s="155"/>
      <c r="B17" s="156" t="s">
        <v>960</v>
      </c>
      <c r="C17" s="153"/>
      <c r="D17" s="154"/>
      <c r="E17" s="189"/>
      <c r="F17" s="108"/>
      <c r="G17" s="108"/>
      <c r="H17" s="108"/>
    </row>
    <row r="18" spans="1:8" ht="13.5" customHeight="1" x14ac:dyDescent="0.25">
      <c r="A18" s="151">
        <v>1</v>
      </c>
      <c r="B18" s="152" t="s">
        <v>959</v>
      </c>
      <c r="C18" s="153">
        <f>(17438*20.2)*1.25</f>
        <v>440309.5</v>
      </c>
      <c r="D18" s="154">
        <f t="shared" ref="D18" si="0">A18*C18</f>
        <v>440309.5</v>
      </c>
    </row>
    <row r="19" spans="1:8" ht="13.5" customHeight="1" x14ac:dyDescent="0.25">
      <c r="A19" s="155"/>
      <c r="B19" s="156" t="s">
        <v>961</v>
      </c>
      <c r="C19" s="153"/>
      <c r="D19" s="154"/>
    </row>
    <row r="20" spans="1:8" ht="13.5" customHeight="1" x14ac:dyDescent="0.25">
      <c r="A20" s="196"/>
      <c r="B20" s="1039"/>
      <c r="C20" s="1039"/>
      <c r="D20" s="1039"/>
    </row>
    <row r="21" spans="1:8" ht="13.5" customHeight="1" x14ac:dyDescent="0.25">
      <c r="A21" s="198"/>
      <c r="B21" s="199"/>
      <c r="C21" s="197"/>
      <c r="D21" s="200"/>
    </row>
    <row r="22" spans="1:8" ht="13.5" customHeight="1" x14ac:dyDescent="0.25">
      <c r="A22" s="145" t="s">
        <v>29</v>
      </c>
      <c r="B22" s="145" t="s">
        <v>30</v>
      </c>
      <c r="C22" s="146" t="s">
        <v>31</v>
      </c>
      <c r="D22" s="146" t="s">
        <v>32</v>
      </c>
    </row>
    <row r="23" spans="1:8" ht="13.5" customHeight="1" x14ac:dyDescent="0.25">
      <c r="A23" s="148"/>
      <c r="B23" s="149"/>
      <c r="C23" s="150"/>
      <c r="D23" s="150"/>
    </row>
    <row r="24" spans="1:8" ht="13.5" customHeight="1" x14ac:dyDescent="0.25">
      <c r="A24" s="211">
        <v>1</v>
      </c>
      <c r="B24" s="212" t="s">
        <v>955</v>
      </c>
      <c r="C24" s="210">
        <f>(76816*1.2)</f>
        <v>92179.199999999997</v>
      </c>
      <c r="D24" s="213">
        <f>A24*C24</f>
        <v>92179.199999999997</v>
      </c>
      <c r="E24" s="189"/>
    </row>
    <row r="25" spans="1:8" x14ac:dyDescent="0.25">
      <c r="A25" s="211">
        <v>1</v>
      </c>
      <c r="B25" s="212" t="s">
        <v>942</v>
      </c>
      <c r="C25" s="210">
        <f>(2433.37*20.3)*1.2</f>
        <v>59276.893199999999</v>
      </c>
      <c r="D25" s="213">
        <f>A25*C25</f>
        <v>59276.893199999999</v>
      </c>
      <c r="E25" s="189"/>
    </row>
    <row r="26" spans="1:8" x14ac:dyDescent="0.25">
      <c r="A26" s="211">
        <v>1</v>
      </c>
      <c r="B26" s="212" t="s">
        <v>964</v>
      </c>
      <c r="C26" s="210">
        <f>(72187*1.25)</f>
        <v>90233.75</v>
      </c>
      <c r="D26" s="213">
        <f>A26*C26</f>
        <v>90233.75</v>
      </c>
      <c r="E26" s="189"/>
    </row>
    <row r="27" spans="1:8" ht="13.5" customHeight="1" x14ac:dyDescent="0.25">
      <c r="A27" s="211">
        <v>1</v>
      </c>
      <c r="B27" s="212" t="s">
        <v>963</v>
      </c>
      <c r="C27" s="210">
        <f>(94130*1.25)</f>
        <v>117662.5</v>
      </c>
      <c r="D27" s="213">
        <f>A27*C27</f>
        <v>117662.5</v>
      </c>
      <c r="E27" s="189"/>
    </row>
    <row r="28" spans="1:8" x14ac:dyDescent="0.25">
      <c r="A28" s="157">
        <v>1</v>
      </c>
      <c r="B28" s="158" t="s">
        <v>962</v>
      </c>
      <c r="C28" s="159">
        <f>(78000+16954+2970)*1.3</f>
        <v>127301.2</v>
      </c>
      <c r="D28" s="161">
        <f t="shared" ref="D28" si="1">A28*C28</f>
        <v>127301.2</v>
      </c>
      <c r="E28" s="189"/>
    </row>
    <row r="29" spans="1:8" x14ac:dyDescent="0.25">
      <c r="A29" s="198"/>
      <c r="B29" s="198"/>
      <c r="C29" s="201"/>
      <c r="D29" s="202"/>
      <c r="E29" s="189"/>
    </row>
    <row r="30" spans="1:8" ht="26.4" x14ac:dyDescent="0.25">
      <c r="A30" s="145" t="s">
        <v>29</v>
      </c>
      <c r="B30" s="145" t="s">
        <v>30</v>
      </c>
      <c r="C30" s="146" t="s">
        <v>31</v>
      </c>
      <c r="D30" s="146" t="s">
        <v>32</v>
      </c>
      <c r="E30" s="189"/>
    </row>
    <row r="31" spans="1:8" x14ac:dyDescent="0.25">
      <c r="A31" s="148"/>
      <c r="B31" s="149"/>
      <c r="C31" s="150"/>
      <c r="D31" s="150"/>
      <c r="E31" s="189"/>
    </row>
    <row r="32" spans="1:8" x14ac:dyDescent="0.25">
      <c r="A32" s="162">
        <v>270</v>
      </c>
      <c r="B32" s="163" t="s">
        <v>134</v>
      </c>
      <c r="C32" s="164">
        <f>(639)*(1.22)</f>
        <v>779.57999999999993</v>
      </c>
      <c r="D32" s="165">
        <f>A32*C32</f>
        <v>210486.59999999998</v>
      </c>
      <c r="E32" s="189"/>
    </row>
    <row r="33" spans="1:5" x14ac:dyDescent="0.25">
      <c r="A33" s="162">
        <v>270</v>
      </c>
      <c r="B33" s="163" t="s">
        <v>80</v>
      </c>
      <c r="C33" s="164">
        <f>(815)*(1.22)</f>
        <v>994.3</v>
      </c>
      <c r="D33" s="165">
        <f>A33*C33</f>
        <v>268461</v>
      </c>
      <c r="E33" s="189"/>
    </row>
    <row r="34" spans="1:5" x14ac:dyDescent="0.25">
      <c r="A34" s="162">
        <v>270</v>
      </c>
      <c r="B34" s="163" t="s">
        <v>135</v>
      </c>
      <c r="C34" s="164">
        <f>(920)*(1.22)</f>
        <v>1122.3999999999999</v>
      </c>
      <c r="D34" s="165">
        <f>A34*C34</f>
        <v>303047.99999999994</v>
      </c>
      <c r="E34" s="189"/>
    </row>
    <row r="35" spans="1:5" x14ac:dyDescent="0.25">
      <c r="A35" s="162">
        <v>270</v>
      </c>
      <c r="B35" s="163" t="s">
        <v>136</v>
      </c>
      <c r="C35" s="164">
        <f>(1120)*(1.33)</f>
        <v>1489.6000000000001</v>
      </c>
      <c r="D35" s="165">
        <f>A35*C35</f>
        <v>402192.00000000006</v>
      </c>
      <c r="E35" s="189"/>
    </row>
    <row r="36" spans="1:5" x14ac:dyDescent="0.25">
      <c r="A36" s="204"/>
      <c r="B36" s="206"/>
      <c r="C36" s="207"/>
      <c r="D36" s="205"/>
    </row>
    <row r="37" spans="1:5" ht="26.4" x14ac:dyDescent="0.25">
      <c r="A37" s="145" t="s">
        <v>29</v>
      </c>
      <c r="B37" s="145" t="s">
        <v>30</v>
      </c>
      <c r="C37" s="146" t="s">
        <v>31</v>
      </c>
      <c r="D37" s="146" t="s">
        <v>32</v>
      </c>
      <c r="E37" s="189"/>
    </row>
    <row r="38" spans="1:5" x14ac:dyDescent="0.25">
      <c r="A38" s="148"/>
      <c r="B38" s="149"/>
      <c r="C38" s="150"/>
      <c r="D38" s="150"/>
      <c r="E38" s="189"/>
    </row>
    <row r="39" spans="1:5" x14ac:dyDescent="0.25">
      <c r="A39" s="157">
        <v>1</v>
      </c>
      <c r="B39" s="158" t="s">
        <v>965</v>
      </c>
      <c r="C39" s="159">
        <f>(8500)*(1.5)</f>
        <v>12750</v>
      </c>
      <c r="D39" s="154">
        <f t="shared" ref="D39:D40" si="2">A39*C39</f>
        <v>12750</v>
      </c>
      <c r="E39" s="189"/>
    </row>
    <row r="40" spans="1:5" x14ac:dyDescent="0.25">
      <c r="A40" s="157">
        <v>1</v>
      </c>
      <c r="B40" s="158" t="s">
        <v>966</v>
      </c>
      <c r="C40" s="159">
        <f>(26041)*(1.4)</f>
        <v>36457.399999999994</v>
      </c>
      <c r="D40" s="154">
        <f t="shared" si="2"/>
        <v>36457.399999999994</v>
      </c>
    </row>
    <row r="41" spans="1:5" x14ac:dyDescent="0.25">
      <c r="A41" s="157">
        <v>1</v>
      </c>
      <c r="B41" s="158" t="s">
        <v>967</v>
      </c>
      <c r="C41" s="159">
        <f>(16650)*(1.4)</f>
        <v>23310</v>
      </c>
      <c r="D41" s="154">
        <f t="shared" ref="D41" si="3">A41*C41</f>
        <v>23310</v>
      </c>
    </row>
    <row r="42" spans="1:5" x14ac:dyDescent="0.25">
      <c r="A42" s="211">
        <v>1</v>
      </c>
      <c r="B42" s="212" t="s">
        <v>968</v>
      </c>
      <c r="C42" s="210">
        <f>(2192*20.3)*1.3</f>
        <v>57846.879999999997</v>
      </c>
      <c r="D42" s="213">
        <f>A42*C42</f>
        <v>57846.879999999997</v>
      </c>
    </row>
    <row r="43" spans="1:5" x14ac:dyDescent="0.25">
      <c r="A43" s="208"/>
      <c r="B43" s="204"/>
      <c r="C43" s="205"/>
      <c r="D43" s="209"/>
    </row>
    <row r="44" spans="1:5" ht="26.4" x14ac:dyDescent="0.25">
      <c r="A44" s="162">
        <v>1</v>
      </c>
      <c r="B44" s="163" t="s">
        <v>138</v>
      </c>
      <c r="C44" s="210">
        <v>35627</v>
      </c>
      <c r="D44" s="165">
        <f>A44*C44</f>
        <v>35627</v>
      </c>
      <c r="E44" s="189"/>
    </row>
    <row r="45" spans="1:5" ht="26.4" x14ac:dyDescent="0.25">
      <c r="A45" s="162">
        <v>1</v>
      </c>
      <c r="B45" s="163" t="s">
        <v>139</v>
      </c>
      <c r="C45" s="210">
        <v>37861</v>
      </c>
      <c r="D45" s="165">
        <f>A45*C45</f>
        <v>37861</v>
      </c>
      <c r="E45" s="189"/>
    </row>
    <row r="46" spans="1:5" x14ac:dyDescent="0.25">
      <c r="A46" s="162">
        <v>1</v>
      </c>
      <c r="B46" s="163" t="s">
        <v>140</v>
      </c>
      <c r="C46" s="184">
        <f>(2576.78*21)*(1.3)</f>
        <v>70346.094000000012</v>
      </c>
      <c r="D46" s="165">
        <f>A46*C46</f>
        <v>70346.094000000012</v>
      </c>
      <c r="E46" s="189"/>
    </row>
    <row r="47" spans="1:5" x14ac:dyDescent="0.25">
      <c r="A47" s="211">
        <v>1</v>
      </c>
      <c r="B47" s="212" t="s">
        <v>141</v>
      </c>
      <c r="C47" s="210">
        <v>7200</v>
      </c>
      <c r="D47" s="213">
        <f>A47*C47</f>
        <v>7200</v>
      </c>
    </row>
    <row r="48" spans="1:5" ht="26.4" x14ac:dyDescent="0.25">
      <c r="A48" s="211"/>
      <c r="B48" s="212" t="s">
        <v>142</v>
      </c>
      <c r="C48" s="210"/>
      <c r="D48" s="213"/>
      <c r="E48" s="189"/>
    </row>
    <row r="49" spans="1:5" x14ac:dyDescent="0.25">
      <c r="A49" s="204"/>
      <c r="B49" s="206"/>
      <c r="C49" s="214"/>
      <c r="D49" s="215"/>
      <c r="E49" s="189"/>
    </row>
    <row r="50" spans="1:5" ht="13.8" x14ac:dyDescent="0.25">
      <c r="A50" s="392"/>
      <c r="B50" s="103" t="s">
        <v>15</v>
      </c>
    </row>
    <row r="51" spans="1:5" ht="15" x14ac:dyDescent="0.25">
      <c r="A51" s="390"/>
      <c r="B51" s="295" t="s">
        <v>42</v>
      </c>
    </row>
    <row r="52" spans="1:5" ht="41.4" x14ac:dyDescent="0.25">
      <c r="A52" s="390"/>
      <c r="B52" s="295" t="s">
        <v>143</v>
      </c>
      <c r="C52" s="109"/>
      <c r="D52" s="110"/>
    </row>
    <row r="53" spans="1:5" ht="15" x14ac:dyDescent="0.25">
      <c r="A53" s="390"/>
      <c r="B53" s="103" t="s">
        <v>18</v>
      </c>
      <c r="C53" s="109"/>
      <c r="D53" s="110"/>
    </row>
    <row r="54" spans="1:5" ht="15" x14ac:dyDescent="0.25">
      <c r="A54" s="390"/>
      <c r="B54" s="313" t="s">
        <v>144</v>
      </c>
      <c r="C54" s="109"/>
      <c r="D54" s="109"/>
    </row>
    <row r="55" spans="1:5" ht="15" x14ac:dyDescent="0.25">
      <c r="A55" s="390"/>
      <c r="B55" s="297" t="s">
        <v>20</v>
      </c>
      <c r="C55" s="109"/>
      <c r="D55" s="109"/>
    </row>
    <row r="56" spans="1:5" ht="13.8" x14ac:dyDescent="0.25">
      <c r="A56" s="392"/>
      <c r="B56" s="103" t="s">
        <v>21</v>
      </c>
      <c r="D56" s="105"/>
    </row>
    <row r="57" spans="1:5" ht="15" x14ac:dyDescent="0.25">
      <c r="A57" s="390"/>
      <c r="B57" s="123" t="s">
        <v>145</v>
      </c>
      <c r="C57" s="109"/>
      <c r="D57" s="110"/>
    </row>
    <row r="58" spans="1:5" ht="15" x14ac:dyDescent="0.25">
      <c r="A58" s="390"/>
      <c r="B58" s="123" t="s">
        <v>44</v>
      </c>
      <c r="C58" s="109"/>
      <c r="D58" s="110"/>
    </row>
    <row r="59" spans="1:5" ht="15" x14ac:dyDescent="0.25">
      <c r="A59" s="390"/>
      <c r="B59" s="123" t="s">
        <v>45</v>
      </c>
      <c r="D59" s="181"/>
    </row>
    <row r="60" spans="1:5" ht="33.6" x14ac:dyDescent="0.25">
      <c r="A60" s="390"/>
      <c r="B60" s="314" t="s">
        <v>23</v>
      </c>
      <c r="C60" s="109"/>
      <c r="D60" s="109"/>
    </row>
    <row r="61" spans="1:5" ht="16.8" x14ac:dyDescent="0.4">
      <c r="A61" s="106"/>
      <c r="B61" s="219"/>
      <c r="C61" s="220"/>
      <c r="D61" s="220"/>
    </row>
    <row r="62" spans="1:5" ht="13.8" x14ac:dyDescent="0.25">
      <c r="A62" s="115" t="s">
        <v>0</v>
      </c>
      <c r="B62" s="181"/>
      <c r="C62" s="181"/>
      <c r="D62" s="108"/>
    </row>
    <row r="63" spans="1:5" ht="13.8" x14ac:dyDescent="0.25">
      <c r="A63" s="221"/>
      <c r="B63" s="181"/>
      <c r="C63" s="181"/>
      <c r="D63" s="108"/>
    </row>
    <row r="64" spans="1:5" x14ac:dyDescent="0.25">
      <c r="A64" s="222"/>
      <c r="B64" s="223"/>
      <c r="C64" s="181"/>
      <c r="D64" s="108"/>
    </row>
    <row r="65" spans="1:4" ht="15" x14ac:dyDescent="0.35">
      <c r="A65" s="222"/>
      <c r="B65" s="224"/>
      <c r="C65" s="181"/>
      <c r="D65" s="181"/>
    </row>
    <row r="66" spans="1:4" x14ac:dyDescent="0.25">
      <c r="A66" s="225"/>
    </row>
    <row r="67" spans="1:4" x14ac:dyDescent="0.25">
      <c r="A67" s="226" t="s">
        <v>0</v>
      </c>
    </row>
    <row r="68" spans="1:4" x14ac:dyDescent="0.25">
      <c r="A68" s="108" t="s">
        <v>0</v>
      </c>
    </row>
  </sheetData>
  <mergeCells count="2">
    <mergeCell ref="A4:D4"/>
    <mergeCell ref="B20:D20"/>
  </mergeCells>
  <printOptions horizontalCentered="1"/>
  <pageMargins left="0.59055118110236227" right="0.59055118110236227" top="0.19685039370078741" bottom="0.19685039370078741" header="0.19685039370078741" footer="0.19685039370078741"/>
  <pageSetup paperSize="9" scale="67" fitToWidth="0" orientation="portrait" r:id="rId1"/>
  <headerFooter alignWithMargins="0">
    <oddFooter>Página &amp;P de &amp;N</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6A560-9F56-4E6B-97F0-7FEC4F2FC90B}">
  <sheetPr>
    <pageSetUpPr fitToPage="1"/>
  </sheetPr>
  <dimension ref="A1:G69"/>
  <sheetViews>
    <sheetView topLeftCell="A8" zoomScaleNormal="100" workbookViewId="0">
      <selection activeCell="B19" sqref="B1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1019</v>
      </c>
      <c r="B8" s="10"/>
      <c r="C8" s="58"/>
      <c r="D8" s="58"/>
    </row>
    <row r="9" spans="1:5" s="55" customFormat="1" ht="16.8" x14ac:dyDescent="0.4">
      <c r="A9" s="57" t="s">
        <v>1027</v>
      </c>
      <c r="B9" s="10"/>
      <c r="C9" s="58"/>
      <c r="D9" s="58"/>
    </row>
    <row r="10" spans="1:5" s="55" customFormat="1" ht="16.8" x14ac:dyDescent="0.4">
      <c r="A10" s="57" t="s">
        <v>952</v>
      </c>
      <c r="B10" s="10"/>
      <c r="C10" s="58"/>
      <c r="D10" s="58"/>
    </row>
    <row r="11" spans="1:5" s="55" customFormat="1" ht="16.8" x14ac:dyDescent="0.4">
      <c r="A11" s="57" t="s">
        <v>953</v>
      </c>
      <c r="B11" s="10"/>
      <c r="C11" s="59"/>
      <c r="D11" s="58"/>
    </row>
    <row r="12" spans="1:5" s="55" customFormat="1" ht="15" customHeight="1" x14ac:dyDescent="0.4">
      <c r="A12" s="60" t="s">
        <v>1015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73" t="s">
        <v>1017</v>
      </c>
      <c r="C16" s="74">
        <f>(1540.26*20.3)*1.2</f>
        <v>37520.7336</v>
      </c>
      <c r="D16" s="75">
        <f>A16*C16</f>
        <v>37520.7336</v>
      </c>
      <c r="E16" s="76"/>
    </row>
    <row r="17" spans="1:7" ht="15.6" x14ac:dyDescent="0.25">
      <c r="A17" s="72">
        <v>1</v>
      </c>
      <c r="B17" s="73" t="s">
        <v>1016</v>
      </c>
      <c r="C17" s="74">
        <f>(3319.39*20.3)*1.2</f>
        <v>80860.340400000001</v>
      </c>
      <c r="D17" s="75">
        <f>C17*A17</f>
        <v>80860.340400000001</v>
      </c>
      <c r="E17" s="76"/>
    </row>
    <row r="18" spans="1:7" ht="45" x14ac:dyDescent="0.25">
      <c r="A18" s="72">
        <v>1</v>
      </c>
      <c r="B18" s="73" t="s">
        <v>1029</v>
      </c>
      <c r="C18" s="74">
        <f>(135621)*1.23</f>
        <v>166813.82999999999</v>
      </c>
      <c r="D18" s="75">
        <f t="shared" ref="D18" si="0">A18*C18</f>
        <v>166813.82999999999</v>
      </c>
      <c r="E18" s="76"/>
    </row>
    <row r="19" spans="1:7" ht="15.6" x14ac:dyDescent="0.25">
      <c r="A19" s="72"/>
      <c r="B19" s="75"/>
      <c r="C19" s="75"/>
      <c r="D19" s="75"/>
      <c r="E19" s="76"/>
    </row>
    <row r="20" spans="1:7" ht="15.6" x14ac:dyDescent="0.25">
      <c r="A20" s="89"/>
      <c r="B20" s="90"/>
      <c r="C20" s="304" t="s">
        <v>38</v>
      </c>
      <c r="D20" s="75">
        <f>SUM(D16:D18)</f>
        <v>285194.90399999998</v>
      </c>
      <c r="E20" s="76"/>
    </row>
    <row r="21" spans="1:7" ht="15.6" x14ac:dyDescent="0.3">
      <c r="A21" s="92"/>
      <c r="B21" s="90"/>
      <c r="C21" s="305" t="s">
        <v>39</v>
      </c>
      <c r="D21" s="75">
        <f>D20*0.16</f>
        <v>45631.184639999999</v>
      </c>
      <c r="E21" s="76"/>
    </row>
    <row r="22" spans="1:7" ht="16.2" thickBot="1" x14ac:dyDescent="0.35">
      <c r="A22" s="92"/>
      <c r="B22" s="90"/>
      <c r="C22" s="306" t="s">
        <v>40</v>
      </c>
      <c r="D22" s="95">
        <f>D20+D21</f>
        <v>330826.08863999997</v>
      </c>
      <c r="E22" s="76"/>
    </row>
    <row r="23" spans="1:7" ht="16.2" thickBot="1" x14ac:dyDescent="0.3">
      <c r="A23" s="92"/>
      <c r="B23" s="1023" t="s">
        <v>1018</v>
      </c>
      <c r="C23" s="1024"/>
      <c r="D23" s="1025"/>
      <c r="E23" s="76"/>
    </row>
    <row r="24" spans="1:7" ht="13.8" x14ac:dyDescent="0.25">
      <c r="B24" s="97" t="s">
        <v>9</v>
      </c>
      <c r="C24" s="98"/>
      <c r="D24" s="99"/>
      <c r="E24" s="76"/>
    </row>
    <row r="25" spans="1:7" ht="156.6" x14ac:dyDescent="0.25">
      <c r="B25" s="596" t="s">
        <v>958</v>
      </c>
      <c r="C25" s="76"/>
      <c r="D25" s="96"/>
    </row>
    <row r="26" spans="1:7" ht="13.8" x14ac:dyDescent="0.25">
      <c r="A26" s="426"/>
      <c r="B26" s="103" t="s">
        <v>11</v>
      </c>
      <c r="C26" s="96"/>
      <c r="D26" s="96"/>
      <c r="E26" s="96"/>
      <c r="F26" s="96"/>
    </row>
    <row r="27" spans="1:7" ht="15" x14ac:dyDescent="0.25">
      <c r="A27" s="427"/>
      <c r="B27" s="123" t="s">
        <v>12</v>
      </c>
      <c r="C27" s="52"/>
      <c r="D27" s="52"/>
      <c r="E27" s="96"/>
      <c r="F27" s="96"/>
    </row>
    <row r="28" spans="1:7" ht="15" x14ac:dyDescent="0.25">
      <c r="A28" s="427"/>
      <c r="B28" s="123" t="s">
        <v>13</v>
      </c>
      <c r="C28" s="52"/>
      <c r="D28" s="52"/>
    </row>
    <row r="29" spans="1:7" s="96" customFormat="1" ht="15" x14ac:dyDescent="0.25">
      <c r="A29" s="427"/>
      <c r="B29" s="123" t="s">
        <v>14</v>
      </c>
      <c r="C29" s="52"/>
      <c r="D29" s="52"/>
      <c r="E29" s="52"/>
      <c r="F29" s="52"/>
      <c r="G29" s="52"/>
    </row>
    <row r="30" spans="1:7" s="96" customFormat="1" ht="15.75" customHeight="1" x14ac:dyDescent="0.25">
      <c r="A30" s="383"/>
      <c r="B30" s="103" t="s">
        <v>15</v>
      </c>
      <c r="C30" s="52"/>
      <c r="D30" s="52"/>
      <c r="E30" s="52"/>
      <c r="F30" s="52"/>
    </row>
    <row r="31" spans="1:7" ht="13.8" x14ac:dyDescent="0.25">
      <c r="A31" s="383"/>
      <c r="B31" s="295" t="s">
        <v>42</v>
      </c>
      <c r="C31" s="104"/>
      <c r="D31" s="105"/>
      <c r="G31" s="96"/>
    </row>
    <row r="32" spans="1:7" ht="13.5" customHeight="1" x14ac:dyDescent="0.25">
      <c r="A32" s="390"/>
      <c r="B32" s="295" t="s">
        <v>43</v>
      </c>
      <c r="C32" s="104"/>
      <c r="D32" s="105"/>
    </row>
    <row r="33" spans="1:4" ht="13.5" customHeight="1" x14ac:dyDescent="0.25">
      <c r="A33" s="390"/>
      <c r="B33" s="103" t="s">
        <v>18</v>
      </c>
      <c r="C33" s="107"/>
      <c r="D33" s="105"/>
    </row>
    <row r="34" spans="1:4" ht="15" x14ac:dyDescent="0.25">
      <c r="A34" s="390"/>
      <c r="B34" s="313" t="s">
        <v>808</v>
      </c>
      <c r="C34" s="107"/>
      <c r="D34" s="105"/>
    </row>
    <row r="35" spans="1:4" ht="15" x14ac:dyDescent="0.25">
      <c r="A35" s="390"/>
      <c r="B35" s="297" t="s">
        <v>20</v>
      </c>
      <c r="C35" s="107"/>
      <c r="D35" s="105"/>
    </row>
    <row r="36" spans="1:4" ht="13.5" customHeight="1" x14ac:dyDescent="0.25">
      <c r="A36" s="392"/>
      <c r="B36" s="103" t="s">
        <v>21</v>
      </c>
      <c r="C36" s="107"/>
      <c r="D36" s="105"/>
    </row>
    <row r="37" spans="1:4" ht="13.5" customHeight="1" x14ac:dyDescent="0.25">
      <c r="A37" s="390"/>
      <c r="B37" s="122" t="s">
        <v>262</v>
      </c>
      <c r="C37" s="107"/>
      <c r="D37" s="107"/>
    </row>
    <row r="38" spans="1:4" ht="13.5" customHeight="1" x14ac:dyDescent="0.25">
      <c r="A38" s="390"/>
      <c r="B38" s="123" t="s">
        <v>44</v>
      </c>
      <c r="C38" s="107"/>
      <c r="D38" s="107"/>
    </row>
    <row r="39" spans="1:4" ht="13.5" customHeight="1" x14ac:dyDescent="0.25">
      <c r="A39" s="390"/>
      <c r="B39" s="123" t="s">
        <v>45</v>
      </c>
      <c r="C39" s="109"/>
      <c r="D39" s="110"/>
    </row>
    <row r="40" spans="1:4" ht="13.5" customHeight="1" x14ac:dyDescent="0.25">
      <c r="A40" s="390"/>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fitToHeight="0" orientation="portrait"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B98EC-ACDB-4F37-83CC-C840F802E1BE}">
  <sheetPr>
    <pageSetUpPr fitToPage="1"/>
  </sheetPr>
  <dimension ref="A1:G69"/>
  <sheetViews>
    <sheetView topLeftCell="A4" zoomScaleNormal="100" workbookViewId="0">
      <selection activeCell="A8" sqref="A8:B1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1019</v>
      </c>
      <c r="B8" s="10"/>
      <c r="C8" s="58"/>
      <c r="D8" s="58"/>
    </row>
    <row r="9" spans="1:5" s="55" customFormat="1" ht="16.8" x14ac:dyDescent="0.4">
      <c r="A9" s="57" t="s">
        <v>1027</v>
      </c>
      <c r="B9" s="10"/>
      <c r="C9" s="58"/>
      <c r="D9" s="58"/>
    </row>
    <row r="10" spans="1:5" s="55" customFormat="1" ht="16.8" x14ac:dyDescent="0.4">
      <c r="A10" s="57" t="s">
        <v>952</v>
      </c>
      <c r="B10" s="10"/>
      <c r="C10" s="58"/>
      <c r="D10" s="58"/>
    </row>
    <row r="11" spans="1:5" s="55" customFormat="1" ht="16.8" x14ac:dyDescent="0.4">
      <c r="A11" s="57" t="s">
        <v>953</v>
      </c>
      <c r="B11" s="10"/>
      <c r="C11" s="59"/>
      <c r="D11" s="58"/>
    </row>
    <row r="12" spans="1:5" s="55" customFormat="1" ht="15" customHeight="1" x14ac:dyDescent="0.4">
      <c r="A12" s="60" t="s">
        <v>1015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73" t="s">
        <v>1024</v>
      </c>
      <c r="C16" s="74">
        <f>(1828.63*20.3)*1.2</f>
        <v>44545.426800000008</v>
      </c>
      <c r="D16" s="75">
        <f>A16*C16</f>
        <v>44545.426800000008</v>
      </c>
      <c r="E16" s="76"/>
    </row>
    <row r="17" spans="1:7" ht="15.6" x14ac:dyDescent="0.25">
      <c r="A17" s="72">
        <v>1</v>
      </c>
      <c r="B17" s="73" t="s">
        <v>1016</v>
      </c>
      <c r="C17" s="74">
        <f>(3319.39*20.3)*1.2</f>
        <v>80860.340400000001</v>
      </c>
      <c r="D17" s="75">
        <f>C17*A17</f>
        <v>80860.340400000001</v>
      </c>
      <c r="E17" s="76"/>
    </row>
    <row r="18" spans="1:7" ht="30" x14ac:dyDescent="0.25">
      <c r="A18" s="72">
        <v>1</v>
      </c>
      <c r="B18" s="73" t="s">
        <v>1025</v>
      </c>
      <c r="C18" s="74">
        <f>(3712*20.5)*1.23</f>
        <v>93598.080000000002</v>
      </c>
      <c r="D18" s="75">
        <f t="shared" ref="D18" si="0">A18*C18</f>
        <v>93598.080000000002</v>
      </c>
      <c r="E18" s="76"/>
    </row>
    <row r="19" spans="1:7" ht="15.6" x14ac:dyDescent="0.25">
      <c r="A19" s="72"/>
      <c r="B19" s="75"/>
      <c r="C19" s="75"/>
      <c r="D19" s="75"/>
      <c r="E19" s="76"/>
    </row>
    <row r="20" spans="1:7" ht="15.6" x14ac:dyDescent="0.25">
      <c r="A20" s="89"/>
      <c r="B20" s="90"/>
      <c r="C20" s="304" t="s">
        <v>38</v>
      </c>
      <c r="D20" s="75">
        <f>SUM(D16:D18)</f>
        <v>219003.84720000002</v>
      </c>
      <c r="E20" s="76"/>
    </row>
    <row r="21" spans="1:7" ht="15.6" x14ac:dyDescent="0.3">
      <c r="A21" s="92"/>
      <c r="B21" s="90"/>
      <c r="C21" s="305" t="s">
        <v>39</v>
      </c>
      <c r="D21" s="75">
        <f>D20*0.16</f>
        <v>35040.615552000003</v>
      </c>
      <c r="E21" s="76"/>
    </row>
    <row r="22" spans="1:7" ht="16.2" thickBot="1" x14ac:dyDescent="0.35">
      <c r="A22" s="92"/>
      <c r="B22" s="90"/>
      <c r="C22" s="306" t="s">
        <v>40</v>
      </c>
      <c r="D22" s="95">
        <f>D20+D21</f>
        <v>254044.46275200002</v>
      </c>
      <c r="E22" s="76"/>
    </row>
    <row r="23" spans="1:7" ht="16.2" thickBot="1" x14ac:dyDescent="0.3">
      <c r="A23" s="92"/>
      <c r="B23" s="1023" t="s">
        <v>1026</v>
      </c>
      <c r="C23" s="1024"/>
      <c r="D23" s="1025"/>
      <c r="E23" s="76"/>
    </row>
    <row r="24" spans="1:7" ht="13.8" x14ac:dyDescent="0.25">
      <c r="B24" s="97" t="s">
        <v>9</v>
      </c>
      <c r="C24" s="98"/>
      <c r="D24" s="99"/>
      <c r="E24" s="76"/>
    </row>
    <row r="25" spans="1:7" ht="156.6" x14ac:dyDescent="0.25">
      <c r="B25" s="596" t="s">
        <v>958</v>
      </c>
      <c r="C25" s="76"/>
      <c r="D25" s="96"/>
    </row>
    <row r="26" spans="1:7" ht="13.8" x14ac:dyDescent="0.25">
      <c r="A26" s="426"/>
      <c r="B26" s="103" t="s">
        <v>11</v>
      </c>
      <c r="C26" s="96"/>
      <c r="D26" s="96"/>
      <c r="E26" s="96"/>
      <c r="F26" s="96"/>
    </row>
    <row r="27" spans="1:7" ht="15" x14ac:dyDescent="0.25">
      <c r="A27" s="427"/>
      <c r="B27" s="123" t="s">
        <v>12</v>
      </c>
      <c r="C27" s="52"/>
      <c r="D27" s="52"/>
      <c r="E27" s="96"/>
      <c r="F27" s="96"/>
    </row>
    <row r="28" spans="1:7" ht="15" x14ac:dyDescent="0.25">
      <c r="A28" s="427"/>
      <c r="B28" s="123" t="s">
        <v>13</v>
      </c>
      <c r="C28" s="52"/>
      <c r="D28" s="52"/>
    </row>
    <row r="29" spans="1:7" s="96" customFormat="1" ht="15" x14ac:dyDescent="0.25">
      <c r="A29" s="427"/>
      <c r="B29" s="123" t="s">
        <v>14</v>
      </c>
      <c r="C29" s="52"/>
      <c r="D29" s="52"/>
      <c r="E29" s="52"/>
      <c r="F29" s="52"/>
      <c r="G29" s="52"/>
    </row>
    <row r="30" spans="1:7" s="96" customFormat="1" ht="15.75" customHeight="1" x14ac:dyDescent="0.25">
      <c r="A30" s="383"/>
      <c r="B30" s="103" t="s">
        <v>15</v>
      </c>
      <c r="C30" s="52"/>
      <c r="D30" s="52"/>
      <c r="E30" s="52"/>
      <c r="F30" s="52"/>
    </row>
    <row r="31" spans="1:7" ht="13.8" x14ac:dyDescent="0.25">
      <c r="A31" s="383"/>
      <c r="B31" s="295" t="s">
        <v>42</v>
      </c>
      <c r="C31" s="104"/>
      <c r="D31" s="105"/>
      <c r="G31" s="96"/>
    </row>
    <row r="32" spans="1:7" ht="13.5" customHeight="1" x14ac:dyDescent="0.25">
      <c r="A32" s="390"/>
      <c r="B32" s="295" t="s">
        <v>43</v>
      </c>
      <c r="C32" s="104"/>
      <c r="D32" s="105"/>
    </row>
    <row r="33" spans="1:4" ht="13.5" customHeight="1" x14ac:dyDescent="0.25">
      <c r="A33" s="390"/>
      <c r="B33" s="103" t="s">
        <v>18</v>
      </c>
      <c r="C33" s="107"/>
      <c r="D33" s="105"/>
    </row>
    <row r="34" spans="1:4" ht="15" x14ac:dyDescent="0.25">
      <c r="A34" s="390"/>
      <c r="B34" s="313" t="s">
        <v>808</v>
      </c>
      <c r="C34" s="107"/>
      <c r="D34" s="105"/>
    </row>
    <row r="35" spans="1:4" ht="15" x14ac:dyDescent="0.25">
      <c r="A35" s="390"/>
      <c r="B35" s="297" t="s">
        <v>20</v>
      </c>
      <c r="C35" s="107"/>
      <c r="D35" s="105"/>
    </row>
    <row r="36" spans="1:4" ht="13.5" customHeight="1" x14ac:dyDescent="0.25">
      <c r="A36" s="392"/>
      <c r="B36" s="103" t="s">
        <v>21</v>
      </c>
      <c r="C36" s="107"/>
      <c r="D36" s="105"/>
    </row>
    <row r="37" spans="1:4" ht="13.5" customHeight="1" x14ac:dyDescent="0.25">
      <c r="A37" s="390"/>
      <c r="B37" s="122" t="s">
        <v>262</v>
      </c>
      <c r="C37" s="107"/>
      <c r="D37" s="107"/>
    </row>
    <row r="38" spans="1:4" ht="13.5" customHeight="1" x14ac:dyDescent="0.25">
      <c r="A38" s="390"/>
      <c r="B38" s="123" t="s">
        <v>44</v>
      </c>
      <c r="C38" s="107"/>
      <c r="D38" s="107"/>
    </row>
    <row r="39" spans="1:4" ht="13.5" customHeight="1" x14ac:dyDescent="0.25">
      <c r="A39" s="390"/>
      <c r="B39" s="123" t="s">
        <v>45</v>
      </c>
      <c r="C39" s="109"/>
      <c r="D39" s="110"/>
    </row>
    <row r="40" spans="1:4" ht="13.5" customHeight="1" x14ac:dyDescent="0.25">
      <c r="A40" s="390"/>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56" fitToHeight="0" orientation="portrait"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C1B8-DD4F-44BE-BF50-BEB5DE6DE20D}">
  <sheetPr>
    <pageSetUpPr fitToPage="1"/>
  </sheetPr>
  <dimension ref="A1:G69"/>
  <sheetViews>
    <sheetView topLeftCell="A15" zoomScaleNormal="100" workbookViewId="0">
      <selection activeCell="B24" sqref="B24"/>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1019</v>
      </c>
      <c r="B8" s="10"/>
      <c r="C8" s="58"/>
      <c r="D8" s="58"/>
    </row>
    <row r="9" spans="1:5" s="55" customFormat="1" ht="16.8" x14ac:dyDescent="0.4">
      <c r="A9" s="57" t="s">
        <v>1027</v>
      </c>
      <c r="B9" s="10"/>
      <c r="C9" s="58"/>
      <c r="D9" s="58"/>
    </row>
    <row r="10" spans="1:5" s="55" customFormat="1" ht="16.8" x14ac:dyDescent="0.4">
      <c r="A10" s="57" t="s">
        <v>952</v>
      </c>
      <c r="B10" s="10"/>
      <c r="C10" s="58"/>
      <c r="D10" s="58"/>
    </row>
    <row r="11" spans="1:5" s="55" customFormat="1" ht="16.8" x14ac:dyDescent="0.4">
      <c r="A11" s="57" t="s">
        <v>953</v>
      </c>
      <c r="B11" s="10"/>
      <c r="C11" s="59"/>
      <c r="D11" s="58"/>
    </row>
    <row r="12" spans="1:5" s="55" customFormat="1" ht="15" customHeight="1" x14ac:dyDescent="0.4">
      <c r="A12" s="60" t="s">
        <v>1015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1021</v>
      </c>
      <c r="C16" s="74">
        <f>(76816*1.2)</f>
        <v>92179.199999999997</v>
      </c>
      <c r="D16" s="75">
        <f>A16*C16</f>
        <v>92179.199999999997</v>
      </c>
      <c r="E16" s="76"/>
    </row>
    <row r="17" spans="1:7" ht="15.6" x14ac:dyDescent="0.25">
      <c r="A17" s="72">
        <v>1</v>
      </c>
      <c r="B17" s="73" t="s">
        <v>1022</v>
      </c>
      <c r="C17" s="74">
        <f>(4934.5*20.5)*1.23</f>
        <v>124423.4175</v>
      </c>
      <c r="D17" s="75">
        <f>C17*A17</f>
        <v>124423.4175</v>
      </c>
      <c r="E17" s="76"/>
    </row>
    <row r="18" spans="1:7" ht="45" x14ac:dyDescent="0.25">
      <c r="A18" s="72">
        <v>1</v>
      </c>
      <c r="B18" s="73" t="s">
        <v>1020</v>
      </c>
      <c r="C18" s="74">
        <f>(166882)*1.23</f>
        <v>205264.86</v>
      </c>
      <c r="D18" s="75">
        <f t="shared" ref="D18" si="0">A18*C18</f>
        <v>205264.86</v>
      </c>
      <c r="E18" s="76"/>
    </row>
    <row r="19" spans="1:7" ht="15.6" x14ac:dyDescent="0.25">
      <c r="A19" s="72"/>
      <c r="B19" s="75"/>
      <c r="C19" s="75"/>
      <c r="D19" s="75"/>
      <c r="E19" s="76"/>
    </row>
    <row r="20" spans="1:7" ht="15.6" x14ac:dyDescent="0.25">
      <c r="A20" s="89"/>
      <c r="B20" s="90"/>
      <c r="C20" s="304" t="s">
        <v>38</v>
      </c>
      <c r="D20" s="75">
        <f>SUM(D16:D18)</f>
        <v>421867.47749999998</v>
      </c>
      <c r="E20" s="76"/>
    </row>
    <row r="21" spans="1:7" ht="15.6" x14ac:dyDescent="0.3">
      <c r="A21" s="92"/>
      <c r="B21" s="90"/>
      <c r="C21" s="305" t="s">
        <v>39</v>
      </c>
      <c r="D21" s="75">
        <f>D20*0.16</f>
        <v>67498.796399999992</v>
      </c>
      <c r="E21" s="76"/>
    </row>
    <row r="22" spans="1:7" ht="16.2" thickBot="1" x14ac:dyDescent="0.35">
      <c r="A22" s="92"/>
      <c r="B22" s="90"/>
      <c r="C22" s="306" t="s">
        <v>40</v>
      </c>
      <c r="D22" s="95">
        <f>D20+D21</f>
        <v>489366.27389999997</v>
      </c>
      <c r="E22" s="76"/>
    </row>
    <row r="23" spans="1:7" ht="16.2" thickBot="1" x14ac:dyDescent="0.3">
      <c r="A23" s="92"/>
      <c r="B23" s="1023" t="s">
        <v>1028</v>
      </c>
      <c r="C23" s="1024"/>
      <c r="D23" s="1025"/>
      <c r="E23" s="76"/>
    </row>
    <row r="24" spans="1:7" ht="13.8" x14ac:dyDescent="0.25">
      <c r="B24" s="97" t="s">
        <v>9</v>
      </c>
      <c r="C24" s="98"/>
      <c r="D24" s="99"/>
      <c r="E24" s="76"/>
    </row>
    <row r="25" spans="1:7" ht="156.6" x14ac:dyDescent="0.25">
      <c r="B25" s="596" t="s">
        <v>958</v>
      </c>
      <c r="C25" s="76"/>
      <c r="D25" s="96"/>
    </row>
    <row r="26" spans="1:7" ht="13.8" x14ac:dyDescent="0.25">
      <c r="A26" s="426"/>
      <c r="B26" s="103" t="s">
        <v>11</v>
      </c>
      <c r="C26" s="96"/>
      <c r="D26" s="96"/>
      <c r="E26" s="96"/>
    </row>
    <row r="27" spans="1:7" ht="15" x14ac:dyDescent="0.25">
      <c r="A27" s="427"/>
      <c r="B27" s="123" t="s">
        <v>12</v>
      </c>
      <c r="C27" s="52"/>
      <c r="D27" s="52"/>
      <c r="E27" s="96"/>
    </row>
    <row r="28" spans="1:7" ht="15" x14ac:dyDescent="0.25">
      <c r="A28" s="427"/>
      <c r="B28" s="123" t="s">
        <v>13</v>
      </c>
      <c r="C28" s="52"/>
      <c r="D28" s="52"/>
    </row>
    <row r="29" spans="1:7" s="96" customFormat="1" ht="15" x14ac:dyDescent="0.25">
      <c r="A29" s="427"/>
      <c r="B29" s="123" t="s">
        <v>14</v>
      </c>
      <c r="C29" s="52"/>
      <c r="D29" s="52"/>
      <c r="E29" s="52"/>
      <c r="F29" s="52"/>
      <c r="G29" s="52"/>
    </row>
    <row r="30" spans="1:7" s="96" customFormat="1" ht="15.75" customHeight="1" x14ac:dyDescent="0.25">
      <c r="A30" s="383"/>
      <c r="B30" s="103" t="s">
        <v>15</v>
      </c>
      <c r="C30" s="52"/>
      <c r="D30" s="52"/>
      <c r="E30" s="52"/>
      <c r="F30" s="52"/>
    </row>
    <row r="31" spans="1:7" ht="13.8" x14ac:dyDescent="0.25">
      <c r="A31" s="383"/>
      <c r="B31" s="295" t="s">
        <v>42</v>
      </c>
      <c r="C31" s="104"/>
      <c r="D31" s="105"/>
      <c r="F31" s="96"/>
      <c r="G31" s="96"/>
    </row>
    <row r="32" spans="1:7" ht="13.5" customHeight="1" x14ac:dyDescent="0.25">
      <c r="A32" s="390"/>
      <c r="B32" s="295" t="s">
        <v>43</v>
      </c>
      <c r="C32" s="104"/>
      <c r="D32" s="105"/>
      <c r="F32" s="96"/>
    </row>
    <row r="33" spans="1:4" ht="13.5" customHeight="1" x14ac:dyDescent="0.25">
      <c r="A33" s="390"/>
      <c r="B33" s="103" t="s">
        <v>18</v>
      </c>
      <c r="C33" s="107"/>
      <c r="D33" s="105"/>
    </row>
    <row r="34" spans="1:4" ht="15" x14ac:dyDescent="0.25">
      <c r="A34" s="390"/>
      <c r="B34" s="313" t="s">
        <v>808</v>
      </c>
      <c r="C34" s="107"/>
      <c r="D34" s="105"/>
    </row>
    <row r="35" spans="1:4" ht="15" x14ac:dyDescent="0.25">
      <c r="A35" s="390"/>
      <c r="B35" s="297" t="s">
        <v>20</v>
      </c>
      <c r="C35" s="107"/>
      <c r="D35" s="105"/>
    </row>
    <row r="36" spans="1:4" ht="13.5" customHeight="1" x14ac:dyDescent="0.25">
      <c r="A36" s="392"/>
      <c r="B36" s="103" t="s">
        <v>21</v>
      </c>
      <c r="C36" s="107"/>
      <c r="D36" s="105"/>
    </row>
    <row r="37" spans="1:4" ht="13.5" customHeight="1" x14ac:dyDescent="0.25">
      <c r="A37" s="390"/>
      <c r="B37" s="122" t="s">
        <v>262</v>
      </c>
      <c r="C37" s="107"/>
      <c r="D37" s="107"/>
    </row>
    <row r="38" spans="1:4" ht="13.5" customHeight="1" x14ac:dyDescent="0.25">
      <c r="A38" s="390"/>
      <c r="B38" s="123" t="s">
        <v>44</v>
      </c>
      <c r="C38" s="107"/>
      <c r="D38" s="107"/>
    </row>
    <row r="39" spans="1:4" ht="13.5" customHeight="1" x14ac:dyDescent="0.25">
      <c r="A39" s="390"/>
      <c r="B39" s="123" t="s">
        <v>45</v>
      </c>
      <c r="C39" s="109"/>
      <c r="D39" s="110"/>
    </row>
    <row r="40" spans="1:4" ht="13.5" customHeight="1" x14ac:dyDescent="0.25">
      <c r="A40" s="390"/>
      <c r="B40" s="314" t="s">
        <v>23</v>
      </c>
      <c r="C40" s="109"/>
      <c r="D40" s="110"/>
    </row>
    <row r="41" spans="1:4" ht="16.8" x14ac:dyDescent="0.4">
      <c r="A41" s="106"/>
      <c r="B41" s="111"/>
      <c r="C41" s="109"/>
      <c r="D41" s="109"/>
    </row>
    <row r="42" spans="1:4" ht="13.8" x14ac:dyDescent="0.25">
      <c r="A42" s="108"/>
      <c r="B42" s="112"/>
      <c r="C42" s="109"/>
      <c r="D42" s="109"/>
    </row>
    <row r="43" spans="1:4" ht="15" x14ac:dyDescent="0.25">
      <c r="A43" s="106"/>
      <c r="B43" s="112"/>
      <c r="C43" s="107"/>
      <c r="D43" s="105"/>
    </row>
    <row r="44" spans="1:4" ht="15" x14ac:dyDescent="0.25">
      <c r="A44" s="106"/>
      <c r="B44" s="113"/>
      <c r="C44" s="109"/>
      <c r="D44" s="110"/>
    </row>
    <row r="45" spans="1:4" ht="16.2" x14ac:dyDescent="0.35">
      <c r="A45" s="106"/>
      <c r="B45" s="114"/>
      <c r="C45" s="109"/>
      <c r="D45" s="110"/>
    </row>
    <row r="46" spans="1:4" ht="13.8" x14ac:dyDescent="0.25">
      <c r="A46" s="115" t="s">
        <v>0</v>
      </c>
      <c r="C46" s="109"/>
      <c r="D46" s="110"/>
    </row>
    <row r="47" spans="1:4" ht="13.8" x14ac:dyDescent="0.25">
      <c r="A47" s="116"/>
      <c r="C47" s="109"/>
      <c r="D47" s="109"/>
    </row>
    <row r="48" spans="1:4" ht="13.8" x14ac:dyDescent="0.25">
      <c r="A48" s="117"/>
      <c r="C48" s="118"/>
      <c r="D48" s="118"/>
    </row>
    <row r="49" spans="1:4" x14ac:dyDescent="0.25">
      <c r="A49" s="117"/>
      <c r="C49" s="112"/>
      <c r="D49" s="52"/>
    </row>
    <row r="50" spans="1:4" x14ac:dyDescent="0.25">
      <c r="A50" s="119"/>
      <c r="C50" s="112"/>
      <c r="D50" s="52"/>
    </row>
    <row r="51" spans="1:4" x14ac:dyDescent="0.25">
      <c r="A51" s="120" t="s">
        <v>0</v>
      </c>
      <c r="C51" s="112"/>
      <c r="D51" s="52"/>
    </row>
    <row r="52" spans="1:4" x14ac:dyDescent="0.25">
      <c r="A52" s="52" t="s">
        <v>0</v>
      </c>
      <c r="C52" s="112"/>
      <c r="D52"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56" fitToHeight="0" orientation="portrait"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CE21-F03D-4A47-8806-7BCF2ED4C086}">
  <sheetPr>
    <tabColor theme="4" tint="-0.249977111117893"/>
    <pageSetUpPr fitToPage="1"/>
  </sheetPr>
  <dimension ref="A1:G58"/>
  <sheetViews>
    <sheetView zoomScaleNormal="100" workbookViewId="0">
      <selection activeCell="B22" sqref="B22"/>
    </sheetView>
  </sheetViews>
  <sheetFormatPr baseColWidth="10" defaultColWidth="11.44140625" defaultRowHeight="13.2" x14ac:dyDescent="0.25"/>
  <cols>
    <col min="1" max="1" width="6" style="108" customWidth="1"/>
    <col min="2" max="2" width="68" style="108" customWidth="1"/>
    <col min="3" max="3" width="12.6640625" style="107" customWidth="1"/>
    <col min="4" max="4" width="11.4414062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9.2" x14ac:dyDescent="0.45">
      <c r="A7" s="227" t="s">
        <v>385</v>
      </c>
      <c r="B7" s="228"/>
      <c r="C7" s="229"/>
      <c r="D7" s="229"/>
    </row>
    <row r="8" spans="1:7" s="10" customFormat="1" ht="19.2" x14ac:dyDescent="0.45">
      <c r="A8" s="227" t="s">
        <v>386</v>
      </c>
      <c r="B8" s="228"/>
      <c r="C8" s="229"/>
      <c r="D8" s="229"/>
    </row>
    <row r="9" spans="1:7" s="10" customFormat="1" ht="19.2" x14ac:dyDescent="0.45">
      <c r="A9" s="227" t="s">
        <v>387</v>
      </c>
      <c r="B9" s="228"/>
      <c r="C9" s="229"/>
      <c r="D9" s="229"/>
    </row>
    <row r="10" spans="1:7" s="10" customFormat="1" ht="19.2" x14ac:dyDescent="0.45">
      <c r="A10" s="227" t="s">
        <v>388</v>
      </c>
      <c r="B10" s="228"/>
      <c r="C10" s="230"/>
      <c r="D10" s="229"/>
    </row>
    <row r="11" spans="1:7" s="10" customFormat="1" ht="19.2" x14ac:dyDescent="0.45">
      <c r="A11" s="227" t="s">
        <v>6</v>
      </c>
      <c r="B11" s="228"/>
      <c r="C11" s="230"/>
      <c r="D11" s="229"/>
    </row>
    <row r="12" spans="1:7" s="10" customFormat="1" ht="16.5" customHeight="1" x14ac:dyDescent="0.45">
      <c r="A12" s="16" t="s">
        <v>1030</v>
      </c>
      <c r="B12" s="231"/>
      <c r="C12" s="232"/>
      <c r="D12" s="233"/>
      <c r="E12" s="188"/>
    </row>
    <row r="13" spans="1:7" s="10" customFormat="1" ht="19.2" x14ac:dyDescent="0.4">
      <c r="A13" s="1053" t="s">
        <v>150</v>
      </c>
      <c r="B13" s="1054"/>
      <c r="C13" s="1055"/>
      <c r="D13" s="1056"/>
      <c r="E13" s="108"/>
    </row>
    <row r="14" spans="1:7" s="10" customFormat="1" ht="15" customHeight="1" x14ac:dyDescent="0.4">
      <c r="A14" s="148"/>
      <c r="B14" s="149"/>
      <c r="C14" s="150"/>
      <c r="D14" s="150"/>
      <c r="E14" s="190"/>
      <c r="F14" s="188"/>
      <c r="G14" s="188"/>
    </row>
    <row r="15" spans="1:7" s="188" customFormat="1" ht="26.4" x14ac:dyDescent="0.25">
      <c r="A15" s="155">
        <v>1</v>
      </c>
      <c r="B15" s="396" t="s">
        <v>389</v>
      </c>
      <c r="C15" s="397">
        <f>(232778)*1.24</f>
        <v>288644.71999999997</v>
      </c>
      <c r="D15" s="398">
        <f>A15*C15</f>
        <v>288644.71999999997</v>
      </c>
      <c r="E15" s="190"/>
      <c r="F15" s="108"/>
      <c r="G15" s="108"/>
    </row>
    <row r="16" spans="1:7" x14ac:dyDescent="0.25">
      <c r="A16" s="155">
        <v>1</v>
      </c>
      <c r="B16" s="396" t="s">
        <v>390</v>
      </c>
      <c r="C16" s="397">
        <f>(121672)*1.3</f>
        <v>158173.6</v>
      </c>
      <c r="D16" s="398">
        <f>A16*C16</f>
        <v>158173.6</v>
      </c>
      <c r="E16" s="189"/>
      <c r="F16" s="191"/>
      <c r="G16" s="191"/>
    </row>
    <row r="17" spans="1:7" s="191" customFormat="1" x14ac:dyDescent="0.25">
      <c r="A17" s="399"/>
      <c r="B17" s="400"/>
      <c r="C17" s="401"/>
      <c r="D17" s="154"/>
      <c r="E17" s="189"/>
      <c r="F17" s="108"/>
      <c r="G17" s="108"/>
    </row>
    <row r="18" spans="1:7" x14ac:dyDescent="0.25">
      <c r="A18" s="250"/>
      <c r="B18" s="402" t="s">
        <v>391</v>
      </c>
      <c r="C18" s="403" t="s">
        <v>160</v>
      </c>
      <c r="D18" s="154">
        <f>SUM(D14:D17)</f>
        <v>446818.31999999995</v>
      </c>
      <c r="E18" s="189"/>
    </row>
    <row r="19" spans="1:7" x14ac:dyDescent="0.25">
      <c r="A19" s="250"/>
      <c r="B19" s="250"/>
      <c r="C19" s="403" t="s">
        <v>392</v>
      </c>
      <c r="D19" s="154">
        <f>D18*0.16</f>
        <v>71490.931199999992</v>
      </c>
      <c r="E19" s="189"/>
    </row>
    <row r="20" spans="1:7" ht="13.8" thickBot="1" x14ac:dyDescent="0.3">
      <c r="A20" s="250"/>
      <c r="B20" s="250"/>
      <c r="C20" s="403" t="s">
        <v>162</v>
      </c>
      <c r="D20" s="154">
        <f>D18+D19</f>
        <v>518309.25119999994</v>
      </c>
      <c r="E20" s="189"/>
    </row>
    <row r="21" spans="1:7" ht="13.8" thickBot="1" x14ac:dyDescent="0.3">
      <c r="A21" s="102"/>
      <c r="B21" s="1074" t="s">
        <v>1041</v>
      </c>
      <c r="C21" s="1075"/>
      <c r="D21" s="1076"/>
      <c r="E21" s="189"/>
    </row>
    <row r="22" spans="1:7" x14ac:dyDescent="0.25">
      <c r="A22" s="102"/>
      <c r="B22" s="201"/>
      <c r="C22" s="253"/>
      <c r="D22" s="254"/>
      <c r="E22" s="189"/>
    </row>
    <row r="23" spans="1:7" ht="13.8" x14ac:dyDescent="0.25">
      <c r="A23" s="102"/>
      <c r="B23" s="103" t="s">
        <v>9</v>
      </c>
      <c r="C23" s="104"/>
      <c r="D23" s="105"/>
      <c r="E23" s="189"/>
    </row>
    <row r="24" spans="1:7" ht="17.399999999999999" x14ac:dyDescent="0.25">
      <c r="A24" s="102"/>
      <c r="B24" s="387" t="s">
        <v>10</v>
      </c>
      <c r="C24" s="104"/>
      <c r="D24" s="105"/>
    </row>
    <row r="25" spans="1:7" ht="15" x14ac:dyDescent="0.25">
      <c r="A25" s="106"/>
      <c r="B25" s="103" t="s">
        <v>11</v>
      </c>
      <c r="D25" s="105"/>
    </row>
    <row r="26" spans="1:7" ht="15" x14ac:dyDescent="0.25">
      <c r="A26" s="106"/>
      <c r="B26" s="123" t="s">
        <v>394</v>
      </c>
      <c r="D26" s="105"/>
    </row>
    <row r="27" spans="1:7" ht="13.5" customHeight="1" x14ac:dyDescent="0.25">
      <c r="A27" s="106"/>
      <c r="B27" s="123" t="s">
        <v>13</v>
      </c>
      <c r="D27" s="105"/>
    </row>
    <row r="28" spans="1:7" ht="17.25" customHeight="1" x14ac:dyDescent="0.25">
      <c r="A28" s="106"/>
      <c r="B28" s="123" t="s">
        <v>14</v>
      </c>
      <c r="D28" s="105"/>
    </row>
    <row r="29" spans="1:7" ht="13.8" x14ac:dyDescent="0.25">
      <c r="B29" s="103" t="s">
        <v>15</v>
      </c>
    </row>
    <row r="30" spans="1:7" ht="13.5" customHeight="1" x14ac:dyDescent="0.25">
      <c r="A30" s="106"/>
      <c r="B30" s="295" t="s">
        <v>395</v>
      </c>
    </row>
    <row r="31" spans="1:7" ht="27.6" x14ac:dyDescent="0.25">
      <c r="A31" s="106"/>
      <c r="B31" s="295" t="s">
        <v>17</v>
      </c>
      <c r="C31" s="109"/>
      <c r="D31" s="110"/>
    </row>
    <row r="32" spans="1:7" ht="15" x14ac:dyDescent="0.25">
      <c r="A32" s="106"/>
      <c r="B32" s="103" t="s">
        <v>18</v>
      </c>
      <c r="C32" s="109"/>
      <c r="D32" s="110"/>
      <c r="E32" s="189"/>
    </row>
    <row r="33" spans="1:5" ht="15" x14ac:dyDescent="0.25">
      <c r="A33" s="106"/>
      <c r="B33" s="313" t="s">
        <v>396</v>
      </c>
      <c r="C33" s="109"/>
      <c r="D33" s="109"/>
      <c r="E33" s="189"/>
    </row>
    <row r="34" spans="1:5" ht="15" x14ac:dyDescent="0.25">
      <c r="A34" s="106"/>
      <c r="B34" s="297" t="s">
        <v>20</v>
      </c>
      <c r="C34" s="109"/>
      <c r="D34" s="109"/>
    </row>
    <row r="35" spans="1:5" ht="13.8" x14ac:dyDescent="0.25">
      <c r="B35" s="103" t="s">
        <v>21</v>
      </c>
      <c r="D35" s="105"/>
    </row>
    <row r="36" spans="1:5" ht="15" x14ac:dyDescent="0.25">
      <c r="A36" s="106"/>
      <c r="B36" s="179" t="s">
        <v>222</v>
      </c>
      <c r="C36" s="109"/>
      <c r="D36" s="110"/>
    </row>
    <row r="37" spans="1:5" ht="15" x14ac:dyDescent="0.25">
      <c r="A37" s="106"/>
      <c r="B37" s="123" t="s">
        <v>44</v>
      </c>
      <c r="C37" s="109"/>
      <c r="D37" s="110"/>
    </row>
    <row r="38" spans="1:5" ht="13.8" x14ac:dyDescent="0.25">
      <c r="A38" s="115" t="s">
        <v>0</v>
      </c>
      <c r="B38" s="123" t="s">
        <v>45</v>
      </c>
      <c r="C38" s="109"/>
    </row>
    <row r="39" spans="1:5" ht="50.4" x14ac:dyDescent="0.25">
      <c r="A39" s="222"/>
      <c r="B39" s="314" t="s">
        <v>169</v>
      </c>
      <c r="C39" s="220"/>
      <c r="D39" s="108"/>
    </row>
    <row r="40" spans="1:5" x14ac:dyDescent="0.25">
      <c r="A40" s="222"/>
      <c r="B40" s="181"/>
      <c r="C40" s="181"/>
      <c r="D40" s="108"/>
    </row>
    <row r="41" spans="1:5" x14ac:dyDescent="0.25">
      <c r="A41" s="222"/>
      <c r="B41" s="181"/>
      <c r="C41" s="181"/>
      <c r="D41" s="108"/>
    </row>
    <row r="42" spans="1:5" x14ac:dyDescent="0.25">
      <c r="A42" s="225"/>
      <c r="B42" s="223"/>
      <c r="C42" s="181"/>
      <c r="D42" s="108"/>
    </row>
    <row r="43" spans="1:5" ht="15" x14ac:dyDescent="0.35">
      <c r="A43" s="226" t="s">
        <v>0</v>
      </c>
      <c r="B43" s="224"/>
      <c r="C43" s="181"/>
      <c r="D43" s="181"/>
    </row>
    <row r="44" spans="1:5" x14ac:dyDescent="0.25">
      <c r="A44" s="108" t="s">
        <v>0</v>
      </c>
    </row>
    <row r="49" ht="12.75" customHeight="1" x14ac:dyDescent="0.25"/>
    <row r="53" ht="16.5" customHeight="1" x14ac:dyDescent="0.25"/>
    <row r="57" ht="15.75" customHeight="1" x14ac:dyDescent="0.25"/>
    <row r="58" ht="15" customHeight="1" x14ac:dyDescent="0.25"/>
  </sheetData>
  <mergeCells count="3">
    <mergeCell ref="A4:D4"/>
    <mergeCell ref="A13:D13"/>
    <mergeCell ref="B21:D21"/>
  </mergeCells>
  <printOptions horizontalCentered="1"/>
  <pageMargins left="0.25" right="0.25" top="0.75" bottom="0.75" header="0.3" footer="0.3"/>
  <pageSetup paperSize="9" scale="88" fitToWidth="0" orientation="portrait" r:id="rId1"/>
  <headerFooter alignWithMargins="0">
    <oddFooter>Página &amp;P de &amp;N</oddFooter>
  </headerFooter>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8DC0-AA0F-48CA-BB2E-5EE2130ED4C3}">
  <sheetPr>
    <tabColor theme="4" tint="-0.249977111117893"/>
    <pageSetUpPr fitToPage="1"/>
  </sheetPr>
  <dimension ref="A1:F62"/>
  <sheetViews>
    <sheetView topLeftCell="A12" zoomScale="115" zoomScaleNormal="115" workbookViewId="0">
      <selection activeCell="B26" sqref="B26"/>
    </sheetView>
  </sheetViews>
  <sheetFormatPr baseColWidth="10" defaultColWidth="11.44140625" defaultRowHeight="13.2" x14ac:dyDescent="0.25"/>
  <cols>
    <col min="1" max="1" width="6" style="1" customWidth="1"/>
    <col min="2" max="2" width="73.88671875" style="1" customWidth="1"/>
    <col min="3" max="3" width="12.5546875" style="3" customWidth="1"/>
    <col min="4" max="4" width="13.332031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1</v>
      </c>
      <c r="B7" s="8"/>
      <c r="C7" s="9"/>
      <c r="D7" s="9"/>
    </row>
    <row r="8" spans="1:6" s="4" customFormat="1" ht="19.2" x14ac:dyDescent="0.45">
      <c r="A8" s="7" t="s">
        <v>2</v>
      </c>
      <c r="B8" s="8"/>
      <c r="C8" s="9"/>
      <c r="D8" s="9"/>
    </row>
    <row r="9" spans="1:6" s="4" customFormat="1" ht="19.2" x14ac:dyDescent="0.45">
      <c r="A9" s="7" t="s">
        <v>3</v>
      </c>
      <c r="B9" s="8"/>
      <c r="C9" s="9"/>
      <c r="D9" s="9"/>
    </row>
    <row r="10" spans="1:6" s="4" customFormat="1" ht="19.2" x14ac:dyDescent="0.45">
      <c r="A10" s="7" t="s">
        <v>202</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
      <c r="A13" s="16" t="s">
        <v>1030</v>
      </c>
      <c r="B13" s="13"/>
      <c r="C13" s="14"/>
      <c r="D13" s="15"/>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26.4" x14ac:dyDescent="0.25">
      <c r="A17" s="155">
        <v>1</v>
      </c>
      <c r="B17" s="156" t="s">
        <v>786</v>
      </c>
      <c r="C17" s="153">
        <f>(154212)*(1.26)</f>
        <v>194307.12</v>
      </c>
      <c r="D17" s="154">
        <f t="shared" ref="D17:D20" si="0">A17*C17</f>
        <v>194307.12</v>
      </c>
      <c r="E17" s="147"/>
    </row>
    <row r="18" spans="1:5" ht="26.4" x14ac:dyDescent="0.25">
      <c r="A18" s="157">
        <v>1</v>
      </c>
      <c r="B18" s="158" t="s">
        <v>787</v>
      </c>
      <c r="C18" s="159">
        <f>(52662)*1.27</f>
        <v>66880.740000000005</v>
      </c>
      <c r="D18" s="161">
        <f t="shared" si="0"/>
        <v>66880.740000000005</v>
      </c>
      <c r="E18" s="147"/>
    </row>
    <row r="19" spans="1:5" ht="82.8" customHeight="1" x14ac:dyDescent="0.25">
      <c r="A19" s="157">
        <v>1</v>
      </c>
      <c r="B19" s="158" t="s">
        <v>103</v>
      </c>
      <c r="C19" s="159">
        <f>(9203)*1.3+3600</f>
        <v>15563.9</v>
      </c>
      <c r="D19" s="161">
        <f t="shared" si="0"/>
        <v>15563.9</v>
      </c>
      <c r="E19" s="147"/>
    </row>
    <row r="20" spans="1:5" ht="26.4" x14ac:dyDescent="0.25">
      <c r="A20" s="157">
        <v>1</v>
      </c>
      <c r="B20" s="158" t="s">
        <v>88</v>
      </c>
      <c r="C20" s="160">
        <v>2100</v>
      </c>
      <c r="D20" s="161">
        <f t="shared" si="0"/>
        <v>2100</v>
      </c>
      <c r="E20" s="147"/>
    </row>
    <row r="21" spans="1:5" x14ac:dyDescent="0.25">
      <c r="A21" s="157"/>
      <c r="B21" s="158" t="s">
        <v>89</v>
      </c>
      <c r="C21" s="160"/>
      <c r="D21" s="161"/>
      <c r="E21" s="147"/>
    </row>
    <row r="22" spans="1:5" x14ac:dyDescent="0.25">
      <c r="A22" s="32"/>
      <c r="B22" s="166"/>
      <c r="C22" s="167" t="s">
        <v>38</v>
      </c>
      <c r="D22" s="168">
        <f>SUM(D17:D21)</f>
        <v>278851.76</v>
      </c>
      <c r="E22" s="147"/>
    </row>
    <row r="23" spans="1:5" x14ac:dyDescent="0.25">
      <c r="A23" s="33"/>
      <c r="B23" s="33"/>
      <c r="C23" s="167" t="s">
        <v>90</v>
      </c>
      <c r="D23" s="168">
        <f>D22*0.16</f>
        <v>44616.281600000002</v>
      </c>
      <c r="E23" s="147"/>
    </row>
    <row r="24" spans="1:5" ht="13.8" thickBot="1" x14ac:dyDescent="0.3">
      <c r="A24" s="33"/>
      <c r="B24" s="170"/>
      <c r="C24" s="171" t="s">
        <v>40</v>
      </c>
      <c r="D24" s="172">
        <f>D22+D23</f>
        <v>323468.0416</v>
      </c>
      <c r="E24" s="147"/>
    </row>
    <row r="25" spans="1:5" ht="13.8" thickBot="1" x14ac:dyDescent="0.3">
      <c r="A25" s="33"/>
      <c r="B25" s="1035" t="s">
        <v>1042</v>
      </c>
      <c r="C25" s="1036"/>
      <c r="D25" s="1037"/>
      <c r="E25" s="147"/>
    </row>
    <row r="26" spans="1:5" ht="13.8" x14ac:dyDescent="0.25">
      <c r="A26" s="33"/>
      <c r="B26" s="173" t="s">
        <v>9</v>
      </c>
      <c r="C26" s="174"/>
      <c r="D26" s="175"/>
      <c r="E26" s="147"/>
    </row>
    <row r="27" spans="1:5" ht="17.399999999999999" x14ac:dyDescent="0.25">
      <c r="A27" s="176"/>
      <c r="B27" s="177" t="s">
        <v>10</v>
      </c>
      <c r="C27" s="169"/>
      <c r="D27" s="41"/>
      <c r="E27" s="147"/>
    </row>
    <row r="28" spans="1:5" ht="15" x14ac:dyDescent="0.25">
      <c r="A28" s="178"/>
      <c r="B28" s="40" t="s">
        <v>11</v>
      </c>
      <c r="D28" s="41"/>
    </row>
    <row r="29" spans="1:5" ht="15" x14ac:dyDescent="0.25">
      <c r="A29" s="178"/>
      <c r="B29" s="131" t="s">
        <v>12</v>
      </c>
      <c r="D29" s="41"/>
    </row>
    <row r="30" spans="1:5" ht="15" x14ac:dyDescent="0.25">
      <c r="A30" s="178"/>
      <c r="B30" s="131" t="s">
        <v>13</v>
      </c>
      <c r="D30" s="41"/>
    </row>
    <row r="31" spans="1:5" ht="15" x14ac:dyDescent="0.25">
      <c r="A31" s="178"/>
      <c r="B31" s="131" t="s">
        <v>14</v>
      </c>
      <c r="D31" s="41"/>
    </row>
    <row r="32" spans="1:5" ht="13.8" x14ac:dyDescent="0.25">
      <c r="A32" s="129"/>
      <c r="B32" s="40" t="s">
        <v>15</v>
      </c>
    </row>
    <row r="33" spans="1:4" ht="27.6" x14ac:dyDescent="0.25">
      <c r="A33" s="178"/>
      <c r="B33" s="36" t="s">
        <v>42</v>
      </c>
    </row>
    <row r="34" spans="1:4" ht="41.4" x14ac:dyDescent="0.25">
      <c r="A34" s="178"/>
      <c r="B34" s="36" t="s">
        <v>43</v>
      </c>
      <c r="C34" s="38"/>
      <c r="D34" s="39"/>
    </row>
    <row r="35" spans="1:4" ht="15" x14ac:dyDescent="0.25">
      <c r="A35" s="178"/>
      <c r="B35" s="40" t="s">
        <v>18</v>
      </c>
      <c r="C35" s="38"/>
      <c r="D35" s="39"/>
    </row>
    <row r="36" spans="1:4" ht="15" x14ac:dyDescent="0.25">
      <c r="A36" s="178"/>
      <c r="B36" s="134" t="s">
        <v>397</v>
      </c>
      <c r="C36" s="38"/>
      <c r="D36" s="38"/>
    </row>
    <row r="37" spans="1:4" ht="15" x14ac:dyDescent="0.25">
      <c r="A37" s="178"/>
      <c r="B37" s="135" t="s">
        <v>20</v>
      </c>
      <c r="C37" s="38"/>
      <c r="D37" s="38"/>
    </row>
    <row r="38" spans="1:4" ht="13.8" x14ac:dyDescent="0.25">
      <c r="A38" s="129"/>
      <c r="B38" s="40" t="s">
        <v>21</v>
      </c>
      <c r="D38" s="41"/>
    </row>
    <row r="39" spans="1:4" ht="15" x14ac:dyDescent="0.25">
      <c r="A39" s="178"/>
      <c r="B39" s="179" t="s">
        <v>222</v>
      </c>
      <c r="C39" s="38"/>
      <c r="D39" s="39"/>
    </row>
    <row r="40" spans="1:4" ht="15" x14ac:dyDescent="0.25">
      <c r="A40" s="178"/>
      <c r="B40" s="131" t="s">
        <v>44</v>
      </c>
      <c r="C40" s="38"/>
      <c r="D40" s="39"/>
    </row>
    <row r="41" spans="1:4" ht="50.4" x14ac:dyDescent="0.25">
      <c r="A41" s="182" t="s">
        <v>0</v>
      </c>
      <c r="B41" s="183" t="s">
        <v>23</v>
      </c>
      <c r="C41" s="38"/>
      <c r="D41" s="38"/>
    </row>
    <row r="42" spans="1:4" ht="16.8" x14ac:dyDescent="0.4">
      <c r="A42" s="43"/>
      <c r="B42" s="44"/>
      <c r="C42" s="45"/>
      <c r="D42" s="45"/>
    </row>
    <row r="43" spans="1:4" x14ac:dyDescent="0.25">
      <c r="A43" s="46"/>
      <c r="B43" s="47"/>
      <c r="C43" s="47"/>
      <c r="D43" s="1"/>
    </row>
    <row r="44" spans="1:4" x14ac:dyDescent="0.25">
      <c r="A44" s="46"/>
      <c r="B44" s="47"/>
      <c r="C44" s="47"/>
      <c r="D44" s="1"/>
    </row>
    <row r="45" spans="1:4" x14ac:dyDescent="0.25">
      <c r="A45" s="48"/>
      <c r="B45" s="49"/>
      <c r="C45" s="47"/>
      <c r="D45" s="1"/>
    </row>
    <row r="46" spans="1:4" ht="15" x14ac:dyDescent="0.35">
      <c r="A46" s="50" t="s">
        <v>0</v>
      </c>
      <c r="B46" s="51"/>
      <c r="C46" s="47"/>
      <c r="D46" s="47"/>
    </row>
    <row r="47" spans="1:4" x14ac:dyDescent="0.25">
      <c r="A47" s="1" t="s">
        <v>0</v>
      </c>
    </row>
    <row r="52" ht="15.75" customHeight="1" x14ac:dyDescent="0.25"/>
    <row r="57" ht="16.5" customHeight="1" x14ac:dyDescent="0.25"/>
    <row r="61" ht="15.75" customHeight="1" x14ac:dyDescent="0.25"/>
    <row r="62" ht="15" customHeight="1" x14ac:dyDescent="0.25"/>
  </sheetData>
  <mergeCells count="3">
    <mergeCell ref="A4:D4"/>
    <mergeCell ref="A14:D14"/>
    <mergeCell ref="B25:D25"/>
  </mergeCells>
  <printOptions horizontalCentered="1"/>
  <pageMargins left="0.25" right="0.25" top="0.75" bottom="0.75" header="0.3" footer="0.3"/>
  <pageSetup paperSize="9" scale="72" fitToWidth="0" orientation="portrait" r:id="rId1"/>
  <headerFooter alignWithMargins="0">
    <oddFooter>Página &amp;P de &amp;N</oddFooter>
  </headerFooter>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97B9-4802-4C82-A2C7-37074A293138}">
  <sheetPr>
    <tabColor theme="4" tint="-0.249977111117893"/>
    <pageSetUpPr fitToPage="1"/>
  </sheetPr>
  <dimension ref="A1:H40"/>
  <sheetViews>
    <sheetView topLeftCell="A8" zoomScaleNormal="100" workbookViewId="0">
      <selection activeCell="G19" sqref="G19"/>
    </sheetView>
  </sheetViews>
  <sheetFormatPr baseColWidth="10" defaultColWidth="11.44140625" defaultRowHeight="13.2" x14ac:dyDescent="0.25"/>
  <cols>
    <col min="1" max="1" width="6" style="1" customWidth="1"/>
    <col min="2" max="2" width="74.5546875" style="1" customWidth="1"/>
    <col min="3" max="4" width="14" style="3" bestFit="1" customWidth="1"/>
    <col min="5" max="5" width="12.44140625" style="1" bestFit="1" customWidth="1"/>
    <col min="6"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226</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16" t="s">
        <v>782</v>
      </c>
      <c r="B13" s="13"/>
      <c r="C13" s="14"/>
      <c r="D13" s="15"/>
      <c r="E13" s="17"/>
      <c r="F13" s="17"/>
    </row>
    <row r="14" spans="1:7" s="4" customFormat="1" ht="16.8" x14ac:dyDescent="0.4">
      <c r="A14" s="18"/>
      <c r="B14" s="19"/>
      <c r="C14" s="20"/>
      <c r="D14" s="20"/>
      <c r="E14" s="1"/>
      <c r="F14" s="1"/>
    </row>
    <row r="15" spans="1:7" s="17" customFormat="1" ht="45" x14ac:dyDescent="0.25">
      <c r="A15" s="21">
        <v>1</v>
      </c>
      <c r="B15" s="22" t="s">
        <v>785</v>
      </c>
      <c r="C15" s="23">
        <f>14118*1.23*21</f>
        <v>364667.94</v>
      </c>
      <c r="D15" s="24">
        <f t="shared" ref="D15" si="0">A15*C15</f>
        <v>364667.94</v>
      </c>
      <c r="E15" s="25"/>
      <c r="F15" s="26"/>
    </row>
    <row r="16" spans="1:7" ht="15.6" x14ac:dyDescent="0.25">
      <c r="A16" s="27"/>
      <c r="B16" s="27"/>
      <c r="C16" s="27"/>
      <c r="D16" s="30"/>
      <c r="F16" s="26"/>
    </row>
    <row r="17" spans="1:8" ht="15.6" x14ac:dyDescent="0.25">
      <c r="A17" s="89"/>
      <c r="B17" s="90"/>
      <c r="C17" s="91" t="s">
        <v>38</v>
      </c>
      <c r="D17" s="75">
        <f>SUM(D15:D16)</f>
        <v>364667.94</v>
      </c>
      <c r="E17" s="619">
        <f>14118*19.8</f>
        <v>279536.40000000002</v>
      </c>
      <c r="F17" s="3">
        <f t="shared" ref="F17:F18" si="1">D17-E17</f>
        <v>85131.539999999979</v>
      </c>
    </row>
    <row r="18" spans="1:8" ht="15.6" x14ac:dyDescent="0.3">
      <c r="A18" s="92"/>
      <c r="B18" s="90"/>
      <c r="C18" s="93" t="s">
        <v>39</v>
      </c>
      <c r="D18" s="618">
        <f>D17*0.16</f>
        <v>58346.8704</v>
      </c>
      <c r="E18" s="621">
        <f>E17*0.16</f>
        <v>44725.824000000008</v>
      </c>
      <c r="F18" s="169">
        <f t="shared" si="1"/>
        <v>13621.046399999992</v>
      </c>
    </row>
    <row r="19" spans="1:8" ht="16.2" thickBot="1" x14ac:dyDescent="0.35">
      <c r="A19" s="92"/>
      <c r="B19" s="90"/>
      <c r="C19" s="94" t="s">
        <v>40</v>
      </c>
      <c r="D19" s="95">
        <f>D17+D18</f>
        <v>423014.81040000002</v>
      </c>
      <c r="E19" s="620">
        <f>16376.88*19.8</f>
        <v>324262.22399999999</v>
      </c>
      <c r="F19" s="3">
        <f>D19-E19</f>
        <v>98752.586400000029</v>
      </c>
      <c r="H19" s="569"/>
    </row>
    <row r="20" spans="1:8" ht="16.2" thickBot="1" x14ac:dyDescent="0.3">
      <c r="A20" s="92"/>
      <c r="B20" s="1088" t="s">
        <v>783</v>
      </c>
      <c r="C20" s="1089"/>
      <c r="D20" s="1090"/>
    </row>
    <row r="21" spans="1:8" ht="15" x14ac:dyDescent="0.25">
      <c r="A21" s="34"/>
      <c r="B21" s="35" t="s">
        <v>11</v>
      </c>
      <c r="C21" s="129"/>
      <c r="D21" s="1"/>
    </row>
    <row r="22" spans="1:8" ht="15" x14ac:dyDescent="0.25">
      <c r="A22" s="34"/>
      <c r="B22" s="130" t="s">
        <v>762</v>
      </c>
      <c r="C22" s="129"/>
      <c r="D22" s="1"/>
    </row>
    <row r="23" spans="1:8" ht="15" x14ac:dyDescent="0.25">
      <c r="A23" s="34"/>
      <c r="B23" s="131" t="s">
        <v>13</v>
      </c>
      <c r="C23" s="129"/>
      <c r="D23" s="1"/>
    </row>
    <row r="24" spans="1:8" ht="15" x14ac:dyDescent="0.25">
      <c r="A24" s="34"/>
      <c r="B24" s="130" t="s">
        <v>14</v>
      </c>
      <c r="C24" s="129"/>
      <c r="D24" s="1"/>
    </row>
    <row r="25" spans="1:8" ht="13.8" x14ac:dyDescent="0.25">
      <c r="B25" s="35" t="s">
        <v>15</v>
      </c>
      <c r="C25" s="129"/>
      <c r="D25" s="1"/>
    </row>
    <row r="26" spans="1:8" ht="27.6" x14ac:dyDescent="0.25">
      <c r="A26" s="34"/>
      <c r="B26" s="36" t="s">
        <v>16</v>
      </c>
      <c r="C26" s="132"/>
      <c r="D26" s="37"/>
    </row>
    <row r="27" spans="1:8" ht="27.6" x14ac:dyDescent="0.25">
      <c r="A27" s="34"/>
      <c r="B27" s="36" t="s">
        <v>17</v>
      </c>
      <c r="C27" s="133"/>
      <c r="D27" s="39"/>
    </row>
    <row r="28" spans="1:8" ht="15" x14ac:dyDescent="0.25">
      <c r="A28" s="34"/>
      <c r="B28" s="40" t="s">
        <v>18</v>
      </c>
      <c r="C28" s="133"/>
      <c r="D28" s="39"/>
    </row>
    <row r="29" spans="1:8" ht="15" x14ac:dyDescent="0.25">
      <c r="A29" s="34"/>
      <c r="B29" s="134" t="s">
        <v>19</v>
      </c>
      <c r="C29" s="133"/>
      <c r="D29" s="38"/>
    </row>
    <row r="30" spans="1:8" ht="15" x14ac:dyDescent="0.25">
      <c r="A30" s="34"/>
      <c r="B30" s="135" t="s">
        <v>20</v>
      </c>
      <c r="C30" s="133"/>
      <c r="D30" s="38"/>
    </row>
    <row r="31" spans="1:8" ht="13.8" x14ac:dyDescent="0.25">
      <c r="B31" s="40" t="s">
        <v>21</v>
      </c>
      <c r="C31" s="136"/>
      <c r="D31" s="41"/>
    </row>
    <row r="32" spans="1:8" ht="15" x14ac:dyDescent="0.25">
      <c r="A32" s="106"/>
      <c r="B32" s="122" t="s">
        <v>201</v>
      </c>
      <c r="C32" s="133"/>
      <c r="D32" s="39"/>
    </row>
    <row r="33" spans="1:4" ht="15" x14ac:dyDescent="0.25">
      <c r="A33" s="106"/>
      <c r="B33" s="123" t="s">
        <v>44</v>
      </c>
      <c r="C33" s="133"/>
      <c r="D33" s="39"/>
    </row>
    <row r="34" spans="1:4" ht="15" x14ac:dyDescent="0.25">
      <c r="A34" s="106"/>
      <c r="B34" s="123" t="s">
        <v>45</v>
      </c>
      <c r="C34" s="133"/>
      <c r="D34" s="38"/>
    </row>
    <row r="35" spans="1:4" ht="50.4" x14ac:dyDescent="0.4">
      <c r="A35" s="106"/>
      <c r="B35" s="128" t="s">
        <v>23</v>
      </c>
      <c r="C35" s="45"/>
      <c r="D35" s="45"/>
    </row>
    <row r="36" spans="1:4" x14ac:dyDescent="0.25">
      <c r="A36" s="46"/>
      <c r="B36" s="47"/>
      <c r="C36" s="47"/>
      <c r="D36" s="1"/>
    </row>
    <row r="37" spans="1:4" x14ac:dyDescent="0.25">
      <c r="A37" s="46"/>
      <c r="B37" s="47"/>
      <c r="C37" s="47"/>
      <c r="D37" s="1"/>
    </row>
    <row r="38" spans="1:4" x14ac:dyDescent="0.25">
      <c r="A38" s="48"/>
      <c r="B38" s="49"/>
      <c r="C38" s="47"/>
      <c r="D38" s="1"/>
    </row>
    <row r="39" spans="1:4" ht="15" x14ac:dyDescent="0.35">
      <c r="A39" s="50" t="s">
        <v>0</v>
      </c>
      <c r="B39" s="51"/>
      <c r="C39" s="47"/>
      <c r="D39" s="47"/>
    </row>
    <row r="40" spans="1:4" x14ac:dyDescent="0.25">
      <c r="A40" s="1" t="s">
        <v>0</v>
      </c>
    </row>
  </sheetData>
  <mergeCells count="2">
    <mergeCell ref="A4:D4"/>
    <mergeCell ref="B20:D20"/>
  </mergeCells>
  <printOptions horizontalCentered="1"/>
  <pageMargins left="0.25" right="0.25" top="0.75" bottom="0.75" header="0.3" footer="0.3"/>
  <pageSetup scale="84" fitToWidth="0" orientation="portrait" r:id="rId1"/>
  <headerFooter alignWithMargins="0">
    <oddFooter>Página &amp;P de &amp;N</oddFooter>
  </headerFooter>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1390D-E78A-4D90-9D36-73F724F9454C}">
  <sheetPr>
    <tabColor theme="4" tint="-0.249977111117893"/>
    <pageSetUpPr fitToPage="1"/>
  </sheetPr>
  <dimension ref="A1:H40"/>
  <sheetViews>
    <sheetView topLeftCell="A4" zoomScaleNormal="100" workbookViewId="0">
      <selection activeCell="A11" sqref="A11"/>
    </sheetView>
  </sheetViews>
  <sheetFormatPr baseColWidth="10" defaultColWidth="11.44140625" defaultRowHeight="13.2" x14ac:dyDescent="0.25"/>
  <cols>
    <col min="1" max="1" width="6" style="1" customWidth="1"/>
    <col min="2" max="2" width="74.5546875" style="1" customWidth="1"/>
    <col min="3" max="4" width="14" style="3" bestFit="1"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226</v>
      </c>
      <c r="B10" s="8"/>
      <c r="C10" s="11"/>
      <c r="D10" s="9"/>
      <c r="E10" s="10"/>
      <c r="F10" s="10"/>
      <c r="G10" s="10"/>
    </row>
    <row r="11" spans="1:7" s="4" customFormat="1" ht="19.2" x14ac:dyDescent="0.45">
      <c r="A11" s="7" t="s">
        <v>203</v>
      </c>
      <c r="B11" s="8"/>
      <c r="C11" s="11"/>
      <c r="D11" s="9"/>
      <c r="E11" s="10"/>
      <c r="F11" s="10"/>
      <c r="G11" s="10"/>
    </row>
    <row r="12" spans="1:7" s="4" customFormat="1" ht="15" customHeight="1" x14ac:dyDescent="0.4">
      <c r="A12" s="12" t="s">
        <v>6</v>
      </c>
      <c r="B12" s="13"/>
      <c r="C12" s="14"/>
      <c r="D12" s="15"/>
      <c r="G12" s="10"/>
    </row>
    <row r="13" spans="1:7" s="4" customFormat="1" ht="16.8" x14ac:dyDescent="0.4">
      <c r="A13" s="16" t="s">
        <v>1030</v>
      </c>
      <c r="B13" s="13"/>
      <c r="C13" s="14"/>
      <c r="D13" s="15"/>
      <c r="E13" s="17"/>
      <c r="F13" s="17"/>
    </row>
    <row r="14" spans="1:7" s="4" customFormat="1" ht="16.8" x14ac:dyDescent="0.4">
      <c r="A14" s="18"/>
      <c r="B14" s="19"/>
      <c r="C14" s="20"/>
      <c r="D14" s="20"/>
      <c r="E14" s="1"/>
      <c r="F14" s="1"/>
    </row>
    <row r="15" spans="1:7" s="17" customFormat="1" ht="60" x14ac:dyDescent="0.25">
      <c r="A15" s="21">
        <v>1</v>
      </c>
      <c r="B15" s="22" t="s">
        <v>1043</v>
      </c>
      <c r="C15" s="23">
        <f>13820*1.2*21</f>
        <v>348264</v>
      </c>
      <c r="D15" s="24">
        <f t="shared" ref="D15" si="0">A15*C15</f>
        <v>348264</v>
      </c>
      <c r="E15" s="25"/>
      <c r="F15" s="26"/>
    </row>
    <row r="16" spans="1:7" ht="15.6" x14ac:dyDescent="0.25">
      <c r="A16" s="27"/>
      <c r="B16" s="27"/>
      <c r="C16" s="27"/>
      <c r="D16" s="30"/>
      <c r="F16" s="26"/>
    </row>
    <row r="17" spans="1:8" ht="15.6" x14ac:dyDescent="0.25">
      <c r="A17" s="89"/>
      <c r="B17" s="90"/>
      <c r="C17" s="91" t="s">
        <v>38</v>
      </c>
      <c r="D17" s="75">
        <f>SUM(D15:D16)</f>
        <v>348264</v>
      </c>
      <c r="F17" s="26"/>
    </row>
    <row r="18" spans="1:8" ht="15.6" x14ac:dyDescent="0.3">
      <c r="A18" s="92"/>
      <c r="B18" s="90"/>
      <c r="C18" s="93" t="s">
        <v>39</v>
      </c>
      <c r="D18" s="75">
        <f>D17*0.16</f>
        <v>55722.239999999998</v>
      </c>
    </row>
    <row r="19" spans="1:8" ht="16.2" thickBot="1" x14ac:dyDescent="0.35">
      <c r="A19" s="92"/>
      <c r="B19" s="90"/>
      <c r="C19" s="94" t="s">
        <v>40</v>
      </c>
      <c r="D19" s="95">
        <f>D17+D18</f>
        <v>403986.24</v>
      </c>
      <c r="H19" s="569"/>
    </row>
    <row r="20" spans="1:8" ht="16.2" thickBot="1" x14ac:dyDescent="0.3">
      <c r="A20" s="92"/>
      <c r="B20" s="1088" t="s">
        <v>784</v>
      </c>
      <c r="C20" s="1089"/>
      <c r="D20" s="1090"/>
    </row>
    <row r="21" spans="1:8" ht="15" x14ac:dyDescent="0.25">
      <c r="A21" s="34"/>
      <c r="B21" s="35" t="s">
        <v>11</v>
      </c>
      <c r="C21" s="129"/>
      <c r="D21" s="1"/>
    </row>
    <row r="22" spans="1:8" ht="15" x14ac:dyDescent="0.25">
      <c r="A22" s="34"/>
      <c r="B22" s="130" t="s">
        <v>762</v>
      </c>
      <c r="C22" s="129"/>
      <c r="D22" s="1"/>
    </row>
    <row r="23" spans="1:8" ht="15" x14ac:dyDescent="0.25">
      <c r="A23" s="34"/>
      <c r="B23" s="131" t="s">
        <v>13</v>
      </c>
      <c r="C23" s="129"/>
      <c r="D23" s="1"/>
    </row>
    <row r="24" spans="1:8" ht="15" x14ac:dyDescent="0.25">
      <c r="A24" s="34"/>
      <c r="B24" s="130" t="s">
        <v>14</v>
      </c>
      <c r="C24" s="129"/>
      <c r="D24" s="1"/>
    </row>
    <row r="25" spans="1:8" ht="13.8" x14ac:dyDescent="0.25">
      <c r="B25" s="35" t="s">
        <v>15</v>
      </c>
      <c r="C25" s="129"/>
      <c r="D25" s="1"/>
    </row>
    <row r="26" spans="1:8" ht="27.6" x14ac:dyDescent="0.25">
      <c r="A26" s="34"/>
      <c r="B26" s="36" t="s">
        <v>16</v>
      </c>
      <c r="C26" s="132"/>
      <c r="D26" s="37"/>
    </row>
    <row r="27" spans="1:8" ht="27.6" x14ac:dyDescent="0.25">
      <c r="A27" s="34"/>
      <c r="B27" s="36" t="s">
        <v>17</v>
      </c>
      <c r="C27" s="133"/>
      <c r="D27" s="39"/>
    </row>
    <row r="28" spans="1:8" ht="15" x14ac:dyDescent="0.25">
      <c r="A28" s="34"/>
      <c r="B28" s="40" t="s">
        <v>18</v>
      </c>
      <c r="C28" s="133"/>
      <c r="D28" s="39"/>
    </row>
    <row r="29" spans="1:8" ht="15" x14ac:dyDescent="0.25">
      <c r="A29" s="34"/>
      <c r="B29" s="134" t="s">
        <v>19</v>
      </c>
      <c r="C29" s="133"/>
      <c r="D29" s="38"/>
    </row>
    <row r="30" spans="1:8" ht="15" x14ac:dyDescent="0.25">
      <c r="A30" s="34"/>
      <c r="B30" s="135" t="s">
        <v>20</v>
      </c>
      <c r="C30" s="133"/>
      <c r="D30" s="38"/>
    </row>
    <row r="31" spans="1:8" ht="13.8" x14ac:dyDescent="0.25">
      <c r="B31" s="40" t="s">
        <v>21</v>
      </c>
      <c r="C31" s="136"/>
      <c r="D31" s="41"/>
    </row>
    <row r="32" spans="1:8" ht="15" x14ac:dyDescent="0.25">
      <c r="A32" s="106"/>
      <c r="B32" s="122" t="s">
        <v>52</v>
      </c>
      <c r="C32" s="133"/>
      <c r="D32" s="39"/>
    </row>
    <row r="33" spans="1:4" ht="15" x14ac:dyDescent="0.25">
      <c r="A33" s="106"/>
      <c r="B33" s="123" t="s">
        <v>44</v>
      </c>
      <c r="C33" s="133"/>
      <c r="D33" s="39"/>
    </row>
    <row r="34" spans="1:4" ht="15" x14ac:dyDescent="0.25">
      <c r="A34" s="106"/>
      <c r="B34" s="123" t="s">
        <v>45</v>
      </c>
      <c r="C34" s="133"/>
      <c r="D34" s="38"/>
    </row>
    <row r="35" spans="1:4" ht="50.4" x14ac:dyDescent="0.4">
      <c r="A35" s="106"/>
      <c r="B35" s="128" t="s">
        <v>23</v>
      </c>
      <c r="C35" s="45"/>
      <c r="D35" s="45"/>
    </row>
    <row r="36" spans="1:4" x14ac:dyDescent="0.25">
      <c r="A36" s="46"/>
      <c r="B36" s="47"/>
      <c r="C36" s="47"/>
      <c r="D36" s="1"/>
    </row>
    <row r="37" spans="1:4" x14ac:dyDescent="0.25">
      <c r="A37" s="46"/>
      <c r="B37" s="47"/>
      <c r="C37" s="47"/>
      <c r="D37" s="1"/>
    </row>
    <row r="38" spans="1:4" x14ac:dyDescent="0.25">
      <c r="A38" s="48"/>
      <c r="B38" s="49"/>
      <c r="C38" s="47"/>
      <c r="D38" s="1"/>
    </row>
    <row r="39" spans="1:4" ht="15" x14ac:dyDescent="0.35">
      <c r="A39" s="50" t="s">
        <v>0</v>
      </c>
      <c r="B39" s="51"/>
      <c r="C39" s="47"/>
      <c r="D39" s="47"/>
    </row>
    <row r="40" spans="1:4" x14ac:dyDescent="0.25">
      <c r="A40" s="1" t="s">
        <v>0</v>
      </c>
    </row>
  </sheetData>
  <mergeCells count="2">
    <mergeCell ref="A4:D4"/>
    <mergeCell ref="B20:D20"/>
  </mergeCells>
  <printOptions horizontalCentered="1"/>
  <pageMargins left="0.25" right="0.25" top="0.75" bottom="0.75" header="0.3" footer="0.3"/>
  <pageSetup scale="82" fitToWidth="0" orientation="portrait" r:id="rId1"/>
  <headerFooter alignWithMargins="0">
    <oddFooter>Página &amp;P de &amp;N</oddFooter>
  </headerFooter>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47D1-F8EC-44DF-9C6F-EFD979F7C05A}">
  <sheetPr>
    <tabColor theme="4" tint="-0.249977111117893"/>
    <pageSetUpPr fitToPage="1"/>
  </sheetPr>
  <dimension ref="A1:G41"/>
  <sheetViews>
    <sheetView topLeftCell="A4" zoomScaleNormal="100" workbookViewId="0">
      <selection activeCell="A7" sqref="A7:F11"/>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7" t="s">
        <v>1</v>
      </c>
      <c r="B7" s="8"/>
      <c r="C7" s="9"/>
      <c r="D7" s="9"/>
      <c r="E7" s="10"/>
      <c r="F7" s="10"/>
      <c r="G7" s="10"/>
    </row>
    <row r="8" spans="1:7" s="4" customFormat="1" ht="19.2" x14ac:dyDescent="0.45">
      <c r="A8" s="7" t="s">
        <v>2</v>
      </c>
      <c r="B8" s="8"/>
      <c r="C8" s="9"/>
      <c r="D8" s="9"/>
      <c r="E8" s="10"/>
      <c r="F8" s="10"/>
      <c r="G8" s="10"/>
    </row>
    <row r="9" spans="1:7" s="4" customFormat="1" ht="19.2" x14ac:dyDescent="0.45">
      <c r="A9" s="7" t="s">
        <v>3</v>
      </c>
      <c r="B9" s="8"/>
      <c r="C9" s="9"/>
      <c r="D9" s="9"/>
      <c r="E9" s="10"/>
      <c r="F9" s="10"/>
      <c r="G9" s="10"/>
    </row>
    <row r="10" spans="1:7" s="4" customFormat="1" ht="19.2" x14ac:dyDescent="0.45">
      <c r="A10" s="7" t="s">
        <v>4</v>
      </c>
      <c r="B10" s="8"/>
      <c r="C10" s="11"/>
      <c r="D10" s="9"/>
      <c r="E10" s="10"/>
      <c r="F10" s="10"/>
      <c r="G10" s="10"/>
    </row>
    <row r="11" spans="1:7" s="4" customFormat="1" ht="19.2" x14ac:dyDescent="0.45">
      <c r="A11" s="7" t="s">
        <v>5</v>
      </c>
      <c r="B11" s="8"/>
      <c r="C11" s="11"/>
      <c r="D11" s="9"/>
      <c r="E11" s="10"/>
      <c r="F11" s="10"/>
      <c r="G11" s="10"/>
    </row>
    <row r="12" spans="1:7" s="4" customFormat="1" ht="15" customHeight="1" x14ac:dyDescent="0.4">
      <c r="A12" s="12" t="s">
        <v>6</v>
      </c>
      <c r="B12" s="13"/>
      <c r="C12" s="14"/>
      <c r="D12" s="15"/>
      <c r="G12" s="10"/>
    </row>
    <row r="13" spans="1:7" s="4" customFormat="1" ht="16.8" x14ac:dyDescent="0.4">
      <c r="A13" s="16" t="s">
        <v>1052</v>
      </c>
      <c r="B13" s="13"/>
      <c r="C13" s="14"/>
      <c r="D13" s="15"/>
      <c r="E13" s="17"/>
      <c r="F13" s="17"/>
    </row>
    <row r="14" spans="1:7" s="4" customFormat="1" ht="16.8" x14ac:dyDescent="0.4">
      <c r="A14" s="615"/>
      <c r="B14" s="616" t="s">
        <v>7</v>
      </c>
      <c r="C14" s="617"/>
      <c r="D14" s="617"/>
      <c r="E14" s="1"/>
      <c r="F14" s="1"/>
    </row>
    <row r="15" spans="1:7" s="17" customFormat="1" ht="30" x14ac:dyDescent="0.25">
      <c r="A15" s="21">
        <v>14</v>
      </c>
      <c r="B15" s="22" t="s">
        <v>1053</v>
      </c>
      <c r="C15" s="23">
        <v>2950</v>
      </c>
      <c r="D15" s="24">
        <f t="shared" ref="D15:D17" si="0">A15*C15</f>
        <v>41300</v>
      </c>
      <c r="E15" s="25"/>
      <c r="F15" s="26"/>
    </row>
    <row r="16" spans="1:7" ht="15.6" x14ac:dyDescent="0.25">
      <c r="A16" s="27">
        <v>1</v>
      </c>
      <c r="B16" s="28" t="s">
        <v>1050</v>
      </c>
      <c r="C16" s="29">
        <v>6700</v>
      </c>
      <c r="D16" s="30">
        <f t="shared" si="0"/>
        <v>6700</v>
      </c>
      <c r="F16" s="26"/>
    </row>
    <row r="17" spans="1:6" s="26" customFormat="1" ht="30" x14ac:dyDescent="0.25">
      <c r="A17" s="27">
        <v>1</v>
      </c>
      <c r="B17" s="28" t="s">
        <v>8</v>
      </c>
      <c r="C17" s="31">
        <v>2900</v>
      </c>
      <c r="D17" s="30">
        <f t="shared" si="0"/>
        <v>2900</v>
      </c>
      <c r="E17" s="1"/>
    </row>
    <row r="18" spans="1:6" ht="16.2" thickBot="1" x14ac:dyDescent="0.35">
      <c r="A18" s="32"/>
      <c r="B18" s="612" t="s">
        <v>1054</v>
      </c>
      <c r="C18" s="613" t="s">
        <v>699</v>
      </c>
      <c r="D18" s="614">
        <f>SUM(D15:D17)</f>
        <v>50900</v>
      </c>
      <c r="F18" s="26"/>
    </row>
    <row r="19" spans="1:6" ht="13.8" thickBot="1" x14ac:dyDescent="0.3">
      <c r="A19" s="33"/>
      <c r="B19" s="1091" t="s">
        <v>1051</v>
      </c>
      <c r="C19" s="1092"/>
      <c r="D19" s="1093"/>
      <c r="F19" s="26"/>
    </row>
    <row r="20" spans="1:6" ht="13.8" x14ac:dyDescent="0.25">
      <c r="A20" s="176"/>
      <c r="B20" s="40" t="s">
        <v>9</v>
      </c>
      <c r="C20" s="1"/>
      <c r="D20" s="1"/>
    </row>
    <row r="21" spans="1:6" ht="17.399999999999999" x14ac:dyDescent="0.25">
      <c r="A21" s="176"/>
      <c r="B21" s="177" t="s">
        <v>10</v>
      </c>
      <c r="C21" s="1"/>
      <c r="D21" s="1"/>
    </row>
    <row r="22" spans="1:6" ht="15" x14ac:dyDescent="0.25">
      <c r="A22" s="178"/>
      <c r="B22" s="35" t="s">
        <v>11</v>
      </c>
      <c r="C22" s="1"/>
      <c r="D22" s="1"/>
    </row>
    <row r="23" spans="1:6" ht="15" x14ac:dyDescent="0.25">
      <c r="A23" s="178"/>
      <c r="B23" s="130" t="s">
        <v>12</v>
      </c>
      <c r="C23" s="1"/>
      <c r="D23" s="1"/>
    </row>
    <row r="24" spans="1:6" ht="15" x14ac:dyDescent="0.25">
      <c r="A24" s="178"/>
      <c r="B24" s="131" t="s">
        <v>13</v>
      </c>
      <c r="C24" s="1"/>
      <c r="D24" s="1"/>
    </row>
    <row r="25" spans="1:6" ht="15" x14ac:dyDescent="0.25">
      <c r="A25" s="178"/>
      <c r="B25" s="130" t="s">
        <v>14</v>
      </c>
      <c r="C25" s="1"/>
      <c r="D25" s="1"/>
    </row>
    <row r="26" spans="1:6" ht="13.8" x14ac:dyDescent="0.25">
      <c r="A26" s="129"/>
      <c r="B26" s="35" t="s">
        <v>15</v>
      </c>
      <c r="C26" s="1"/>
      <c r="D26" s="1"/>
    </row>
    <row r="27" spans="1:6" ht="25.5" customHeight="1" x14ac:dyDescent="0.25">
      <c r="A27" s="178"/>
      <c r="B27" s="36" t="s">
        <v>16</v>
      </c>
      <c r="C27" s="37"/>
      <c r="D27" s="37"/>
    </row>
    <row r="28" spans="1:6" ht="27.6" x14ac:dyDescent="0.25">
      <c r="A28" s="178"/>
      <c r="B28" s="36" t="s">
        <v>17</v>
      </c>
      <c r="C28" s="38"/>
      <c r="D28" s="39"/>
    </row>
    <row r="29" spans="1:6" ht="15" x14ac:dyDescent="0.25">
      <c r="A29" s="178"/>
      <c r="B29" s="40" t="s">
        <v>18</v>
      </c>
      <c r="C29" s="38"/>
      <c r="D29" s="39"/>
    </row>
    <row r="30" spans="1:6" ht="15" x14ac:dyDescent="0.25">
      <c r="A30" s="178"/>
      <c r="B30" s="134" t="s">
        <v>19</v>
      </c>
      <c r="C30" s="38"/>
      <c r="D30" s="38"/>
    </row>
    <row r="31" spans="1:6" ht="15" x14ac:dyDescent="0.25">
      <c r="A31" s="178"/>
      <c r="B31" s="135" t="s">
        <v>20</v>
      </c>
      <c r="C31" s="38"/>
      <c r="D31" s="38"/>
    </row>
    <row r="32" spans="1:6" ht="13.8" x14ac:dyDescent="0.25">
      <c r="A32" s="129"/>
      <c r="B32" s="40" t="s">
        <v>21</v>
      </c>
      <c r="D32" s="41"/>
    </row>
    <row r="33" spans="1:4" ht="15" x14ac:dyDescent="0.25">
      <c r="A33" s="178"/>
      <c r="B33" s="179" t="s">
        <v>566</v>
      </c>
      <c r="C33" s="38"/>
      <c r="D33" s="39"/>
    </row>
    <row r="34" spans="1:4" ht="15" x14ac:dyDescent="0.25">
      <c r="A34" s="178"/>
      <c r="B34" s="131" t="s">
        <v>22</v>
      </c>
      <c r="C34" s="38"/>
      <c r="D34" s="39"/>
    </row>
    <row r="35" spans="1:4" ht="50.4" x14ac:dyDescent="0.25">
      <c r="A35" s="182" t="s">
        <v>0</v>
      </c>
      <c r="B35" s="183" t="s">
        <v>23</v>
      </c>
      <c r="C35" s="38"/>
      <c r="D35" s="38"/>
    </row>
    <row r="36" spans="1:4" ht="16.8" x14ac:dyDescent="0.4">
      <c r="A36" s="43"/>
      <c r="B36" s="44"/>
      <c r="C36" s="45"/>
      <c r="D36" s="45"/>
    </row>
    <row r="37" spans="1:4" x14ac:dyDescent="0.25">
      <c r="A37" s="46"/>
      <c r="B37" s="47"/>
      <c r="C37" s="47"/>
      <c r="D37" s="1"/>
    </row>
    <row r="38" spans="1:4" x14ac:dyDescent="0.25">
      <c r="A38" s="46"/>
      <c r="B38" s="47"/>
      <c r="C38" s="47"/>
      <c r="D38" s="1"/>
    </row>
    <row r="39" spans="1:4" x14ac:dyDescent="0.25">
      <c r="A39" s="48"/>
      <c r="B39" s="49"/>
      <c r="C39" s="47"/>
      <c r="D39" s="1"/>
    </row>
    <row r="40" spans="1:4" ht="15" x14ac:dyDescent="0.35">
      <c r="A40" s="50" t="s">
        <v>0</v>
      </c>
      <c r="B40" s="51"/>
      <c r="C40" s="47"/>
      <c r="D40" s="47"/>
    </row>
    <row r="41" spans="1:4" x14ac:dyDescent="0.25">
      <c r="A41" s="1" t="s">
        <v>0</v>
      </c>
    </row>
  </sheetData>
  <mergeCells count="2">
    <mergeCell ref="A4:D4"/>
    <mergeCell ref="B19:D19"/>
  </mergeCells>
  <printOptions horizontalCentered="1"/>
  <pageMargins left="0.25" right="0.25" top="0.75" bottom="0.75" header="0.3" footer="0.3"/>
  <pageSetup scale="82" fitToWidth="0" orientation="portrait" r:id="rId1"/>
  <headerFooter alignWithMargins="0">
    <oddFooter>Página &amp;P de &amp;N</oddFooter>
  </headerFooter>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BB08-3242-4E7C-8A11-BBA97ABB568F}">
  <sheetPr>
    <pageSetUpPr fitToPage="1"/>
  </sheetPr>
  <dimension ref="A1:G340"/>
  <sheetViews>
    <sheetView topLeftCell="A7" workbookViewId="0">
      <selection activeCell="D58" sqref="D58"/>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7" width="11.5546875" customWidth="1"/>
  </cols>
  <sheetData>
    <row r="1" spans="1:7" s="316" customFormat="1" ht="16.8" x14ac:dyDescent="0.3">
      <c r="A1" s="337"/>
      <c r="B1" s="361"/>
      <c r="C1" s="362"/>
      <c r="D1" s="363"/>
      <c r="E1" s="364"/>
      <c r="F1"/>
      <c r="G1"/>
    </row>
    <row r="5" spans="1:7" x14ac:dyDescent="0.3">
      <c r="F5" s="316"/>
    </row>
    <row r="6" spans="1:7" x14ac:dyDescent="0.3">
      <c r="E6" s="316"/>
    </row>
    <row r="7" spans="1:7" ht="16.8" x14ac:dyDescent="0.4">
      <c r="A7" s="57" t="s">
        <v>283</v>
      </c>
      <c r="B7" s="10"/>
      <c r="C7" s="58"/>
      <c r="D7" s="58"/>
      <c r="E7" s="316"/>
    </row>
    <row r="8" spans="1:7" ht="16.8" x14ac:dyDescent="0.4">
      <c r="A8" s="57" t="s">
        <v>284</v>
      </c>
      <c r="B8" s="10"/>
      <c r="C8" s="58"/>
      <c r="D8" s="58"/>
      <c r="E8" s="316"/>
    </row>
    <row r="9" spans="1:7" ht="16.8" x14ac:dyDescent="0.4">
      <c r="A9" s="57" t="s">
        <v>587</v>
      </c>
      <c r="B9" s="10"/>
      <c r="C9" s="59"/>
      <c r="D9" s="58"/>
      <c r="E9" s="316"/>
    </row>
    <row r="10" spans="1:7" ht="16.8" x14ac:dyDescent="0.4">
      <c r="A10" s="57" t="s">
        <v>340</v>
      </c>
      <c r="B10" s="10"/>
      <c r="C10" s="59"/>
      <c r="D10" s="58"/>
      <c r="E10" s="316"/>
    </row>
    <row r="11" spans="1:7" ht="16.8" x14ac:dyDescent="0.4">
      <c r="A11" s="57" t="s">
        <v>6</v>
      </c>
      <c r="B11" s="61"/>
      <c r="C11" s="62"/>
      <c r="D11" s="63"/>
      <c r="E11" s="316"/>
    </row>
    <row r="12" spans="1:7" s="317" customFormat="1" ht="16.8" x14ac:dyDescent="0.4">
      <c r="A12" s="60" t="s">
        <v>1000</v>
      </c>
      <c r="B12" s="61"/>
      <c r="C12" s="62"/>
      <c r="D12" s="63"/>
      <c r="E12"/>
      <c r="F12"/>
      <c r="G12"/>
    </row>
    <row r="13" spans="1:7" x14ac:dyDescent="0.3">
      <c r="A13" s="365" t="s">
        <v>287</v>
      </c>
      <c r="B13" s="366" t="s">
        <v>288</v>
      </c>
      <c r="C13" s="367" t="s">
        <v>289</v>
      </c>
      <c r="D13" s="321" t="s">
        <v>290</v>
      </c>
      <c r="E13" s="322" t="s">
        <v>291</v>
      </c>
    </row>
    <row r="14" spans="1:7" ht="41.4" x14ac:dyDescent="0.3">
      <c r="A14" s="1086" t="s">
        <v>341</v>
      </c>
      <c r="B14" s="1087" t="s">
        <v>302</v>
      </c>
      <c r="C14" s="324" t="s">
        <v>342</v>
      </c>
      <c r="D14" s="328">
        <f>(230*60*2)+(3100+2300)+12000</f>
        <v>45000</v>
      </c>
      <c r="E14" s="343" t="s">
        <v>343</v>
      </c>
    </row>
    <row r="15" spans="1:7" x14ac:dyDescent="0.3">
      <c r="A15" s="1086"/>
      <c r="B15" s="1087"/>
      <c r="C15" s="324" t="s">
        <v>344</v>
      </c>
      <c r="D15" s="328">
        <v>70000</v>
      </c>
      <c r="E15" s="343" t="s">
        <v>320</v>
      </c>
    </row>
    <row r="16" spans="1:7" ht="41.4" x14ac:dyDescent="0.3">
      <c r="A16" s="1086"/>
      <c r="B16" s="1087"/>
      <c r="C16" s="324" t="s">
        <v>362</v>
      </c>
      <c r="D16" s="328">
        <f>((4*5230)+(3*6210))*1.3</f>
        <v>51415</v>
      </c>
      <c r="E16" s="343" t="s">
        <v>346</v>
      </c>
    </row>
    <row r="17" spans="1:5" x14ac:dyDescent="0.3">
      <c r="A17" s="1086"/>
      <c r="B17" s="1087"/>
      <c r="C17" s="324" t="s">
        <v>308</v>
      </c>
      <c r="D17" s="328">
        <f>((8000*2)*(1.2))+1300</f>
        <v>20500</v>
      </c>
      <c r="E17" s="343" t="s">
        <v>309</v>
      </c>
    </row>
    <row r="18" spans="1:5" x14ac:dyDescent="0.3">
      <c r="A18" s="1086"/>
      <c r="B18" s="347" t="s">
        <v>322</v>
      </c>
      <c r="C18" s="324" t="s">
        <v>323</v>
      </c>
      <c r="D18" s="328">
        <f>64000+(48*950)+13300</f>
        <v>122900</v>
      </c>
      <c r="E18" s="343" t="s">
        <v>577</v>
      </c>
    </row>
    <row r="19" spans="1:5" x14ac:dyDescent="0.3">
      <c r="A19" s="1086"/>
      <c r="B19" s="347" t="s">
        <v>310</v>
      </c>
      <c r="C19" s="324" t="s">
        <v>311</v>
      </c>
      <c r="D19" s="328">
        <f>((3366.14*20.5)+(3400))*1.33</f>
        <v>96299.807100000005</v>
      </c>
      <c r="E19" s="343" t="s">
        <v>306</v>
      </c>
    </row>
    <row r="20" spans="1:5" x14ac:dyDescent="0.3">
      <c r="A20" s="1086"/>
      <c r="B20" s="326" t="s">
        <v>312</v>
      </c>
      <c r="C20" s="327" t="s">
        <v>347</v>
      </c>
      <c r="D20" s="328" t="s">
        <v>314</v>
      </c>
      <c r="E20" s="343"/>
    </row>
    <row r="21" spans="1:5" x14ac:dyDescent="0.3">
      <c r="A21" s="344"/>
      <c r="B21" s="348"/>
      <c r="C21" s="609" t="s">
        <v>997</v>
      </c>
      <c r="D21" s="350">
        <f>SUM(D13:D19)</f>
        <v>406114.80709999998</v>
      </c>
      <c r="E21" s="317"/>
    </row>
    <row r="22" spans="1:5" x14ac:dyDescent="0.3">
      <c r="A22" s="337"/>
      <c r="B22" s="351"/>
      <c r="C22" s="610" t="s">
        <v>998</v>
      </c>
      <c r="D22" s="350">
        <f>D21*0.16</f>
        <v>64978.369136000001</v>
      </c>
      <c r="E22" s="317"/>
    </row>
    <row r="23" spans="1:5" ht="15" thickBot="1" x14ac:dyDescent="0.35">
      <c r="A23" s="337"/>
      <c r="B23" s="351"/>
      <c r="C23" s="352"/>
      <c r="D23" s="353">
        <f>D21+D22</f>
        <v>471093.17623599997</v>
      </c>
      <c r="E23" s="317"/>
    </row>
    <row r="24" spans="1:5" x14ac:dyDescent="0.3">
      <c r="A24" s="334"/>
      <c r="B24" s="368" t="s">
        <v>999</v>
      </c>
      <c r="C24" s="335"/>
      <c r="D24" s="336"/>
      <c r="E24" s="317"/>
    </row>
    <row r="25" spans="1:5" x14ac:dyDescent="0.3">
      <c r="A25" s="337"/>
      <c r="B25" s="351"/>
      <c r="C25" s="352"/>
    </row>
    <row r="26" spans="1:5" x14ac:dyDescent="0.3">
      <c r="A26" s="337"/>
      <c r="B26" s="96"/>
      <c r="C26" s="103" t="s">
        <v>11</v>
      </c>
    </row>
    <row r="27" spans="1:5" ht="15.6" x14ac:dyDescent="0.3">
      <c r="A27" s="337"/>
      <c r="B27" s="101"/>
      <c r="C27" s="123" t="s">
        <v>12</v>
      </c>
      <c r="D27" s="76"/>
      <c r="E27" s="96"/>
    </row>
    <row r="28" spans="1:5" ht="15.6" x14ac:dyDescent="0.3">
      <c r="A28" s="337"/>
      <c r="B28" s="101"/>
      <c r="C28" s="123" t="s">
        <v>13</v>
      </c>
      <c r="D28" s="52"/>
      <c r="E28" s="52"/>
    </row>
    <row r="29" spans="1:5" ht="15.6" x14ac:dyDescent="0.3">
      <c r="A29" s="337"/>
      <c r="B29" s="101"/>
      <c r="C29" s="123" t="s">
        <v>14</v>
      </c>
      <c r="D29" s="52"/>
      <c r="E29" s="52"/>
    </row>
    <row r="30" spans="1:5" x14ac:dyDescent="0.3">
      <c r="A30" s="337"/>
      <c r="B30" s="102"/>
      <c r="C30" s="103" t="s">
        <v>15</v>
      </c>
      <c r="D30" s="52"/>
      <c r="E30" s="52"/>
    </row>
    <row r="31" spans="1:5" ht="27.6" x14ac:dyDescent="0.3">
      <c r="A31" s="337"/>
      <c r="B31" s="102"/>
      <c r="C31" s="295" t="s">
        <v>42</v>
      </c>
      <c r="D31" s="52"/>
      <c r="E31" s="52"/>
    </row>
    <row r="32" spans="1:5" ht="41.4" x14ac:dyDescent="0.3">
      <c r="A32" s="337"/>
      <c r="B32" s="106"/>
      <c r="C32" s="295" t="s">
        <v>43</v>
      </c>
      <c r="D32" s="104"/>
      <c r="E32" s="105"/>
    </row>
    <row r="33" spans="1:5" ht="15.6" x14ac:dyDescent="0.3">
      <c r="A33" s="337"/>
      <c r="B33" s="106"/>
      <c r="C33" s="103" t="s">
        <v>18</v>
      </c>
      <c r="D33" s="104"/>
      <c r="E33" s="105"/>
    </row>
    <row r="34" spans="1:5" ht="15.6" x14ac:dyDescent="0.3">
      <c r="A34" s="337"/>
      <c r="B34" s="106"/>
      <c r="C34" s="313" t="s">
        <v>592</v>
      </c>
      <c r="D34" s="107"/>
      <c r="E34" s="105"/>
    </row>
    <row r="35" spans="1:5" ht="15.6" x14ac:dyDescent="0.3">
      <c r="A35" s="337"/>
      <c r="B35" s="106"/>
      <c r="C35" s="297" t="s">
        <v>20</v>
      </c>
      <c r="D35" s="107"/>
      <c r="E35" s="105"/>
    </row>
    <row r="36" spans="1:5" x14ac:dyDescent="0.3">
      <c r="A36" s="337"/>
      <c r="B36" s="108"/>
      <c r="C36" s="103" t="s">
        <v>21</v>
      </c>
      <c r="D36" s="107"/>
      <c r="E36" s="105"/>
    </row>
    <row r="37" spans="1:5" ht="15.6" x14ac:dyDescent="0.3">
      <c r="A37" s="337"/>
      <c r="B37" s="106"/>
      <c r="C37" s="122" t="s">
        <v>262</v>
      </c>
      <c r="D37" s="107"/>
      <c r="E37" s="105"/>
    </row>
    <row r="38" spans="1:5" ht="15.6" x14ac:dyDescent="0.3">
      <c r="A38" s="337"/>
      <c r="B38" s="106"/>
      <c r="C38" s="123" t="s">
        <v>44</v>
      </c>
      <c r="D38" s="107"/>
      <c r="E38" s="107"/>
    </row>
    <row r="39" spans="1:5" ht="15.6" x14ac:dyDescent="0.3">
      <c r="A39" s="337"/>
      <c r="B39" s="106"/>
      <c r="C39" s="123" t="s">
        <v>45</v>
      </c>
      <c r="D39" s="107"/>
      <c r="E39" s="107"/>
    </row>
    <row r="40" spans="1:5" ht="50.4" x14ac:dyDescent="0.3">
      <c r="A40" s="337"/>
      <c r="B40" s="106"/>
      <c r="C40" s="314" t="s">
        <v>23</v>
      </c>
      <c r="D40" s="109"/>
      <c r="E40" s="110"/>
    </row>
    <row r="41" spans="1:5" ht="16.8" x14ac:dyDescent="0.3">
      <c r="A41" s="337"/>
      <c r="B41" s="361"/>
      <c r="C41" s="362"/>
      <c r="D41" s="363"/>
      <c r="E41" s="364"/>
    </row>
    <row r="42" spans="1:5" ht="16.8" x14ac:dyDescent="0.3">
      <c r="A42" s="337"/>
      <c r="B42" s="361"/>
      <c r="C42" s="362"/>
      <c r="D42" s="363"/>
      <c r="E42" s="364"/>
    </row>
    <row r="43" spans="1:5" ht="16.8" x14ac:dyDescent="0.3">
      <c r="A43" s="337"/>
      <c r="B43" s="361"/>
      <c r="C43" s="362"/>
      <c r="D43" s="363"/>
      <c r="E43" s="364"/>
    </row>
    <row r="44" spans="1:5" ht="16.8" x14ac:dyDescent="0.3">
      <c r="A44" s="337"/>
      <c r="B44" s="361"/>
      <c r="C44" s="362"/>
      <c r="D44" s="363"/>
      <c r="E44" s="364"/>
    </row>
    <row r="45" spans="1:5" ht="16.8" x14ac:dyDescent="0.3">
      <c r="A45" s="337"/>
      <c r="B45" s="361"/>
      <c r="C45" s="362"/>
    </row>
    <row r="47" spans="1:5" x14ac:dyDescent="0.3">
      <c r="E47" s="316"/>
    </row>
    <row r="48" spans="1:5" ht="16.8" x14ac:dyDescent="0.4">
      <c r="D48" s="58"/>
      <c r="E48" s="316"/>
    </row>
    <row r="49" spans="1:5" ht="16.8" x14ac:dyDescent="0.4">
      <c r="D49" s="58"/>
      <c r="E49" s="316"/>
    </row>
    <row r="50" spans="1:5" ht="16.8" x14ac:dyDescent="0.4">
      <c r="D50" s="58"/>
      <c r="E50" s="316"/>
    </row>
    <row r="51" spans="1:5" ht="16.8" x14ac:dyDescent="0.4">
      <c r="A51" s="57" t="s">
        <v>348</v>
      </c>
      <c r="B51" s="10"/>
      <c r="C51" s="58"/>
      <c r="D51" s="58"/>
      <c r="E51" s="316"/>
    </row>
    <row r="52" spans="1:5" ht="16.8" x14ac:dyDescent="0.4">
      <c r="A52" s="57" t="s">
        <v>284</v>
      </c>
      <c r="B52" s="10"/>
      <c r="C52" s="58"/>
      <c r="D52" s="63"/>
      <c r="E52" s="316"/>
    </row>
    <row r="53" spans="1:5" ht="16.8" x14ac:dyDescent="0.4">
      <c r="A53" s="57" t="s">
        <v>597</v>
      </c>
      <c r="B53" s="10"/>
      <c r="C53" s="59"/>
      <c r="D53" s="63"/>
    </row>
    <row r="54" spans="1:5" ht="16.8" x14ac:dyDescent="0.4">
      <c r="A54" s="57" t="s">
        <v>286</v>
      </c>
      <c r="B54" s="10"/>
      <c r="C54" s="59"/>
    </row>
    <row r="55" spans="1:5" ht="16.8" x14ac:dyDescent="0.4">
      <c r="A55" s="57" t="s">
        <v>6</v>
      </c>
      <c r="B55" s="61"/>
      <c r="C55" s="62"/>
    </row>
    <row r="56" spans="1:5" ht="16.8" x14ac:dyDescent="0.4">
      <c r="A56" s="60" t="s">
        <v>1000</v>
      </c>
      <c r="B56" s="61"/>
      <c r="C56" s="62"/>
    </row>
    <row r="57" spans="1:5" x14ac:dyDescent="0.3">
      <c r="A57" s="365" t="s">
        <v>287</v>
      </c>
      <c r="B57" s="366" t="s">
        <v>288</v>
      </c>
      <c r="C57" s="367" t="s">
        <v>289</v>
      </c>
      <c r="D57" s="321" t="s">
        <v>290</v>
      </c>
      <c r="E57" s="322" t="s">
        <v>358</v>
      </c>
    </row>
    <row r="58" spans="1:5" ht="41.4" x14ac:dyDescent="0.3">
      <c r="A58" s="1086" t="s">
        <v>359</v>
      </c>
      <c r="B58" s="1087" t="s">
        <v>302</v>
      </c>
      <c r="C58" s="324" t="s">
        <v>360</v>
      </c>
      <c r="D58" s="328">
        <f>(210*80*2)+(3100+4100)+12000</f>
        <v>52800</v>
      </c>
      <c r="E58" s="343" t="s">
        <v>343</v>
      </c>
    </row>
    <row r="59" spans="1:5" x14ac:dyDescent="0.3">
      <c r="A59" s="1086"/>
      <c r="B59" s="1087"/>
      <c r="C59" s="324" t="s">
        <v>361</v>
      </c>
      <c r="D59" s="328">
        <f>50000*1.3</f>
        <v>65000</v>
      </c>
      <c r="E59" s="343" t="s">
        <v>320</v>
      </c>
    </row>
    <row r="60" spans="1:5" ht="41.4" x14ac:dyDescent="0.3">
      <c r="A60" s="1086"/>
      <c r="B60" s="1087"/>
      <c r="C60" s="324" t="s">
        <v>362</v>
      </c>
      <c r="D60" s="328">
        <f>((3*5230)+(3*6210))*1.3</f>
        <v>44616</v>
      </c>
      <c r="E60" s="343" t="s">
        <v>309</v>
      </c>
    </row>
    <row r="61" spans="1:5" x14ac:dyDescent="0.3">
      <c r="A61" s="1086"/>
      <c r="B61" s="1087"/>
      <c r="C61" s="324" t="s">
        <v>308</v>
      </c>
      <c r="D61" s="328">
        <f>(9100*2)*1.2</f>
        <v>21840</v>
      </c>
      <c r="E61" s="343" t="s">
        <v>309</v>
      </c>
    </row>
    <row r="62" spans="1:5" x14ac:dyDescent="0.3">
      <c r="A62" s="1086"/>
      <c r="B62" s="347" t="s">
        <v>322</v>
      </c>
      <c r="C62" s="324" t="s">
        <v>363</v>
      </c>
      <c r="D62" s="328">
        <f>75000+(48*950)</f>
        <v>120600</v>
      </c>
      <c r="E62" s="343" t="s">
        <v>578</v>
      </c>
    </row>
    <row r="63" spans="1:5" x14ac:dyDescent="0.3">
      <c r="A63" s="1086"/>
      <c r="B63" s="347" t="s">
        <v>310</v>
      </c>
      <c r="C63" s="324" t="s">
        <v>311</v>
      </c>
      <c r="D63" s="328">
        <f>((3231.26*20.5)+(4200))*1.33</f>
        <v>93686.303900000014</v>
      </c>
      <c r="E63" s="343" t="s">
        <v>306</v>
      </c>
    </row>
    <row r="64" spans="1:5" x14ac:dyDescent="0.3">
      <c r="A64" s="1086"/>
      <c r="B64" s="326" t="s">
        <v>312</v>
      </c>
      <c r="C64" s="327" t="s">
        <v>364</v>
      </c>
      <c r="D64" s="371" t="s">
        <v>314</v>
      </c>
      <c r="E64" s="343"/>
    </row>
    <row r="65" spans="1:5" x14ac:dyDescent="0.3">
      <c r="A65" s="337"/>
      <c r="B65" s="351"/>
      <c r="C65" s="609" t="s">
        <v>997</v>
      </c>
      <c r="D65" s="350">
        <f>SUM(D56:D63)</f>
        <v>398542.3039</v>
      </c>
      <c r="E65" s="317"/>
    </row>
    <row r="66" spans="1:5" x14ac:dyDescent="0.3">
      <c r="A66" s="337"/>
      <c r="B66" s="351"/>
      <c r="C66" s="610" t="s">
        <v>998</v>
      </c>
      <c r="D66" s="350">
        <f>D65*0.16</f>
        <v>63766.768624000004</v>
      </c>
      <c r="E66" s="317"/>
    </row>
    <row r="67" spans="1:5" ht="15" thickBot="1" x14ac:dyDescent="0.35">
      <c r="A67" s="337"/>
      <c r="B67" s="351"/>
      <c r="C67" s="352"/>
      <c r="D67" s="353">
        <f>D65+D66</f>
        <v>462309.07252400002</v>
      </c>
      <c r="E67" s="317"/>
    </row>
    <row r="68" spans="1:5" x14ac:dyDescent="0.3">
      <c r="A68" s="334"/>
      <c r="B68" s="368" t="s">
        <v>1001</v>
      </c>
      <c r="C68" s="335"/>
      <c r="D68" s="336"/>
      <c r="E68" s="317"/>
    </row>
    <row r="69" spans="1:5" ht="15.6" x14ac:dyDescent="0.3">
      <c r="A69" s="337"/>
      <c r="B69" s="101"/>
      <c r="C69" s="123" t="s">
        <v>14</v>
      </c>
      <c r="D69" s="104"/>
      <c r="E69" s="105"/>
    </row>
    <row r="70" spans="1:5" x14ac:dyDescent="0.3">
      <c r="A70" s="337"/>
      <c r="B70" s="102"/>
      <c r="C70" s="103" t="s">
        <v>15</v>
      </c>
      <c r="D70" s="107"/>
      <c r="E70" s="105"/>
    </row>
    <row r="71" spans="1:5" ht="27.6" x14ac:dyDescent="0.3">
      <c r="A71" s="337"/>
      <c r="B71" s="102"/>
      <c r="C71" s="295" t="s">
        <v>42</v>
      </c>
      <c r="D71" s="107"/>
      <c r="E71" s="105"/>
    </row>
    <row r="72" spans="1:5" ht="41.4" x14ac:dyDescent="0.3">
      <c r="A72" s="337"/>
      <c r="B72" s="106"/>
      <c r="C72" s="295" t="s">
        <v>43</v>
      </c>
      <c r="D72" s="107"/>
      <c r="E72" s="105"/>
    </row>
    <row r="73" spans="1:5" ht="15.6" x14ac:dyDescent="0.3">
      <c r="A73" s="337"/>
      <c r="B73" s="106"/>
      <c r="C73" s="103" t="s">
        <v>18</v>
      </c>
      <c r="D73" s="107"/>
      <c r="E73" s="105"/>
    </row>
    <row r="74" spans="1:5" ht="15.6" x14ac:dyDescent="0.3">
      <c r="A74" s="337"/>
      <c r="B74" s="106"/>
      <c r="C74" s="313" t="s">
        <v>588</v>
      </c>
      <c r="D74" s="107"/>
      <c r="E74" s="105"/>
    </row>
    <row r="75" spans="1:5" ht="15.6" x14ac:dyDescent="0.3">
      <c r="A75" s="337"/>
      <c r="B75" s="106"/>
      <c r="C75" s="297" t="s">
        <v>20</v>
      </c>
      <c r="D75" s="107"/>
      <c r="E75" s="107"/>
    </row>
    <row r="76" spans="1:5" x14ac:dyDescent="0.3">
      <c r="A76" s="337"/>
      <c r="B76" s="108"/>
      <c r="C76" s="103" t="s">
        <v>21</v>
      </c>
      <c r="D76" s="109"/>
      <c r="E76" s="107"/>
    </row>
    <row r="77" spans="1:5" ht="15.6" x14ac:dyDescent="0.3">
      <c r="A77" s="337"/>
      <c r="B77" s="106"/>
      <c r="C77" s="122" t="s">
        <v>262</v>
      </c>
      <c r="D77" s="363"/>
      <c r="E77" s="110"/>
    </row>
    <row r="78" spans="1:5" ht="15.6" x14ac:dyDescent="0.3">
      <c r="A78" s="337"/>
      <c r="B78" s="106"/>
      <c r="C78" s="123" t="s">
        <v>44</v>
      </c>
      <c r="D78" s="363"/>
      <c r="E78" s="364"/>
    </row>
    <row r="79" spans="1:5" ht="15.6" x14ac:dyDescent="0.3">
      <c r="A79" s="337"/>
      <c r="B79" s="106"/>
      <c r="C79" s="123" t="s">
        <v>45</v>
      </c>
      <c r="D79" s="363"/>
      <c r="E79" s="364"/>
    </row>
    <row r="80" spans="1:5" ht="50.4" x14ac:dyDescent="0.3">
      <c r="A80" s="337"/>
      <c r="B80" s="106"/>
      <c r="C80" s="314" t="s">
        <v>23</v>
      </c>
      <c r="D80" s="363"/>
      <c r="E80" s="364"/>
    </row>
    <row r="81" spans="1:5" ht="16.8" x14ac:dyDescent="0.3">
      <c r="A81" s="337"/>
      <c r="B81" s="361"/>
      <c r="C81" s="362"/>
      <c r="D81" s="363"/>
      <c r="E81" s="364"/>
    </row>
    <row r="82" spans="1:5" ht="16.8" x14ac:dyDescent="0.3">
      <c r="A82" s="337"/>
      <c r="B82" s="361"/>
      <c r="C82" s="362"/>
      <c r="D82" s="363"/>
      <c r="E82" s="364"/>
    </row>
    <row r="83" spans="1:5" ht="16.8" x14ac:dyDescent="0.3">
      <c r="A83" s="337"/>
      <c r="B83" s="361"/>
      <c r="C83" s="362"/>
      <c r="D83" s="363"/>
      <c r="E83" s="364"/>
    </row>
    <row r="84" spans="1:5" x14ac:dyDescent="0.3">
      <c r="B84"/>
    </row>
    <row r="85" spans="1:5" x14ac:dyDescent="0.3">
      <c r="B85"/>
    </row>
    <row r="86" spans="1:5" x14ac:dyDescent="0.3">
      <c r="B86"/>
    </row>
    <row r="87" spans="1:5" x14ac:dyDescent="0.3">
      <c r="B87"/>
    </row>
    <row r="88" spans="1:5" x14ac:dyDescent="0.3">
      <c r="B88"/>
    </row>
    <row r="89" spans="1:5" x14ac:dyDescent="0.3">
      <c r="B89"/>
    </row>
    <row r="90" spans="1:5" x14ac:dyDescent="0.3">
      <c r="B90"/>
    </row>
    <row r="91" spans="1:5" x14ac:dyDescent="0.3">
      <c r="B91"/>
    </row>
    <row r="92" spans="1:5" x14ac:dyDescent="0.3">
      <c r="B92"/>
    </row>
    <row r="93" spans="1:5" x14ac:dyDescent="0.3">
      <c r="B93"/>
    </row>
    <row r="94" spans="1:5" x14ac:dyDescent="0.3">
      <c r="B94"/>
    </row>
    <row r="95" spans="1:5" x14ac:dyDescent="0.3">
      <c r="B95"/>
    </row>
    <row r="96" spans="1:5"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ht="20.25" customHeight="1"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340" ht="18.75" customHeight="1" x14ac:dyDescent="0.3"/>
  </sheetData>
  <mergeCells count="4">
    <mergeCell ref="A58:A64"/>
    <mergeCell ref="B58:B61"/>
    <mergeCell ref="A14:A20"/>
    <mergeCell ref="B14:B17"/>
  </mergeCells>
  <pageMargins left="0.25" right="0.25" top="0.75" bottom="0.75" header="0.3" footer="0.3"/>
  <pageSetup scale="81" fitToHeight="0" orientation="portrait"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3AB9-BE14-462F-B901-738D3AD74B6F}">
  <sheetPr>
    <pageSetUpPr fitToPage="1"/>
  </sheetPr>
  <dimension ref="A1:G340"/>
  <sheetViews>
    <sheetView workbookViewId="0">
      <selection activeCell="E68" sqref="E68"/>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7" width="11.5546875" customWidth="1"/>
  </cols>
  <sheetData>
    <row r="1" spans="1:7" s="316" customFormat="1" ht="16.8" x14ac:dyDescent="0.3">
      <c r="A1" s="337"/>
      <c r="B1" s="361"/>
      <c r="C1" s="362"/>
      <c r="D1" s="363"/>
      <c r="E1" s="364"/>
      <c r="F1"/>
      <c r="G1"/>
    </row>
    <row r="5" spans="1:7" x14ac:dyDescent="0.3">
      <c r="F5" s="316"/>
    </row>
    <row r="6" spans="1:7" x14ac:dyDescent="0.3">
      <c r="E6" s="316"/>
    </row>
    <row r="7" spans="1:7" ht="16.8" x14ac:dyDescent="0.4">
      <c r="A7" s="57" t="s">
        <v>283</v>
      </c>
      <c r="B7" s="10"/>
      <c r="C7" s="58"/>
      <c r="D7" s="58"/>
      <c r="E7" s="316"/>
    </row>
    <row r="8" spans="1:7" ht="16.8" x14ac:dyDescent="0.4">
      <c r="A8" s="57" t="s">
        <v>284</v>
      </c>
      <c r="B8" s="10"/>
      <c r="C8" s="58"/>
      <c r="D8" s="58"/>
      <c r="E8" s="316"/>
    </row>
    <row r="9" spans="1:7" ht="16.8" x14ac:dyDescent="0.4">
      <c r="A9" s="57" t="s">
        <v>587</v>
      </c>
      <c r="B9" s="10"/>
      <c r="C9" s="59"/>
      <c r="D9" s="58"/>
      <c r="E9" s="316"/>
    </row>
    <row r="10" spans="1:7" ht="16.8" x14ac:dyDescent="0.4">
      <c r="A10" s="57" t="s">
        <v>340</v>
      </c>
      <c r="B10" s="10"/>
      <c r="C10" s="59"/>
      <c r="D10" s="58"/>
      <c r="E10" s="316"/>
    </row>
    <row r="11" spans="1:7" ht="16.8" x14ac:dyDescent="0.4">
      <c r="A11" s="57" t="s">
        <v>6</v>
      </c>
      <c r="B11" s="61"/>
      <c r="C11" s="62"/>
      <c r="D11" s="63"/>
      <c r="E11" s="316"/>
    </row>
    <row r="12" spans="1:7" s="317" customFormat="1" ht="16.8" x14ac:dyDescent="0.4">
      <c r="A12" s="60" t="s">
        <v>1003</v>
      </c>
      <c r="B12" s="61"/>
      <c r="C12" s="62"/>
      <c r="D12" s="63"/>
      <c r="E12"/>
      <c r="F12"/>
      <c r="G12"/>
    </row>
    <row r="13" spans="1:7" x14ac:dyDescent="0.3">
      <c r="A13" s="365" t="s">
        <v>287</v>
      </c>
      <c r="B13" s="366" t="s">
        <v>288</v>
      </c>
      <c r="C13" s="367" t="s">
        <v>289</v>
      </c>
      <c r="D13" s="321" t="s">
        <v>290</v>
      </c>
      <c r="E13" s="322" t="s">
        <v>291</v>
      </c>
    </row>
    <row r="14" spans="1:7" ht="41.4" x14ac:dyDescent="0.3">
      <c r="A14" s="1086" t="s">
        <v>341</v>
      </c>
      <c r="B14" s="1087" t="s">
        <v>302</v>
      </c>
      <c r="C14" s="324" t="s">
        <v>342</v>
      </c>
      <c r="D14" s="328">
        <f>(230*60*2)+(3100+2300)+7000</f>
        <v>40000</v>
      </c>
      <c r="E14" s="343" t="s">
        <v>343</v>
      </c>
    </row>
    <row r="15" spans="1:7" x14ac:dyDescent="0.3">
      <c r="A15" s="1086"/>
      <c r="B15" s="1087"/>
      <c r="C15" s="324" t="s">
        <v>344</v>
      </c>
      <c r="D15" s="328">
        <v>65000</v>
      </c>
      <c r="E15" s="343" t="s">
        <v>320</v>
      </c>
    </row>
    <row r="16" spans="1:7" ht="41.4" x14ac:dyDescent="0.3">
      <c r="A16" s="1086"/>
      <c r="B16" s="1087"/>
      <c r="C16" s="324" t="s">
        <v>362</v>
      </c>
      <c r="D16" s="328">
        <f>((2*5230)+(3*6210))*1.3</f>
        <v>37817</v>
      </c>
      <c r="E16" s="343" t="s">
        <v>346</v>
      </c>
    </row>
    <row r="17" spans="1:5" x14ac:dyDescent="0.3">
      <c r="A17" s="1086"/>
      <c r="B17" s="1087"/>
      <c r="C17" s="324" t="s">
        <v>308</v>
      </c>
      <c r="D17" s="328">
        <f>((8000*2)*(1.2))+1300</f>
        <v>20500</v>
      </c>
      <c r="E17" s="343" t="s">
        <v>309</v>
      </c>
    </row>
    <row r="18" spans="1:5" x14ac:dyDescent="0.3">
      <c r="A18" s="1086"/>
      <c r="B18" s="347" t="s">
        <v>322</v>
      </c>
      <c r="C18" s="324" t="s">
        <v>323</v>
      </c>
      <c r="D18" s="328">
        <f>64000+(48*950)+6500</f>
        <v>116100</v>
      </c>
      <c r="E18" s="343" t="s">
        <v>577</v>
      </c>
    </row>
    <row r="19" spans="1:5" x14ac:dyDescent="0.3">
      <c r="A19" s="1086"/>
      <c r="B19" s="347" t="s">
        <v>310</v>
      </c>
      <c r="C19" s="324" t="s">
        <v>311</v>
      </c>
      <c r="D19" s="328">
        <f>((3366.14*20.5)+(3400))*1.33</f>
        <v>96299.807100000005</v>
      </c>
      <c r="E19" s="343" t="s">
        <v>306</v>
      </c>
    </row>
    <row r="20" spans="1:5" x14ac:dyDescent="0.3">
      <c r="A20" s="1086"/>
      <c r="B20" s="326" t="s">
        <v>312</v>
      </c>
      <c r="C20" s="327" t="s">
        <v>347</v>
      </c>
      <c r="D20" s="328" t="s">
        <v>314</v>
      </c>
      <c r="E20" s="343"/>
    </row>
    <row r="21" spans="1:5" x14ac:dyDescent="0.3">
      <c r="A21" s="344"/>
      <c r="B21" s="348"/>
      <c r="C21" s="609" t="s">
        <v>997</v>
      </c>
      <c r="D21" s="350">
        <f>SUM(D13:D19)</f>
        <v>375716.80709999998</v>
      </c>
      <c r="E21" s="317"/>
    </row>
    <row r="22" spans="1:5" x14ac:dyDescent="0.3">
      <c r="A22" s="337"/>
      <c r="B22" s="351"/>
      <c r="C22" s="610" t="s">
        <v>998</v>
      </c>
      <c r="D22" s="350">
        <f>D21*0.16</f>
        <v>60114.689136000001</v>
      </c>
      <c r="E22" s="317"/>
    </row>
    <row r="23" spans="1:5" ht="15" thickBot="1" x14ac:dyDescent="0.35">
      <c r="A23" s="337"/>
      <c r="B23" s="351"/>
      <c r="C23" s="352"/>
      <c r="D23" s="353">
        <f>D21+D22</f>
        <v>435831.49623599998</v>
      </c>
      <c r="E23" s="505">
        <f>D23*2</f>
        <v>871662.99247199995</v>
      </c>
    </row>
    <row r="24" spans="1:5" x14ac:dyDescent="0.3">
      <c r="A24" s="334"/>
      <c r="B24" s="368" t="s">
        <v>1002</v>
      </c>
      <c r="C24" s="335"/>
      <c r="D24" s="336"/>
      <c r="E24" s="317"/>
    </row>
    <row r="25" spans="1:5" x14ac:dyDescent="0.3">
      <c r="A25" s="337"/>
      <c r="B25" s="351"/>
      <c r="C25" s="352"/>
    </row>
    <row r="26" spans="1:5" x14ac:dyDescent="0.3">
      <c r="A26" s="337"/>
      <c r="B26" s="96"/>
      <c r="C26" s="103" t="s">
        <v>11</v>
      </c>
    </row>
    <row r="27" spans="1:5" ht="15.6" x14ac:dyDescent="0.3">
      <c r="A27" s="337"/>
      <c r="B27" s="101"/>
      <c r="C27" s="123" t="s">
        <v>12</v>
      </c>
      <c r="D27" s="76"/>
      <c r="E27" s="96"/>
    </row>
    <row r="28" spans="1:5" ht="15.6" x14ac:dyDescent="0.3">
      <c r="A28" s="337"/>
      <c r="B28" s="101"/>
      <c r="C28" s="123" t="s">
        <v>13</v>
      </c>
      <c r="D28" s="52"/>
      <c r="E28" s="52"/>
    </row>
    <row r="29" spans="1:5" ht="15.6" x14ac:dyDescent="0.3">
      <c r="A29" s="337"/>
      <c r="B29" s="101"/>
      <c r="C29" s="123" t="s">
        <v>14</v>
      </c>
      <c r="D29" s="52"/>
      <c r="E29" s="52"/>
    </row>
    <row r="30" spans="1:5" x14ac:dyDescent="0.3">
      <c r="A30" s="337"/>
      <c r="B30" s="102"/>
      <c r="C30" s="103" t="s">
        <v>15</v>
      </c>
      <c r="D30" s="52"/>
      <c r="E30" s="52"/>
    </row>
    <row r="31" spans="1:5" ht="27.6" x14ac:dyDescent="0.3">
      <c r="A31" s="337"/>
      <c r="B31" s="102"/>
      <c r="C31" s="295" t="s">
        <v>42</v>
      </c>
      <c r="D31" s="52"/>
      <c r="E31" s="52"/>
    </row>
    <row r="32" spans="1:5" ht="41.4" x14ac:dyDescent="0.3">
      <c r="A32" s="337"/>
      <c r="B32" s="106"/>
      <c r="C32" s="295" t="s">
        <v>43</v>
      </c>
      <c r="D32" s="104"/>
      <c r="E32" s="105"/>
    </row>
    <row r="33" spans="1:5" ht="15.6" x14ac:dyDescent="0.3">
      <c r="A33" s="337"/>
      <c r="B33" s="106"/>
      <c r="C33" s="103" t="s">
        <v>18</v>
      </c>
      <c r="D33" s="104"/>
      <c r="E33" s="105"/>
    </row>
    <row r="34" spans="1:5" ht="15.6" x14ac:dyDescent="0.3">
      <c r="A34" s="337"/>
      <c r="B34" s="106"/>
      <c r="C34" s="313" t="s">
        <v>592</v>
      </c>
      <c r="D34" s="107"/>
      <c r="E34" s="105"/>
    </row>
    <row r="35" spans="1:5" ht="15.6" x14ac:dyDescent="0.3">
      <c r="A35" s="337"/>
      <c r="B35" s="106"/>
      <c r="C35" s="297" t="s">
        <v>20</v>
      </c>
      <c r="D35" s="107"/>
      <c r="E35" s="105"/>
    </row>
    <row r="36" spans="1:5" x14ac:dyDescent="0.3">
      <c r="A36" s="337"/>
      <c r="B36" s="108"/>
      <c r="C36" s="103" t="s">
        <v>21</v>
      </c>
      <c r="D36" s="107"/>
      <c r="E36" s="105"/>
    </row>
    <row r="37" spans="1:5" ht="15.6" x14ac:dyDescent="0.3">
      <c r="A37" s="337"/>
      <c r="B37" s="106"/>
      <c r="C37" s="122" t="s">
        <v>262</v>
      </c>
      <c r="D37" s="107"/>
      <c r="E37" s="105"/>
    </row>
    <row r="38" spans="1:5" ht="15.6" x14ac:dyDescent="0.3">
      <c r="A38" s="337"/>
      <c r="B38" s="106"/>
      <c r="C38" s="123" t="s">
        <v>44</v>
      </c>
      <c r="D38" s="107"/>
      <c r="E38" s="107"/>
    </row>
    <row r="39" spans="1:5" ht="15.6" x14ac:dyDescent="0.3">
      <c r="A39" s="337"/>
      <c r="B39" s="106"/>
      <c r="C39" s="123" t="s">
        <v>45</v>
      </c>
      <c r="D39" s="107"/>
      <c r="E39" s="107"/>
    </row>
    <row r="40" spans="1:5" ht="50.4" x14ac:dyDescent="0.3">
      <c r="A40" s="337"/>
      <c r="B40" s="106"/>
      <c r="C40" s="314" t="s">
        <v>23</v>
      </c>
      <c r="D40" s="109"/>
      <c r="E40" s="110"/>
    </row>
    <row r="41" spans="1:5" ht="16.8" x14ac:dyDescent="0.3">
      <c r="A41" s="337"/>
      <c r="B41" s="361"/>
      <c r="C41" s="362"/>
      <c r="D41" s="363"/>
      <c r="E41" s="364"/>
    </row>
    <row r="42" spans="1:5" ht="16.8" x14ac:dyDescent="0.3">
      <c r="A42" s="337"/>
      <c r="B42" s="361"/>
      <c r="C42" s="362"/>
      <c r="D42" s="363"/>
      <c r="E42" s="364"/>
    </row>
    <row r="43" spans="1:5" ht="16.8" x14ac:dyDescent="0.3">
      <c r="A43" s="337"/>
      <c r="B43" s="361"/>
      <c r="C43" s="362"/>
      <c r="D43" s="363"/>
      <c r="E43" s="364"/>
    </row>
    <row r="44" spans="1:5" ht="16.8" x14ac:dyDescent="0.3">
      <c r="A44" s="337"/>
      <c r="B44" s="361"/>
      <c r="C44" s="362"/>
      <c r="D44" s="363"/>
      <c r="E44" s="364"/>
    </row>
    <row r="45" spans="1:5" ht="16.8" x14ac:dyDescent="0.3">
      <c r="A45" s="337"/>
      <c r="B45" s="361"/>
      <c r="C45" s="362"/>
    </row>
    <row r="47" spans="1:5" x14ac:dyDescent="0.3">
      <c r="E47" s="316"/>
    </row>
    <row r="48" spans="1:5" ht="16.8" x14ac:dyDescent="0.4">
      <c r="D48" s="58"/>
      <c r="E48" s="316"/>
    </row>
    <row r="49" spans="1:5" ht="16.8" x14ac:dyDescent="0.4">
      <c r="D49" s="58"/>
      <c r="E49" s="316"/>
    </row>
    <row r="50" spans="1:5" ht="16.8" x14ac:dyDescent="0.4">
      <c r="D50" s="58"/>
      <c r="E50" s="316"/>
    </row>
    <row r="51" spans="1:5" ht="16.8" x14ac:dyDescent="0.4">
      <c r="A51" s="57" t="s">
        <v>348</v>
      </c>
      <c r="B51" s="10"/>
      <c r="C51" s="58"/>
      <c r="D51" s="58"/>
      <c r="E51" s="316"/>
    </row>
    <row r="52" spans="1:5" ht="16.8" x14ac:dyDescent="0.4">
      <c r="A52" s="57" t="s">
        <v>284</v>
      </c>
      <c r="B52" s="10"/>
      <c r="C52" s="58"/>
      <c r="D52" s="63"/>
      <c r="E52" s="316"/>
    </row>
    <row r="53" spans="1:5" ht="16.8" x14ac:dyDescent="0.4">
      <c r="A53" s="57" t="s">
        <v>597</v>
      </c>
      <c r="B53" s="10"/>
      <c r="C53" s="59"/>
      <c r="D53" s="63"/>
    </row>
    <row r="54" spans="1:5" ht="16.8" x14ac:dyDescent="0.4">
      <c r="A54" s="57" t="s">
        <v>340</v>
      </c>
      <c r="B54" s="10"/>
      <c r="C54" s="59"/>
    </row>
    <row r="55" spans="1:5" ht="16.8" x14ac:dyDescent="0.4">
      <c r="A55" s="57" t="s">
        <v>6</v>
      </c>
      <c r="B55" s="61"/>
      <c r="C55" s="62"/>
    </row>
    <row r="56" spans="1:5" ht="16.8" x14ac:dyDescent="0.4">
      <c r="A56" s="60" t="s">
        <v>1000</v>
      </c>
      <c r="B56" s="61"/>
      <c r="C56" s="62"/>
    </row>
    <row r="57" spans="1:5" x14ac:dyDescent="0.3">
      <c r="A57" s="365" t="s">
        <v>287</v>
      </c>
      <c r="B57" s="366" t="s">
        <v>288</v>
      </c>
      <c r="C57" s="367" t="s">
        <v>289</v>
      </c>
      <c r="D57" s="321" t="s">
        <v>290</v>
      </c>
      <c r="E57" s="322" t="s">
        <v>358</v>
      </c>
    </row>
    <row r="58" spans="1:5" ht="41.4" x14ac:dyDescent="0.3">
      <c r="A58" s="1086" t="s">
        <v>359</v>
      </c>
      <c r="B58" s="1087" t="s">
        <v>302</v>
      </c>
      <c r="C58" s="324" t="s">
        <v>360</v>
      </c>
      <c r="D58" s="328">
        <f>(210*80*2)+(3100+4100)+12000</f>
        <v>52800</v>
      </c>
      <c r="E58" s="343" t="s">
        <v>343</v>
      </c>
    </row>
    <row r="59" spans="1:5" x14ac:dyDescent="0.3">
      <c r="A59" s="1086"/>
      <c r="B59" s="1087"/>
      <c r="C59" s="324" t="s">
        <v>361</v>
      </c>
      <c r="D59" s="328">
        <f>50000*1.3</f>
        <v>65000</v>
      </c>
      <c r="E59" s="343" t="s">
        <v>320</v>
      </c>
    </row>
    <row r="60" spans="1:5" ht="41.4" x14ac:dyDescent="0.3">
      <c r="A60" s="1086"/>
      <c r="B60" s="1087"/>
      <c r="C60" s="324" t="s">
        <v>362</v>
      </c>
      <c r="D60" s="328">
        <f>((3*5230)+(3*6210))*1.3</f>
        <v>44616</v>
      </c>
      <c r="E60" s="343" t="s">
        <v>309</v>
      </c>
    </row>
    <row r="61" spans="1:5" x14ac:dyDescent="0.3">
      <c r="A61" s="1086"/>
      <c r="B61" s="1087"/>
      <c r="C61" s="324" t="s">
        <v>308</v>
      </c>
      <c r="D61" s="328">
        <f>(9100*2)*1.2</f>
        <v>21840</v>
      </c>
      <c r="E61" s="343" t="s">
        <v>309</v>
      </c>
    </row>
    <row r="62" spans="1:5" x14ac:dyDescent="0.3">
      <c r="A62" s="1086"/>
      <c r="B62" s="347" t="s">
        <v>322</v>
      </c>
      <c r="C62" s="324" t="s">
        <v>363</v>
      </c>
      <c r="D62" s="328">
        <f>75000+(48*950)</f>
        <v>120600</v>
      </c>
      <c r="E62" s="343" t="s">
        <v>578</v>
      </c>
    </row>
    <row r="63" spans="1:5" x14ac:dyDescent="0.3">
      <c r="A63" s="1086"/>
      <c r="B63" s="347" t="s">
        <v>310</v>
      </c>
      <c r="C63" s="324" t="s">
        <v>311</v>
      </c>
      <c r="D63" s="328">
        <f>((3231.26*20.5)+(4200))*1.33</f>
        <v>93686.303900000014</v>
      </c>
      <c r="E63" s="343" t="s">
        <v>306</v>
      </c>
    </row>
    <row r="64" spans="1:5" x14ac:dyDescent="0.3">
      <c r="A64" s="1086"/>
      <c r="B64" s="326" t="s">
        <v>312</v>
      </c>
      <c r="C64" s="327" t="s">
        <v>364</v>
      </c>
      <c r="D64" s="371" t="s">
        <v>314</v>
      </c>
      <c r="E64" s="343"/>
    </row>
    <row r="65" spans="1:5" x14ac:dyDescent="0.3">
      <c r="A65" s="337"/>
      <c r="B65" s="351"/>
      <c r="C65" s="609" t="s">
        <v>997</v>
      </c>
      <c r="D65" s="350">
        <f>SUM(D56:D63)</f>
        <v>398542.3039</v>
      </c>
      <c r="E65" s="317"/>
    </row>
    <row r="66" spans="1:5" x14ac:dyDescent="0.3">
      <c r="A66" s="337"/>
      <c r="B66" s="351"/>
      <c r="C66" s="610" t="s">
        <v>998</v>
      </c>
      <c r="D66" s="350">
        <f>D65*0.16</f>
        <v>63766.768624000004</v>
      </c>
      <c r="E66" s="317"/>
    </row>
    <row r="67" spans="1:5" ht="15" thickBot="1" x14ac:dyDescent="0.35">
      <c r="A67" s="337"/>
      <c r="B67" s="351"/>
      <c r="C67" s="352"/>
      <c r="D67" s="353">
        <f>D65+D66</f>
        <v>462309.07252400002</v>
      </c>
      <c r="E67" s="505">
        <f>D67*2</f>
        <v>924618.14504800003</v>
      </c>
    </row>
    <row r="68" spans="1:5" x14ac:dyDescent="0.3">
      <c r="A68" s="334"/>
      <c r="B68" s="368" t="s">
        <v>1001</v>
      </c>
      <c r="C68" s="335"/>
      <c r="D68" s="336"/>
      <c r="E68" s="317"/>
    </row>
    <row r="69" spans="1:5" ht="15.6" x14ac:dyDescent="0.3">
      <c r="A69" s="337"/>
      <c r="B69" s="101"/>
      <c r="C69" s="123" t="s">
        <v>14</v>
      </c>
      <c r="D69" s="104"/>
      <c r="E69" s="105"/>
    </row>
    <row r="70" spans="1:5" x14ac:dyDescent="0.3">
      <c r="A70" s="337"/>
      <c r="B70" s="102"/>
      <c r="C70" s="103" t="s">
        <v>15</v>
      </c>
      <c r="D70" s="107"/>
      <c r="E70" s="105"/>
    </row>
    <row r="71" spans="1:5" ht="27.6" x14ac:dyDescent="0.3">
      <c r="A71" s="337"/>
      <c r="B71" s="102"/>
      <c r="C71" s="295" t="s">
        <v>42</v>
      </c>
      <c r="D71" s="107"/>
      <c r="E71" s="105"/>
    </row>
    <row r="72" spans="1:5" ht="41.4" x14ac:dyDescent="0.3">
      <c r="A72" s="337"/>
      <c r="B72" s="106"/>
      <c r="C72" s="295" t="s">
        <v>43</v>
      </c>
      <c r="D72" s="107"/>
      <c r="E72" s="105"/>
    </row>
    <row r="73" spans="1:5" ht="15.6" x14ac:dyDescent="0.3">
      <c r="A73" s="337"/>
      <c r="B73" s="106"/>
      <c r="C73" s="103" t="s">
        <v>18</v>
      </c>
      <c r="D73" s="107"/>
      <c r="E73" s="105"/>
    </row>
    <row r="74" spans="1:5" ht="15.6" x14ac:dyDescent="0.3">
      <c r="A74" s="337"/>
      <c r="B74" s="106"/>
      <c r="C74" s="313" t="s">
        <v>588</v>
      </c>
      <c r="D74" s="107"/>
      <c r="E74" s="105"/>
    </row>
    <row r="75" spans="1:5" ht="15.6" x14ac:dyDescent="0.3">
      <c r="A75" s="337"/>
      <c r="B75" s="106"/>
      <c r="C75" s="297" t="s">
        <v>20</v>
      </c>
      <c r="D75" s="107"/>
      <c r="E75" s="107"/>
    </row>
    <row r="76" spans="1:5" x14ac:dyDescent="0.3">
      <c r="A76" s="337"/>
      <c r="B76" s="108"/>
      <c r="C76" s="103" t="s">
        <v>21</v>
      </c>
      <c r="D76" s="109"/>
      <c r="E76" s="107"/>
    </row>
    <row r="77" spans="1:5" ht="15.6" x14ac:dyDescent="0.3">
      <c r="A77" s="337"/>
      <c r="B77" s="106"/>
      <c r="C77" s="122" t="s">
        <v>262</v>
      </c>
      <c r="D77" s="363"/>
      <c r="E77" s="110"/>
    </row>
    <row r="78" spans="1:5" ht="15.6" x14ac:dyDescent="0.3">
      <c r="A78" s="337"/>
      <c r="B78" s="106"/>
      <c r="C78" s="123" t="s">
        <v>44</v>
      </c>
      <c r="D78" s="363"/>
      <c r="E78" s="364"/>
    </row>
    <row r="79" spans="1:5" ht="15.6" x14ac:dyDescent="0.3">
      <c r="A79" s="337"/>
      <c r="B79" s="106"/>
      <c r="C79" s="123" t="s">
        <v>45</v>
      </c>
      <c r="D79" s="363"/>
      <c r="E79" s="364"/>
    </row>
    <row r="80" spans="1:5" ht="50.4" x14ac:dyDescent="0.3">
      <c r="A80" s="337"/>
      <c r="B80" s="106"/>
      <c r="C80" s="314" t="s">
        <v>23</v>
      </c>
      <c r="D80" s="363"/>
      <c r="E80" s="364"/>
    </row>
    <row r="81" spans="1:5" ht="16.8" x14ac:dyDescent="0.3">
      <c r="A81" s="337"/>
      <c r="B81" s="361"/>
      <c r="C81" s="362"/>
      <c r="D81" s="363"/>
      <c r="E81" s="364"/>
    </row>
    <row r="82" spans="1:5" ht="16.8" x14ac:dyDescent="0.3">
      <c r="A82" s="337"/>
      <c r="B82" s="361"/>
      <c r="C82" s="362"/>
      <c r="D82" s="363"/>
      <c r="E82" s="364"/>
    </row>
    <row r="83" spans="1:5" ht="16.8" x14ac:dyDescent="0.3">
      <c r="A83" s="337"/>
      <c r="B83" s="361"/>
      <c r="C83" s="362"/>
      <c r="D83" s="363"/>
      <c r="E83" s="364"/>
    </row>
    <row r="84" spans="1:5" x14ac:dyDescent="0.3">
      <c r="B84"/>
    </row>
    <row r="85" spans="1:5" x14ac:dyDescent="0.3">
      <c r="B85"/>
    </row>
    <row r="86" spans="1:5" x14ac:dyDescent="0.3">
      <c r="B86"/>
    </row>
    <row r="87" spans="1:5" x14ac:dyDescent="0.3">
      <c r="B87"/>
    </row>
    <row r="88" spans="1:5" x14ac:dyDescent="0.3">
      <c r="B88"/>
    </row>
    <row r="89" spans="1:5" x14ac:dyDescent="0.3">
      <c r="B89"/>
    </row>
    <row r="90" spans="1:5" x14ac:dyDescent="0.3">
      <c r="B90"/>
    </row>
    <row r="91" spans="1:5" x14ac:dyDescent="0.3">
      <c r="B91"/>
    </row>
    <row r="92" spans="1:5" x14ac:dyDescent="0.3">
      <c r="B92"/>
    </row>
    <row r="93" spans="1:5" x14ac:dyDescent="0.3">
      <c r="B93"/>
    </row>
    <row r="94" spans="1:5" x14ac:dyDescent="0.3">
      <c r="B94"/>
    </row>
    <row r="95" spans="1:5" x14ac:dyDescent="0.3">
      <c r="B95"/>
    </row>
    <row r="96" spans="1:5"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ht="20.25" customHeight="1"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340" ht="18.75" customHeight="1" x14ac:dyDescent="0.3"/>
  </sheetData>
  <mergeCells count="4">
    <mergeCell ref="A14:A20"/>
    <mergeCell ref="B14:B17"/>
    <mergeCell ref="A58:A64"/>
    <mergeCell ref="B58:B61"/>
  </mergeCells>
  <pageMargins left="0.25" right="0.25" top="0.75" bottom="0.75" header="0.3" footer="0.3"/>
  <pageSetup scale="81" fitToHeight="0" orientation="portrait"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467E-85E1-4CA6-AE2D-670FC2974688}">
  <sheetPr>
    <pageSetUpPr fitToPage="1"/>
  </sheetPr>
  <dimension ref="A1:G340"/>
  <sheetViews>
    <sheetView workbookViewId="0">
      <selection activeCell="A7" sqref="A7:E12"/>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7" width="11.5546875" customWidth="1"/>
  </cols>
  <sheetData>
    <row r="1" spans="1:7" s="316" customFormat="1" ht="16.8" x14ac:dyDescent="0.3">
      <c r="A1" s="337"/>
      <c r="B1" s="361"/>
      <c r="C1" s="362"/>
      <c r="D1" s="363"/>
      <c r="E1" s="364"/>
      <c r="F1"/>
      <c r="G1"/>
    </row>
    <row r="5" spans="1:7" x14ac:dyDescent="0.3">
      <c r="F5" s="316"/>
    </row>
    <row r="6" spans="1:7" x14ac:dyDescent="0.3">
      <c r="E6" s="316"/>
    </row>
    <row r="7" spans="1:7" ht="16.8" x14ac:dyDescent="0.4">
      <c r="A7" s="57" t="s">
        <v>283</v>
      </c>
      <c r="B7" s="10"/>
      <c r="C7" s="58"/>
      <c r="D7" s="58"/>
      <c r="E7" s="316"/>
    </row>
    <row r="8" spans="1:7" ht="16.8" x14ac:dyDescent="0.4">
      <c r="A8" s="57" t="s">
        <v>284</v>
      </c>
      <c r="B8" s="10"/>
      <c r="C8" s="58"/>
      <c r="D8" s="58"/>
      <c r="E8" s="316"/>
    </row>
    <row r="9" spans="1:7" ht="16.8" x14ac:dyDescent="0.4">
      <c r="A9" s="57" t="s">
        <v>587</v>
      </c>
      <c r="B9" s="10"/>
      <c r="C9" s="59"/>
      <c r="D9" s="58"/>
      <c r="E9" s="316"/>
    </row>
    <row r="10" spans="1:7" ht="16.8" x14ac:dyDescent="0.4">
      <c r="A10" s="57" t="s">
        <v>340</v>
      </c>
      <c r="B10" s="10"/>
      <c r="C10" s="59"/>
      <c r="D10" s="58"/>
      <c r="E10" s="316"/>
    </row>
    <row r="11" spans="1:7" ht="16.8" x14ac:dyDescent="0.4">
      <c r="A11" s="57" t="s">
        <v>6</v>
      </c>
      <c r="B11" s="61"/>
      <c r="C11" s="62"/>
      <c r="D11" s="63"/>
      <c r="E11" s="316"/>
    </row>
    <row r="12" spans="1:7" s="317" customFormat="1" ht="16.8" x14ac:dyDescent="0.4">
      <c r="A12" s="60" t="s">
        <v>1003</v>
      </c>
      <c r="B12" s="61"/>
      <c r="C12" s="62"/>
      <c r="D12" s="63"/>
      <c r="E12"/>
      <c r="F12"/>
      <c r="G12"/>
    </row>
    <row r="13" spans="1:7" x14ac:dyDescent="0.3">
      <c r="A13" s="365" t="s">
        <v>287</v>
      </c>
      <c r="B13" s="366" t="s">
        <v>288</v>
      </c>
      <c r="C13" s="367" t="s">
        <v>289</v>
      </c>
      <c r="D13" s="321" t="s">
        <v>290</v>
      </c>
      <c r="E13" s="322" t="s">
        <v>291</v>
      </c>
    </row>
    <row r="14" spans="1:7" ht="41.4" x14ac:dyDescent="0.3">
      <c r="A14" s="1086" t="s">
        <v>1080</v>
      </c>
      <c r="B14" s="1087" t="s">
        <v>302</v>
      </c>
      <c r="C14" s="324" t="s">
        <v>342</v>
      </c>
      <c r="D14" s="328">
        <f>((230*60*2)+(3100+2300)+7000)*2</f>
        <v>80000</v>
      </c>
      <c r="E14" s="343" t="s">
        <v>343</v>
      </c>
    </row>
    <row r="15" spans="1:7" x14ac:dyDescent="0.3">
      <c r="A15" s="1086"/>
      <c r="B15" s="1087"/>
      <c r="C15" s="324" t="s">
        <v>344</v>
      </c>
      <c r="D15" s="328">
        <f>(65000*2)</f>
        <v>130000</v>
      </c>
      <c r="E15" s="343" t="s">
        <v>320</v>
      </c>
    </row>
    <row r="16" spans="1:7" ht="41.4" x14ac:dyDescent="0.3">
      <c r="A16" s="1086"/>
      <c r="B16" s="1087"/>
      <c r="C16" s="324" t="s">
        <v>362</v>
      </c>
      <c r="D16" s="328">
        <f>(((2*5230)+(3*6210))*1.3)*2</f>
        <v>75634</v>
      </c>
      <c r="E16" s="343" t="s">
        <v>346</v>
      </c>
    </row>
    <row r="17" spans="1:5" x14ac:dyDescent="0.3">
      <c r="A17" s="1086"/>
      <c r="B17" s="1087"/>
      <c r="C17" s="324" t="s">
        <v>308</v>
      </c>
      <c r="D17" s="328">
        <f>(((8000*2)*(1.2))+1300)*2</f>
        <v>41000</v>
      </c>
      <c r="E17" s="343" t="s">
        <v>309</v>
      </c>
    </row>
    <row r="18" spans="1:5" x14ac:dyDescent="0.3">
      <c r="A18" s="1086"/>
      <c r="B18" s="347" t="s">
        <v>322</v>
      </c>
      <c r="C18" s="324" t="s">
        <v>323</v>
      </c>
      <c r="D18" s="328">
        <f>(64000+(48*950)+6500)*2</f>
        <v>232200</v>
      </c>
      <c r="E18" s="343" t="s">
        <v>577</v>
      </c>
    </row>
    <row r="19" spans="1:5" x14ac:dyDescent="0.3">
      <c r="A19" s="1086"/>
      <c r="B19" s="347" t="s">
        <v>310</v>
      </c>
      <c r="C19" s="324" t="s">
        <v>311</v>
      </c>
      <c r="D19" s="328">
        <f>(((3366.14*20.5)+(3400))*1.33)*2</f>
        <v>192599.61420000001</v>
      </c>
      <c r="E19" s="343" t="s">
        <v>306</v>
      </c>
    </row>
    <row r="20" spans="1:5" x14ac:dyDescent="0.3">
      <c r="A20" s="1086"/>
      <c r="B20" s="326" t="s">
        <v>312</v>
      </c>
      <c r="C20" s="327" t="s">
        <v>347</v>
      </c>
      <c r="D20" s="328" t="s">
        <v>314</v>
      </c>
      <c r="E20" s="343"/>
    </row>
    <row r="21" spans="1:5" x14ac:dyDescent="0.3">
      <c r="A21" s="344"/>
      <c r="B21" s="348"/>
      <c r="C21" s="609" t="s">
        <v>997</v>
      </c>
      <c r="D21" s="350">
        <f>SUM(D13:D19)</f>
        <v>751433.61419999995</v>
      </c>
      <c r="E21" s="317"/>
    </row>
    <row r="22" spans="1:5" ht="27.6" x14ac:dyDescent="0.3">
      <c r="A22" s="337"/>
      <c r="B22" s="351"/>
      <c r="C22" s="610" t="s">
        <v>1081</v>
      </c>
      <c r="D22" s="350">
        <f>D21*0.16</f>
        <v>120229.378272</v>
      </c>
      <c r="E22" s="317"/>
    </row>
    <row r="23" spans="1:5" ht="15" thickBot="1" x14ac:dyDescent="0.35">
      <c r="A23" s="337"/>
      <c r="B23" s="351"/>
      <c r="C23" s="637" t="s">
        <v>1082</v>
      </c>
      <c r="D23" s="353">
        <f>D21+D22</f>
        <v>871662.99247199995</v>
      </c>
      <c r="E23" s="317"/>
    </row>
    <row r="24" spans="1:5" x14ac:dyDescent="0.3">
      <c r="A24" s="334"/>
      <c r="B24" s="368" t="s">
        <v>1103</v>
      </c>
      <c r="C24" s="335"/>
      <c r="D24" s="336"/>
      <c r="E24" s="317"/>
    </row>
    <row r="25" spans="1:5" x14ac:dyDescent="0.3">
      <c r="A25" s="337"/>
      <c r="B25" s="351"/>
      <c r="C25" s="352"/>
    </row>
    <row r="26" spans="1:5" x14ac:dyDescent="0.3">
      <c r="A26" s="337"/>
      <c r="B26" s="96"/>
      <c r="C26" s="103" t="s">
        <v>11</v>
      </c>
    </row>
    <row r="27" spans="1:5" ht="15.6" x14ac:dyDescent="0.3">
      <c r="A27" s="337"/>
      <c r="B27" s="101"/>
      <c r="C27" s="123" t="s">
        <v>12</v>
      </c>
      <c r="D27" s="76"/>
      <c r="E27" s="96"/>
    </row>
    <row r="28" spans="1:5" ht="15.6" x14ac:dyDescent="0.3">
      <c r="A28" s="337"/>
      <c r="B28" s="101"/>
      <c r="C28" s="123" t="s">
        <v>13</v>
      </c>
      <c r="D28" s="52"/>
      <c r="E28" s="52"/>
    </row>
    <row r="29" spans="1:5" ht="15.6" x14ac:dyDescent="0.3">
      <c r="A29" s="337"/>
      <c r="B29" s="101"/>
      <c r="C29" s="123" t="s">
        <v>14</v>
      </c>
      <c r="D29" s="52"/>
      <c r="E29" s="52"/>
    </row>
    <row r="30" spans="1:5" x14ac:dyDescent="0.3">
      <c r="A30" s="337"/>
      <c r="B30" s="102"/>
      <c r="C30" s="103" t="s">
        <v>15</v>
      </c>
      <c r="D30" s="52"/>
      <c r="E30" s="52"/>
    </row>
    <row r="31" spans="1:5" ht="27.6" x14ac:dyDescent="0.3">
      <c r="A31" s="337"/>
      <c r="B31" s="102"/>
      <c r="C31" s="295" t="s">
        <v>42</v>
      </c>
      <c r="D31" s="52"/>
      <c r="E31" s="52"/>
    </row>
    <row r="32" spans="1:5" ht="41.4" x14ac:dyDescent="0.3">
      <c r="A32" s="337"/>
      <c r="B32" s="106"/>
      <c r="C32" s="295" t="s">
        <v>43</v>
      </c>
      <c r="D32" s="104"/>
      <c r="E32" s="105"/>
    </row>
    <row r="33" spans="1:5" ht="15.6" x14ac:dyDescent="0.3">
      <c r="A33" s="337"/>
      <c r="B33" s="106"/>
      <c r="C33" s="103" t="s">
        <v>18</v>
      </c>
      <c r="D33" s="104"/>
      <c r="E33" s="105"/>
    </row>
    <row r="34" spans="1:5" ht="15.6" x14ac:dyDescent="0.3">
      <c r="A34" s="337"/>
      <c r="B34" s="106"/>
      <c r="C34" s="313" t="s">
        <v>592</v>
      </c>
      <c r="D34" s="107"/>
      <c r="E34" s="105"/>
    </row>
    <row r="35" spans="1:5" ht="15.6" x14ac:dyDescent="0.3">
      <c r="A35" s="337"/>
      <c r="B35" s="106"/>
      <c r="C35" s="297" t="s">
        <v>20</v>
      </c>
      <c r="D35" s="107"/>
      <c r="E35" s="105"/>
    </row>
    <row r="36" spans="1:5" x14ac:dyDescent="0.3">
      <c r="A36" s="337"/>
      <c r="B36" s="108"/>
      <c r="C36" s="103" t="s">
        <v>21</v>
      </c>
      <c r="D36" s="107"/>
      <c r="E36" s="105"/>
    </row>
    <row r="37" spans="1:5" ht="15.6" x14ac:dyDescent="0.3">
      <c r="A37" s="337"/>
      <c r="B37" s="106"/>
      <c r="C37" s="122" t="s">
        <v>262</v>
      </c>
      <c r="D37" s="107"/>
      <c r="E37" s="105"/>
    </row>
    <row r="38" spans="1:5" ht="15.6" x14ac:dyDescent="0.3">
      <c r="A38" s="337"/>
      <c r="B38" s="106"/>
      <c r="C38" s="123" t="s">
        <v>44</v>
      </c>
      <c r="D38" s="107"/>
      <c r="E38" s="107"/>
    </row>
    <row r="39" spans="1:5" ht="15.6" x14ac:dyDescent="0.3">
      <c r="A39" s="337"/>
      <c r="B39" s="106"/>
      <c r="C39" s="123" t="s">
        <v>45</v>
      </c>
      <c r="D39" s="107"/>
      <c r="E39" s="107"/>
    </row>
    <row r="40" spans="1:5" ht="50.4" x14ac:dyDescent="0.3">
      <c r="A40" s="337"/>
      <c r="B40" s="106"/>
      <c r="C40" s="314" t="s">
        <v>23</v>
      </c>
      <c r="D40" s="109"/>
      <c r="E40" s="110"/>
    </row>
    <row r="41" spans="1:5" ht="16.8" x14ac:dyDescent="0.3">
      <c r="A41" s="337"/>
      <c r="B41" s="361"/>
      <c r="C41" s="362"/>
      <c r="D41" s="363"/>
      <c r="E41" s="364"/>
    </row>
    <row r="42" spans="1:5" ht="16.8" x14ac:dyDescent="0.3">
      <c r="A42" s="337"/>
      <c r="B42" s="361"/>
      <c r="C42" s="362"/>
      <c r="D42" s="363"/>
      <c r="E42" s="364"/>
    </row>
    <row r="43" spans="1:5" ht="16.8" x14ac:dyDescent="0.3">
      <c r="A43" s="337"/>
      <c r="B43" s="361"/>
      <c r="C43" s="362"/>
      <c r="D43" s="363"/>
      <c r="E43" s="364"/>
    </row>
    <row r="44" spans="1:5" ht="16.8" x14ac:dyDescent="0.3">
      <c r="A44" s="337"/>
      <c r="B44" s="361"/>
      <c r="C44" s="362"/>
      <c r="D44" s="363"/>
      <c r="E44" s="364"/>
    </row>
    <row r="45" spans="1:5" ht="16.8" x14ac:dyDescent="0.3">
      <c r="A45" s="337"/>
      <c r="B45" s="361"/>
      <c r="C45" s="362"/>
    </row>
    <row r="47" spans="1:5" x14ac:dyDescent="0.3">
      <c r="E47" s="316"/>
    </row>
    <row r="48" spans="1:5" ht="16.8" x14ac:dyDescent="0.4">
      <c r="D48" s="58"/>
      <c r="E48" s="316"/>
    </row>
    <row r="49" spans="1:5" ht="16.8" x14ac:dyDescent="0.4">
      <c r="D49" s="58"/>
      <c r="E49" s="316"/>
    </row>
    <row r="50" spans="1:5" ht="16.8" x14ac:dyDescent="0.4">
      <c r="D50" s="58"/>
      <c r="E50" s="316"/>
    </row>
    <row r="51" spans="1:5" ht="16.8" x14ac:dyDescent="0.4">
      <c r="A51" s="57" t="s">
        <v>348</v>
      </c>
      <c r="B51" s="10"/>
      <c r="C51" s="58"/>
      <c r="D51" s="58"/>
      <c r="E51" s="316"/>
    </row>
    <row r="52" spans="1:5" ht="16.8" x14ac:dyDescent="0.4">
      <c r="A52" s="57" t="s">
        <v>284</v>
      </c>
      <c r="B52" s="10"/>
      <c r="C52" s="58"/>
      <c r="D52" s="63"/>
      <c r="E52" s="316"/>
    </row>
    <row r="53" spans="1:5" ht="16.8" x14ac:dyDescent="0.4">
      <c r="A53" s="57" t="s">
        <v>597</v>
      </c>
      <c r="B53" s="10"/>
      <c r="C53" s="59"/>
      <c r="D53" s="63"/>
    </row>
    <row r="54" spans="1:5" ht="16.8" x14ac:dyDescent="0.4">
      <c r="A54" s="57" t="s">
        <v>340</v>
      </c>
      <c r="B54" s="10"/>
      <c r="C54" s="59"/>
    </row>
    <row r="55" spans="1:5" ht="16.8" x14ac:dyDescent="0.4">
      <c r="A55" s="57" t="s">
        <v>6</v>
      </c>
      <c r="B55" s="61"/>
      <c r="C55" s="62"/>
    </row>
    <row r="56" spans="1:5" ht="16.8" x14ac:dyDescent="0.4">
      <c r="A56" s="60" t="s">
        <v>1000</v>
      </c>
      <c r="B56" s="61"/>
      <c r="C56" s="62"/>
    </row>
    <row r="57" spans="1:5" x14ac:dyDescent="0.3">
      <c r="A57" s="365" t="s">
        <v>287</v>
      </c>
      <c r="B57" s="366" t="s">
        <v>288</v>
      </c>
      <c r="C57" s="367" t="s">
        <v>289</v>
      </c>
      <c r="D57" s="321" t="s">
        <v>290</v>
      </c>
      <c r="E57" s="322" t="s">
        <v>358</v>
      </c>
    </row>
    <row r="58" spans="1:5" ht="41.4" x14ac:dyDescent="0.3">
      <c r="A58" s="1086" t="s">
        <v>359</v>
      </c>
      <c r="B58" s="1087" t="s">
        <v>302</v>
      </c>
      <c r="C58" s="324" t="s">
        <v>360</v>
      </c>
      <c r="D58" s="328">
        <f>((210*80*2)+(3100+4100)+12000)*2</f>
        <v>105600</v>
      </c>
      <c r="E58" s="343" t="s">
        <v>343</v>
      </c>
    </row>
    <row r="59" spans="1:5" x14ac:dyDescent="0.3">
      <c r="A59" s="1086"/>
      <c r="B59" s="1087"/>
      <c r="C59" s="324" t="s">
        <v>361</v>
      </c>
      <c r="D59" s="328">
        <f>(50000*1.3)*2</f>
        <v>130000</v>
      </c>
      <c r="E59" s="343" t="s">
        <v>320</v>
      </c>
    </row>
    <row r="60" spans="1:5" ht="41.4" x14ac:dyDescent="0.3">
      <c r="A60" s="1086"/>
      <c r="B60" s="1087"/>
      <c r="C60" s="324" t="s">
        <v>362</v>
      </c>
      <c r="D60" s="328">
        <f>(((3*5230)+(3*6210))*1.3)*2</f>
        <v>89232</v>
      </c>
      <c r="E60" s="343" t="s">
        <v>309</v>
      </c>
    </row>
    <row r="61" spans="1:5" x14ac:dyDescent="0.3">
      <c r="A61" s="1086"/>
      <c r="B61" s="1087"/>
      <c r="C61" s="324" t="s">
        <v>308</v>
      </c>
      <c r="D61" s="328">
        <f>((9100*2)*1.2)*2</f>
        <v>43680</v>
      </c>
      <c r="E61" s="343" t="s">
        <v>309</v>
      </c>
    </row>
    <row r="62" spans="1:5" x14ac:dyDescent="0.3">
      <c r="A62" s="1086"/>
      <c r="B62" s="347" t="s">
        <v>322</v>
      </c>
      <c r="C62" s="324" t="s">
        <v>363</v>
      </c>
      <c r="D62" s="328">
        <f>(75000+(48*950))*2</f>
        <v>241200</v>
      </c>
      <c r="E62" s="343" t="s">
        <v>578</v>
      </c>
    </row>
    <row r="63" spans="1:5" x14ac:dyDescent="0.3">
      <c r="A63" s="1086"/>
      <c r="B63" s="347" t="s">
        <v>310</v>
      </c>
      <c r="C63" s="324" t="s">
        <v>311</v>
      </c>
      <c r="D63" s="328">
        <f>(((3231.26*20.5)+(4200))*1.33)*2</f>
        <v>187372.60780000003</v>
      </c>
      <c r="E63" s="343" t="s">
        <v>306</v>
      </c>
    </row>
    <row r="64" spans="1:5" x14ac:dyDescent="0.3">
      <c r="A64" s="1086"/>
      <c r="B64" s="326" t="s">
        <v>312</v>
      </c>
      <c r="C64" s="327" t="s">
        <v>364</v>
      </c>
      <c r="D64" s="371" t="s">
        <v>314</v>
      </c>
      <c r="E64" s="343"/>
    </row>
    <row r="65" spans="1:5" x14ac:dyDescent="0.3">
      <c r="A65" s="337"/>
      <c r="B65" s="351"/>
      <c r="C65" s="609" t="s">
        <v>997</v>
      </c>
      <c r="D65" s="350">
        <f>SUM(D56:D63)</f>
        <v>797084.6078</v>
      </c>
      <c r="E65" s="317"/>
    </row>
    <row r="66" spans="1:5" ht="27.6" x14ac:dyDescent="0.3">
      <c r="A66" s="337"/>
      <c r="B66" s="351"/>
      <c r="C66" s="610" t="s">
        <v>1081</v>
      </c>
      <c r="D66" s="350">
        <f>D65*0.16</f>
        <v>127533.53724800001</v>
      </c>
      <c r="E66" s="317"/>
    </row>
    <row r="67" spans="1:5" ht="15" thickBot="1" x14ac:dyDescent="0.35">
      <c r="A67" s="337"/>
      <c r="B67" s="351"/>
      <c r="C67" s="637" t="s">
        <v>1083</v>
      </c>
      <c r="D67" s="353">
        <f>D65+D66</f>
        <v>924618.14504800003</v>
      </c>
      <c r="E67" s="317"/>
    </row>
    <row r="68" spans="1:5" x14ac:dyDescent="0.3">
      <c r="A68" s="334"/>
      <c r="B68" s="368" t="s">
        <v>1104</v>
      </c>
      <c r="C68" s="335"/>
      <c r="D68" s="336"/>
      <c r="E68" s="317"/>
    </row>
    <row r="69" spans="1:5" ht="15.6" x14ac:dyDescent="0.3">
      <c r="A69" s="337"/>
      <c r="B69" s="101"/>
      <c r="C69" s="123" t="s">
        <v>14</v>
      </c>
      <c r="D69" s="104"/>
      <c r="E69" s="105"/>
    </row>
    <row r="70" spans="1:5" x14ac:dyDescent="0.3">
      <c r="A70" s="337"/>
      <c r="B70" s="102"/>
      <c r="C70" s="103" t="s">
        <v>15</v>
      </c>
      <c r="D70" s="107"/>
      <c r="E70" s="105"/>
    </row>
    <row r="71" spans="1:5" ht="27.6" x14ac:dyDescent="0.3">
      <c r="A71" s="337"/>
      <c r="B71" s="102"/>
      <c r="C71" s="295" t="s">
        <v>42</v>
      </c>
      <c r="D71" s="107"/>
      <c r="E71" s="105"/>
    </row>
    <row r="72" spans="1:5" ht="41.4" x14ac:dyDescent="0.3">
      <c r="A72" s="337"/>
      <c r="B72" s="106"/>
      <c r="C72" s="295" t="s">
        <v>43</v>
      </c>
      <c r="D72" s="107"/>
      <c r="E72" s="105"/>
    </row>
    <row r="73" spans="1:5" ht="15.6" x14ac:dyDescent="0.3">
      <c r="A73" s="337"/>
      <c r="B73" s="106"/>
      <c r="C73" s="103" t="s">
        <v>18</v>
      </c>
      <c r="D73" s="107"/>
      <c r="E73" s="105"/>
    </row>
    <row r="74" spans="1:5" ht="15.6" x14ac:dyDescent="0.3">
      <c r="A74" s="337"/>
      <c r="B74" s="106"/>
      <c r="C74" s="313" t="s">
        <v>588</v>
      </c>
      <c r="D74" s="107"/>
      <c r="E74" s="105"/>
    </row>
    <row r="75" spans="1:5" ht="15.6" x14ac:dyDescent="0.3">
      <c r="A75" s="337"/>
      <c r="B75" s="106"/>
      <c r="C75" s="297" t="s">
        <v>20</v>
      </c>
      <c r="D75" s="107"/>
      <c r="E75" s="107"/>
    </row>
    <row r="76" spans="1:5" x14ac:dyDescent="0.3">
      <c r="A76" s="337"/>
      <c r="B76" s="108"/>
      <c r="C76" s="103" t="s">
        <v>21</v>
      </c>
      <c r="D76" s="109"/>
      <c r="E76" s="107"/>
    </row>
    <row r="77" spans="1:5" ht="15.6" x14ac:dyDescent="0.3">
      <c r="A77" s="337"/>
      <c r="B77" s="106"/>
      <c r="C77" s="122" t="s">
        <v>262</v>
      </c>
      <c r="D77" s="363"/>
      <c r="E77" s="110"/>
    </row>
    <row r="78" spans="1:5" ht="15.6" x14ac:dyDescent="0.3">
      <c r="A78" s="337"/>
      <c r="B78" s="106"/>
      <c r="C78" s="123" t="s">
        <v>44</v>
      </c>
      <c r="D78" s="363"/>
      <c r="E78" s="364"/>
    </row>
    <row r="79" spans="1:5" ht="15.6" x14ac:dyDescent="0.3">
      <c r="A79" s="337"/>
      <c r="B79" s="106"/>
      <c r="C79" s="123" t="s">
        <v>45</v>
      </c>
      <c r="D79" s="363"/>
      <c r="E79" s="364"/>
    </row>
    <row r="80" spans="1:5" ht="50.4" x14ac:dyDescent="0.3">
      <c r="A80" s="337"/>
      <c r="B80" s="106"/>
      <c r="C80" s="314" t="s">
        <v>23</v>
      </c>
      <c r="D80" s="363"/>
      <c r="E80" s="364"/>
    </row>
    <row r="81" spans="1:5" ht="16.8" x14ac:dyDescent="0.3">
      <c r="A81" s="337"/>
      <c r="B81" s="361"/>
      <c r="C81" s="362"/>
      <c r="D81" s="363"/>
      <c r="E81" s="364"/>
    </row>
    <row r="82" spans="1:5" ht="16.8" x14ac:dyDescent="0.3">
      <c r="A82" s="337"/>
      <c r="B82" s="361"/>
      <c r="C82" s="362"/>
      <c r="D82" s="363"/>
      <c r="E82" s="364"/>
    </row>
    <row r="83" spans="1:5" ht="16.8" x14ac:dyDescent="0.3">
      <c r="A83" s="337"/>
      <c r="B83" s="361"/>
      <c r="C83" s="362"/>
      <c r="D83" s="363"/>
      <c r="E83" s="364"/>
    </row>
    <row r="84" spans="1:5" x14ac:dyDescent="0.3">
      <c r="B84"/>
    </row>
    <row r="85" spans="1:5" x14ac:dyDescent="0.3">
      <c r="B85"/>
    </row>
    <row r="86" spans="1:5" x14ac:dyDescent="0.3">
      <c r="B86"/>
    </row>
    <row r="87" spans="1:5" x14ac:dyDescent="0.3">
      <c r="B87"/>
    </row>
    <row r="88" spans="1:5" x14ac:dyDescent="0.3">
      <c r="B88"/>
    </row>
    <row r="89" spans="1:5" x14ac:dyDescent="0.3">
      <c r="B89"/>
    </row>
    <row r="90" spans="1:5" x14ac:dyDescent="0.3">
      <c r="B90"/>
    </row>
    <row r="91" spans="1:5" x14ac:dyDescent="0.3">
      <c r="B91"/>
    </row>
    <row r="92" spans="1:5" x14ac:dyDescent="0.3">
      <c r="B92"/>
    </row>
    <row r="93" spans="1:5" x14ac:dyDescent="0.3">
      <c r="B93"/>
    </row>
    <row r="94" spans="1:5" x14ac:dyDescent="0.3">
      <c r="B94"/>
    </row>
    <row r="95" spans="1:5" x14ac:dyDescent="0.3">
      <c r="B95"/>
    </row>
    <row r="96" spans="1:5"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ht="20.25" customHeight="1"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340" ht="18.75" customHeight="1" x14ac:dyDescent="0.3"/>
  </sheetData>
  <mergeCells count="4">
    <mergeCell ref="A14:A20"/>
    <mergeCell ref="B14:B17"/>
    <mergeCell ref="A58:A64"/>
    <mergeCell ref="B58:B61"/>
  </mergeCells>
  <pageMargins left="0.25" right="0.25" top="0.75" bottom="0.75" header="0.3" footer="0.3"/>
  <pageSetup fitToHeight="0" orientation="portrait"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0D72F-5A0E-4FD8-AE60-0522BBBFFD3C}">
  <sheetPr>
    <tabColor theme="4" tint="-0.249977111117893"/>
  </sheetPr>
  <dimension ref="A1:I55"/>
  <sheetViews>
    <sheetView zoomScaleNormal="100" workbookViewId="0">
      <selection activeCell="B19" sqref="B1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1035</v>
      </c>
      <c r="C4" s="58"/>
      <c r="D4" s="58"/>
    </row>
    <row r="5" spans="1:9" s="10" customFormat="1" ht="16.8" x14ac:dyDescent="0.4">
      <c r="A5" s="57" t="s">
        <v>1063</v>
      </c>
      <c r="C5" s="58"/>
      <c r="D5" s="58"/>
    </row>
    <row r="6" spans="1:9" s="10" customFormat="1" ht="16.8" x14ac:dyDescent="0.4">
      <c r="A6" s="57" t="s">
        <v>1064</v>
      </c>
      <c r="C6" s="59"/>
      <c r="D6" s="58"/>
    </row>
    <row r="7" spans="1:9" s="10" customFormat="1" ht="16.8" x14ac:dyDescent="0.4">
      <c r="A7" s="57" t="s">
        <v>1065</v>
      </c>
      <c r="C7" s="59"/>
      <c r="D7" s="58"/>
    </row>
    <row r="8" spans="1:9" s="10" customFormat="1" ht="16.8" x14ac:dyDescent="0.4">
      <c r="A8" s="57" t="s">
        <v>6</v>
      </c>
      <c r="B8" s="61"/>
      <c r="C8" s="62"/>
      <c r="D8" s="63"/>
    </row>
    <row r="9" spans="1:9" s="10" customFormat="1" ht="16.8" x14ac:dyDescent="0.4">
      <c r="A9" s="60" t="s">
        <v>1066</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1067</v>
      </c>
      <c r="C12" s="376">
        <v>12000</v>
      </c>
      <c r="D12" s="377">
        <f>A12*C12</f>
        <v>12000</v>
      </c>
      <c r="E12" s="190"/>
      <c r="F12" s="191"/>
    </row>
    <row r="13" spans="1:9" s="10" customFormat="1" ht="16.8" x14ac:dyDescent="0.4">
      <c r="A13" s="378"/>
      <c r="B13" s="379" t="s">
        <v>1061</v>
      </c>
      <c r="C13" s="376"/>
      <c r="D13" s="377"/>
      <c r="E13" s="190"/>
      <c r="F13" s="191"/>
      <c r="G13" s="188"/>
      <c r="H13" s="188"/>
      <c r="I13" s="188"/>
    </row>
    <row r="14" spans="1:9" s="10" customFormat="1" ht="16.8" x14ac:dyDescent="0.4">
      <c r="A14" s="378"/>
      <c r="B14" s="379" t="s">
        <v>376</v>
      </c>
      <c r="C14" s="376"/>
      <c r="D14" s="377"/>
      <c r="E14" s="190"/>
      <c r="F14" s="191"/>
      <c r="G14" s="108"/>
      <c r="H14" s="108"/>
      <c r="I14" s="108"/>
    </row>
    <row r="15" spans="1:9" s="188" customFormat="1" ht="26.4" x14ac:dyDescent="0.25">
      <c r="A15" s="286"/>
      <c r="B15" s="623" t="s">
        <v>1068</v>
      </c>
      <c r="C15" s="382" t="s">
        <v>188</v>
      </c>
      <c r="D15" s="606">
        <f>SUM(D12:D14)</f>
        <v>12000</v>
      </c>
      <c r="E15" s="189"/>
      <c r="F15" s="276"/>
      <c r="G15" s="191"/>
      <c r="H15" s="191"/>
      <c r="I15" s="191"/>
    </row>
    <row r="16" spans="1:9" x14ac:dyDescent="0.25">
      <c r="A16" s="102"/>
      <c r="B16" s="383" t="s">
        <v>993</v>
      </c>
      <c r="C16" s="384" t="s">
        <v>90</v>
      </c>
      <c r="D16" s="607">
        <f>D15*0.16</f>
        <v>1920</v>
      </c>
      <c r="E16" s="189"/>
    </row>
    <row r="17" spans="1:6" s="191" customFormat="1" ht="15.75" customHeight="1" thickBot="1" x14ac:dyDescent="0.3">
      <c r="A17" s="102"/>
      <c r="B17" s="385" t="s">
        <v>381</v>
      </c>
      <c r="C17" s="386" t="s">
        <v>40</v>
      </c>
      <c r="D17" s="608">
        <f>D15+D16</f>
        <v>13920</v>
      </c>
      <c r="E17" s="189"/>
      <c r="F17" s="108"/>
    </row>
    <row r="18" spans="1:6" ht="13.8" thickBot="1" x14ac:dyDescent="0.3">
      <c r="A18" s="276"/>
      <c r="B18" s="1050" t="s">
        <v>1062</v>
      </c>
      <c r="C18" s="1051"/>
      <c r="D18" s="1052"/>
      <c r="E18" s="189"/>
    </row>
    <row r="19" spans="1:6" ht="17.399999999999999" x14ac:dyDescent="0.25">
      <c r="A19" s="383"/>
      <c r="B19" s="387" t="s">
        <v>10</v>
      </c>
      <c r="C19" s="388"/>
      <c r="D19" s="389"/>
      <c r="E19" s="392"/>
    </row>
    <row r="20" spans="1:6" ht="15" x14ac:dyDescent="0.25">
      <c r="A20" s="390"/>
      <c r="B20" s="103" t="s">
        <v>11</v>
      </c>
      <c r="C20" s="388"/>
      <c r="D20" s="389"/>
      <c r="E20" s="392"/>
    </row>
    <row r="21" spans="1:6" ht="15" x14ac:dyDescent="0.25">
      <c r="A21" s="390"/>
      <c r="B21" s="123" t="s">
        <v>13</v>
      </c>
      <c r="C21" s="391"/>
      <c r="D21" s="389"/>
      <c r="E21" s="392"/>
    </row>
    <row r="22" spans="1:6" ht="13.8" x14ac:dyDescent="0.25">
      <c r="A22" s="392"/>
      <c r="B22" s="103" t="s">
        <v>15</v>
      </c>
      <c r="C22" s="391"/>
      <c r="D22" s="391"/>
      <c r="E22" s="392"/>
    </row>
    <row r="23" spans="1:6" ht="27.6" x14ac:dyDescent="0.25">
      <c r="A23" s="390"/>
      <c r="B23" s="295" t="s">
        <v>192</v>
      </c>
      <c r="C23" s="393"/>
      <c r="D23" s="394"/>
      <c r="E23" s="392"/>
    </row>
    <row r="24" spans="1:6" ht="41.4" x14ac:dyDescent="0.25">
      <c r="A24" s="390"/>
      <c r="B24" s="295" t="s">
        <v>43</v>
      </c>
      <c r="C24" s="393"/>
      <c r="D24" s="394"/>
      <c r="E24" s="392"/>
    </row>
    <row r="25" spans="1:6" ht="15" x14ac:dyDescent="0.25">
      <c r="A25" s="390"/>
      <c r="B25" s="103" t="s">
        <v>18</v>
      </c>
      <c r="C25" s="393"/>
      <c r="D25" s="391"/>
      <c r="E25" s="392"/>
    </row>
    <row r="26" spans="1:6" ht="15" x14ac:dyDescent="0.25">
      <c r="A26" s="390"/>
      <c r="B26" s="313" t="s">
        <v>1034</v>
      </c>
      <c r="C26" s="393"/>
      <c r="D26" s="391"/>
      <c r="E26" s="392"/>
    </row>
    <row r="27" spans="1:6" ht="15" x14ac:dyDescent="0.25">
      <c r="A27" s="390"/>
      <c r="B27" s="297" t="s">
        <v>20</v>
      </c>
      <c r="C27" s="393"/>
      <c r="D27" s="392"/>
      <c r="E27" s="392"/>
    </row>
    <row r="28" spans="1:6" ht="13.8" x14ac:dyDescent="0.25">
      <c r="A28" s="392"/>
      <c r="B28" s="103" t="s">
        <v>21</v>
      </c>
      <c r="C28" s="393"/>
      <c r="D28" s="392"/>
      <c r="E28" s="392"/>
    </row>
    <row r="29" spans="1:6" ht="15" x14ac:dyDescent="0.25">
      <c r="A29" s="390"/>
      <c r="B29" s="122" t="s">
        <v>262</v>
      </c>
      <c r="C29" s="395"/>
      <c r="D29" s="392"/>
      <c r="E29" s="392"/>
    </row>
    <row r="30" spans="1:6" ht="15" x14ac:dyDescent="0.25">
      <c r="A30" s="390"/>
      <c r="B30" s="123" t="s">
        <v>44</v>
      </c>
      <c r="C30" s="395"/>
      <c r="D30" s="395"/>
      <c r="E30" s="392"/>
    </row>
    <row r="31" spans="1:6" ht="15" x14ac:dyDescent="0.25">
      <c r="A31" s="390"/>
      <c r="B31" s="123" t="s">
        <v>45</v>
      </c>
      <c r="C31" s="391"/>
      <c r="D31" s="395"/>
      <c r="E31" s="392"/>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25B1-50E1-4F1E-9F84-76E7E8E0D6A9}">
  <sheetPr>
    <tabColor theme="4" tint="-0.249977111117893"/>
    <pageSetUpPr fitToPage="1"/>
  </sheetPr>
  <dimension ref="A1:F62"/>
  <sheetViews>
    <sheetView topLeftCell="A15" zoomScaleNormal="100" workbookViewId="0">
      <selection activeCell="B20" sqref="B20"/>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1066</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748</v>
      </c>
      <c r="C15" s="625">
        <v>13200</v>
      </c>
      <c r="D15" s="75">
        <f t="shared" ref="D15:D24" si="0">A15*C15</f>
        <v>13200</v>
      </c>
      <c r="E15" s="189"/>
      <c r="F15" s="108"/>
    </row>
    <row r="16" spans="1:6" ht="60" x14ac:dyDescent="0.25">
      <c r="A16" s="429">
        <v>1</v>
      </c>
      <c r="B16" s="73" t="s">
        <v>445</v>
      </c>
      <c r="C16" s="428">
        <v>7300</v>
      </c>
      <c r="D16" s="75">
        <f t="shared" si="0"/>
        <v>7300</v>
      </c>
      <c r="E16" s="189"/>
      <c r="F16" s="191"/>
    </row>
    <row r="17" spans="1:6" s="191" customFormat="1" ht="45" x14ac:dyDescent="0.25">
      <c r="A17" s="72">
        <v>1</v>
      </c>
      <c r="B17" s="73" t="s">
        <v>915</v>
      </c>
      <c r="C17" s="428">
        <v>65000</v>
      </c>
      <c r="D17" s="75">
        <f t="shared" si="0"/>
        <v>65000</v>
      </c>
      <c r="E17" s="189"/>
      <c r="F17" s="108"/>
    </row>
    <row r="18" spans="1:6" ht="15.6" x14ac:dyDescent="0.25">
      <c r="A18" s="72">
        <v>2</v>
      </c>
      <c r="B18" s="73" t="s">
        <v>442</v>
      </c>
      <c r="C18" s="428">
        <f>6797/2</f>
        <v>3398.5</v>
      </c>
      <c r="D18" s="75">
        <f t="shared" si="0"/>
        <v>6797</v>
      </c>
      <c r="E18" s="189"/>
    </row>
    <row r="19" spans="1:6" ht="15.6" x14ac:dyDescent="0.25">
      <c r="A19" s="72">
        <v>2</v>
      </c>
      <c r="B19" s="73" t="s">
        <v>443</v>
      </c>
      <c r="C19" s="428">
        <f>5664/2</f>
        <v>2832</v>
      </c>
      <c r="D19" s="75">
        <f t="shared" si="0"/>
        <v>5664</v>
      </c>
      <c r="E19" s="189"/>
    </row>
    <row r="20" spans="1:6" ht="15.6" x14ac:dyDescent="0.25">
      <c r="A20" s="571">
        <v>2</v>
      </c>
      <c r="B20" s="572" t="s">
        <v>270</v>
      </c>
      <c r="C20" s="626">
        <v>320</v>
      </c>
      <c r="D20" s="75">
        <f t="shared" si="0"/>
        <v>640</v>
      </c>
      <c r="E20" s="189"/>
    </row>
    <row r="21" spans="1:6" ht="21.6" customHeight="1" x14ac:dyDescent="0.25">
      <c r="A21" s="72">
        <v>1</v>
      </c>
      <c r="B21" s="624" t="s">
        <v>1069</v>
      </c>
      <c r="C21" s="627" t="s">
        <v>1070</v>
      </c>
      <c r="D21" s="628"/>
      <c r="E21" s="189"/>
    </row>
    <row r="22" spans="1:6" ht="45" x14ac:dyDescent="0.25">
      <c r="A22" s="72">
        <v>1</v>
      </c>
      <c r="B22" s="624" t="s">
        <v>750</v>
      </c>
      <c r="C22" s="625">
        <v>13200</v>
      </c>
      <c r="D22" s="75">
        <f t="shared" si="0"/>
        <v>13200</v>
      </c>
    </row>
    <row r="23" spans="1:6" ht="15.6" x14ac:dyDescent="0.25">
      <c r="A23" s="72">
        <v>1</v>
      </c>
      <c r="B23" s="624" t="s">
        <v>745</v>
      </c>
      <c r="C23" s="625">
        <v>2580</v>
      </c>
      <c r="D23" s="75">
        <f t="shared" si="0"/>
        <v>2580</v>
      </c>
    </row>
    <row r="24" spans="1:6" ht="15.6" x14ac:dyDescent="0.25">
      <c r="A24" s="72">
        <v>1</v>
      </c>
      <c r="B24" s="624" t="s">
        <v>751</v>
      </c>
      <c r="C24" s="625">
        <v>2380</v>
      </c>
      <c r="D24" s="75">
        <f t="shared" si="0"/>
        <v>2380</v>
      </c>
    </row>
    <row r="25" spans="1:6" ht="26.4" x14ac:dyDescent="0.25">
      <c r="A25" s="211"/>
      <c r="B25" s="543" t="s">
        <v>752</v>
      </c>
      <c r="C25" s="544"/>
      <c r="D25" s="213"/>
    </row>
    <row r="26" spans="1:6" ht="15.6" x14ac:dyDescent="0.25">
      <c r="A26" s="539"/>
      <c r="B26" s="545"/>
      <c r="C26" s="629" t="s">
        <v>188</v>
      </c>
      <c r="D26" s="630">
        <f>SUM(D15:D24)</f>
        <v>116761</v>
      </c>
    </row>
    <row r="27" spans="1:6" ht="15.6" x14ac:dyDescent="0.3">
      <c r="A27" s="453"/>
      <c r="B27" s="454"/>
      <c r="C27" s="631" t="s">
        <v>90</v>
      </c>
      <c r="D27" s="632">
        <f>D26*0.16</f>
        <v>18681.760000000002</v>
      </c>
    </row>
    <row r="28" spans="1:6" ht="16.2" thickBot="1" x14ac:dyDescent="0.35">
      <c r="A28" s="276"/>
      <c r="B28" s="385"/>
      <c r="C28" s="633" t="s">
        <v>40</v>
      </c>
      <c r="D28" s="634">
        <f>D26+D27</f>
        <v>135442.76</v>
      </c>
    </row>
    <row r="29" spans="1:6" ht="13.5" customHeight="1" thickBot="1" x14ac:dyDescent="0.3">
      <c r="A29" s="102"/>
      <c r="B29" s="635" t="s">
        <v>1071</v>
      </c>
      <c r="C29" s="553"/>
      <c r="D29" s="461"/>
    </row>
    <row r="30" spans="1:6" ht="13.8" x14ac:dyDescent="0.25">
      <c r="B30" s="103" t="s">
        <v>15</v>
      </c>
    </row>
    <row r="31" spans="1:6" ht="15" x14ac:dyDescent="0.25">
      <c r="A31" s="106"/>
      <c r="B31" s="295" t="s">
        <v>42</v>
      </c>
    </row>
    <row r="32" spans="1:6" ht="41.4" x14ac:dyDescent="0.25">
      <c r="A32" s="106"/>
      <c r="B32" s="295" t="s">
        <v>43</v>
      </c>
      <c r="C32" s="109"/>
      <c r="D32" s="110"/>
    </row>
    <row r="33" spans="1:4" ht="15" x14ac:dyDescent="0.25">
      <c r="A33" s="106"/>
      <c r="B33" s="103" t="s">
        <v>18</v>
      </c>
      <c r="C33" s="109"/>
      <c r="D33" s="110"/>
    </row>
    <row r="34" spans="1:4" ht="15" x14ac:dyDescent="0.25">
      <c r="A34" s="106"/>
      <c r="B34" s="296" t="s">
        <v>501</v>
      </c>
      <c r="C34" s="109"/>
      <c r="D34" s="109"/>
    </row>
    <row r="35" spans="1:4" ht="15" x14ac:dyDescent="0.25">
      <c r="A35" s="106"/>
      <c r="B35" s="297" t="s">
        <v>20</v>
      </c>
      <c r="C35" s="109"/>
      <c r="D35" s="109"/>
    </row>
    <row r="36" spans="1:4" ht="13.8" x14ac:dyDescent="0.25">
      <c r="B36" s="103" t="s">
        <v>21</v>
      </c>
      <c r="D36" s="105"/>
    </row>
    <row r="37" spans="1:4" ht="15" x14ac:dyDescent="0.25">
      <c r="A37" s="106"/>
      <c r="B37" s="122" t="s">
        <v>502</v>
      </c>
      <c r="C37" s="109"/>
      <c r="D37" s="110"/>
    </row>
    <row r="38" spans="1:4" ht="15" x14ac:dyDescent="0.25">
      <c r="A38" s="106"/>
      <c r="B38" s="123" t="s">
        <v>44</v>
      </c>
      <c r="C38" s="109"/>
      <c r="D38" s="110"/>
    </row>
    <row r="39" spans="1:4" ht="13.8" x14ac:dyDescent="0.25">
      <c r="A39" s="115" t="s">
        <v>0</v>
      </c>
      <c r="B39" s="298" t="s">
        <v>45</v>
      </c>
      <c r="C39" s="109"/>
    </row>
    <row r="40" spans="1:4" ht="50.4" x14ac:dyDescent="0.25">
      <c r="A40" s="222"/>
      <c r="B40" s="314"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c r="B44" s="224"/>
      <c r="C44" s="181"/>
      <c r="D44" s="181"/>
    </row>
    <row r="45" spans="1:4" x14ac:dyDescent="0.25">
      <c r="A45"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2F68-D64A-4C25-9C91-CA89FD18B7B0}">
  <sheetPr>
    <tabColor theme="4" tint="-0.249977111117893"/>
    <pageSetUpPr fitToPage="1"/>
  </sheetPr>
  <dimension ref="A1:F62"/>
  <sheetViews>
    <sheetView topLeftCell="A9" zoomScaleNormal="100" workbookViewId="0">
      <selection activeCell="A16" sqref="A16:D16"/>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733</v>
      </c>
      <c r="C7" s="58"/>
      <c r="D7" s="58"/>
    </row>
    <row r="8" spans="1:6" s="10" customFormat="1" ht="16.8" x14ac:dyDescent="0.4">
      <c r="A8" s="57" t="s">
        <v>734</v>
      </c>
      <c r="C8" s="58"/>
      <c r="D8" s="58"/>
    </row>
    <row r="9" spans="1:6" s="10" customFormat="1" ht="16.8" x14ac:dyDescent="0.4">
      <c r="A9" s="57" t="s">
        <v>735</v>
      </c>
      <c r="C9" s="58"/>
      <c r="D9" s="58"/>
    </row>
    <row r="10" spans="1:6" s="10" customFormat="1" ht="16.8" x14ac:dyDescent="0.4">
      <c r="A10" s="57" t="s">
        <v>736</v>
      </c>
      <c r="C10" s="59"/>
      <c r="D10" s="58"/>
    </row>
    <row r="11" spans="1:6" s="10" customFormat="1" ht="16.8" x14ac:dyDescent="0.4">
      <c r="A11" s="60" t="s">
        <v>1066</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1084</v>
      </c>
      <c r="C15" s="625">
        <f>90*180</f>
        <v>16200</v>
      </c>
      <c r="D15" s="75">
        <f t="shared" ref="D15:D24" si="0">A15*C15</f>
        <v>16200</v>
      </c>
      <c r="E15" s="189"/>
      <c r="F15" s="108"/>
    </row>
    <row r="16" spans="1:6" ht="60" x14ac:dyDescent="0.25">
      <c r="A16" s="429">
        <v>1</v>
      </c>
      <c r="B16" s="73" t="s">
        <v>445</v>
      </c>
      <c r="C16" s="428">
        <v>7300</v>
      </c>
      <c r="D16" s="75">
        <f t="shared" si="0"/>
        <v>7300</v>
      </c>
      <c r="E16" s="189"/>
      <c r="F16" s="191"/>
    </row>
    <row r="17" spans="1:6" s="191" customFormat="1" ht="45" x14ac:dyDescent="0.25">
      <c r="A17" s="72">
        <v>1</v>
      </c>
      <c r="B17" s="73" t="s">
        <v>915</v>
      </c>
      <c r="C17" s="428">
        <v>65000</v>
      </c>
      <c r="D17" s="75">
        <f t="shared" si="0"/>
        <v>65000</v>
      </c>
      <c r="E17" s="189"/>
      <c r="F17" s="108"/>
    </row>
    <row r="18" spans="1:6" ht="15.6" x14ac:dyDescent="0.25">
      <c r="A18" s="72">
        <v>2</v>
      </c>
      <c r="B18" s="73" t="s">
        <v>442</v>
      </c>
      <c r="C18" s="428">
        <f>6797/2</f>
        <v>3398.5</v>
      </c>
      <c r="D18" s="75">
        <f t="shared" si="0"/>
        <v>6797</v>
      </c>
      <c r="E18" s="189"/>
    </row>
    <row r="19" spans="1:6" ht="15.6" x14ac:dyDescent="0.25">
      <c r="A19" s="72">
        <v>2</v>
      </c>
      <c r="B19" s="73" t="s">
        <v>443</v>
      </c>
      <c r="C19" s="428">
        <f>5664/2</f>
        <v>2832</v>
      </c>
      <c r="D19" s="75">
        <f t="shared" si="0"/>
        <v>5664</v>
      </c>
      <c r="E19" s="189"/>
    </row>
    <row r="20" spans="1:6" ht="15.6" x14ac:dyDescent="0.25">
      <c r="A20" s="571">
        <v>2</v>
      </c>
      <c r="B20" s="572" t="s">
        <v>270</v>
      </c>
      <c r="C20" s="626">
        <v>320</v>
      </c>
      <c r="D20" s="75">
        <f t="shared" si="0"/>
        <v>640</v>
      </c>
      <c r="E20" s="189"/>
    </row>
    <row r="21" spans="1:6" ht="21.6" customHeight="1" x14ac:dyDescent="0.25">
      <c r="A21" s="72">
        <v>1</v>
      </c>
      <c r="B21" s="624" t="s">
        <v>1069</v>
      </c>
      <c r="C21" s="627" t="s">
        <v>1070</v>
      </c>
      <c r="D21" s="628"/>
      <c r="E21" s="189"/>
    </row>
    <row r="22" spans="1:6" ht="45" x14ac:dyDescent="0.25">
      <c r="A22" s="72">
        <v>1</v>
      </c>
      <c r="B22" s="624" t="s">
        <v>750</v>
      </c>
      <c r="C22" s="625">
        <v>13200</v>
      </c>
      <c r="D22" s="75">
        <f t="shared" si="0"/>
        <v>13200</v>
      </c>
    </row>
    <row r="23" spans="1:6" ht="15.6" x14ac:dyDescent="0.25">
      <c r="A23" s="72">
        <v>1</v>
      </c>
      <c r="B23" s="624" t="s">
        <v>745</v>
      </c>
      <c r="C23" s="625">
        <v>2580</v>
      </c>
      <c r="D23" s="75">
        <f t="shared" si="0"/>
        <v>2580</v>
      </c>
    </row>
    <row r="24" spans="1:6" ht="15.6" x14ac:dyDescent="0.25">
      <c r="A24" s="72">
        <v>1</v>
      </c>
      <c r="B24" s="624" t="s">
        <v>751</v>
      </c>
      <c r="C24" s="625">
        <v>2380</v>
      </c>
      <c r="D24" s="75">
        <f t="shared" si="0"/>
        <v>2380</v>
      </c>
    </row>
    <row r="25" spans="1:6" ht="26.4" x14ac:dyDescent="0.25">
      <c r="A25" s="211"/>
      <c r="B25" s="543" t="s">
        <v>752</v>
      </c>
      <c r="C25" s="544"/>
      <c r="D25" s="213"/>
    </row>
    <row r="26" spans="1:6" ht="15.6" x14ac:dyDescent="0.25">
      <c r="A26" s="539"/>
      <c r="B26" s="545"/>
      <c r="C26" s="629" t="s">
        <v>188</v>
      </c>
      <c r="D26" s="630">
        <f>SUM(D15:D24)</f>
        <v>119761</v>
      </c>
    </row>
    <row r="27" spans="1:6" ht="15.6" x14ac:dyDescent="0.3">
      <c r="A27" s="453"/>
      <c r="B27" s="454"/>
      <c r="C27" s="631" t="s">
        <v>90</v>
      </c>
      <c r="D27" s="632">
        <f>D26*0.16</f>
        <v>19161.760000000002</v>
      </c>
    </row>
    <row r="28" spans="1:6" ht="16.2" thickBot="1" x14ac:dyDescent="0.35">
      <c r="A28" s="276"/>
      <c r="B28" s="385"/>
      <c r="C28" s="633" t="s">
        <v>40</v>
      </c>
      <c r="D28" s="634">
        <f>D26+D27</f>
        <v>138922.76</v>
      </c>
    </row>
    <row r="29" spans="1:6" ht="13.5" customHeight="1" thickBot="1" x14ac:dyDescent="0.3">
      <c r="A29" s="102"/>
      <c r="B29" s="635" t="s">
        <v>1071</v>
      </c>
      <c r="C29" s="553"/>
      <c r="D29" s="461"/>
    </row>
    <row r="30" spans="1:6" ht="13.8" x14ac:dyDescent="0.25">
      <c r="B30" s="103" t="s">
        <v>15</v>
      </c>
    </row>
    <row r="31" spans="1:6" ht="15" x14ac:dyDescent="0.25">
      <c r="A31" s="106"/>
      <c r="B31" s="295" t="s">
        <v>42</v>
      </c>
    </row>
    <row r="32" spans="1:6" ht="41.4" x14ac:dyDescent="0.25">
      <c r="A32" s="106"/>
      <c r="B32" s="295" t="s">
        <v>43</v>
      </c>
      <c r="C32" s="109"/>
      <c r="D32" s="110"/>
    </row>
    <row r="33" spans="1:4" ht="15" x14ac:dyDescent="0.25">
      <c r="A33" s="106"/>
      <c r="B33" s="103" t="s">
        <v>18</v>
      </c>
      <c r="C33" s="109"/>
      <c r="D33" s="110"/>
    </row>
    <row r="34" spans="1:4" ht="15" x14ac:dyDescent="0.25">
      <c r="A34" s="106"/>
      <c r="B34" s="296" t="s">
        <v>501</v>
      </c>
      <c r="C34" s="109"/>
      <c r="D34" s="109"/>
    </row>
    <row r="35" spans="1:4" ht="15" x14ac:dyDescent="0.25">
      <c r="A35" s="106"/>
      <c r="B35" s="297" t="s">
        <v>20</v>
      </c>
      <c r="C35" s="109"/>
      <c r="D35" s="109"/>
    </row>
    <row r="36" spans="1:4" ht="13.8" x14ac:dyDescent="0.25">
      <c r="B36" s="103" t="s">
        <v>21</v>
      </c>
      <c r="D36" s="105"/>
    </row>
    <row r="37" spans="1:4" ht="15" x14ac:dyDescent="0.25">
      <c r="A37" s="106"/>
      <c r="B37" s="122" t="s">
        <v>502</v>
      </c>
      <c r="C37" s="109"/>
      <c r="D37" s="110"/>
    </row>
    <row r="38" spans="1:4" ht="15" x14ac:dyDescent="0.25">
      <c r="A38" s="106"/>
      <c r="B38" s="123" t="s">
        <v>44</v>
      </c>
      <c r="C38" s="109"/>
      <c r="D38" s="110"/>
    </row>
    <row r="39" spans="1:4" ht="13.8" x14ac:dyDescent="0.25">
      <c r="A39" s="115" t="s">
        <v>0</v>
      </c>
      <c r="B39" s="298" t="s">
        <v>45</v>
      </c>
      <c r="C39" s="109"/>
    </row>
    <row r="40" spans="1:4" ht="50.4" x14ac:dyDescent="0.25">
      <c r="A40" s="222"/>
      <c r="B40" s="314"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c r="B44" s="224"/>
      <c r="C44" s="181"/>
      <c r="D44" s="181"/>
    </row>
    <row r="45" spans="1:4" x14ac:dyDescent="0.25">
      <c r="A45"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FB1D-FB28-41DF-B607-F50CDF138E5A}">
  <sheetPr>
    <tabColor theme="4" tint="-0.249977111117893"/>
  </sheetPr>
  <dimension ref="A1:F62"/>
  <sheetViews>
    <sheetView topLeftCell="A11" zoomScaleNormal="100" workbookViewId="0">
      <selection activeCell="A15" sqref="A15:D15"/>
    </sheetView>
  </sheetViews>
  <sheetFormatPr baseColWidth="10" defaultColWidth="10.33203125" defaultRowHeight="13.2" x14ac:dyDescent="0.25"/>
  <cols>
    <col min="1" max="1" width="5.44140625" style="108" customWidth="1"/>
    <col min="2" max="2" width="66.44140625" style="108" customWidth="1"/>
    <col min="3" max="4" width="13.3320312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1035</v>
      </c>
      <c r="B7" s="228"/>
      <c r="C7" s="229"/>
      <c r="D7" s="229"/>
    </row>
    <row r="8" spans="1:6" s="10" customFormat="1" ht="19.2" x14ac:dyDescent="0.45">
      <c r="A8" s="227" t="s">
        <v>1086</v>
      </c>
      <c r="B8" s="228"/>
      <c r="C8" s="229"/>
      <c r="D8" s="229"/>
    </row>
    <row r="9" spans="1:6" s="10" customFormat="1" ht="19.2" x14ac:dyDescent="0.45">
      <c r="A9" s="227" t="s">
        <v>1087</v>
      </c>
      <c r="B9" s="228"/>
      <c r="C9" s="229"/>
      <c r="D9" s="229"/>
    </row>
    <row r="10" spans="1:6" s="10" customFormat="1" ht="19.2" x14ac:dyDescent="0.45">
      <c r="A10" s="227" t="s">
        <v>1088</v>
      </c>
      <c r="B10" s="228"/>
      <c r="C10" s="230"/>
      <c r="D10" s="229"/>
    </row>
    <row r="11" spans="1:6" s="10" customFormat="1" ht="19.2" x14ac:dyDescent="0.45">
      <c r="A11" s="227" t="s">
        <v>1090</v>
      </c>
      <c r="B11" s="228"/>
      <c r="C11" s="230"/>
      <c r="D11" s="229"/>
    </row>
    <row r="12" spans="1:6" s="10" customFormat="1" ht="15" customHeight="1" x14ac:dyDescent="0.45">
      <c r="A12" s="227" t="s">
        <v>6</v>
      </c>
      <c r="B12" s="231"/>
      <c r="C12" s="232"/>
      <c r="D12" s="233"/>
      <c r="E12" s="188"/>
    </row>
    <row r="13" spans="1:6" s="10" customFormat="1" ht="15" customHeight="1" x14ac:dyDescent="0.45">
      <c r="A13" s="480" t="s">
        <v>1089</v>
      </c>
      <c r="B13" s="481"/>
      <c r="C13" s="232"/>
      <c r="D13" s="482"/>
      <c r="E13" s="189"/>
    </row>
    <row r="14" spans="1:6" s="10" customFormat="1" ht="16.8" x14ac:dyDescent="0.4">
      <c r="A14" s="262"/>
      <c r="B14" s="263"/>
      <c r="C14" s="264"/>
      <c r="D14" s="264"/>
      <c r="E14" s="190"/>
      <c r="F14" s="188"/>
    </row>
    <row r="15" spans="1:6" s="188" customFormat="1" ht="75" x14ac:dyDescent="0.25">
      <c r="A15" s="429">
        <v>1</v>
      </c>
      <c r="B15" s="73" t="s">
        <v>445</v>
      </c>
      <c r="C15" s="428">
        <f>7300+(20*124)</f>
        <v>9780</v>
      </c>
      <c r="D15" s="75">
        <f t="shared" ref="D15" si="0">A15*C15</f>
        <v>9780</v>
      </c>
      <c r="E15" s="189"/>
      <c r="F15" s="108"/>
    </row>
    <row r="16" spans="1:6" ht="75" x14ac:dyDescent="0.25">
      <c r="A16" s="638">
        <v>1</v>
      </c>
      <c r="B16" s="574" t="s">
        <v>1085</v>
      </c>
      <c r="C16" s="641">
        <v>68000</v>
      </c>
      <c r="D16" s="639">
        <f>A16*C16</f>
        <v>68000</v>
      </c>
      <c r="E16" s="189"/>
    </row>
    <row r="17" spans="1:5" s="191" customFormat="1" ht="15.75" customHeight="1" x14ac:dyDescent="0.25">
      <c r="A17" s="640">
        <v>1</v>
      </c>
      <c r="B17" s="574" t="s">
        <v>1078</v>
      </c>
      <c r="C17" s="641">
        <v>1180</v>
      </c>
      <c r="D17" s="639"/>
      <c r="E17" s="189"/>
    </row>
    <row r="18" spans="1:5" ht="15.6" x14ac:dyDescent="0.25">
      <c r="A18" s="536"/>
      <c r="B18" s="450"/>
      <c r="C18" s="642" t="s">
        <v>188</v>
      </c>
      <c r="D18" s="643">
        <f>SUM(D15:D16)</f>
        <v>77780</v>
      </c>
      <c r="E18" s="189"/>
    </row>
    <row r="19" spans="1:5" ht="15.6" x14ac:dyDescent="0.3">
      <c r="A19" s="453"/>
      <c r="B19" s="454"/>
      <c r="C19" s="644" t="s">
        <v>90</v>
      </c>
      <c r="D19" s="645">
        <f>D18*0.16</f>
        <v>12444.800000000001</v>
      </c>
      <c r="E19" s="189"/>
    </row>
    <row r="20" spans="1:5" ht="16.2" thickBot="1" x14ac:dyDescent="0.35">
      <c r="A20" s="276"/>
      <c r="B20" s="385"/>
      <c r="C20" s="646" t="s">
        <v>40</v>
      </c>
      <c r="D20" s="647">
        <f>D18+D19</f>
        <v>90224.8</v>
      </c>
      <c r="E20" s="189"/>
    </row>
    <row r="21" spans="1:5" ht="13.5" customHeight="1" thickBot="1" x14ac:dyDescent="0.3">
      <c r="A21" s="102"/>
      <c r="B21" s="459" t="s">
        <v>1091</v>
      </c>
      <c r="C21" s="460"/>
      <c r="D21" s="461"/>
      <c r="E21" s="189"/>
    </row>
    <row r="22" spans="1:5" ht="15" x14ac:dyDescent="0.25">
      <c r="A22" s="106"/>
      <c r="B22" s="97" t="s">
        <v>11</v>
      </c>
      <c r="C22" s="462"/>
      <c r="D22" s="254"/>
    </row>
    <row r="23" spans="1:5" ht="15" x14ac:dyDescent="0.25">
      <c r="A23" s="106"/>
      <c r="B23" s="123" t="s">
        <v>13</v>
      </c>
      <c r="D23" s="105"/>
    </row>
    <row r="24" spans="1:5" ht="15" x14ac:dyDescent="0.25">
      <c r="A24" s="106"/>
      <c r="B24" s="103" t="s">
        <v>18</v>
      </c>
      <c r="C24" s="109"/>
      <c r="D24" s="110"/>
    </row>
    <row r="25" spans="1:5" ht="15" x14ac:dyDescent="0.25">
      <c r="A25" s="106"/>
      <c r="B25" s="296" t="s">
        <v>1092</v>
      </c>
      <c r="C25" s="109"/>
      <c r="D25" s="109"/>
    </row>
    <row r="26" spans="1:5" ht="18" customHeight="1" x14ac:dyDescent="0.25">
      <c r="A26" s="106"/>
      <c r="B26" s="297" t="s">
        <v>20</v>
      </c>
      <c r="C26" s="109"/>
      <c r="D26" s="109"/>
    </row>
    <row r="27" spans="1:5" ht="13.8" x14ac:dyDescent="0.25">
      <c r="B27" s="103" t="s">
        <v>21</v>
      </c>
      <c r="D27" s="105"/>
    </row>
    <row r="28" spans="1:5" ht="15" x14ac:dyDescent="0.25">
      <c r="A28" s="106"/>
      <c r="B28" s="122" t="s">
        <v>502</v>
      </c>
      <c r="C28" s="109"/>
      <c r="D28" s="110"/>
    </row>
    <row r="29" spans="1:5" ht="13.5" customHeight="1" x14ac:dyDescent="0.25">
      <c r="A29" s="106"/>
      <c r="B29" s="123" t="s">
        <v>44</v>
      </c>
      <c r="C29" s="109"/>
      <c r="D29" s="110"/>
    </row>
    <row r="30" spans="1:5" ht="13.8" x14ac:dyDescent="0.25">
      <c r="A30" s="115" t="s">
        <v>0</v>
      </c>
      <c r="B30" s="298" t="s">
        <v>45</v>
      </c>
      <c r="C30" s="109"/>
    </row>
    <row r="31" spans="1:5" ht="50.4" x14ac:dyDescent="0.25">
      <c r="A31" s="222"/>
      <c r="B31" s="314" t="s">
        <v>169</v>
      </c>
      <c r="C31" s="220"/>
      <c r="D31" s="108"/>
    </row>
    <row r="32" spans="1:5" x14ac:dyDescent="0.25">
      <c r="A32" s="222"/>
      <c r="B32" s="181"/>
      <c r="C32" s="181"/>
      <c r="D32" s="108"/>
    </row>
    <row r="33" spans="1:4" x14ac:dyDescent="0.25">
      <c r="A33" s="648"/>
      <c r="B33" s="181"/>
      <c r="C33" s="181"/>
      <c r="D33" s="108"/>
    </row>
    <row r="34" spans="1:4" ht="15.75" customHeight="1" x14ac:dyDescent="0.25">
      <c r="A34" s="650"/>
      <c r="B34" s="223"/>
      <c r="C34" s="181"/>
      <c r="D34" s="108"/>
    </row>
    <row r="35" spans="1:4" ht="15" x14ac:dyDescent="0.35">
      <c r="A35" s="649"/>
      <c r="B35" s="224"/>
      <c r="C35" s="181"/>
      <c r="D35" s="181"/>
    </row>
    <row r="36" spans="1:4" x14ac:dyDescent="0.25">
      <c r="A36"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F238-E266-4414-8FE8-D0FDD26ACAB6}">
  <sheetPr>
    <tabColor theme="4" tint="-0.249977111117893"/>
    <pageSetUpPr fitToPage="1"/>
  </sheetPr>
  <dimension ref="A1:F62"/>
  <sheetViews>
    <sheetView zoomScaleNormal="100" workbookViewId="0">
      <selection activeCell="G8" sqref="G8"/>
    </sheetView>
  </sheetViews>
  <sheetFormatPr baseColWidth="10" defaultColWidth="10.33203125" defaultRowHeight="13.2" x14ac:dyDescent="0.25"/>
  <cols>
    <col min="1" max="1" width="5.44140625" style="108" customWidth="1"/>
    <col min="2" max="2" width="69.88671875" style="108" customWidth="1"/>
    <col min="3" max="4" width="12.1093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417</v>
      </c>
      <c r="B8" s="228"/>
      <c r="C8" s="229"/>
      <c r="D8" s="229"/>
    </row>
    <row r="9" spans="1:6" s="10" customFormat="1" ht="19.2" x14ac:dyDescent="0.45">
      <c r="A9" s="227" t="s">
        <v>418</v>
      </c>
      <c r="B9" s="228"/>
      <c r="C9" s="229"/>
      <c r="D9" s="229"/>
    </row>
    <row r="10" spans="1:6" s="10" customFormat="1" ht="19.2" x14ac:dyDescent="0.45">
      <c r="A10" s="227" t="s">
        <v>419</v>
      </c>
      <c r="B10" s="228"/>
      <c r="C10" s="230"/>
      <c r="D10" s="229"/>
    </row>
    <row r="11" spans="1:6" s="10" customFormat="1" ht="19.2" x14ac:dyDescent="0.45">
      <c r="A11" s="227" t="s">
        <v>420</v>
      </c>
      <c r="B11" s="228"/>
      <c r="C11" s="230"/>
      <c r="D11" s="229"/>
    </row>
    <row r="12" spans="1:6" s="10" customFormat="1" ht="15" customHeight="1" x14ac:dyDescent="0.45">
      <c r="A12" s="227" t="s">
        <v>6</v>
      </c>
      <c r="B12" s="231"/>
      <c r="C12" s="232"/>
      <c r="D12" s="233"/>
      <c r="E12" s="188"/>
    </row>
    <row r="13" spans="1:6" s="10" customFormat="1" ht="15" customHeight="1" x14ac:dyDescent="0.45">
      <c r="A13" s="480" t="s">
        <v>1105</v>
      </c>
      <c r="B13" s="481"/>
      <c r="C13" s="232"/>
      <c r="D13" s="482"/>
      <c r="E13" s="189"/>
    </row>
    <row r="14" spans="1:6" s="10" customFormat="1" ht="16.8" x14ac:dyDescent="0.4">
      <c r="A14" s="262"/>
      <c r="B14" s="263"/>
      <c r="C14" s="264"/>
      <c r="D14" s="264"/>
      <c r="E14" s="190"/>
      <c r="F14" s="188"/>
    </row>
    <row r="15" spans="1:6" s="188" customFormat="1" ht="60" x14ac:dyDescent="0.25">
      <c r="A15" s="638">
        <v>1</v>
      </c>
      <c r="B15" s="574" t="s">
        <v>1106</v>
      </c>
      <c r="C15" s="641">
        <v>45000</v>
      </c>
      <c r="D15" s="639">
        <f>A15*C15</f>
        <v>45000</v>
      </c>
      <c r="E15" s="189"/>
      <c r="F15" s="108"/>
    </row>
    <row r="16" spans="1:6" ht="75" x14ac:dyDescent="0.25">
      <c r="A16" s="429">
        <v>1</v>
      </c>
      <c r="B16" s="73" t="s">
        <v>445</v>
      </c>
      <c r="C16" s="428">
        <v>5000</v>
      </c>
      <c r="D16" s="75">
        <f t="shared" ref="D16" si="0">A16*C16</f>
        <v>5000</v>
      </c>
      <c r="E16" s="189"/>
      <c r="F16" s="191"/>
    </row>
    <row r="17" spans="1:6" s="191" customFormat="1" ht="15.75" customHeight="1" x14ac:dyDescent="0.25">
      <c r="A17" s="536"/>
      <c r="B17" s="450"/>
      <c r="C17" s="642" t="s">
        <v>188</v>
      </c>
      <c r="D17" s="643">
        <f>SUM(D15:D16)</f>
        <v>50000</v>
      </c>
      <c r="E17" s="189"/>
      <c r="F17" s="108"/>
    </row>
    <row r="18" spans="1:6" ht="15.6" x14ac:dyDescent="0.3">
      <c r="A18" s="453"/>
      <c r="B18" s="454"/>
      <c r="C18" s="644" t="s">
        <v>90</v>
      </c>
      <c r="D18" s="645">
        <f>D17*0.16</f>
        <v>8000</v>
      </c>
      <c r="E18" s="189"/>
    </row>
    <row r="19" spans="1:6" ht="16.2" thickBot="1" x14ac:dyDescent="0.35">
      <c r="A19" s="276"/>
      <c r="B19" s="385"/>
      <c r="C19" s="646" t="s">
        <v>40</v>
      </c>
      <c r="D19" s="647">
        <f>D17+D18</f>
        <v>58000</v>
      </c>
      <c r="E19" s="189"/>
    </row>
    <row r="20" spans="1:6" ht="18" thickBot="1" x14ac:dyDescent="0.3">
      <c r="A20" s="102"/>
      <c r="B20" s="652" t="s">
        <v>1107</v>
      </c>
      <c r="C20" s="460"/>
      <c r="D20" s="461"/>
      <c r="E20" s="189"/>
    </row>
    <row r="21" spans="1:6" ht="13.5" customHeight="1" x14ac:dyDescent="0.25">
      <c r="A21" s="106"/>
      <c r="B21" s="97" t="s">
        <v>11</v>
      </c>
      <c r="C21" s="462"/>
      <c r="D21" s="254"/>
    </row>
    <row r="22" spans="1:6" ht="15" x14ac:dyDescent="0.25">
      <c r="A22" s="106"/>
      <c r="B22" s="123" t="s">
        <v>12</v>
      </c>
      <c r="D22" s="105"/>
      <c r="E22" s="189"/>
    </row>
    <row r="23" spans="1:6" ht="15" x14ac:dyDescent="0.25">
      <c r="A23" s="106"/>
      <c r="B23" s="123" t="s">
        <v>13</v>
      </c>
      <c r="D23" s="105"/>
    </row>
    <row r="24" spans="1:6" ht="15" x14ac:dyDescent="0.25">
      <c r="A24" s="106"/>
      <c r="B24" s="123" t="s">
        <v>14</v>
      </c>
      <c r="D24" s="105"/>
    </row>
    <row r="25" spans="1:6" ht="13.8" x14ac:dyDescent="0.25">
      <c r="B25" s="103" t="s">
        <v>15</v>
      </c>
    </row>
    <row r="26" spans="1:6" ht="27.6" x14ac:dyDescent="0.25">
      <c r="A26" s="106"/>
      <c r="B26" s="295" t="s">
        <v>42</v>
      </c>
    </row>
    <row r="27" spans="1:6" ht="41.4" x14ac:dyDescent="0.25">
      <c r="A27" s="106"/>
      <c r="B27" s="295" t="s">
        <v>43</v>
      </c>
      <c r="C27" s="109"/>
      <c r="D27" s="110"/>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82" fitToHeight="0" orientation="portrait" r:id="rId1"/>
  <headerFooter alignWithMargins="0">
    <oddFooter>Página &amp;P de &amp;N</oddFooter>
  </headerFooter>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E65A-45CB-48C5-9FE7-184361BCC13B}">
  <sheetPr>
    <pageSetUpPr fitToPage="1"/>
  </sheetPr>
  <dimension ref="A1:E69"/>
  <sheetViews>
    <sheetView topLeftCell="A7" zoomScaleNormal="100" workbookViewId="0">
      <selection activeCell="C20" sqref="C20"/>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1059</v>
      </c>
      <c r="B9" s="10"/>
      <c r="C9" s="58"/>
      <c r="D9" s="58"/>
    </row>
    <row r="10" spans="1:5" s="55" customFormat="1" ht="16.8" x14ac:dyDescent="0.4">
      <c r="A10" s="57" t="s">
        <v>675</v>
      </c>
      <c r="B10" s="10"/>
      <c r="C10" s="58"/>
      <c r="D10" s="58"/>
    </row>
    <row r="11" spans="1:5" s="55" customFormat="1" ht="16.8" x14ac:dyDescent="0.4">
      <c r="A11" s="57" t="s">
        <v>805</v>
      </c>
      <c r="B11" s="10"/>
      <c r="C11" s="59"/>
      <c r="D11" s="58"/>
    </row>
    <row r="12" spans="1:5" s="55" customFormat="1" ht="15" customHeight="1" x14ac:dyDescent="0.4">
      <c r="A12" s="60" t="s">
        <v>1060</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622" t="s">
        <v>838</v>
      </c>
      <c r="C16" s="74">
        <v>5800</v>
      </c>
      <c r="D16" s="75">
        <f>A16*C16</f>
        <v>5800</v>
      </c>
      <c r="E16" s="76"/>
    </row>
    <row r="17" spans="1:5" ht="30" x14ac:dyDescent="0.25">
      <c r="A17" s="72">
        <v>1</v>
      </c>
      <c r="B17" s="312" t="s">
        <v>807</v>
      </c>
      <c r="C17" s="74">
        <f>(298*50)+4500</f>
        <v>19400</v>
      </c>
      <c r="D17" s="75">
        <f>A17*C17</f>
        <v>19400</v>
      </c>
      <c r="E17" s="76"/>
    </row>
    <row r="18" spans="1:5" ht="15.6" x14ac:dyDescent="0.25">
      <c r="A18" s="72"/>
      <c r="B18" s="75"/>
      <c r="C18" s="75"/>
      <c r="D18" s="75"/>
      <c r="E18" s="76"/>
    </row>
    <row r="19" spans="1:5" ht="15.6" x14ac:dyDescent="0.25">
      <c r="A19" s="89"/>
      <c r="B19" s="90"/>
      <c r="C19" s="304" t="s">
        <v>38</v>
      </c>
      <c r="D19" s="75">
        <f>SUM(D16:D17)</f>
        <v>25200</v>
      </c>
      <c r="E19" s="76"/>
    </row>
    <row r="20" spans="1:5" ht="15.6" x14ac:dyDescent="0.3">
      <c r="A20" s="92"/>
      <c r="B20" s="90"/>
      <c r="C20" s="305" t="s">
        <v>39</v>
      </c>
      <c r="D20" s="75">
        <f>D19*0.16</f>
        <v>4032</v>
      </c>
      <c r="E20" s="76"/>
    </row>
    <row r="21" spans="1:5" ht="16.2" thickBot="1" x14ac:dyDescent="0.35">
      <c r="A21" s="92"/>
      <c r="B21" s="90"/>
      <c r="C21" s="305" t="s">
        <v>40</v>
      </c>
      <c r="D21" s="75">
        <f>D19+D20</f>
        <v>29232</v>
      </c>
      <c r="E21" s="76"/>
    </row>
    <row r="22" spans="1:5" ht="16.2" thickBot="1" x14ac:dyDescent="0.3">
      <c r="A22" s="92"/>
      <c r="B22" s="1023"/>
      <c r="C22" s="1084"/>
      <c r="D22" s="1085"/>
      <c r="E22" s="76"/>
    </row>
    <row r="23" spans="1:5" ht="19.5" customHeight="1" x14ac:dyDescent="0.25">
      <c r="B23" s="97" t="s">
        <v>9</v>
      </c>
      <c r="C23" s="98"/>
      <c r="D23" s="99"/>
      <c r="E23" s="76"/>
    </row>
    <row r="24" spans="1:5" ht="17.399999999999999" x14ac:dyDescent="0.25">
      <c r="B24" s="124"/>
      <c r="C24" s="76"/>
      <c r="D24" s="96"/>
      <c r="E24" s="76"/>
    </row>
    <row r="25" spans="1:5" ht="18.75" customHeight="1" x14ac:dyDescent="0.25">
      <c r="A25" s="96"/>
      <c r="B25" s="100" t="s">
        <v>11</v>
      </c>
      <c r="C25" s="96"/>
      <c r="D25" s="96"/>
    </row>
    <row r="26" spans="1:5" ht="15" x14ac:dyDescent="0.25">
      <c r="A26" s="101"/>
      <c r="B26" s="123" t="s">
        <v>12</v>
      </c>
      <c r="C26" s="52"/>
      <c r="D26" s="52"/>
      <c r="E26" s="96"/>
    </row>
    <row r="27" spans="1:5" ht="15" x14ac:dyDescent="0.25">
      <c r="A27" s="101"/>
      <c r="B27" s="123" t="s">
        <v>13</v>
      </c>
      <c r="C27" s="52"/>
      <c r="D27" s="52"/>
      <c r="E27" s="96"/>
    </row>
    <row r="28" spans="1:5" ht="15" x14ac:dyDescent="0.25">
      <c r="A28" s="101"/>
      <c r="B28" s="123" t="s">
        <v>14</v>
      </c>
      <c r="C28" s="52"/>
      <c r="D28" s="52"/>
    </row>
    <row r="29" spans="1:5" s="96" customFormat="1" ht="13.8" x14ac:dyDescent="0.25">
      <c r="A29" s="102"/>
      <c r="B29" s="103" t="s">
        <v>15</v>
      </c>
      <c r="C29" s="52"/>
      <c r="D29" s="52"/>
      <c r="E29" s="52"/>
    </row>
    <row r="30" spans="1:5" s="96" customFormat="1" ht="15.75" customHeight="1" x14ac:dyDescent="0.25">
      <c r="A30" s="102"/>
      <c r="B30" s="295" t="s">
        <v>42</v>
      </c>
      <c r="C30" s="104"/>
      <c r="D30" s="105"/>
      <c r="E30" s="52"/>
    </row>
    <row r="31" spans="1:5" ht="13.5" customHeight="1" x14ac:dyDescent="0.25">
      <c r="A31" s="106"/>
      <c r="B31" s="295" t="s">
        <v>43</v>
      </c>
      <c r="C31" s="104"/>
      <c r="D31" s="105"/>
    </row>
    <row r="32" spans="1:5" ht="13.5" customHeight="1" x14ac:dyDescent="0.25">
      <c r="A32" s="106"/>
      <c r="B32" s="103" t="s">
        <v>18</v>
      </c>
      <c r="C32" s="107"/>
      <c r="D32" s="105"/>
    </row>
    <row r="33" spans="1:4" ht="13.5" customHeight="1" x14ac:dyDescent="0.25">
      <c r="A33" s="106"/>
      <c r="B33" s="313" t="s">
        <v>808</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1058</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B4E2-CF02-4D90-B572-3020E018EA33}">
  <sheetPr>
    <pageSetUpPr fitToPage="1"/>
  </sheetPr>
  <dimension ref="A1:E69"/>
  <sheetViews>
    <sheetView zoomScaleNormal="100" workbookViewId="0">
      <selection activeCell="B16" sqref="B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1059</v>
      </c>
      <c r="B9" s="10"/>
      <c r="C9" s="58"/>
      <c r="D9" s="58"/>
    </row>
    <row r="10" spans="1:5" s="55" customFormat="1" ht="16.8" x14ac:dyDescent="0.4">
      <c r="A10" s="57" t="s">
        <v>1108</v>
      </c>
      <c r="B10" s="10"/>
      <c r="C10" s="58"/>
      <c r="D10" s="58"/>
    </row>
    <row r="11" spans="1:5" s="55" customFormat="1" ht="16.8" x14ac:dyDescent="0.4">
      <c r="A11" s="57" t="s">
        <v>1109</v>
      </c>
      <c r="B11" s="10"/>
      <c r="C11" s="59"/>
      <c r="D11" s="58"/>
    </row>
    <row r="12" spans="1:5" s="55" customFormat="1" ht="15" customHeight="1" x14ac:dyDescent="0.4">
      <c r="A12" s="60" t="s">
        <v>1105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622" t="s">
        <v>1110</v>
      </c>
      <c r="C16" s="74">
        <v>6200</v>
      </c>
      <c r="D16" s="75">
        <f>A16*C16</f>
        <v>6200</v>
      </c>
      <c r="E16" s="76"/>
    </row>
    <row r="17" spans="1:5" ht="15.6" x14ac:dyDescent="0.25">
      <c r="A17" s="72">
        <v>1</v>
      </c>
      <c r="B17" s="312" t="s">
        <v>1111</v>
      </c>
      <c r="C17" s="74">
        <v>3500</v>
      </c>
      <c r="D17" s="75">
        <f>A17*C17</f>
        <v>3500</v>
      </c>
      <c r="E17" s="76"/>
    </row>
    <row r="18" spans="1:5" ht="15.6" x14ac:dyDescent="0.25">
      <c r="A18" s="72"/>
      <c r="B18" s="75"/>
      <c r="C18" s="75"/>
      <c r="D18" s="75"/>
      <c r="E18" s="76"/>
    </row>
    <row r="19" spans="1:5" ht="15.6" x14ac:dyDescent="0.25">
      <c r="A19" s="89"/>
      <c r="B19" s="90"/>
      <c r="C19" s="304" t="s">
        <v>38</v>
      </c>
      <c r="D19" s="75">
        <f>SUM(D16:D17)</f>
        <v>9700</v>
      </c>
      <c r="E19" s="76"/>
    </row>
    <row r="20" spans="1:5" ht="15.6" x14ac:dyDescent="0.3">
      <c r="A20" s="92"/>
      <c r="B20" s="90"/>
      <c r="C20" s="305" t="s">
        <v>39</v>
      </c>
      <c r="D20" s="75">
        <f>D19*0.16</f>
        <v>1552</v>
      </c>
      <c r="E20" s="76"/>
    </row>
    <row r="21" spans="1:5" ht="16.2" thickBot="1" x14ac:dyDescent="0.35">
      <c r="A21" s="92"/>
      <c r="B21" s="90"/>
      <c r="C21" s="305" t="s">
        <v>40</v>
      </c>
      <c r="D21" s="75">
        <f>D19+D20</f>
        <v>11252</v>
      </c>
      <c r="E21" s="76"/>
    </row>
    <row r="22" spans="1:5" ht="16.2" thickBot="1" x14ac:dyDescent="0.3">
      <c r="A22" s="92"/>
      <c r="B22" s="1023" t="s">
        <v>1112</v>
      </c>
      <c r="C22" s="1084"/>
      <c r="D22" s="1085"/>
      <c r="E22" s="76"/>
    </row>
    <row r="23" spans="1:5" ht="19.5" customHeight="1" x14ac:dyDescent="0.25">
      <c r="B23" s="97" t="s">
        <v>9</v>
      </c>
      <c r="C23" s="98"/>
      <c r="D23" s="99"/>
      <c r="E23" s="76"/>
    </row>
    <row r="24" spans="1:5" ht="13.8" x14ac:dyDescent="0.25">
      <c r="A24" s="96"/>
      <c r="B24" s="100" t="s">
        <v>11</v>
      </c>
      <c r="C24" s="96"/>
      <c r="D24" s="96"/>
      <c r="E24" s="76"/>
    </row>
    <row r="25" spans="1:5" ht="18.75" customHeight="1" x14ac:dyDescent="0.25">
      <c r="A25" s="101"/>
      <c r="B25" s="123" t="s">
        <v>12</v>
      </c>
      <c r="C25" s="52"/>
      <c r="D25" s="52"/>
    </row>
    <row r="26" spans="1:5" ht="15" x14ac:dyDescent="0.25">
      <c r="A26" s="101"/>
      <c r="B26" s="123" t="s">
        <v>13</v>
      </c>
      <c r="C26" s="52"/>
      <c r="D26" s="52"/>
      <c r="E26" s="96"/>
    </row>
    <row r="27" spans="1:5" ht="15" x14ac:dyDescent="0.25">
      <c r="A27" s="101"/>
      <c r="B27" s="123" t="s">
        <v>14</v>
      </c>
      <c r="C27" s="52"/>
      <c r="D27" s="52"/>
      <c r="E27" s="96"/>
    </row>
    <row r="28" spans="1:5" ht="13.8" x14ac:dyDescent="0.25">
      <c r="A28" s="102"/>
      <c r="B28" s="103" t="s">
        <v>15</v>
      </c>
      <c r="C28" s="52"/>
      <c r="D28" s="52"/>
    </row>
    <row r="29" spans="1:5" s="96" customFormat="1" ht="13.8" x14ac:dyDescent="0.25">
      <c r="A29" s="102"/>
      <c r="B29" s="295" t="s">
        <v>42</v>
      </c>
      <c r="C29" s="104"/>
      <c r="D29" s="105"/>
      <c r="E29" s="52"/>
    </row>
    <row r="30" spans="1:5" s="96" customFormat="1" ht="27.6" x14ac:dyDescent="0.25">
      <c r="A30" s="106"/>
      <c r="B30" s="295" t="s">
        <v>43</v>
      </c>
      <c r="C30" s="104"/>
      <c r="D30" s="105"/>
      <c r="E30" s="52"/>
    </row>
    <row r="31" spans="1:5" ht="13.5" customHeight="1" x14ac:dyDescent="0.25">
      <c r="A31" s="106"/>
      <c r="B31" s="103" t="s">
        <v>18</v>
      </c>
      <c r="C31" s="107"/>
      <c r="D31" s="105"/>
    </row>
    <row r="32" spans="1:5" ht="13.5" customHeight="1" x14ac:dyDescent="0.25">
      <c r="A32" s="106"/>
      <c r="B32" s="313" t="s">
        <v>808</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1058</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F86D-B3E6-49FE-8CFF-38E14D9D11A8}">
  <sheetPr>
    <pageSetUpPr fitToPage="1"/>
  </sheetPr>
  <dimension ref="A1:E69"/>
  <sheetViews>
    <sheetView topLeftCell="A6" zoomScaleNormal="100" workbookViewId="0">
      <selection activeCell="C17" sqref="C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1113</v>
      </c>
      <c r="B8" s="10"/>
      <c r="C8" s="58"/>
      <c r="D8" s="58"/>
    </row>
    <row r="9" spans="1:5" s="55" customFormat="1" ht="16.8" x14ac:dyDescent="0.4">
      <c r="A9" s="57" t="s">
        <v>1114</v>
      </c>
      <c r="B9" s="10"/>
      <c r="C9" s="58"/>
      <c r="D9" s="58"/>
    </row>
    <row r="10" spans="1:5" s="55" customFormat="1" ht="16.8" x14ac:dyDescent="0.4">
      <c r="A10" s="57" t="s">
        <v>1115</v>
      </c>
      <c r="B10" s="10"/>
      <c r="C10" s="58"/>
      <c r="D10" s="58"/>
    </row>
    <row r="11" spans="1:5" s="55" customFormat="1" ht="16.8" x14ac:dyDescent="0.4">
      <c r="A11" s="57" t="s">
        <v>1116</v>
      </c>
      <c r="B11" s="10"/>
      <c r="C11" s="59"/>
      <c r="D11" s="58"/>
    </row>
    <row r="12" spans="1:5" s="55" customFormat="1" ht="15" customHeight="1" x14ac:dyDescent="0.4">
      <c r="A12" s="60" t="s">
        <v>1105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622" t="s">
        <v>1118</v>
      </c>
      <c r="C16" s="74">
        <f>43714.33*1.2</f>
        <v>52457.196000000004</v>
      </c>
      <c r="D16" s="75">
        <f>A16*C16</f>
        <v>52457.196000000004</v>
      </c>
      <c r="E16" s="76"/>
    </row>
    <row r="17" spans="1:5" ht="15.6" x14ac:dyDescent="0.25">
      <c r="A17" s="72">
        <v>1</v>
      </c>
      <c r="B17" s="312" t="s">
        <v>1117</v>
      </c>
      <c r="C17" s="74">
        <f>33200</f>
        <v>33200</v>
      </c>
      <c r="D17" s="75">
        <f>A17*C17</f>
        <v>33200</v>
      </c>
      <c r="E17" s="76"/>
    </row>
    <row r="18" spans="1:5" ht="15.6" x14ac:dyDescent="0.25">
      <c r="A18" s="72"/>
      <c r="B18" s="75"/>
      <c r="C18" s="75"/>
      <c r="D18" s="75"/>
      <c r="E18" s="76"/>
    </row>
    <row r="19" spans="1:5" ht="15.6" x14ac:dyDescent="0.25">
      <c r="A19" s="89"/>
      <c r="B19" s="90"/>
      <c r="C19" s="304" t="s">
        <v>38</v>
      </c>
      <c r="D19" s="75">
        <f>SUM(D16:D17)</f>
        <v>85657.195999999996</v>
      </c>
      <c r="E19" s="76"/>
    </row>
    <row r="20" spans="1:5" ht="15.6" x14ac:dyDescent="0.3">
      <c r="A20" s="92"/>
      <c r="B20" s="90"/>
      <c r="C20" s="305" t="s">
        <v>39</v>
      </c>
      <c r="D20" s="75">
        <f>D19*0.16</f>
        <v>13705.15136</v>
      </c>
      <c r="E20" s="76"/>
    </row>
    <row r="21" spans="1:5" ht="16.2" thickBot="1" x14ac:dyDescent="0.35">
      <c r="A21" s="92"/>
      <c r="B21" s="90"/>
      <c r="C21" s="305" t="s">
        <v>40</v>
      </c>
      <c r="D21" s="75">
        <f>D19+D20</f>
        <v>99362.34736</v>
      </c>
      <c r="E21" s="76"/>
    </row>
    <row r="22" spans="1:5" ht="16.2" thickBot="1" x14ac:dyDescent="0.3">
      <c r="A22" s="92"/>
      <c r="B22" s="1023" t="s">
        <v>1119</v>
      </c>
      <c r="C22" s="1084"/>
      <c r="D22" s="1085"/>
      <c r="E22" s="76"/>
    </row>
    <row r="23" spans="1:5" ht="19.5" customHeight="1" x14ac:dyDescent="0.25">
      <c r="B23" s="97" t="s">
        <v>9</v>
      </c>
      <c r="C23" s="98"/>
      <c r="D23" s="99"/>
      <c r="E23" s="76"/>
    </row>
    <row r="24" spans="1:5" ht="13.8" x14ac:dyDescent="0.25">
      <c r="A24" s="96"/>
      <c r="B24" s="100" t="s">
        <v>11</v>
      </c>
      <c r="C24" s="96"/>
      <c r="D24" s="96"/>
      <c r="E24" s="76"/>
    </row>
    <row r="25" spans="1:5" ht="18.75" customHeight="1" x14ac:dyDescent="0.25">
      <c r="A25" s="101"/>
      <c r="B25" s="123" t="s">
        <v>12</v>
      </c>
      <c r="C25" s="52"/>
      <c r="D25" s="52"/>
    </row>
    <row r="26" spans="1:5" ht="15" x14ac:dyDescent="0.25">
      <c r="A26" s="101"/>
      <c r="B26" s="123" t="s">
        <v>13</v>
      </c>
      <c r="C26" s="52"/>
      <c r="D26" s="52"/>
      <c r="E26" s="96"/>
    </row>
    <row r="27" spans="1:5" ht="15" x14ac:dyDescent="0.25">
      <c r="A27" s="101"/>
      <c r="B27" s="123" t="s">
        <v>14</v>
      </c>
      <c r="C27" s="52"/>
      <c r="D27" s="52"/>
      <c r="E27" s="96"/>
    </row>
    <row r="28" spans="1:5" ht="13.8" x14ac:dyDescent="0.25">
      <c r="A28" s="102"/>
      <c r="B28" s="103" t="s">
        <v>15</v>
      </c>
      <c r="C28" s="52"/>
      <c r="D28" s="52"/>
    </row>
    <row r="29" spans="1:5" s="96" customFormat="1" ht="13.8" x14ac:dyDescent="0.25">
      <c r="A29" s="102"/>
      <c r="B29" s="295" t="s">
        <v>42</v>
      </c>
      <c r="C29" s="104"/>
      <c r="D29" s="105"/>
      <c r="E29" s="52"/>
    </row>
    <row r="30" spans="1:5" s="96" customFormat="1" ht="27.6" x14ac:dyDescent="0.25">
      <c r="A30" s="106"/>
      <c r="B30" s="295" t="s">
        <v>43</v>
      </c>
      <c r="C30" s="104"/>
      <c r="D30" s="105"/>
      <c r="E30" s="52"/>
    </row>
    <row r="31" spans="1:5" ht="13.5" customHeight="1" x14ac:dyDescent="0.25">
      <c r="A31" s="106"/>
      <c r="B31" s="103" t="s">
        <v>18</v>
      </c>
      <c r="C31" s="107"/>
      <c r="D31" s="105"/>
    </row>
    <row r="32" spans="1:5" ht="13.5" customHeight="1" x14ac:dyDescent="0.25">
      <c r="A32" s="106"/>
      <c r="B32" s="313" t="s">
        <v>808</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502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4" fitToHeight="0" orientation="portrait"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610F-14A0-4B37-9C4B-AFB38645CE9C}">
  <sheetPr>
    <tabColor theme="4" tint="-0.249977111117893"/>
    <pageSetUpPr fitToPage="1"/>
  </sheetPr>
  <dimension ref="A1:F62"/>
  <sheetViews>
    <sheetView zoomScaleNormal="100" workbookViewId="0">
      <selection activeCell="B23" sqref="B23"/>
    </sheetView>
  </sheetViews>
  <sheetFormatPr baseColWidth="10" defaultColWidth="11.44140625" defaultRowHeight="13.2" x14ac:dyDescent="0.25"/>
  <cols>
    <col min="1" max="1" width="6" style="108" customWidth="1"/>
    <col min="2" max="2" width="89.5546875" style="108" customWidth="1"/>
    <col min="3" max="3" width="12.6640625" style="107" customWidth="1"/>
    <col min="4" max="4" width="14.44140625" style="107" customWidth="1"/>
    <col min="5" max="16384" width="11.441406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57" t="s">
        <v>1135</v>
      </c>
      <c r="C8" s="58"/>
      <c r="D8" s="58"/>
    </row>
    <row r="9" spans="1:5" s="10" customFormat="1" ht="16.8" x14ac:dyDescent="0.4">
      <c r="A9" s="57" t="s">
        <v>1134</v>
      </c>
      <c r="C9" s="58"/>
      <c r="D9" s="58"/>
    </row>
    <row r="10" spans="1:5" s="10" customFormat="1" ht="16.8" x14ac:dyDescent="0.4">
      <c r="A10" s="57" t="s">
        <v>284</v>
      </c>
      <c r="C10" s="58"/>
      <c r="D10" s="58"/>
    </row>
    <row r="11" spans="1:5" s="10" customFormat="1" ht="16.8" x14ac:dyDescent="0.4">
      <c r="A11" s="57" t="s">
        <v>1133</v>
      </c>
      <c r="C11" s="59"/>
      <c r="D11" s="58"/>
    </row>
    <row r="12" spans="1:5" s="10" customFormat="1" ht="15" customHeight="1" x14ac:dyDescent="0.4">
      <c r="A12" s="57" t="s">
        <v>1132</v>
      </c>
      <c r="C12" s="59"/>
      <c r="D12" s="58"/>
    </row>
    <row r="13" spans="1:5" s="10" customFormat="1" ht="15" customHeight="1" x14ac:dyDescent="0.4">
      <c r="A13" s="57" t="s">
        <v>6</v>
      </c>
      <c r="B13" s="61"/>
      <c r="C13" s="62"/>
      <c r="D13" s="63"/>
    </row>
    <row r="14" spans="1:5" s="10" customFormat="1" ht="15" customHeight="1" x14ac:dyDescent="0.4">
      <c r="A14" s="60" t="s">
        <v>1131</v>
      </c>
      <c r="B14" s="61"/>
      <c r="C14" s="62"/>
      <c r="D14" s="63"/>
    </row>
    <row r="15" spans="1:5" s="188" customFormat="1" ht="33.75" customHeight="1" x14ac:dyDescent="0.25">
      <c r="A15" s="1060" t="s">
        <v>1130</v>
      </c>
      <c r="B15" s="1061"/>
      <c r="C15" s="1062"/>
      <c r="D15" s="1063"/>
    </row>
    <row r="16" spans="1:5" ht="26.4" x14ac:dyDescent="0.25">
      <c r="A16" s="145" t="s">
        <v>29</v>
      </c>
      <c r="B16" s="145" t="s">
        <v>30</v>
      </c>
      <c r="C16" s="146" t="s">
        <v>31</v>
      </c>
      <c r="D16" s="146" t="s">
        <v>32</v>
      </c>
      <c r="E16" s="189"/>
    </row>
    <row r="17" spans="1:6" s="191" customFormat="1" ht="15.75" customHeight="1" x14ac:dyDescent="0.25">
      <c r="A17" s="148"/>
      <c r="B17" s="149"/>
      <c r="C17" s="150"/>
      <c r="D17" s="150"/>
      <c r="E17" s="190"/>
    </row>
    <row r="18" spans="1:6" ht="39.6" x14ac:dyDescent="0.25">
      <c r="A18" s="162">
        <v>1</v>
      </c>
      <c r="B18" s="163" t="s">
        <v>1129</v>
      </c>
      <c r="C18" s="184">
        <v>9500</v>
      </c>
      <c r="D18" s="165">
        <f>A18*C18</f>
        <v>9500</v>
      </c>
      <c r="E18" s="190"/>
      <c r="F18" s="191"/>
    </row>
    <row r="19" spans="1:6" x14ac:dyDescent="0.25">
      <c r="A19" s="151">
        <v>1</v>
      </c>
      <c r="B19" s="152" t="s">
        <v>1128</v>
      </c>
      <c r="C19" s="153">
        <f>(13800+2000+7000)*(1.3)</f>
        <v>29640</v>
      </c>
      <c r="D19" s="154">
        <f>A19*C19</f>
        <v>29640</v>
      </c>
      <c r="E19" s="189"/>
    </row>
    <row r="20" spans="1:6" ht="26.4" x14ac:dyDescent="0.25">
      <c r="A20" s="155"/>
      <c r="B20" s="156" t="s">
        <v>1127</v>
      </c>
      <c r="C20" s="656"/>
      <c r="D20" s="154"/>
      <c r="E20" s="189"/>
    </row>
    <row r="21" spans="1:6" ht="26.4" x14ac:dyDescent="0.25">
      <c r="A21" s="162">
        <v>1</v>
      </c>
      <c r="B21" s="163" t="s">
        <v>1126</v>
      </c>
      <c r="C21" s="184">
        <f>(6800+2300)*1.4</f>
        <v>12740</v>
      </c>
      <c r="D21" s="165">
        <f>A21*C21</f>
        <v>12740</v>
      </c>
      <c r="E21" s="189"/>
    </row>
    <row r="22" spans="1:6" ht="39.6" x14ac:dyDescent="0.25">
      <c r="A22" s="162">
        <v>1</v>
      </c>
      <c r="B22" s="163" t="s">
        <v>1125</v>
      </c>
      <c r="C22" s="184">
        <v>9500</v>
      </c>
      <c r="D22" s="165">
        <f>A22*C22</f>
        <v>9500</v>
      </c>
      <c r="E22" s="189"/>
    </row>
    <row r="23" spans="1:6" x14ac:dyDescent="0.25">
      <c r="A23" s="162">
        <v>1</v>
      </c>
      <c r="B23" s="163" t="s">
        <v>1124</v>
      </c>
      <c r="C23" s="184">
        <v>2800</v>
      </c>
      <c r="D23" s="165">
        <f>A23*C23</f>
        <v>2800</v>
      </c>
      <c r="E23" s="189"/>
    </row>
    <row r="24" spans="1:6" ht="26.4" x14ac:dyDescent="0.25">
      <c r="A24" s="162">
        <v>1</v>
      </c>
      <c r="B24" s="163" t="s">
        <v>1123</v>
      </c>
      <c r="C24" s="184">
        <v>2500</v>
      </c>
      <c r="D24" s="165">
        <f>A24*C24</f>
        <v>2500</v>
      </c>
      <c r="E24" s="189"/>
    </row>
    <row r="25" spans="1:6" ht="13.5" customHeight="1" x14ac:dyDescent="0.25">
      <c r="A25" s="286"/>
      <c r="B25" s="655" t="s">
        <v>1122</v>
      </c>
      <c r="C25" s="546" t="s">
        <v>188</v>
      </c>
      <c r="D25" s="547">
        <f>SUM(D18:D24)</f>
        <v>66680</v>
      </c>
      <c r="E25" s="189"/>
    </row>
    <row r="26" spans="1:6" x14ac:dyDescent="0.25">
      <c r="A26" s="102"/>
      <c r="B26" s="454" t="s">
        <v>380</v>
      </c>
      <c r="C26" s="548" t="s">
        <v>90</v>
      </c>
      <c r="D26" s="549">
        <v>0</v>
      </c>
      <c r="E26" s="189"/>
    </row>
    <row r="27" spans="1:6" ht="13.8" thickBot="1" x14ac:dyDescent="0.3">
      <c r="A27" s="276"/>
      <c r="B27" s="385" t="s">
        <v>381</v>
      </c>
      <c r="C27" s="548" t="s">
        <v>40</v>
      </c>
      <c r="D27" s="549">
        <f>D25+D26</f>
        <v>66680</v>
      </c>
      <c r="E27" s="189"/>
    </row>
    <row r="28" spans="1:6" ht="13.8" thickBot="1" x14ac:dyDescent="0.3">
      <c r="A28" s="102"/>
      <c r="B28" s="651" t="s">
        <v>1121</v>
      </c>
      <c r="C28" s="654"/>
      <c r="D28" s="653"/>
    </row>
    <row r="29" spans="1:6" ht="13.5" customHeight="1" x14ac:dyDescent="0.25">
      <c r="A29" s="106"/>
      <c r="B29" s="100" t="s">
        <v>11</v>
      </c>
      <c r="D29" s="105"/>
    </row>
    <row r="30" spans="1:6" ht="13.5" customHeight="1" x14ac:dyDescent="0.25">
      <c r="A30" s="106"/>
      <c r="B30" s="123" t="s">
        <v>12</v>
      </c>
      <c r="D30" s="105"/>
    </row>
    <row r="31" spans="1:6" ht="15" x14ac:dyDescent="0.25">
      <c r="A31" s="106"/>
      <c r="B31" s="123" t="s">
        <v>13</v>
      </c>
      <c r="D31" s="105"/>
    </row>
    <row r="32" spans="1:6" ht="17.25" customHeight="1" x14ac:dyDescent="0.25">
      <c r="A32" s="106"/>
      <c r="B32" s="123" t="s">
        <v>14</v>
      </c>
      <c r="D32" s="105"/>
    </row>
    <row r="33" spans="1:4" ht="13.8" x14ac:dyDescent="0.25">
      <c r="B33" s="103" t="s">
        <v>15</v>
      </c>
    </row>
    <row r="34" spans="1:4" ht="15.75" customHeight="1" x14ac:dyDescent="0.25">
      <c r="A34" s="106"/>
      <c r="B34" s="295" t="s">
        <v>42</v>
      </c>
    </row>
    <row r="35" spans="1:4" ht="41.4" x14ac:dyDescent="0.25">
      <c r="A35" s="106"/>
      <c r="B35" s="295" t="s">
        <v>43</v>
      </c>
      <c r="C35" s="109"/>
      <c r="D35" s="110"/>
    </row>
    <row r="36" spans="1:4" ht="15" x14ac:dyDescent="0.25">
      <c r="A36" s="106"/>
      <c r="B36" s="103" t="s">
        <v>18</v>
      </c>
      <c r="C36" s="109"/>
      <c r="D36" s="110"/>
    </row>
    <row r="37" spans="1:4" ht="15" x14ac:dyDescent="0.25">
      <c r="A37" s="106"/>
      <c r="B37" s="313" t="s">
        <v>501</v>
      </c>
      <c r="C37" s="109"/>
      <c r="D37" s="109"/>
    </row>
    <row r="38" spans="1:4" ht="15" x14ac:dyDescent="0.25">
      <c r="A38" s="106"/>
      <c r="B38" s="297" t="s">
        <v>20</v>
      </c>
      <c r="C38" s="109"/>
      <c r="D38" s="109"/>
    </row>
    <row r="39" spans="1:4" ht="13.8" x14ac:dyDescent="0.25">
      <c r="B39" s="103" t="s">
        <v>21</v>
      </c>
      <c r="D39" s="105"/>
    </row>
    <row r="40" spans="1:4" ht="15" x14ac:dyDescent="0.25">
      <c r="A40" s="106"/>
      <c r="B40" s="123" t="s">
        <v>1120</v>
      </c>
      <c r="C40" s="109"/>
      <c r="D40" s="110"/>
    </row>
    <row r="41" spans="1:4" ht="15" x14ac:dyDescent="0.25">
      <c r="A41" s="106"/>
      <c r="B41" s="123" t="s">
        <v>44</v>
      </c>
      <c r="C41" s="109"/>
      <c r="D41" s="110"/>
    </row>
    <row r="42" spans="1:4" ht="13.8" x14ac:dyDescent="0.25">
      <c r="A42" s="115" t="s">
        <v>0</v>
      </c>
      <c r="B42" s="123" t="s">
        <v>45</v>
      </c>
      <c r="C42" s="109"/>
    </row>
    <row r="43" spans="1:4" ht="50.4" x14ac:dyDescent="0.25">
      <c r="A43" s="222"/>
      <c r="B43" s="314" t="s">
        <v>169</v>
      </c>
      <c r="C43" s="220"/>
      <c r="D43" s="108"/>
    </row>
    <row r="44" spans="1:4" x14ac:dyDescent="0.25">
      <c r="A44" s="222"/>
      <c r="B44" s="181"/>
      <c r="C44" s="181"/>
      <c r="D44" s="108"/>
    </row>
    <row r="45" spans="1:4" x14ac:dyDescent="0.25">
      <c r="A45" s="222"/>
      <c r="B45" s="181"/>
      <c r="C45" s="181"/>
      <c r="D45" s="108"/>
    </row>
    <row r="46" spans="1:4" x14ac:dyDescent="0.25">
      <c r="A46" s="225"/>
      <c r="B46" s="223"/>
      <c r="C46" s="181"/>
      <c r="D46" s="108"/>
    </row>
    <row r="47" spans="1:4" ht="15" x14ac:dyDescent="0.35">
      <c r="A47" s="226"/>
      <c r="B47" s="224"/>
      <c r="C47" s="181"/>
      <c r="D47" s="181"/>
    </row>
    <row r="48" spans="1:4" x14ac:dyDescent="0.25">
      <c r="A48" s="108" t="s">
        <v>0</v>
      </c>
    </row>
    <row r="53" ht="17.25" customHeight="1" x14ac:dyDescent="0.25"/>
    <row r="57" ht="16.5" customHeight="1" x14ac:dyDescent="0.25"/>
    <row r="61" ht="15.75" customHeight="1" x14ac:dyDescent="0.25"/>
    <row r="62" ht="15" customHeight="1" x14ac:dyDescent="0.25"/>
  </sheetData>
  <mergeCells count="2">
    <mergeCell ref="A4:D4"/>
    <mergeCell ref="A15:D15"/>
  </mergeCells>
  <printOptions horizontalCentered="1"/>
  <pageMargins left="0.25" right="0.25" top="0.75" bottom="0.75" header="0.3" footer="0.3"/>
  <pageSetup paperSize="9" scale="80" fitToWidth="0" orientation="portrait" r:id="rId1"/>
  <headerFooter alignWithMargins="0">
    <oddFooter>Página &amp;P de &amp;N</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060D-67ED-483F-8697-126EC34877F2}">
  <sheetPr>
    <tabColor theme="4" tint="-0.249977111117893"/>
    <pageSetUpPr fitToPage="1"/>
  </sheetPr>
  <dimension ref="A1:F62"/>
  <sheetViews>
    <sheetView topLeftCell="A3" zoomScaleNormal="100" workbookViewId="0">
      <selection activeCell="B15" sqref="B15"/>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1142</v>
      </c>
      <c r="C7" s="58"/>
      <c r="D7" s="58"/>
    </row>
    <row r="8" spans="1:6" s="10" customFormat="1" ht="16.8" x14ac:dyDescent="0.4">
      <c r="A8" s="57" t="s">
        <v>1143</v>
      </c>
      <c r="C8" s="58"/>
      <c r="D8" s="58"/>
    </row>
    <row r="9" spans="1:6" s="10" customFormat="1" ht="16.8" x14ac:dyDescent="0.4">
      <c r="A9" s="57" t="s">
        <v>1144</v>
      </c>
      <c r="C9" s="58"/>
      <c r="D9" s="58"/>
    </row>
    <row r="10" spans="1:6" s="10" customFormat="1" ht="16.8" x14ac:dyDescent="0.4">
      <c r="A10" s="57" t="s">
        <v>819</v>
      </c>
      <c r="C10" s="59"/>
      <c r="D10" s="58"/>
    </row>
    <row r="11" spans="1:6" s="10" customFormat="1" ht="16.8" x14ac:dyDescent="0.4">
      <c r="A11" s="60" t="s">
        <v>1105</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1136</v>
      </c>
      <c r="C15" s="625">
        <v>7500</v>
      </c>
      <c r="D15" s="75">
        <f t="shared" ref="D15:D20" si="0">A15*C15</f>
        <v>7500</v>
      </c>
      <c r="E15" s="189"/>
      <c r="F15" s="108"/>
    </row>
    <row r="16" spans="1:6" ht="15.6" x14ac:dyDescent="0.25">
      <c r="A16" s="72">
        <v>1</v>
      </c>
      <c r="B16" s="624" t="s">
        <v>1140</v>
      </c>
      <c r="C16" s="625">
        <f>(398*20)*1.3</f>
        <v>10348</v>
      </c>
      <c r="D16" s="75">
        <f t="shared" si="0"/>
        <v>10348</v>
      </c>
      <c r="E16" s="189"/>
    </row>
    <row r="17" spans="1:6" s="191" customFormat="1" ht="15.6" x14ac:dyDescent="0.25">
      <c r="A17" s="72">
        <v>1</v>
      </c>
      <c r="B17" s="624" t="s">
        <v>1141</v>
      </c>
      <c r="C17" s="625">
        <f>(454*20)*1.3</f>
        <v>11804</v>
      </c>
      <c r="D17" s="75">
        <f t="shared" si="0"/>
        <v>11804</v>
      </c>
      <c r="E17" s="108"/>
      <c r="F17" s="108"/>
    </row>
    <row r="18" spans="1:6" ht="45" x14ac:dyDescent="0.25">
      <c r="A18" s="72">
        <v>1</v>
      </c>
      <c r="B18" s="624" t="s">
        <v>1137</v>
      </c>
      <c r="C18" s="625">
        <v>7500</v>
      </c>
      <c r="D18" s="75">
        <f t="shared" si="0"/>
        <v>7500</v>
      </c>
    </row>
    <row r="19" spans="1:6" ht="15.6" x14ac:dyDescent="0.25">
      <c r="A19" s="72">
        <v>1</v>
      </c>
      <c r="B19" s="624" t="s">
        <v>1138</v>
      </c>
      <c r="C19" s="625">
        <v>2761</v>
      </c>
      <c r="D19" s="75">
        <f t="shared" si="0"/>
        <v>2761</v>
      </c>
    </row>
    <row r="20" spans="1:6" ht="15.6" x14ac:dyDescent="0.25">
      <c r="A20" s="72">
        <v>85</v>
      </c>
      <c r="B20" s="624" t="s">
        <v>1139</v>
      </c>
      <c r="C20" s="657">
        <v>16.2</v>
      </c>
      <c r="D20" s="75">
        <f t="shared" si="0"/>
        <v>1377</v>
      </c>
    </row>
    <row r="21" spans="1:6" x14ac:dyDescent="0.25">
      <c r="A21" s="211"/>
      <c r="B21" s="543" t="s">
        <v>1145</v>
      </c>
      <c r="C21" s="544"/>
      <c r="D21" s="213"/>
    </row>
    <row r="22" spans="1:6" ht="15.6" x14ac:dyDescent="0.25">
      <c r="A22" s="539"/>
      <c r="B22" s="545"/>
      <c r="C22" s="629" t="s">
        <v>188</v>
      </c>
      <c r="D22" s="630">
        <f>SUM(D15:D20)</f>
        <v>41290</v>
      </c>
    </row>
    <row r="23" spans="1:6" ht="15.6" x14ac:dyDescent="0.3">
      <c r="A23" s="453"/>
      <c r="B23" s="454"/>
      <c r="C23" s="631" t="s">
        <v>90</v>
      </c>
      <c r="D23" s="632">
        <f>D22*0.16</f>
        <v>6606.4000000000005</v>
      </c>
    </row>
    <row r="24" spans="1:6" ht="16.2" thickBot="1" x14ac:dyDescent="0.35">
      <c r="A24" s="276"/>
      <c r="B24" s="385"/>
      <c r="C24" s="633" t="s">
        <v>40</v>
      </c>
      <c r="D24" s="634">
        <f>D22+D23</f>
        <v>47896.4</v>
      </c>
    </row>
    <row r="25" spans="1:6" ht="16.2" thickBot="1" x14ac:dyDescent="0.3">
      <c r="A25" s="102"/>
      <c r="B25" s="635" t="s">
        <v>1146</v>
      </c>
      <c r="C25" s="553"/>
      <c r="D25" s="461"/>
    </row>
    <row r="26" spans="1:6" ht="13.8" x14ac:dyDescent="0.25">
      <c r="B26" s="103" t="s">
        <v>15</v>
      </c>
    </row>
    <row r="27" spans="1:6" ht="15" x14ac:dyDescent="0.25">
      <c r="A27" s="106"/>
      <c r="B27" s="295" t="s">
        <v>42</v>
      </c>
    </row>
    <row r="28" spans="1:6" ht="41.4" x14ac:dyDescent="0.25">
      <c r="A28" s="106"/>
      <c r="B28" s="295" t="s">
        <v>43</v>
      </c>
      <c r="C28" s="109"/>
      <c r="D28" s="110"/>
    </row>
    <row r="29" spans="1:6" ht="13.5" customHeight="1" x14ac:dyDescent="0.25">
      <c r="A29" s="106"/>
      <c r="B29" s="103" t="s">
        <v>18</v>
      </c>
      <c r="C29" s="109"/>
      <c r="D29" s="110"/>
    </row>
    <row r="30" spans="1:6" ht="15" x14ac:dyDescent="0.25">
      <c r="A30" s="106"/>
      <c r="B30" s="296" t="s">
        <v>501</v>
      </c>
      <c r="C30" s="109"/>
      <c r="D30" s="109"/>
    </row>
    <row r="31" spans="1:6" ht="15" x14ac:dyDescent="0.25">
      <c r="A31" s="106"/>
      <c r="B31" s="297" t="s">
        <v>20</v>
      </c>
      <c r="C31" s="109"/>
      <c r="D31" s="109"/>
    </row>
    <row r="32" spans="1:6" ht="13.8" x14ac:dyDescent="0.25">
      <c r="B32" s="103" t="s">
        <v>21</v>
      </c>
      <c r="D32" s="105"/>
    </row>
    <row r="33" spans="1:4" ht="15" x14ac:dyDescent="0.25">
      <c r="A33" s="106"/>
      <c r="B33" s="122" t="s">
        <v>502</v>
      </c>
      <c r="C33" s="109"/>
      <c r="D33" s="110"/>
    </row>
    <row r="34" spans="1:4" ht="15"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B1C5-A309-494D-A9EE-AA54868D8C25}">
  <sheetPr>
    <pageSetUpPr fitToPage="1"/>
  </sheetPr>
  <dimension ref="A1:F69"/>
  <sheetViews>
    <sheetView topLeftCell="A7" zoomScaleNormal="100" workbookViewId="0">
      <selection activeCell="D22" sqref="D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6" ht="81" customHeight="1" x14ac:dyDescent="0.25">
      <c r="A1" s="52" t="s">
        <v>0</v>
      </c>
      <c r="C1" s="53"/>
    </row>
    <row r="2" spans="1:6" ht="9" customHeight="1" x14ac:dyDescent="0.25">
      <c r="C2" s="53"/>
    </row>
    <row r="3" spans="1:6" ht="9" customHeight="1" x14ac:dyDescent="0.25">
      <c r="C3" s="53"/>
    </row>
    <row r="4" spans="1:6" s="55" customFormat="1" ht="16.8" x14ac:dyDescent="0.4">
      <c r="A4" s="1026"/>
      <c r="B4" s="1026"/>
      <c r="C4" s="1026"/>
      <c r="D4" s="1026"/>
    </row>
    <row r="5" spans="1:6" s="55" customFormat="1" ht="16.8" x14ac:dyDescent="0.4">
      <c r="A5" s="12"/>
      <c r="C5" s="56"/>
      <c r="D5" s="56"/>
    </row>
    <row r="6" spans="1:6" s="55" customFormat="1" ht="16.8" x14ac:dyDescent="0.4">
      <c r="A6" s="12"/>
      <c r="C6" s="56"/>
      <c r="D6" s="56"/>
    </row>
    <row r="7" spans="1:6" s="55" customFormat="1" ht="19.2" x14ac:dyDescent="0.45">
      <c r="A7" s="7" t="s">
        <v>1</v>
      </c>
      <c r="B7" s="8"/>
      <c r="C7" s="9"/>
      <c r="D7" s="9"/>
      <c r="E7" s="10"/>
      <c r="F7" s="10"/>
    </row>
    <row r="8" spans="1:6" s="55" customFormat="1" ht="19.2" x14ac:dyDescent="0.45">
      <c r="A8" s="7" t="s">
        <v>2</v>
      </c>
      <c r="B8" s="8"/>
      <c r="C8" s="9"/>
      <c r="D8" s="9"/>
      <c r="E8" s="10"/>
      <c r="F8" s="10"/>
    </row>
    <row r="9" spans="1:6" s="55" customFormat="1" ht="19.2" x14ac:dyDescent="0.45">
      <c r="A9" s="7" t="s">
        <v>3</v>
      </c>
      <c r="B9" s="8"/>
      <c r="C9" s="9"/>
      <c r="D9" s="9"/>
      <c r="E9" s="10"/>
      <c r="F9" s="10"/>
    </row>
    <row r="10" spans="1:6" s="55" customFormat="1" ht="19.2" x14ac:dyDescent="0.45">
      <c r="A10" s="7" t="s">
        <v>4</v>
      </c>
      <c r="B10" s="8"/>
      <c r="C10" s="11"/>
      <c r="D10" s="9"/>
      <c r="E10" s="10"/>
      <c r="F10" s="10"/>
    </row>
    <row r="11" spans="1:6" s="55" customFormat="1" ht="19.2" x14ac:dyDescent="0.45">
      <c r="A11" s="7" t="s">
        <v>5</v>
      </c>
      <c r="B11" s="8"/>
      <c r="C11" s="11"/>
      <c r="D11" s="9"/>
      <c r="E11" s="10"/>
      <c r="F11" s="10"/>
    </row>
    <row r="12" spans="1:6" s="55" customFormat="1" ht="15" customHeight="1" x14ac:dyDescent="0.4">
      <c r="A12" s="60" t="s">
        <v>1150</v>
      </c>
      <c r="B12" s="61"/>
      <c r="C12" s="62"/>
      <c r="D12" s="63"/>
    </row>
    <row r="13" spans="1:6" s="55" customFormat="1" ht="16.8" x14ac:dyDescent="0.4">
      <c r="A13" s="1027" t="s">
        <v>28</v>
      </c>
      <c r="B13" s="1028"/>
      <c r="C13" s="1029"/>
      <c r="D13" s="1030"/>
    </row>
    <row r="14" spans="1:6" s="55" customFormat="1" ht="16.8" x14ac:dyDescent="0.4">
      <c r="A14" s="64" t="s">
        <v>29</v>
      </c>
      <c r="B14" s="64" t="s">
        <v>30</v>
      </c>
      <c r="C14" s="65" t="s">
        <v>31</v>
      </c>
      <c r="D14" s="65" t="s">
        <v>32</v>
      </c>
      <c r="E14" s="66"/>
    </row>
    <row r="15" spans="1:6" s="71" customFormat="1" ht="13.8" x14ac:dyDescent="0.25">
      <c r="A15" s="67"/>
      <c r="B15" s="68"/>
      <c r="C15" s="69"/>
      <c r="D15" s="69"/>
      <c r="E15" s="70"/>
    </row>
    <row r="16" spans="1:6" ht="15.6" x14ac:dyDescent="0.3">
      <c r="A16" s="595">
        <v>1</v>
      </c>
      <c r="B16" s="658" t="s">
        <v>1148</v>
      </c>
      <c r="C16" s="74">
        <f>(4257.12+1931.16)*1.3</f>
        <v>8044.7640000000001</v>
      </c>
      <c r="D16" s="75">
        <f>A16*C16</f>
        <v>8044.7640000000001</v>
      </c>
      <c r="E16" s="76"/>
    </row>
    <row r="17" spans="1:5" ht="45" x14ac:dyDescent="0.25">
      <c r="A17" s="72">
        <v>1</v>
      </c>
      <c r="B17" s="622" t="s">
        <v>1147</v>
      </c>
      <c r="C17" s="74">
        <f>4500*1.41</f>
        <v>6345</v>
      </c>
      <c r="D17" s="75">
        <f>A17*C17</f>
        <v>6345</v>
      </c>
      <c r="E17" s="76"/>
    </row>
    <row r="18" spans="1:5" ht="15.6" x14ac:dyDescent="0.25">
      <c r="A18" s="72">
        <v>1</v>
      </c>
      <c r="B18" s="312" t="s">
        <v>1117</v>
      </c>
      <c r="C18" s="74">
        <v>12897</v>
      </c>
      <c r="D18" s="75">
        <f>A18*C18</f>
        <v>12897</v>
      </c>
      <c r="E18" s="76"/>
    </row>
    <row r="19" spans="1:5" ht="15.6" x14ac:dyDescent="0.25">
      <c r="A19" s="72"/>
      <c r="B19" s="75"/>
      <c r="C19" s="75"/>
      <c r="D19" s="75"/>
      <c r="E19" s="76"/>
    </row>
    <row r="20" spans="1:5" ht="15.6" x14ac:dyDescent="0.25">
      <c r="A20" s="89"/>
      <c r="B20" s="90"/>
      <c r="C20" s="304" t="s">
        <v>38</v>
      </c>
      <c r="D20" s="75">
        <f>SUM(D16:D18)</f>
        <v>27286.763999999999</v>
      </c>
      <c r="E20" s="76"/>
    </row>
    <row r="21" spans="1:5" ht="15.6" x14ac:dyDescent="0.3">
      <c r="A21" s="92"/>
      <c r="B21" s="90"/>
      <c r="C21" s="305" t="s">
        <v>39</v>
      </c>
      <c r="D21" s="75">
        <f>D20*0.16</f>
        <v>4365.8822399999999</v>
      </c>
      <c r="E21" s="76"/>
    </row>
    <row r="22" spans="1:5" ht="16.2" thickBot="1" x14ac:dyDescent="0.35">
      <c r="A22" s="92"/>
      <c r="B22" s="90"/>
      <c r="C22" s="305" t="s">
        <v>40</v>
      </c>
      <c r="D22" s="75">
        <f>D20+D21</f>
        <v>31652.646239999998</v>
      </c>
      <c r="E22" s="76"/>
    </row>
    <row r="23" spans="1:5" ht="19.5" customHeight="1" thickBot="1" x14ac:dyDescent="0.3">
      <c r="A23" s="92"/>
      <c r="B23" s="1023" t="s">
        <v>1149</v>
      </c>
      <c r="C23" s="1084"/>
      <c r="D23" s="1085"/>
      <c r="E23" s="76"/>
    </row>
    <row r="24" spans="1:5" ht="13.8" x14ac:dyDescent="0.25">
      <c r="B24" s="97" t="s">
        <v>9</v>
      </c>
      <c r="C24" s="98"/>
      <c r="D24" s="99"/>
      <c r="E24" s="76"/>
    </row>
    <row r="25" spans="1:5" ht="18.75" customHeight="1" x14ac:dyDescent="0.25">
      <c r="A25" s="96"/>
      <c r="B25" s="100" t="s">
        <v>11</v>
      </c>
      <c r="C25" s="96"/>
      <c r="D25" s="96"/>
    </row>
    <row r="26" spans="1:5" ht="15" x14ac:dyDescent="0.25">
      <c r="A26" s="101"/>
      <c r="B26" s="123" t="s">
        <v>12</v>
      </c>
      <c r="C26" s="52"/>
      <c r="D26" s="52"/>
      <c r="E26" s="96"/>
    </row>
    <row r="27" spans="1:5" ht="15" x14ac:dyDescent="0.25">
      <c r="A27" s="101"/>
      <c r="B27" s="123" t="s">
        <v>13</v>
      </c>
      <c r="C27" s="52"/>
      <c r="D27" s="52"/>
      <c r="E27" s="96"/>
    </row>
    <row r="28" spans="1:5" ht="15" x14ac:dyDescent="0.25">
      <c r="A28" s="101"/>
      <c r="B28" s="123" t="s">
        <v>14</v>
      </c>
      <c r="C28" s="52"/>
      <c r="D28" s="52"/>
    </row>
    <row r="29" spans="1:5" s="96" customFormat="1" ht="13.8" x14ac:dyDescent="0.25">
      <c r="A29" s="102"/>
      <c r="B29" s="103" t="s">
        <v>15</v>
      </c>
      <c r="C29" s="52"/>
      <c r="D29" s="52"/>
      <c r="E29" s="52"/>
    </row>
    <row r="30" spans="1:5" s="96" customFormat="1" ht="13.8" x14ac:dyDescent="0.25">
      <c r="A30" s="102"/>
      <c r="B30" s="295" t="s">
        <v>42</v>
      </c>
      <c r="C30" s="104"/>
      <c r="D30" s="105"/>
      <c r="E30" s="52"/>
    </row>
    <row r="31" spans="1:5" ht="13.5" customHeight="1" x14ac:dyDescent="0.25">
      <c r="A31" s="106"/>
      <c r="B31" s="295" t="s">
        <v>43</v>
      </c>
      <c r="C31" s="104"/>
      <c r="D31" s="105"/>
    </row>
    <row r="32" spans="1:5" ht="13.5" customHeight="1" x14ac:dyDescent="0.25">
      <c r="A32" s="106"/>
      <c r="B32" s="103" t="s">
        <v>18</v>
      </c>
      <c r="C32" s="107"/>
      <c r="D32" s="105"/>
    </row>
    <row r="33" spans="1:4" ht="13.5" customHeight="1" x14ac:dyDescent="0.25">
      <c r="A33" s="106"/>
      <c r="B33" s="313" t="s">
        <v>808</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502</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scale="60" fitToHeight="0" orientation="portrait"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5BEB8-0218-4D62-A3A9-12575211CEC2}">
  <sheetPr>
    <tabColor theme="4" tint="-0.249977111117893"/>
    <pageSetUpPr fitToPage="1"/>
  </sheetPr>
  <dimension ref="A1:F62"/>
  <sheetViews>
    <sheetView topLeftCell="A7" zoomScaleNormal="100" workbookViewId="0">
      <selection activeCell="B18" sqref="B18"/>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1098</v>
      </c>
      <c r="C7" s="58"/>
      <c r="D7" s="58"/>
    </row>
    <row r="8" spans="1:6" s="10" customFormat="1" ht="16.8" x14ac:dyDescent="0.4">
      <c r="A8" s="57" t="s">
        <v>1099</v>
      </c>
      <c r="C8" s="58"/>
      <c r="D8" s="58"/>
    </row>
    <row r="9" spans="1:6" s="10" customFormat="1" ht="16.8" x14ac:dyDescent="0.4">
      <c r="A9" s="57" t="s">
        <v>1100</v>
      </c>
      <c r="C9" s="58"/>
      <c r="D9" s="58"/>
    </row>
    <row r="10" spans="1:6" s="10" customFormat="1" ht="16.8" x14ac:dyDescent="0.4">
      <c r="A10" s="57" t="s">
        <v>1101</v>
      </c>
      <c r="C10" s="59"/>
      <c r="D10" s="58"/>
    </row>
    <row r="11" spans="1:6" s="10" customFormat="1" ht="16.8" x14ac:dyDescent="0.4">
      <c r="A11" s="60" t="s">
        <v>1102</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1093</v>
      </c>
      <c r="C15" s="625">
        <f>(80*90)+2500</f>
        <v>9700</v>
      </c>
      <c r="D15" s="75">
        <f t="shared" ref="D15:D18" si="0">A15*C15</f>
        <v>9700</v>
      </c>
      <c r="E15" s="189"/>
      <c r="F15" s="108"/>
    </row>
    <row r="16" spans="1:6" ht="45" x14ac:dyDescent="0.25">
      <c r="A16" s="72">
        <v>1</v>
      </c>
      <c r="B16" s="624" t="s">
        <v>1097</v>
      </c>
      <c r="C16" s="625">
        <f>17800</f>
        <v>17800</v>
      </c>
      <c r="D16" s="75">
        <f t="shared" si="0"/>
        <v>17800</v>
      </c>
    </row>
    <row r="17" spans="1:6" s="191" customFormat="1" ht="15.6" x14ac:dyDescent="0.25">
      <c r="A17" s="72">
        <v>1</v>
      </c>
      <c r="B17" s="624" t="s">
        <v>1094</v>
      </c>
      <c r="C17" s="625">
        <v>2761</v>
      </c>
      <c r="D17" s="75">
        <f t="shared" si="0"/>
        <v>2761</v>
      </c>
      <c r="E17" s="108"/>
      <c r="F17" s="108"/>
    </row>
    <row r="18" spans="1:6" ht="30" x14ac:dyDescent="0.25">
      <c r="A18" s="72">
        <v>1</v>
      </c>
      <c r="B18" s="624" t="s">
        <v>1095</v>
      </c>
      <c r="C18" s="625">
        <v>1680</v>
      </c>
      <c r="D18" s="75">
        <f t="shared" si="0"/>
        <v>1680</v>
      </c>
    </row>
    <row r="19" spans="1:6" x14ac:dyDescent="0.25">
      <c r="A19" s="211"/>
      <c r="B19" s="543" t="s">
        <v>1096</v>
      </c>
      <c r="C19" s="544"/>
      <c r="D19" s="213"/>
    </row>
    <row r="20" spans="1:6" ht="15.6" x14ac:dyDescent="0.25">
      <c r="A20" s="539"/>
      <c r="B20" s="545"/>
      <c r="C20" s="629" t="s">
        <v>188</v>
      </c>
      <c r="D20" s="630">
        <f>SUM(D15:D18)</f>
        <v>31941</v>
      </c>
    </row>
    <row r="21" spans="1:6" ht="15.6" x14ac:dyDescent="0.3">
      <c r="A21" s="453"/>
      <c r="B21" s="454"/>
      <c r="C21" s="631" t="s">
        <v>90</v>
      </c>
      <c r="D21" s="632">
        <f>D20*0.16</f>
        <v>5110.5600000000004</v>
      </c>
    </row>
    <row r="22" spans="1:6" ht="16.2" thickBot="1" x14ac:dyDescent="0.35">
      <c r="A22" s="276"/>
      <c r="B22" s="385"/>
      <c r="C22" s="633" t="s">
        <v>40</v>
      </c>
      <c r="D22" s="634">
        <f>D20+D21</f>
        <v>37051.56</v>
      </c>
    </row>
    <row r="23" spans="1:6" ht="16.2" thickBot="1" x14ac:dyDescent="0.3">
      <c r="A23" s="102"/>
      <c r="B23" s="635" t="s">
        <v>1071</v>
      </c>
      <c r="C23" s="553"/>
      <c r="D23" s="461"/>
    </row>
    <row r="24" spans="1:6" ht="13.8" x14ac:dyDescent="0.25">
      <c r="B24" s="103" t="s">
        <v>15</v>
      </c>
    </row>
    <row r="25" spans="1:6" ht="15" x14ac:dyDescent="0.25">
      <c r="A25" s="106"/>
      <c r="B25" s="295" t="s">
        <v>42</v>
      </c>
    </row>
    <row r="26" spans="1:6" ht="41.4" x14ac:dyDescent="0.25">
      <c r="A26" s="106"/>
      <c r="B26" s="295" t="s">
        <v>43</v>
      </c>
      <c r="C26" s="109"/>
      <c r="D26" s="110"/>
    </row>
    <row r="27" spans="1:6" ht="15" x14ac:dyDescent="0.25">
      <c r="A27" s="106"/>
      <c r="B27" s="103" t="s">
        <v>18</v>
      </c>
      <c r="C27" s="109"/>
      <c r="D27" s="110"/>
    </row>
    <row r="28" spans="1:6" ht="15" x14ac:dyDescent="0.25">
      <c r="A28" s="106"/>
      <c r="B28" s="296" t="s">
        <v>501</v>
      </c>
      <c r="C28" s="109"/>
      <c r="D28" s="109"/>
    </row>
    <row r="29" spans="1:6" ht="13.5" customHeight="1" x14ac:dyDescent="0.25">
      <c r="A29" s="106"/>
      <c r="B29" s="297" t="s">
        <v>20</v>
      </c>
      <c r="C29" s="109"/>
      <c r="D29" s="109"/>
    </row>
    <row r="30" spans="1:6" ht="13.8" x14ac:dyDescent="0.25">
      <c r="B30" s="103" t="s">
        <v>21</v>
      </c>
      <c r="D30" s="105"/>
    </row>
    <row r="31" spans="1:6" ht="15" x14ac:dyDescent="0.25">
      <c r="A31" s="106"/>
      <c r="B31" s="122" t="s">
        <v>502</v>
      </c>
      <c r="C31" s="109"/>
      <c r="D31" s="110"/>
    </row>
    <row r="32" spans="1:6" ht="15" x14ac:dyDescent="0.25">
      <c r="A32" s="106"/>
      <c r="B32" s="123" t="s">
        <v>44</v>
      </c>
      <c r="C32" s="109"/>
      <c r="D32" s="110"/>
    </row>
    <row r="33" spans="1:4" ht="13.8" x14ac:dyDescent="0.25">
      <c r="A33" s="115" t="s">
        <v>0</v>
      </c>
      <c r="B33" s="298" t="s">
        <v>45</v>
      </c>
      <c r="C33" s="109"/>
    </row>
    <row r="34" spans="1:4" ht="50.4" x14ac:dyDescent="0.25">
      <c r="A34" s="222"/>
      <c r="B34" s="314" t="s">
        <v>169</v>
      </c>
      <c r="C34" s="220"/>
      <c r="D34" s="108"/>
    </row>
    <row r="35" spans="1:4" x14ac:dyDescent="0.25">
      <c r="A35" s="222"/>
      <c r="B35" s="181"/>
      <c r="C35" s="181"/>
      <c r="D35" s="108"/>
    </row>
    <row r="36" spans="1:4" x14ac:dyDescent="0.25">
      <c r="A36" s="222"/>
      <c r="B36" s="181"/>
      <c r="C36" s="181"/>
      <c r="D36" s="108"/>
    </row>
    <row r="37" spans="1:4" x14ac:dyDescent="0.25">
      <c r="A37" s="225"/>
      <c r="B37" s="223"/>
      <c r="C37" s="181"/>
      <c r="D37" s="108"/>
    </row>
    <row r="38" spans="1:4" ht="15" x14ac:dyDescent="0.35">
      <c r="A38" s="226"/>
      <c r="B38" s="224"/>
      <c r="C38" s="181"/>
      <c r="D38" s="181"/>
    </row>
    <row r="39" spans="1:4" x14ac:dyDescent="0.25">
      <c r="A39"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4E84-C1D9-4358-AD32-8DB12BD2AD5D}">
  <sheetPr>
    <tabColor theme="4" tint="-0.249977111117893"/>
  </sheetPr>
  <dimension ref="A1:F62"/>
  <sheetViews>
    <sheetView topLeftCell="A7" zoomScaleNormal="100" workbookViewId="0">
      <selection activeCell="C15" sqref="C15"/>
    </sheetView>
  </sheetViews>
  <sheetFormatPr baseColWidth="10" defaultColWidth="10.33203125" defaultRowHeight="13.2" x14ac:dyDescent="0.25"/>
  <cols>
    <col min="1" max="1" width="5.44140625" style="108" customWidth="1"/>
    <col min="2" max="2" width="69.88671875" style="108" customWidth="1"/>
    <col min="3" max="4" width="11.1093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1074</v>
      </c>
      <c r="B7" s="228"/>
      <c r="C7" s="229"/>
      <c r="D7" s="229"/>
    </row>
    <row r="8" spans="1:6" s="10" customFormat="1" ht="19.2" x14ac:dyDescent="0.45">
      <c r="A8" s="227" t="s">
        <v>1075</v>
      </c>
      <c r="B8" s="228"/>
      <c r="C8" s="229"/>
      <c r="D8" s="229"/>
    </row>
    <row r="9" spans="1:6" s="10" customFormat="1" ht="19.2" x14ac:dyDescent="0.45">
      <c r="A9" s="227" t="s">
        <v>1159</v>
      </c>
      <c r="B9" s="228"/>
      <c r="C9" s="229"/>
      <c r="D9" s="229"/>
    </row>
    <row r="10" spans="1:6" s="10" customFormat="1" ht="19.2" x14ac:dyDescent="0.45">
      <c r="A10" s="227" t="s">
        <v>1076</v>
      </c>
      <c r="B10" s="228"/>
      <c r="C10" s="230"/>
      <c r="D10" s="229"/>
    </row>
    <row r="11" spans="1:6" s="10" customFormat="1" ht="19.2" x14ac:dyDescent="0.45">
      <c r="A11" s="227" t="s">
        <v>1077</v>
      </c>
      <c r="B11" s="228"/>
      <c r="C11" s="230"/>
      <c r="D11" s="229"/>
    </row>
    <row r="12" spans="1:6" s="10" customFormat="1" ht="15" customHeight="1" x14ac:dyDescent="0.45">
      <c r="A12" s="227" t="s">
        <v>6</v>
      </c>
      <c r="B12" s="231"/>
      <c r="C12" s="232"/>
      <c r="D12" s="233"/>
      <c r="E12" s="188"/>
    </row>
    <row r="13" spans="1:6" s="10" customFormat="1" ht="15" customHeight="1" x14ac:dyDescent="0.45">
      <c r="A13" s="480" t="s">
        <v>1157</v>
      </c>
      <c r="B13" s="481"/>
      <c r="C13" s="232"/>
      <c r="D13" s="482"/>
      <c r="E13" s="189"/>
    </row>
    <row r="14" spans="1:6" s="10" customFormat="1" ht="16.8" x14ac:dyDescent="0.4">
      <c r="A14" s="262"/>
      <c r="B14" s="263"/>
      <c r="C14" s="264"/>
      <c r="D14" s="264"/>
      <c r="E14" s="190"/>
      <c r="F14" s="188"/>
    </row>
    <row r="15" spans="1:6" s="188" customFormat="1" ht="52.8" x14ac:dyDescent="0.25">
      <c r="A15" s="445">
        <v>1</v>
      </c>
      <c r="B15" s="446" t="s">
        <v>1072</v>
      </c>
      <c r="C15" s="447">
        <f>143000+25862</f>
        <v>168862</v>
      </c>
      <c r="D15" s="448">
        <f>A15*C15</f>
        <v>168862</v>
      </c>
      <c r="E15" s="189"/>
      <c r="F15" s="108"/>
    </row>
    <row r="16" spans="1:6" x14ac:dyDescent="0.25">
      <c r="A16" s="636">
        <v>1</v>
      </c>
      <c r="B16" s="446" t="s">
        <v>1078</v>
      </c>
      <c r="C16" s="447">
        <v>1180</v>
      </c>
      <c r="D16" s="448"/>
      <c r="E16" s="189"/>
    </row>
    <row r="17" spans="1:5" s="191" customFormat="1" ht="15.75" customHeight="1" x14ac:dyDescent="0.25">
      <c r="A17" s="536"/>
      <c r="B17" s="450"/>
      <c r="C17" s="451" t="s">
        <v>188</v>
      </c>
      <c r="D17" s="452">
        <f>SUM(D15:D15)</f>
        <v>168862</v>
      </c>
      <c r="E17" s="189"/>
    </row>
    <row r="18" spans="1:5" x14ac:dyDescent="0.25">
      <c r="A18" s="453"/>
      <c r="B18" s="454"/>
      <c r="C18" s="455" t="s">
        <v>90</v>
      </c>
      <c r="D18" s="456">
        <f>D17*0.16</f>
        <v>27017.920000000002</v>
      </c>
      <c r="E18" s="189"/>
    </row>
    <row r="19" spans="1:5" ht="13.8" thickBot="1" x14ac:dyDescent="0.3">
      <c r="A19" s="276"/>
      <c r="B19" s="385"/>
      <c r="C19" s="457" t="s">
        <v>40</v>
      </c>
      <c r="D19" s="458">
        <f>D17+D18</f>
        <v>195879.92</v>
      </c>
      <c r="E19" s="189"/>
    </row>
    <row r="20" spans="1:5" ht="13.8" thickBot="1" x14ac:dyDescent="0.3">
      <c r="A20" s="102"/>
      <c r="B20" s="459" t="s">
        <v>1073</v>
      </c>
      <c r="C20" s="460"/>
      <c r="D20" s="461"/>
      <c r="E20" s="189"/>
    </row>
    <row r="21" spans="1:5" ht="13.5" customHeight="1" x14ac:dyDescent="0.25">
      <c r="A21" s="106"/>
      <c r="B21" s="97" t="s">
        <v>11</v>
      </c>
      <c r="C21" s="462"/>
      <c r="D21" s="254"/>
      <c r="E21" s="189"/>
    </row>
    <row r="22" spans="1:5" ht="15" x14ac:dyDescent="0.25">
      <c r="A22" s="106"/>
      <c r="B22" s="123" t="s">
        <v>12</v>
      </c>
      <c r="D22" s="105"/>
    </row>
    <row r="23" spans="1:5" ht="15" x14ac:dyDescent="0.25">
      <c r="A23" s="106"/>
      <c r="B23" s="123" t="s">
        <v>13</v>
      </c>
      <c r="D23" s="105"/>
      <c r="E23" s="189"/>
    </row>
    <row r="24" spans="1:5" ht="15" x14ac:dyDescent="0.25">
      <c r="A24" s="106"/>
      <c r="B24" s="123" t="s">
        <v>14</v>
      </c>
      <c r="D24" s="105"/>
    </row>
    <row r="25" spans="1:5" ht="15" x14ac:dyDescent="0.25">
      <c r="A25" s="106"/>
      <c r="B25" s="103" t="s">
        <v>18</v>
      </c>
      <c r="C25" s="109"/>
      <c r="D25" s="110"/>
    </row>
    <row r="26" spans="1:5" ht="15" x14ac:dyDescent="0.25">
      <c r="A26" s="106"/>
      <c r="B26" s="296" t="s">
        <v>1079</v>
      </c>
      <c r="C26" s="109"/>
      <c r="D26" s="109"/>
    </row>
    <row r="27" spans="1:5" ht="15" x14ac:dyDescent="0.25">
      <c r="A27" s="106"/>
      <c r="B27" s="297" t="s">
        <v>20</v>
      </c>
      <c r="C27" s="109"/>
      <c r="D27" s="109"/>
    </row>
    <row r="28" spans="1:5" ht="13.8" x14ac:dyDescent="0.25">
      <c r="B28" s="103" t="s">
        <v>21</v>
      </c>
      <c r="D28" s="105"/>
    </row>
    <row r="29" spans="1:5" ht="13.5" customHeight="1" x14ac:dyDescent="0.25">
      <c r="A29" s="106"/>
      <c r="B29" s="122" t="s">
        <v>502</v>
      </c>
      <c r="C29" s="109"/>
      <c r="D29" s="110"/>
    </row>
    <row r="30" spans="1:5" ht="15" x14ac:dyDescent="0.25">
      <c r="A30" s="106"/>
      <c r="B30" s="123" t="s">
        <v>44</v>
      </c>
      <c r="C30" s="109"/>
      <c r="D30" s="110"/>
    </row>
    <row r="31" spans="1:5" ht="13.8" x14ac:dyDescent="0.25">
      <c r="A31" s="115" t="s">
        <v>0</v>
      </c>
      <c r="B31" s="298" t="s">
        <v>45</v>
      </c>
      <c r="C31" s="109"/>
    </row>
    <row r="32" spans="1:5" ht="50.4" x14ac:dyDescent="0.25">
      <c r="A32" s="222"/>
      <c r="B32" s="314" t="s">
        <v>169</v>
      </c>
      <c r="C32" s="220"/>
      <c r="D32" s="108"/>
    </row>
    <row r="33" spans="1:4" x14ac:dyDescent="0.25">
      <c r="A33" s="222"/>
      <c r="B33" s="181"/>
      <c r="C33" s="181"/>
      <c r="D33" s="108"/>
    </row>
    <row r="34" spans="1:4" ht="15.75" customHeight="1" x14ac:dyDescent="0.25">
      <c r="A34" s="222"/>
      <c r="B34" s="181"/>
      <c r="C34" s="181"/>
      <c r="D34" s="108"/>
    </row>
    <row r="35" spans="1:4" x14ac:dyDescent="0.25">
      <c r="A35" s="225"/>
      <c r="B35" s="223"/>
      <c r="C35" s="181"/>
      <c r="D35" s="108"/>
    </row>
    <row r="36" spans="1:4" ht="15" x14ac:dyDescent="0.35">
      <c r="A36" s="226"/>
      <c r="B36" s="224"/>
      <c r="C36" s="181"/>
      <c r="D36" s="181"/>
    </row>
    <row r="37" spans="1:4" x14ac:dyDescent="0.25">
      <c r="A37"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B40C4-9563-40E0-BB5E-FA49BAF996D5}">
  <sheetPr>
    <tabColor theme="4" tint="-0.249977111117893"/>
    <pageSetUpPr fitToPage="1"/>
  </sheetPr>
  <dimension ref="A1:F62"/>
  <sheetViews>
    <sheetView topLeftCell="A8" zoomScaleNormal="100" workbookViewId="0">
      <selection activeCell="A7" sqref="A7:B11"/>
    </sheetView>
  </sheetViews>
  <sheetFormatPr baseColWidth="10" defaultColWidth="10.33203125" defaultRowHeight="13.2" x14ac:dyDescent="0.25"/>
  <cols>
    <col min="1" max="1" width="5.44140625" style="108" customWidth="1"/>
    <col min="2" max="2" width="92.88671875" style="108" customWidth="1"/>
    <col min="3" max="3" width="14.88671875"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1176</v>
      </c>
      <c r="C7" s="58"/>
      <c r="D7" s="58"/>
    </row>
    <row r="8" spans="1:6" s="10" customFormat="1" ht="16.8" x14ac:dyDescent="0.4">
      <c r="A8" s="57" t="s">
        <v>1177</v>
      </c>
      <c r="C8" s="58"/>
      <c r="D8" s="58"/>
    </row>
    <row r="9" spans="1:6" s="10" customFormat="1" ht="16.8" x14ac:dyDescent="0.4">
      <c r="A9" s="57" t="s">
        <v>284</v>
      </c>
      <c r="C9" s="58"/>
      <c r="D9" s="58"/>
    </row>
    <row r="10" spans="1:6" s="10" customFormat="1" ht="16.8" x14ac:dyDescent="0.4">
      <c r="A10" s="57" t="s">
        <v>1178</v>
      </c>
      <c r="C10" s="59"/>
      <c r="D10" s="58"/>
    </row>
    <row r="11" spans="1:6" s="10" customFormat="1" ht="16.8" x14ac:dyDescent="0.4">
      <c r="A11" s="60" t="s">
        <v>1179</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60" x14ac:dyDescent="0.25">
      <c r="A15" s="429">
        <v>1</v>
      </c>
      <c r="B15" s="73" t="s">
        <v>445</v>
      </c>
      <c r="C15" s="428">
        <v>7300</v>
      </c>
      <c r="D15" s="75">
        <f t="shared" ref="D15:D19" si="0">A15*C15</f>
        <v>7300</v>
      </c>
      <c r="E15" s="189"/>
      <c r="F15" s="108"/>
    </row>
    <row r="16" spans="1:6" ht="45" x14ac:dyDescent="0.25">
      <c r="A16" s="72">
        <v>1</v>
      </c>
      <c r="B16" s="73" t="s">
        <v>915</v>
      </c>
      <c r="C16" s="428">
        <v>74000</v>
      </c>
      <c r="D16" s="75">
        <f t="shared" si="0"/>
        <v>74000</v>
      </c>
      <c r="E16" s="189"/>
      <c r="F16" s="191"/>
    </row>
    <row r="17" spans="1:6" s="191" customFormat="1" ht="15.6" x14ac:dyDescent="0.25">
      <c r="A17" s="72">
        <v>3</v>
      </c>
      <c r="B17" s="73" t="s">
        <v>1180</v>
      </c>
      <c r="C17" s="428">
        <f>(222*20)*1.3</f>
        <v>5772</v>
      </c>
      <c r="D17" s="75">
        <f t="shared" si="0"/>
        <v>17316</v>
      </c>
      <c r="E17" s="189"/>
      <c r="F17" s="108"/>
    </row>
    <row r="18" spans="1:6" ht="15.6" x14ac:dyDescent="0.25">
      <c r="A18" s="72">
        <v>2</v>
      </c>
      <c r="B18" s="73" t="s">
        <v>443</v>
      </c>
      <c r="C18" s="428">
        <f>5664/2</f>
        <v>2832</v>
      </c>
      <c r="D18" s="75">
        <f t="shared" si="0"/>
        <v>5664</v>
      </c>
      <c r="E18" s="189"/>
    </row>
    <row r="19" spans="1:6" ht="15.6" x14ac:dyDescent="0.25">
      <c r="A19" s="571">
        <v>2</v>
      </c>
      <c r="B19" s="572" t="s">
        <v>270</v>
      </c>
      <c r="C19" s="626">
        <v>320</v>
      </c>
      <c r="D19" s="75">
        <f t="shared" si="0"/>
        <v>640</v>
      </c>
      <c r="E19" s="189"/>
    </row>
    <row r="20" spans="1:6" ht="45" x14ac:dyDescent="0.25">
      <c r="A20" s="72">
        <v>1</v>
      </c>
      <c r="B20" s="624" t="s">
        <v>1181</v>
      </c>
      <c r="C20" s="625">
        <v>114000</v>
      </c>
      <c r="D20" s="75">
        <f>A20*C20</f>
        <v>114000</v>
      </c>
      <c r="E20" s="189"/>
    </row>
    <row r="21" spans="1:6" ht="21.6" customHeight="1" x14ac:dyDescent="0.25">
      <c r="A21" s="72">
        <v>1</v>
      </c>
      <c r="B21" s="624" t="s">
        <v>1182</v>
      </c>
      <c r="C21" s="625">
        <v>1120</v>
      </c>
      <c r="D21" s="75"/>
      <c r="E21" s="189"/>
    </row>
    <row r="22" spans="1:6" ht="26.4" x14ac:dyDescent="0.25">
      <c r="A22" s="211"/>
      <c r="B22" s="543" t="s">
        <v>752</v>
      </c>
      <c r="C22" s="544"/>
      <c r="D22" s="213"/>
    </row>
    <row r="23" spans="1:6" ht="15.6" x14ac:dyDescent="0.25">
      <c r="A23" s="539"/>
      <c r="B23" s="545"/>
      <c r="C23" s="629" t="s">
        <v>188</v>
      </c>
      <c r="D23" s="630">
        <f>SUM(D15:D21)</f>
        <v>218920</v>
      </c>
    </row>
    <row r="24" spans="1:6" ht="15.6" x14ac:dyDescent="0.3">
      <c r="A24" s="453"/>
      <c r="B24" s="454"/>
      <c r="C24" s="631" t="s">
        <v>90</v>
      </c>
      <c r="D24" s="632">
        <f>D23*0.16</f>
        <v>35027.199999999997</v>
      </c>
    </row>
    <row r="25" spans="1:6" ht="16.2" thickBot="1" x14ac:dyDescent="0.35">
      <c r="A25" s="276"/>
      <c r="B25" s="385"/>
      <c r="C25" s="633" t="s">
        <v>40</v>
      </c>
      <c r="D25" s="634">
        <f>D23+D24</f>
        <v>253947.2</v>
      </c>
    </row>
    <row r="26" spans="1:6" ht="16.2" thickBot="1" x14ac:dyDescent="0.3">
      <c r="A26" s="102"/>
      <c r="B26" s="635" t="s">
        <v>1071</v>
      </c>
      <c r="C26" s="553"/>
      <c r="D26" s="461"/>
    </row>
    <row r="27" spans="1:6" ht="13.8" x14ac:dyDescent="0.25">
      <c r="B27" s="103" t="s">
        <v>15</v>
      </c>
    </row>
    <row r="28" spans="1:6" ht="15" x14ac:dyDescent="0.25">
      <c r="A28" s="106"/>
      <c r="B28" s="295" t="s">
        <v>42</v>
      </c>
    </row>
    <row r="29" spans="1:6" ht="13.5" customHeight="1" x14ac:dyDescent="0.25">
      <c r="A29" s="106"/>
      <c r="B29" s="295" t="s">
        <v>43</v>
      </c>
      <c r="C29" s="109"/>
      <c r="D29" s="110"/>
    </row>
    <row r="30" spans="1:6" ht="15" x14ac:dyDescent="0.25">
      <c r="A30" s="106"/>
      <c r="B30" s="103" t="s">
        <v>18</v>
      </c>
      <c r="C30" s="109"/>
      <c r="D30" s="110"/>
    </row>
    <row r="31" spans="1:6" ht="15" x14ac:dyDescent="0.25">
      <c r="A31" s="106"/>
      <c r="B31" s="296" t="s">
        <v>501</v>
      </c>
      <c r="C31" s="109"/>
      <c r="D31" s="109"/>
    </row>
    <row r="32" spans="1:6" ht="15" x14ac:dyDescent="0.25">
      <c r="A32" s="106"/>
      <c r="B32" s="297" t="s">
        <v>20</v>
      </c>
      <c r="C32" s="109"/>
      <c r="D32" s="109"/>
    </row>
    <row r="33" spans="1:4" ht="13.8" x14ac:dyDescent="0.25">
      <c r="B33" s="103" t="s">
        <v>21</v>
      </c>
      <c r="D33" s="105"/>
    </row>
    <row r="34" spans="1:4" ht="15" x14ac:dyDescent="0.25">
      <c r="A34" s="106"/>
      <c r="B34" s="122" t="s">
        <v>502</v>
      </c>
      <c r="C34" s="109"/>
      <c r="D34" s="110"/>
    </row>
    <row r="35" spans="1:4" ht="15" x14ac:dyDescent="0.25">
      <c r="A35" s="106"/>
      <c r="B35" s="123" t="s">
        <v>44</v>
      </c>
      <c r="C35" s="109"/>
      <c r="D35" s="110"/>
    </row>
    <row r="36" spans="1:4" ht="13.8" x14ac:dyDescent="0.25">
      <c r="A36" s="115" t="s">
        <v>0</v>
      </c>
      <c r="B36" s="298" t="s">
        <v>45</v>
      </c>
      <c r="C36" s="109"/>
    </row>
    <row r="37" spans="1:4" ht="50.4" x14ac:dyDescent="0.25">
      <c r="A37" s="222"/>
      <c r="B37" s="314" t="s">
        <v>169</v>
      </c>
      <c r="C37" s="220"/>
      <c r="D37" s="108"/>
    </row>
    <row r="38" spans="1:4" x14ac:dyDescent="0.25">
      <c r="A38" s="222"/>
      <c r="B38" s="181"/>
      <c r="C38" s="181"/>
      <c r="D38" s="108"/>
    </row>
    <row r="39" spans="1:4" x14ac:dyDescent="0.25">
      <c r="A39" s="222"/>
      <c r="B39" s="181"/>
      <c r="C39" s="181"/>
      <c r="D39" s="108"/>
    </row>
    <row r="40" spans="1:4" x14ac:dyDescent="0.25">
      <c r="A40" s="225"/>
      <c r="B40" s="223"/>
      <c r="C40" s="181"/>
      <c r="D40" s="108"/>
    </row>
    <row r="41" spans="1:4" ht="15" x14ac:dyDescent="0.35">
      <c r="A41" s="226"/>
      <c r="B41" s="224"/>
      <c r="C41" s="181"/>
      <c r="D41" s="181"/>
    </row>
    <row r="42" spans="1:4" x14ac:dyDescent="0.25">
      <c r="A42"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63A1-1FEB-4BB8-A4FA-0E130310B2C7}">
  <sheetPr>
    <tabColor theme="4" tint="-0.249977111117893"/>
  </sheetPr>
  <dimension ref="A1:I55"/>
  <sheetViews>
    <sheetView zoomScaleNormal="100" workbookViewId="0">
      <selection activeCell="A9" sqref="A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1198</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1183</v>
      </c>
      <c r="C12" s="376">
        <f>121160*1.7</f>
        <v>205972</v>
      </c>
      <c r="D12" s="377">
        <f>A12*C12</f>
        <v>205972</v>
      </c>
      <c r="E12" s="190"/>
      <c r="F12" s="191"/>
    </row>
    <row r="13" spans="1:9" s="10" customFormat="1" ht="16.8" x14ac:dyDescent="0.4">
      <c r="A13" s="378"/>
      <c r="B13" s="379" t="s">
        <v>1191</v>
      </c>
      <c r="C13" s="376"/>
      <c r="D13" s="377"/>
      <c r="E13" s="190"/>
      <c r="F13" s="191"/>
      <c r="G13" s="188"/>
      <c r="H13" s="188"/>
      <c r="I13" s="188"/>
    </row>
    <row r="14" spans="1:9" s="10" customFormat="1" ht="16.8" x14ac:dyDescent="0.4">
      <c r="A14" s="380">
        <v>1</v>
      </c>
      <c r="B14" s="379" t="s">
        <v>1184</v>
      </c>
      <c r="C14" s="381">
        <f>(2700*2)*1.4</f>
        <v>7559.9999999999991</v>
      </c>
      <c r="D14" s="377">
        <f>A14*C14</f>
        <v>7559.9999999999991</v>
      </c>
      <c r="E14" s="190"/>
      <c r="F14" s="190"/>
    </row>
    <row r="15" spans="1:9" s="188" customFormat="1" ht="13.8" x14ac:dyDescent="0.25">
      <c r="A15" s="286"/>
      <c r="B15" s="206"/>
      <c r="C15" s="382" t="s">
        <v>188</v>
      </c>
      <c r="D15" s="606">
        <f>SUM(D12:D14)</f>
        <v>213532</v>
      </c>
      <c r="E15" s="189"/>
      <c r="F15" s="108"/>
    </row>
    <row r="16" spans="1:9" x14ac:dyDescent="0.25">
      <c r="A16" s="102"/>
      <c r="B16" s="383" t="s">
        <v>993</v>
      </c>
      <c r="C16" s="384" t="s">
        <v>90</v>
      </c>
      <c r="D16" s="607">
        <f>D15*0.16</f>
        <v>34165.120000000003</v>
      </c>
      <c r="E16" s="189"/>
    </row>
    <row r="17" spans="1:6" s="191" customFormat="1" ht="15.75" customHeight="1" thickBot="1" x14ac:dyDescent="0.3">
      <c r="A17" s="102"/>
      <c r="B17" s="385" t="s">
        <v>381</v>
      </c>
      <c r="C17" s="386" t="s">
        <v>40</v>
      </c>
      <c r="D17" s="608">
        <f>D15+D16</f>
        <v>247697.12</v>
      </c>
      <c r="E17" s="189"/>
      <c r="F17" s="108"/>
    </row>
    <row r="18" spans="1:6" ht="13.8" thickBot="1" x14ac:dyDescent="0.3">
      <c r="A18" s="276"/>
      <c r="B18" s="1050" t="s">
        <v>1185</v>
      </c>
      <c r="C18" s="1051"/>
      <c r="D18" s="1052"/>
      <c r="E18" s="189"/>
    </row>
    <row r="19" spans="1:6" ht="17.399999999999999" x14ac:dyDescent="0.3">
      <c r="A19" s="102"/>
      <c r="B19" s="663" t="s">
        <v>10</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1186</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A436-FCA5-4D98-A2A6-FE960A416797}">
  <sheetPr>
    <tabColor theme="4" tint="-0.249977111117893"/>
  </sheetPr>
  <dimension ref="A1:I55"/>
  <sheetViews>
    <sheetView zoomScaleNormal="100" workbookViewId="0">
      <selection activeCell="A9" sqref="A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1198</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1188</v>
      </c>
      <c r="C12" s="376">
        <f>645915*1.35</f>
        <v>871985.25</v>
      </c>
      <c r="D12" s="377">
        <f>A12*C12</f>
        <v>871985.25</v>
      </c>
      <c r="E12" s="190"/>
      <c r="F12" s="191"/>
    </row>
    <row r="13" spans="1:9" s="10" customFormat="1" ht="16.8" x14ac:dyDescent="0.4">
      <c r="A13" s="378"/>
      <c r="B13" s="379" t="s">
        <v>1190</v>
      </c>
      <c r="C13" s="376"/>
      <c r="D13" s="377"/>
      <c r="E13" s="190"/>
      <c r="F13" s="191"/>
      <c r="G13" s="188"/>
      <c r="H13" s="188"/>
      <c r="I13" s="188"/>
    </row>
    <row r="14" spans="1:9" s="10" customFormat="1" ht="16.8" x14ac:dyDescent="0.4">
      <c r="A14" s="380">
        <v>1</v>
      </c>
      <c r="B14" s="379" t="s">
        <v>1189</v>
      </c>
      <c r="C14" s="381">
        <f>191259*1.35</f>
        <v>258199.65000000002</v>
      </c>
      <c r="D14" s="377">
        <f>A14*C14</f>
        <v>258199.65000000002</v>
      </c>
      <c r="E14" s="190"/>
      <c r="F14" s="190"/>
    </row>
    <row r="15" spans="1:9" s="188" customFormat="1" ht="13.8" x14ac:dyDescent="0.25">
      <c r="A15" s="286"/>
      <c r="B15" s="206"/>
      <c r="C15" s="382" t="s">
        <v>188</v>
      </c>
      <c r="D15" s="606">
        <f>SUM(D12:D14)</f>
        <v>1130184.8999999999</v>
      </c>
      <c r="E15" s="189"/>
      <c r="F15" s="108"/>
    </row>
    <row r="16" spans="1:9" x14ac:dyDescent="0.25">
      <c r="A16" s="102"/>
      <c r="B16" s="383" t="s">
        <v>993</v>
      </c>
      <c r="C16" s="384" t="s">
        <v>90</v>
      </c>
      <c r="D16" s="607">
        <f>D15*0.16</f>
        <v>180829.584</v>
      </c>
      <c r="E16" s="189"/>
    </row>
    <row r="17" spans="1:6" s="191" customFormat="1" ht="13.8" thickBot="1" x14ac:dyDescent="0.3">
      <c r="A17" s="102"/>
      <c r="B17" s="385" t="s">
        <v>381</v>
      </c>
      <c r="C17" s="386" t="s">
        <v>40</v>
      </c>
      <c r="D17" s="608">
        <f>D15+D16</f>
        <v>1311014.4839999999</v>
      </c>
      <c r="E17" s="189"/>
      <c r="F17" s="108"/>
    </row>
    <row r="18" spans="1:6" ht="13.8" thickBot="1" x14ac:dyDescent="0.3">
      <c r="A18" s="276"/>
      <c r="B18" s="1050" t="s">
        <v>1193</v>
      </c>
      <c r="C18" s="1051"/>
      <c r="D18" s="1052"/>
      <c r="E18" s="189"/>
    </row>
    <row r="19" spans="1:6" ht="17.399999999999999" x14ac:dyDescent="0.3">
      <c r="A19" s="102"/>
      <c r="B19" s="663" t="s">
        <v>1194</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1186</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1CAC3-D46A-4327-BDE5-C911E2BC26B5}">
  <sheetPr>
    <tabColor theme="4" tint="-0.249977111117893"/>
  </sheetPr>
  <dimension ref="A1:I55"/>
  <sheetViews>
    <sheetView topLeftCell="A3" zoomScaleNormal="100" workbookViewId="0">
      <selection activeCell="A9" sqref="A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1198</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1192</v>
      </c>
      <c r="C12" s="376">
        <f>665880*1.35</f>
        <v>898938.00000000012</v>
      </c>
      <c r="D12" s="377">
        <f>A12*C12</f>
        <v>898938.00000000012</v>
      </c>
      <c r="E12" s="190"/>
      <c r="F12" s="191"/>
    </row>
    <row r="13" spans="1:9" s="10" customFormat="1" ht="16.8" x14ac:dyDescent="0.4">
      <c r="A13" s="378"/>
      <c r="B13" s="379" t="s">
        <v>1190</v>
      </c>
      <c r="C13" s="376"/>
      <c r="D13" s="377"/>
      <c r="E13" s="190"/>
      <c r="F13" s="191"/>
      <c r="G13" s="188"/>
      <c r="H13" s="188"/>
      <c r="I13" s="188"/>
    </row>
    <row r="14" spans="1:9" s="10" customFormat="1" ht="16.8" x14ac:dyDescent="0.4">
      <c r="A14" s="380">
        <v>1</v>
      </c>
      <c r="B14" s="379" t="s">
        <v>1189</v>
      </c>
      <c r="C14" s="381">
        <f>191259*1.35</f>
        <v>258199.65000000002</v>
      </c>
      <c r="D14" s="377">
        <f>A14*C14</f>
        <v>258199.65000000002</v>
      </c>
      <c r="E14" s="190"/>
      <c r="F14" s="190"/>
    </row>
    <row r="15" spans="1:9" s="188" customFormat="1" ht="13.8" x14ac:dyDescent="0.25">
      <c r="A15" s="286"/>
      <c r="B15" s="206"/>
      <c r="C15" s="382" t="s">
        <v>188</v>
      </c>
      <c r="D15" s="606">
        <f>SUM(D12:D14)</f>
        <v>1157137.6500000001</v>
      </c>
      <c r="E15" s="189"/>
      <c r="F15" s="108"/>
    </row>
    <row r="16" spans="1:9" x14ac:dyDescent="0.25">
      <c r="A16" s="102"/>
      <c r="B16" s="383" t="s">
        <v>993</v>
      </c>
      <c r="C16" s="384" t="s">
        <v>90</v>
      </c>
      <c r="D16" s="607">
        <f>D15*0.16</f>
        <v>185142.02400000003</v>
      </c>
      <c r="E16" s="189"/>
    </row>
    <row r="17" spans="1:6" s="191" customFormat="1" ht="13.8" thickBot="1" x14ac:dyDescent="0.3">
      <c r="A17" s="102"/>
      <c r="B17" s="385" t="s">
        <v>381</v>
      </c>
      <c r="C17" s="386" t="s">
        <v>40</v>
      </c>
      <c r="D17" s="608">
        <f>D15+D16</f>
        <v>1342279.6740000001</v>
      </c>
      <c r="E17" s="189"/>
      <c r="F17" s="108"/>
    </row>
    <row r="18" spans="1:6" ht="13.8" thickBot="1" x14ac:dyDescent="0.3">
      <c r="A18" s="276"/>
      <c r="B18" s="1050" t="s">
        <v>1195</v>
      </c>
      <c r="C18" s="1051"/>
      <c r="D18" s="1052"/>
      <c r="E18" s="189"/>
    </row>
    <row r="19" spans="1:6" ht="17.399999999999999" x14ac:dyDescent="0.3">
      <c r="A19" s="102"/>
      <c r="B19" s="663" t="s">
        <v>1194</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1186</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17BF-8026-46BC-9990-BB59D3381702}">
  <sheetPr>
    <tabColor theme="4" tint="-0.249977111117893"/>
  </sheetPr>
  <dimension ref="A1:I55"/>
  <sheetViews>
    <sheetView topLeftCell="A3" zoomScaleNormal="100" workbookViewId="0">
      <selection activeCell="A9" sqref="A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1198</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1196</v>
      </c>
      <c r="C12" s="376">
        <f>715996*1.35</f>
        <v>966594.60000000009</v>
      </c>
      <c r="D12" s="377">
        <f>A12*C12</f>
        <v>966594.60000000009</v>
      </c>
      <c r="E12" s="190"/>
      <c r="F12" s="191"/>
    </row>
    <row r="13" spans="1:9" s="10" customFormat="1" ht="16.8" x14ac:dyDescent="0.4">
      <c r="A13" s="378"/>
      <c r="B13" s="379" t="s">
        <v>1190</v>
      </c>
      <c r="C13" s="376"/>
      <c r="D13" s="377"/>
      <c r="E13" s="190"/>
      <c r="F13" s="191"/>
      <c r="G13" s="188"/>
      <c r="H13" s="188"/>
      <c r="I13" s="188"/>
    </row>
    <row r="14" spans="1:9" s="10" customFormat="1" ht="16.8" x14ac:dyDescent="0.4">
      <c r="A14" s="380">
        <v>1</v>
      </c>
      <c r="B14" s="379" t="s">
        <v>1189</v>
      </c>
      <c r="C14" s="381">
        <f>191259*1.35</f>
        <v>258199.65000000002</v>
      </c>
      <c r="D14" s="377">
        <f>A14*C14</f>
        <v>258199.65000000002</v>
      </c>
      <c r="E14" s="190"/>
      <c r="F14" s="190"/>
    </row>
    <row r="15" spans="1:9" s="188" customFormat="1" ht="13.8" x14ac:dyDescent="0.25">
      <c r="A15" s="286"/>
      <c r="B15" s="206"/>
      <c r="C15" s="382" t="s">
        <v>188</v>
      </c>
      <c r="D15" s="606">
        <f>SUM(D12:D14)</f>
        <v>1224794.25</v>
      </c>
      <c r="E15" s="189"/>
      <c r="F15" s="108"/>
    </row>
    <row r="16" spans="1:9" x14ac:dyDescent="0.25">
      <c r="A16" s="102"/>
      <c r="B16" s="383" t="s">
        <v>993</v>
      </c>
      <c r="C16" s="384" t="s">
        <v>90</v>
      </c>
      <c r="D16" s="607">
        <f>D15*0.16</f>
        <v>195967.08000000002</v>
      </c>
      <c r="E16" s="189"/>
    </row>
    <row r="17" spans="1:6" s="191" customFormat="1" ht="13.8" thickBot="1" x14ac:dyDescent="0.3">
      <c r="A17" s="102"/>
      <c r="B17" s="385" t="s">
        <v>381</v>
      </c>
      <c r="C17" s="386" t="s">
        <v>40</v>
      </c>
      <c r="D17" s="608">
        <f>D15+D16</f>
        <v>1420761.33</v>
      </c>
      <c r="E17" s="189"/>
      <c r="F17" s="108"/>
    </row>
    <row r="18" spans="1:6" ht="13.8" thickBot="1" x14ac:dyDescent="0.3">
      <c r="A18" s="276"/>
      <c r="B18" s="1050" t="s">
        <v>1197</v>
      </c>
      <c r="C18" s="1051"/>
      <c r="D18" s="1052"/>
      <c r="E18" s="189"/>
    </row>
    <row r="19" spans="1:6" ht="17.399999999999999" x14ac:dyDescent="0.3">
      <c r="A19" s="102"/>
      <c r="B19" s="663" t="s">
        <v>1194</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1186</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9AB4-65B7-4096-9AAC-CBA000E1C763}">
  <sheetPr>
    <pageSetUpPr fitToPage="1"/>
  </sheetPr>
  <dimension ref="A1:E69"/>
  <sheetViews>
    <sheetView topLeftCell="A11" zoomScaleNormal="100" workbookViewId="0">
      <selection activeCell="B16" sqref="B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803</v>
      </c>
      <c r="B8" s="10"/>
      <c r="C8" s="58"/>
      <c r="D8" s="58"/>
    </row>
    <row r="9" spans="1:5" s="55" customFormat="1" ht="16.8" x14ac:dyDescent="0.4">
      <c r="A9" s="57" t="s">
        <v>1059</v>
      </c>
      <c r="B9" s="10"/>
      <c r="C9" s="58"/>
      <c r="D9" s="58"/>
    </row>
    <row r="10" spans="1:5" s="55" customFormat="1" ht="16.8" x14ac:dyDescent="0.4">
      <c r="A10" s="57" t="s">
        <v>1108</v>
      </c>
      <c r="B10" s="10"/>
      <c r="C10" s="58"/>
      <c r="D10" s="58"/>
    </row>
    <row r="11" spans="1:5" s="55" customFormat="1" ht="16.8" x14ac:dyDescent="0.4">
      <c r="A11" s="57" t="s">
        <v>1109</v>
      </c>
      <c r="B11" s="10"/>
      <c r="C11" s="59"/>
      <c r="D11" s="58"/>
    </row>
    <row r="12" spans="1:5" s="55" customFormat="1" ht="15" customHeight="1" x14ac:dyDescent="0.4">
      <c r="A12" s="60" t="s">
        <v>1205</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75.599999999999994" x14ac:dyDescent="0.25">
      <c r="A16" s="72">
        <v>1</v>
      </c>
      <c r="B16" s="622" t="s">
        <v>1202</v>
      </c>
      <c r="C16" s="74">
        <f>(1150*20)*2.4</f>
        <v>55200</v>
      </c>
      <c r="D16" s="75">
        <f>A16*C16</f>
        <v>55200</v>
      </c>
      <c r="E16" s="76"/>
    </row>
    <row r="17" spans="1:5" ht="30" x14ac:dyDescent="0.25">
      <c r="A17" s="72">
        <v>1</v>
      </c>
      <c r="B17" s="664" t="s">
        <v>1200</v>
      </c>
      <c r="C17" s="74">
        <v>5200</v>
      </c>
      <c r="D17" s="75">
        <f>A17*C17</f>
        <v>5200</v>
      </c>
      <c r="E17" s="76"/>
    </row>
    <row r="18" spans="1:5" ht="15.6" x14ac:dyDescent="0.25">
      <c r="A18" s="72">
        <v>1</v>
      </c>
      <c r="B18" s="312" t="s">
        <v>1199</v>
      </c>
      <c r="C18" s="74">
        <f>5000*1.41</f>
        <v>7050</v>
      </c>
      <c r="D18" s="75">
        <f>A18*C18</f>
        <v>7050</v>
      </c>
      <c r="E18" s="76"/>
    </row>
    <row r="19" spans="1:5" ht="15.6" x14ac:dyDescent="0.25">
      <c r="A19" s="72"/>
      <c r="B19" s="75"/>
      <c r="C19" s="75"/>
      <c r="D19" s="75"/>
      <c r="E19" s="76"/>
    </row>
    <row r="20" spans="1:5" ht="15.6" x14ac:dyDescent="0.25">
      <c r="A20" s="89"/>
      <c r="B20" s="502" t="s">
        <v>1203</v>
      </c>
      <c r="C20" s="304" t="s">
        <v>38</v>
      </c>
      <c r="D20" s="75">
        <f>SUM(D16:D18)</f>
        <v>67450</v>
      </c>
      <c r="E20" s="76"/>
    </row>
    <row r="21" spans="1:5" ht="15.6" x14ac:dyDescent="0.3">
      <c r="A21" s="92"/>
      <c r="B21" s="502" t="s">
        <v>1204</v>
      </c>
      <c r="C21" s="305" t="s">
        <v>39</v>
      </c>
      <c r="D21" s="75">
        <f>D20*0.16</f>
        <v>10792</v>
      </c>
      <c r="E21" s="76"/>
    </row>
    <row r="22" spans="1:5" ht="16.2" thickBot="1" x14ac:dyDescent="0.35">
      <c r="A22" s="92"/>
      <c r="B22" s="90"/>
      <c r="C22" s="305" t="s">
        <v>40</v>
      </c>
      <c r="D22" s="75">
        <f>D20+D21</f>
        <v>78242</v>
      </c>
      <c r="E22" s="76"/>
    </row>
    <row r="23" spans="1:5" ht="19.5" customHeight="1" thickBot="1" x14ac:dyDescent="0.3">
      <c r="A23" s="92"/>
      <c r="B23" s="1023" t="s">
        <v>1201</v>
      </c>
      <c r="C23" s="1084"/>
      <c r="D23" s="1085"/>
      <c r="E23" s="76"/>
    </row>
    <row r="24" spans="1:5" ht="13.8" x14ac:dyDescent="0.25">
      <c r="B24" s="97" t="s">
        <v>9</v>
      </c>
      <c r="C24" s="98"/>
      <c r="D24" s="99"/>
      <c r="E24" s="76"/>
    </row>
    <row r="25" spans="1:5" ht="18.75" customHeight="1" x14ac:dyDescent="0.25">
      <c r="A25" s="96"/>
      <c r="B25" s="100" t="s">
        <v>11</v>
      </c>
      <c r="C25" s="96"/>
      <c r="D25" s="96"/>
    </row>
    <row r="26" spans="1:5" ht="15" x14ac:dyDescent="0.25">
      <c r="A26" s="101"/>
      <c r="B26" s="123" t="s">
        <v>12</v>
      </c>
      <c r="C26" s="52"/>
      <c r="D26" s="52"/>
      <c r="E26" s="96"/>
    </row>
    <row r="27" spans="1:5" ht="15" x14ac:dyDescent="0.25">
      <c r="A27" s="101"/>
      <c r="B27" s="123" t="s">
        <v>13</v>
      </c>
      <c r="C27" s="52"/>
      <c r="D27" s="52"/>
      <c r="E27" s="96"/>
    </row>
    <row r="28" spans="1:5" ht="15" x14ac:dyDescent="0.25">
      <c r="A28" s="101"/>
      <c r="B28" s="123" t="s">
        <v>14</v>
      </c>
      <c r="C28" s="52"/>
      <c r="D28" s="52"/>
    </row>
    <row r="29" spans="1:5" s="96" customFormat="1" ht="13.8" x14ac:dyDescent="0.25">
      <c r="A29" s="102"/>
      <c r="B29" s="103" t="s">
        <v>15</v>
      </c>
      <c r="C29" s="52"/>
      <c r="D29" s="52"/>
      <c r="E29" s="52"/>
    </row>
    <row r="30" spans="1:5" s="96" customFormat="1" ht="13.8" x14ac:dyDescent="0.25">
      <c r="A30" s="102"/>
      <c r="B30" s="295" t="s">
        <v>42</v>
      </c>
      <c r="C30" s="104"/>
      <c r="D30" s="105"/>
      <c r="E30" s="52"/>
    </row>
    <row r="31" spans="1:5" ht="13.5" customHeight="1" x14ac:dyDescent="0.25">
      <c r="A31" s="106"/>
      <c r="B31" s="295" t="s">
        <v>43</v>
      </c>
      <c r="C31" s="104"/>
      <c r="D31" s="105"/>
    </row>
    <row r="32" spans="1:5" ht="13.5" customHeight="1" x14ac:dyDescent="0.25">
      <c r="A32" s="106"/>
      <c r="B32" s="103" t="s">
        <v>18</v>
      </c>
      <c r="C32" s="107"/>
      <c r="D32" s="105"/>
    </row>
    <row r="33" spans="1:4" ht="13.5" customHeight="1" x14ac:dyDescent="0.25">
      <c r="A33" s="106"/>
      <c r="B33" s="313" t="s">
        <v>808</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1058</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3:D23"/>
  </mergeCells>
  <pageMargins left="0.25" right="0.25" top="0.75" bottom="0.75" header="0.3" footer="0.3"/>
  <pageSetup fitToHeight="0" orientation="portrait" r:id="rId1"/>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CC690-0B99-423F-B89D-F4C1E68946D9}">
  <sheetPr>
    <tabColor theme="4" tint="-0.249977111117893"/>
    <pageSetUpPr fitToPage="1"/>
  </sheetPr>
  <dimension ref="A1:F70"/>
  <sheetViews>
    <sheetView topLeftCell="A32" zoomScale="115" zoomScaleNormal="115" workbookViewId="0">
      <selection activeCell="A7" sqref="A7:B11"/>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57" t="s">
        <v>1176</v>
      </c>
      <c r="B7" s="10"/>
      <c r="C7" s="9"/>
      <c r="D7" s="9"/>
    </row>
    <row r="8" spans="1:6" s="4" customFormat="1" ht="19.2" x14ac:dyDescent="0.45">
      <c r="A8" s="57" t="s">
        <v>1177</v>
      </c>
      <c r="B8" s="10"/>
      <c r="C8" s="9"/>
      <c r="D8" s="9"/>
    </row>
    <row r="9" spans="1:6" s="4" customFormat="1" ht="19.2" x14ac:dyDescent="0.45">
      <c r="A9" s="57" t="s">
        <v>284</v>
      </c>
      <c r="B9" s="10"/>
      <c r="C9" s="9"/>
      <c r="D9" s="9"/>
    </row>
    <row r="10" spans="1:6" s="4" customFormat="1" ht="19.2" x14ac:dyDescent="0.45">
      <c r="A10" s="57" t="s">
        <v>1178</v>
      </c>
      <c r="B10" s="10"/>
      <c r="C10" s="11"/>
      <c r="D10" s="9"/>
    </row>
    <row r="11" spans="1:6" s="4" customFormat="1" ht="19.2" x14ac:dyDescent="0.45">
      <c r="A11" s="60" t="s">
        <v>1207</v>
      </c>
      <c r="B11" s="61"/>
      <c r="C11" s="11"/>
      <c r="D11" s="9"/>
    </row>
    <row r="12" spans="1:6" s="4" customFormat="1" ht="15" customHeight="1" x14ac:dyDescent="0.4">
      <c r="A12" s="1031" t="s">
        <v>73</v>
      </c>
      <c r="B12" s="1032"/>
      <c r="C12" s="1033"/>
      <c r="D12" s="1034"/>
    </row>
    <row r="13" spans="1:6" s="4" customFormat="1" ht="15" customHeight="1" x14ac:dyDescent="0.4">
      <c r="A13" s="145" t="s">
        <v>29</v>
      </c>
      <c r="B13" s="145" t="s">
        <v>30</v>
      </c>
      <c r="C13" s="146" t="s">
        <v>31</v>
      </c>
      <c r="D13" s="146" t="s">
        <v>32</v>
      </c>
    </row>
    <row r="14" spans="1:6" s="4" customFormat="1" ht="11.25" customHeight="1" x14ac:dyDescent="0.4">
      <c r="A14" s="148"/>
      <c r="B14" s="149"/>
      <c r="C14" s="150"/>
      <c r="D14" s="150"/>
      <c r="E14" s="17"/>
      <c r="F14" s="17"/>
    </row>
    <row r="15" spans="1:6" s="17" customFormat="1" ht="13.8" x14ac:dyDescent="0.25">
      <c r="A15" s="151">
        <v>1</v>
      </c>
      <c r="B15" s="152" t="s">
        <v>1215</v>
      </c>
      <c r="C15" s="153">
        <f>(178920)*(1.3)</f>
        <v>232596</v>
      </c>
      <c r="D15" s="154">
        <f t="shared" ref="D15:D43" si="0">A15*C15</f>
        <v>232596</v>
      </c>
      <c r="E15" s="147"/>
      <c r="F15" s="1"/>
    </row>
    <row r="16" spans="1:6" x14ac:dyDescent="0.25">
      <c r="A16" s="155"/>
      <c r="B16" s="156" t="s">
        <v>206</v>
      </c>
      <c r="C16" s="153"/>
      <c r="D16" s="154"/>
      <c r="E16" s="25"/>
      <c r="F16" s="26"/>
    </row>
    <row r="17" spans="1:5" s="26" customFormat="1" ht="16.5" customHeight="1" x14ac:dyDescent="0.25">
      <c r="A17" s="155">
        <v>1</v>
      </c>
      <c r="B17" s="156" t="s">
        <v>207</v>
      </c>
      <c r="C17" s="153">
        <f>(152974)*(1.3)</f>
        <v>198866.2</v>
      </c>
      <c r="D17" s="154">
        <f t="shared" si="0"/>
        <v>198866.2</v>
      </c>
      <c r="E17" s="25"/>
    </row>
    <row r="18" spans="1:5" ht="13.5" customHeight="1" x14ac:dyDescent="0.25">
      <c r="A18" s="157">
        <v>2</v>
      </c>
      <c r="B18" s="158" t="s">
        <v>35</v>
      </c>
      <c r="C18" s="159">
        <f>(5150)*(1.7)</f>
        <v>8755</v>
      </c>
      <c r="D18" s="154">
        <f t="shared" si="0"/>
        <v>17510</v>
      </c>
      <c r="E18" s="147"/>
    </row>
    <row r="19" spans="1:5" ht="13.5" customHeight="1" x14ac:dyDescent="0.25">
      <c r="A19" s="157">
        <v>25</v>
      </c>
      <c r="B19" s="158" t="s">
        <v>209</v>
      </c>
      <c r="C19" s="160">
        <f>(5640)*(1.3)</f>
        <v>7332</v>
      </c>
      <c r="D19" s="161">
        <f t="shared" si="0"/>
        <v>183300</v>
      </c>
      <c r="E19" s="147"/>
    </row>
    <row r="20" spans="1:5" ht="13.5" customHeight="1" x14ac:dyDescent="0.25">
      <c r="A20" s="157">
        <v>170</v>
      </c>
      <c r="B20" s="158" t="s">
        <v>1218</v>
      </c>
      <c r="C20" s="160">
        <f>1250*1.25</f>
        <v>1562.5</v>
      </c>
      <c r="D20" s="161">
        <f t="shared" si="0"/>
        <v>265625</v>
      </c>
      <c r="E20" s="147"/>
    </row>
    <row r="21" spans="1:5" ht="13.5" customHeight="1" x14ac:dyDescent="0.25">
      <c r="A21" s="157">
        <v>150</v>
      </c>
      <c r="B21" s="158" t="s">
        <v>81</v>
      </c>
      <c r="C21" s="160">
        <v>100</v>
      </c>
      <c r="D21" s="161">
        <f t="shared" si="0"/>
        <v>15000</v>
      </c>
      <c r="E21" s="147"/>
    </row>
    <row r="22" spans="1:5" ht="13.5" customHeight="1" x14ac:dyDescent="0.25">
      <c r="A22" s="157"/>
      <c r="B22" s="158" t="s">
        <v>82</v>
      </c>
      <c r="C22" s="160"/>
      <c r="D22" s="161"/>
      <c r="E22" s="147"/>
    </row>
    <row r="23" spans="1:5" x14ac:dyDescent="0.25">
      <c r="A23" s="157">
        <v>1</v>
      </c>
      <c r="B23" s="158" t="s">
        <v>83</v>
      </c>
      <c r="C23" s="160">
        <v>5871</v>
      </c>
      <c r="D23" s="161">
        <f t="shared" si="0"/>
        <v>5871</v>
      </c>
      <c r="E23" s="147"/>
    </row>
    <row r="24" spans="1:5" x14ac:dyDescent="0.25">
      <c r="A24" s="157"/>
      <c r="B24" s="158" t="s">
        <v>84</v>
      </c>
      <c r="C24" s="160"/>
      <c r="D24" s="161"/>
      <c r="E24" s="147"/>
    </row>
    <row r="25" spans="1:5" x14ac:dyDescent="0.25">
      <c r="A25" s="157">
        <v>1.5</v>
      </c>
      <c r="B25" s="158" t="s">
        <v>85</v>
      </c>
      <c r="C25" s="160">
        <v>2671</v>
      </c>
      <c r="D25" s="161">
        <f t="shared" si="0"/>
        <v>4006.5</v>
      </c>
      <c r="E25" s="147"/>
    </row>
    <row r="26" spans="1:5" x14ac:dyDescent="0.25">
      <c r="A26" s="157">
        <v>150</v>
      </c>
      <c r="B26" s="158" t="s">
        <v>34</v>
      </c>
      <c r="C26" s="160">
        <v>16.12</v>
      </c>
      <c r="D26" s="161">
        <f>A26*C26</f>
        <v>2418</v>
      </c>
      <c r="E26" s="147"/>
    </row>
    <row r="27" spans="1:5" x14ac:dyDescent="0.25">
      <c r="A27" s="157">
        <v>1</v>
      </c>
      <c r="B27" s="158" t="s">
        <v>1216</v>
      </c>
      <c r="C27" s="159">
        <f>(5421*21)*1.3</f>
        <v>147993.30000000002</v>
      </c>
      <c r="D27" s="161">
        <f t="shared" si="0"/>
        <v>147993.30000000002</v>
      </c>
      <c r="E27" s="147"/>
    </row>
    <row r="28" spans="1:5" ht="13.5" customHeight="1" x14ac:dyDescent="0.25">
      <c r="A28" s="157">
        <v>1</v>
      </c>
      <c r="B28" s="158" t="s">
        <v>211</v>
      </c>
      <c r="C28" s="159">
        <v>29087</v>
      </c>
      <c r="D28" s="161">
        <f t="shared" si="0"/>
        <v>29087</v>
      </c>
      <c r="E28" s="147"/>
    </row>
    <row r="29" spans="1:5" ht="13.5" customHeight="1" x14ac:dyDescent="0.25">
      <c r="A29" s="162">
        <v>1</v>
      </c>
      <c r="B29" s="163" t="s">
        <v>212</v>
      </c>
      <c r="C29" s="184">
        <v>10912</v>
      </c>
      <c r="D29" s="165">
        <f t="shared" si="0"/>
        <v>10912</v>
      </c>
      <c r="E29" s="147"/>
    </row>
    <row r="30" spans="1:5" ht="52.8" x14ac:dyDescent="0.25">
      <c r="A30" s="157">
        <v>1</v>
      </c>
      <c r="B30" s="158" t="s">
        <v>103</v>
      </c>
      <c r="C30" s="159">
        <f>(20969+3400)*1.32</f>
        <v>32167.08</v>
      </c>
      <c r="D30" s="161">
        <f t="shared" si="0"/>
        <v>32167.08</v>
      </c>
      <c r="E30" s="147"/>
    </row>
    <row r="31" spans="1:5" x14ac:dyDescent="0.25">
      <c r="A31" s="157">
        <v>1</v>
      </c>
      <c r="B31" s="158" t="s">
        <v>1217</v>
      </c>
      <c r="C31" s="160">
        <f>6700*1.4</f>
        <v>9380</v>
      </c>
      <c r="D31" s="161">
        <f t="shared" si="0"/>
        <v>9380</v>
      </c>
      <c r="E31" s="147"/>
    </row>
    <row r="32" spans="1:5" x14ac:dyDescent="0.25">
      <c r="A32" s="157">
        <v>2</v>
      </c>
      <c r="B32" s="158" t="s">
        <v>214</v>
      </c>
      <c r="C32" s="160">
        <f>2700*1.4</f>
        <v>3779.9999999999995</v>
      </c>
      <c r="D32" s="161">
        <f t="shared" si="0"/>
        <v>7559.9999999999991</v>
      </c>
      <c r="E32" s="147"/>
    </row>
    <row r="33" spans="1:5" x14ac:dyDescent="0.25">
      <c r="A33" s="157">
        <v>1</v>
      </c>
      <c r="B33" s="158" t="s">
        <v>105</v>
      </c>
      <c r="C33" s="160">
        <v>1543</v>
      </c>
      <c r="D33" s="161">
        <f t="shared" si="0"/>
        <v>1543</v>
      </c>
      <c r="E33" s="147"/>
    </row>
    <row r="34" spans="1:5" x14ac:dyDescent="0.25">
      <c r="A34" s="157">
        <v>1</v>
      </c>
      <c r="B34" s="158" t="s">
        <v>215</v>
      </c>
      <c r="C34" s="160">
        <f>5775.57*1.4</f>
        <v>8085.7979999999989</v>
      </c>
      <c r="D34" s="161">
        <f t="shared" si="0"/>
        <v>8085.7979999999989</v>
      </c>
      <c r="E34" s="147"/>
    </row>
    <row r="35" spans="1:5" x14ac:dyDescent="0.25">
      <c r="A35" s="157">
        <v>1</v>
      </c>
      <c r="B35" s="158" t="s">
        <v>216</v>
      </c>
      <c r="C35" s="160">
        <f>3100*1.4</f>
        <v>4340</v>
      </c>
      <c r="D35" s="161">
        <f t="shared" si="0"/>
        <v>4340</v>
      </c>
      <c r="E35" s="147"/>
    </row>
    <row r="36" spans="1:5" x14ac:dyDescent="0.25">
      <c r="A36" s="157">
        <v>1</v>
      </c>
      <c r="B36" s="158" t="s">
        <v>217</v>
      </c>
      <c r="C36" s="160">
        <f>4010*1.4</f>
        <v>5614</v>
      </c>
      <c r="D36" s="161">
        <f t="shared" si="0"/>
        <v>5614</v>
      </c>
      <c r="E36" s="147"/>
    </row>
    <row r="37" spans="1:5" x14ac:dyDescent="0.25">
      <c r="A37" s="157">
        <v>1</v>
      </c>
      <c r="B37" s="158" t="s">
        <v>108</v>
      </c>
      <c r="C37" s="160">
        <f>2467*1.4</f>
        <v>3453.7999999999997</v>
      </c>
      <c r="D37" s="161">
        <f t="shared" si="0"/>
        <v>3453.7999999999997</v>
      </c>
      <c r="E37" s="147"/>
    </row>
    <row r="38" spans="1:5" x14ac:dyDescent="0.25">
      <c r="A38" s="157">
        <v>8</v>
      </c>
      <c r="B38" s="158" t="s">
        <v>218</v>
      </c>
      <c r="C38" s="160">
        <f>27.41*1.4</f>
        <v>38.373999999999995</v>
      </c>
      <c r="D38" s="161">
        <f t="shared" si="0"/>
        <v>306.99199999999996</v>
      </c>
      <c r="E38" s="147"/>
    </row>
    <row r="39" spans="1:5" x14ac:dyDescent="0.25">
      <c r="A39" s="157">
        <v>1</v>
      </c>
      <c r="B39" s="158" t="s">
        <v>219</v>
      </c>
      <c r="C39" s="160">
        <f>23.97*1.39</f>
        <v>33.318299999999994</v>
      </c>
      <c r="D39" s="161">
        <f t="shared" si="0"/>
        <v>33.318299999999994</v>
      </c>
      <c r="E39" s="147"/>
    </row>
    <row r="40" spans="1:5" ht="26.4" x14ac:dyDescent="0.25">
      <c r="A40" s="157">
        <v>1</v>
      </c>
      <c r="B40" s="158" t="s">
        <v>112</v>
      </c>
      <c r="C40" s="160">
        <v>32091</v>
      </c>
      <c r="D40" s="161">
        <f t="shared" si="0"/>
        <v>32091</v>
      </c>
      <c r="E40" s="147"/>
    </row>
    <row r="41" spans="1:5" x14ac:dyDescent="0.25">
      <c r="A41" s="157">
        <v>56</v>
      </c>
      <c r="B41" s="158" t="s">
        <v>113</v>
      </c>
      <c r="C41" s="160">
        <f>56</f>
        <v>56</v>
      </c>
      <c r="D41" s="161">
        <f t="shared" si="0"/>
        <v>3136</v>
      </c>
      <c r="E41" s="147"/>
    </row>
    <row r="42" spans="1:5" x14ac:dyDescent="0.25">
      <c r="A42" s="157">
        <v>6</v>
      </c>
      <c r="B42" s="158" t="s">
        <v>114</v>
      </c>
      <c r="C42" s="160">
        <f>14.8*1.5</f>
        <v>22.200000000000003</v>
      </c>
      <c r="D42" s="161">
        <f t="shared" si="0"/>
        <v>133.20000000000002</v>
      </c>
      <c r="E42" s="147"/>
    </row>
    <row r="43" spans="1:5" x14ac:dyDescent="0.25">
      <c r="A43" s="157">
        <v>1</v>
      </c>
      <c r="B43" s="158" t="s">
        <v>88</v>
      </c>
      <c r="C43" s="160">
        <v>3500</v>
      </c>
      <c r="D43" s="161">
        <f t="shared" si="0"/>
        <v>3500</v>
      </c>
      <c r="E43" s="147"/>
    </row>
    <row r="44" spans="1:5" x14ac:dyDescent="0.25">
      <c r="A44" s="157"/>
      <c r="B44" s="158" t="s">
        <v>89</v>
      </c>
      <c r="C44" s="160"/>
      <c r="D44" s="161"/>
      <c r="E44" s="147"/>
    </row>
    <row r="45" spans="1:5" ht="13.5" customHeight="1" x14ac:dyDescent="0.25">
      <c r="A45" s="32"/>
      <c r="B45" s="677" t="s">
        <v>1220</v>
      </c>
      <c r="C45" s="167" t="s">
        <v>38</v>
      </c>
      <c r="D45" s="168">
        <f>SUM(D15:D44)</f>
        <v>1224529.1883</v>
      </c>
      <c r="E45" s="147"/>
    </row>
    <row r="46" spans="1:5" x14ac:dyDescent="0.25">
      <c r="A46" s="33"/>
      <c r="B46" s="33"/>
      <c r="C46" s="167" t="s">
        <v>90</v>
      </c>
      <c r="D46" s="168">
        <f>D45*0.16</f>
        <v>195924.670128</v>
      </c>
      <c r="E46" s="147"/>
    </row>
    <row r="47" spans="1:5" ht="13.8" thickBot="1" x14ac:dyDescent="0.3">
      <c r="A47" s="33"/>
      <c r="B47" s="170"/>
      <c r="C47" s="171" t="s">
        <v>40</v>
      </c>
      <c r="D47" s="172">
        <f>D45+D46</f>
        <v>1420453.858428</v>
      </c>
      <c r="E47" s="147"/>
    </row>
    <row r="48" spans="1:5" ht="13.8" thickBot="1" x14ac:dyDescent="0.3">
      <c r="A48" s="33"/>
      <c r="B48" s="1035" t="s">
        <v>1219</v>
      </c>
      <c r="C48" s="1036"/>
      <c r="D48" s="1037"/>
      <c r="E48" s="147"/>
    </row>
    <row r="49" spans="1:5" ht="13.8" x14ac:dyDescent="0.25">
      <c r="A49" s="33"/>
      <c r="B49" s="173" t="s">
        <v>9</v>
      </c>
      <c r="C49" s="174"/>
      <c r="D49" s="175"/>
      <c r="E49" s="147"/>
    </row>
    <row r="50" spans="1:5" ht="17.399999999999999" x14ac:dyDescent="0.25">
      <c r="A50" s="176"/>
      <c r="B50" s="177" t="s">
        <v>10</v>
      </c>
      <c r="C50" s="169"/>
      <c r="D50" s="41"/>
      <c r="E50" s="169"/>
    </row>
    <row r="51" spans="1:5" ht="15" x14ac:dyDescent="0.25">
      <c r="A51" s="178"/>
      <c r="B51" s="40" t="s">
        <v>11</v>
      </c>
      <c r="D51" s="41"/>
    </row>
    <row r="52" spans="1:5" ht="15" x14ac:dyDescent="0.25">
      <c r="A52" s="178"/>
      <c r="B52" s="131" t="s">
        <v>12</v>
      </c>
      <c r="D52" s="41"/>
    </row>
    <row r="53" spans="1:5" ht="15.75" customHeight="1" x14ac:dyDescent="0.25">
      <c r="A53" s="178"/>
      <c r="B53" s="131" t="s">
        <v>13</v>
      </c>
      <c r="D53" s="41"/>
    </row>
    <row r="54" spans="1:5" ht="15" x14ac:dyDescent="0.25">
      <c r="A54" s="178"/>
      <c r="B54" s="131" t="s">
        <v>14</v>
      </c>
      <c r="D54" s="41"/>
    </row>
    <row r="55" spans="1:5" ht="13.8" x14ac:dyDescent="0.25">
      <c r="A55" s="129"/>
      <c r="B55" s="40" t="s">
        <v>15</v>
      </c>
    </row>
    <row r="56" spans="1:5" ht="15" x14ac:dyDescent="0.25">
      <c r="A56" s="178"/>
      <c r="B56" s="36" t="s">
        <v>42</v>
      </c>
    </row>
    <row r="57" spans="1:5" ht="27.6" x14ac:dyDescent="0.25">
      <c r="A57" s="178"/>
      <c r="B57" s="36" t="s">
        <v>43</v>
      </c>
      <c r="C57" s="38"/>
      <c r="D57" s="39"/>
    </row>
    <row r="58" spans="1:5" ht="16.5" customHeight="1" x14ac:dyDescent="0.25">
      <c r="A58" s="178"/>
      <c r="B58" s="40" t="s">
        <v>18</v>
      </c>
      <c r="C58" s="38"/>
      <c r="D58" s="39"/>
    </row>
    <row r="59" spans="1:5" ht="15" x14ac:dyDescent="0.25">
      <c r="A59" s="178"/>
      <c r="B59" s="134" t="s">
        <v>221</v>
      </c>
      <c r="C59" s="38"/>
      <c r="D59" s="38"/>
    </row>
    <row r="60" spans="1:5" ht="15" x14ac:dyDescent="0.25">
      <c r="A60" s="178"/>
      <c r="B60" s="135" t="s">
        <v>20</v>
      </c>
      <c r="C60" s="38"/>
      <c r="D60" s="38"/>
    </row>
    <row r="61" spans="1:5" ht="13.8" x14ac:dyDescent="0.25">
      <c r="A61" s="129"/>
      <c r="B61" s="40" t="s">
        <v>21</v>
      </c>
      <c r="D61" s="41"/>
    </row>
    <row r="62" spans="1:5" ht="15" x14ac:dyDescent="0.25">
      <c r="A62" s="178"/>
      <c r="B62" s="179" t="s">
        <v>222</v>
      </c>
      <c r="C62" s="38"/>
      <c r="D62" s="39"/>
    </row>
    <row r="63" spans="1:5" ht="15" customHeight="1" x14ac:dyDescent="0.25">
      <c r="A63" s="178"/>
      <c r="B63" s="131" t="s">
        <v>44</v>
      </c>
      <c r="C63" s="38"/>
      <c r="D63" s="39"/>
    </row>
    <row r="64" spans="1:5" ht="33.6" x14ac:dyDescent="0.25">
      <c r="A64" s="182" t="s">
        <v>0</v>
      </c>
      <c r="B64" s="183" t="s">
        <v>23</v>
      </c>
      <c r="C64" s="38"/>
      <c r="D64" s="38"/>
    </row>
    <row r="65" spans="1:4" ht="16.8" x14ac:dyDescent="0.4">
      <c r="A65" s="43"/>
      <c r="B65" s="44"/>
      <c r="C65" s="45"/>
      <c r="D65" s="45"/>
    </row>
    <row r="66" spans="1:4" x14ac:dyDescent="0.25">
      <c r="A66" s="46"/>
      <c r="B66" s="47"/>
      <c r="C66" s="47"/>
      <c r="D66" s="1"/>
    </row>
    <row r="67" spans="1:4" x14ac:dyDescent="0.25">
      <c r="A67" s="46"/>
      <c r="B67" s="47"/>
      <c r="C67" s="47"/>
      <c r="D67" s="1"/>
    </row>
    <row r="68" spans="1:4" x14ac:dyDescent="0.25">
      <c r="A68" s="48"/>
      <c r="B68" s="49"/>
      <c r="C68" s="47"/>
      <c r="D68" s="1"/>
    </row>
    <row r="69" spans="1:4" ht="15" x14ac:dyDescent="0.35">
      <c r="A69" s="50" t="s">
        <v>0</v>
      </c>
      <c r="B69" s="51"/>
      <c r="C69" s="47"/>
      <c r="D69" s="47"/>
    </row>
    <row r="70" spans="1:4" x14ac:dyDescent="0.25">
      <c r="A70" s="1" t="s">
        <v>0</v>
      </c>
    </row>
  </sheetData>
  <mergeCells count="3">
    <mergeCell ref="A4:D4"/>
    <mergeCell ref="A12:D12"/>
    <mergeCell ref="B48:D48"/>
  </mergeCells>
  <printOptions horizontalCentered="1"/>
  <pageMargins left="0.25" right="0.25" top="0.75" bottom="0.75" header="0.3" footer="0.3"/>
  <pageSetup paperSize="9" scale="60" fitToWidth="0" orientation="portrait" r:id="rId1"/>
  <headerFooter alignWithMargins="0">
    <oddFooter>Página &amp;P de &amp;N</oddFooter>
  </headerFooter>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A55D-5889-425E-8C82-292569FFC9BD}">
  <sheetPr>
    <tabColor theme="4" tint="-0.249977111117893"/>
    <pageSetUpPr fitToPage="1"/>
  </sheetPr>
  <dimension ref="A1:G64"/>
  <sheetViews>
    <sheetView topLeftCell="A15" zoomScaleNormal="100" workbookViewId="0">
      <selection activeCell="A7" sqref="A7:B11"/>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57" t="s">
        <v>1176</v>
      </c>
      <c r="C8" s="229"/>
      <c r="D8" s="229"/>
    </row>
    <row r="9" spans="1:7" s="10" customFormat="1" ht="19.2" x14ac:dyDescent="0.45">
      <c r="A9" s="57" t="s">
        <v>1177</v>
      </c>
      <c r="C9" s="229"/>
      <c r="D9" s="229"/>
    </row>
    <row r="10" spans="1:7" s="10" customFormat="1" ht="19.2" x14ac:dyDescent="0.45">
      <c r="A10" s="57" t="s">
        <v>284</v>
      </c>
      <c r="C10" s="229"/>
      <c r="D10" s="229"/>
    </row>
    <row r="11" spans="1:7" s="10" customFormat="1" ht="19.2" x14ac:dyDescent="0.45">
      <c r="A11" s="57" t="s">
        <v>1178</v>
      </c>
      <c r="C11" s="230"/>
      <c r="D11" s="229"/>
    </row>
    <row r="12" spans="1:7" s="10" customFormat="1" ht="15" customHeight="1" x14ac:dyDescent="0.45">
      <c r="A12" s="60" t="s">
        <v>1207</v>
      </c>
      <c r="B12" s="61"/>
      <c r="C12" s="230"/>
      <c r="D12" s="229"/>
    </row>
    <row r="13" spans="1:7" s="10" customFormat="1" ht="15" customHeight="1" x14ac:dyDescent="0.4">
      <c r="A13" s="1040" t="s">
        <v>150</v>
      </c>
      <c r="B13" s="1041"/>
      <c r="C13" s="1042"/>
      <c r="D13" s="1043"/>
      <c r="E13" s="108"/>
    </row>
    <row r="14" spans="1:7" s="10" customFormat="1" ht="15" customHeight="1" x14ac:dyDescent="0.4">
      <c r="A14" s="235"/>
      <c r="B14" s="236"/>
      <c r="C14" s="237"/>
      <c r="D14" s="237"/>
      <c r="E14" s="190"/>
      <c r="F14" s="188"/>
      <c r="G14" s="188"/>
    </row>
    <row r="15" spans="1:7" s="188" customFormat="1" ht="39.6" x14ac:dyDescent="0.25">
      <c r="A15" s="238">
        <v>1</v>
      </c>
      <c r="B15" s="300" t="s">
        <v>229</v>
      </c>
      <c r="C15" s="240">
        <f>((302000+22173)*1)+10000+30000</f>
        <v>364173</v>
      </c>
      <c r="D15" s="241">
        <f t="shared" ref="D15:D21" si="0">A15*C15</f>
        <v>364173</v>
      </c>
      <c r="E15" s="190"/>
      <c r="F15" s="108"/>
      <c r="G15" s="108"/>
    </row>
    <row r="16" spans="1:7" ht="66" x14ac:dyDescent="0.25">
      <c r="A16" s="238">
        <v>9</v>
      </c>
      <c r="B16" s="300" t="s">
        <v>152</v>
      </c>
      <c r="C16" s="240">
        <f>(20759*1.15)+10000+1666.66+4000</f>
        <v>39539.51</v>
      </c>
      <c r="D16" s="241">
        <f t="shared" si="0"/>
        <v>355855.59</v>
      </c>
      <c r="E16" s="189"/>
      <c r="F16" s="191"/>
      <c r="G16" s="191"/>
    </row>
    <row r="17" spans="1:7" s="191" customFormat="1" ht="39.6" x14ac:dyDescent="0.25">
      <c r="A17" s="238">
        <v>1</v>
      </c>
      <c r="B17" s="300" t="s">
        <v>230</v>
      </c>
      <c r="C17" s="240">
        <f>(78989*1.2)+30000+2000+45000</f>
        <v>171786.8</v>
      </c>
      <c r="D17" s="241">
        <f t="shared" si="0"/>
        <v>171786.8</v>
      </c>
      <c r="E17" s="189"/>
      <c r="F17" s="108"/>
      <c r="G17" s="108"/>
    </row>
    <row r="18" spans="1:7" x14ac:dyDescent="0.25">
      <c r="A18" s="238">
        <v>1</v>
      </c>
      <c r="B18" s="301" t="s">
        <v>155</v>
      </c>
      <c r="C18" s="240">
        <v>24754</v>
      </c>
      <c r="D18" s="241">
        <f t="shared" si="0"/>
        <v>24754</v>
      </c>
      <c r="E18" s="189"/>
    </row>
    <row r="19" spans="1:7" x14ac:dyDescent="0.25">
      <c r="A19" s="238">
        <v>1</v>
      </c>
      <c r="B19" s="301" t="s">
        <v>231</v>
      </c>
      <c r="C19" s="240">
        <v>3500</v>
      </c>
      <c r="D19" s="241">
        <f t="shared" si="0"/>
        <v>3500</v>
      </c>
      <c r="E19" s="189"/>
    </row>
    <row r="20" spans="1:7" ht="13.5" customHeight="1" x14ac:dyDescent="0.25">
      <c r="A20" s="238">
        <v>1</v>
      </c>
      <c r="B20" s="301" t="s">
        <v>232</v>
      </c>
      <c r="C20" s="240">
        <v>12000</v>
      </c>
      <c r="D20" s="241">
        <f t="shared" si="0"/>
        <v>12000</v>
      </c>
      <c r="E20" s="189"/>
    </row>
    <row r="21" spans="1:7" ht="13.5" customHeight="1" x14ac:dyDescent="0.25">
      <c r="A21" s="238">
        <v>1</v>
      </c>
      <c r="B21" s="301" t="s">
        <v>233</v>
      </c>
      <c r="C21" s="240">
        <v>11000</v>
      </c>
      <c r="D21" s="241">
        <f t="shared" si="0"/>
        <v>11000</v>
      </c>
      <c r="E21" s="189"/>
    </row>
    <row r="22" spans="1:7" ht="13.5" customHeight="1" x14ac:dyDescent="0.25">
      <c r="A22" s="238"/>
      <c r="B22" s="302" t="s">
        <v>159</v>
      </c>
      <c r="C22" s="240"/>
      <c r="D22" s="241"/>
      <c r="E22" s="189"/>
    </row>
    <row r="23" spans="1:7" ht="13.5" customHeight="1" x14ac:dyDescent="0.25">
      <c r="A23" s="244"/>
      <c r="B23" s="245"/>
      <c r="C23" s="246"/>
      <c r="D23" s="247"/>
      <c r="E23" s="189"/>
    </row>
    <row r="24" spans="1:7" ht="13.5" customHeight="1" x14ac:dyDescent="0.25">
      <c r="A24" s="248"/>
      <c r="B24" s="678" t="s">
        <v>1222</v>
      </c>
      <c r="C24" s="249" t="s">
        <v>160</v>
      </c>
      <c r="D24" s="247">
        <f>SUM(D14:D23)</f>
        <v>943069.39000000013</v>
      </c>
      <c r="E24" s="189"/>
    </row>
    <row r="25" spans="1:7" x14ac:dyDescent="0.25">
      <c r="A25" s="250"/>
      <c r="B25" s="250"/>
      <c r="C25" s="249" t="s">
        <v>161</v>
      </c>
      <c r="D25" s="247">
        <f>D24*0.16</f>
        <v>150891.10240000003</v>
      </c>
      <c r="E25" s="189"/>
    </row>
    <row r="26" spans="1:7" ht="13.8" thickBot="1" x14ac:dyDescent="0.3">
      <c r="A26" s="250"/>
      <c r="B26" s="250"/>
      <c r="C26" s="251" t="s">
        <v>162</v>
      </c>
      <c r="D26" s="252">
        <f>D24+D25</f>
        <v>1093960.4924000001</v>
      </c>
      <c r="E26" s="189"/>
    </row>
    <row r="27" spans="1:7" ht="13.8" thickBot="1" x14ac:dyDescent="0.3">
      <c r="A27" s="102"/>
      <c r="B27" s="1094" t="s">
        <v>1221</v>
      </c>
      <c r="C27" s="1095"/>
      <c r="D27" s="1096"/>
    </row>
    <row r="28" spans="1:7" x14ac:dyDescent="0.25">
      <c r="A28" s="102"/>
      <c r="B28" s="201"/>
      <c r="C28" s="253"/>
      <c r="D28" s="254"/>
    </row>
    <row r="29" spans="1:7" ht="13.8" x14ac:dyDescent="0.25">
      <c r="A29" s="102"/>
      <c r="B29" s="100" t="s">
        <v>9</v>
      </c>
      <c r="C29" s="104"/>
      <c r="D29" s="105"/>
    </row>
    <row r="30" spans="1:7" ht="17.399999999999999" x14ac:dyDescent="0.25">
      <c r="A30" s="383"/>
      <c r="B30" s="387" t="s">
        <v>10</v>
      </c>
      <c r="C30" s="104"/>
      <c r="D30" s="105"/>
    </row>
    <row r="31" spans="1:7" ht="15" x14ac:dyDescent="0.25">
      <c r="A31" s="390"/>
      <c r="B31" s="103" t="s">
        <v>11</v>
      </c>
      <c r="D31" s="105"/>
    </row>
    <row r="32" spans="1:7" ht="13.5" customHeight="1" x14ac:dyDescent="0.25">
      <c r="A32" s="390"/>
      <c r="B32" s="123" t="s">
        <v>235</v>
      </c>
      <c r="D32" s="105"/>
    </row>
    <row r="33" spans="1:5" ht="17.25" customHeight="1" x14ac:dyDescent="0.25">
      <c r="A33" s="390"/>
      <c r="B33" s="123" t="s">
        <v>13</v>
      </c>
      <c r="D33" s="105"/>
    </row>
    <row r="34" spans="1:5" ht="15" x14ac:dyDescent="0.25">
      <c r="A34" s="390"/>
      <c r="B34" s="123" t="s">
        <v>14</v>
      </c>
      <c r="D34" s="105"/>
    </row>
    <row r="35" spans="1:5" ht="13.5" customHeight="1" x14ac:dyDescent="0.25">
      <c r="A35" s="392"/>
      <c r="B35" s="103" t="s">
        <v>15</v>
      </c>
    </row>
    <row r="36" spans="1:5" ht="15" x14ac:dyDescent="0.25">
      <c r="A36" s="390"/>
      <c r="B36" s="295" t="s">
        <v>42</v>
      </c>
      <c r="E36" s="189"/>
    </row>
    <row r="37" spans="1:5" ht="41.4" x14ac:dyDescent="0.25">
      <c r="A37" s="390"/>
      <c r="B37" s="295" t="s">
        <v>165</v>
      </c>
      <c r="C37" s="109"/>
      <c r="D37" s="110"/>
      <c r="E37" s="189"/>
    </row>
    <row r="38" spans="1:5" ht="15" x14ac:dyDescent="0.25">
      <c r="A38" s="390"/>
      <c r="B38" s="103" t="s">
        <v>18</v>
      </c>
      <c r="C38" s="109"/>
      <c r="D38" s="110"/>
    </row>
    <row r="39" spans="1:5" ht="27.6" x14ac:dyDescent="0.25">
      <c r="A39" s="390"/>
      <c r="B39" s="297" t="s">
        <v>166</v>
      </c>
      <c r="C39" s="109"/>
      <c r="D39" s="109"/>
    </row>
    <row r="40" spans="1:5" ht="15" x14ac:dyDescent="0.25">
      <c r="A40" s="390"/>
      <c r="B40" s="564" t="s">
        <v>167</v>
      </c>
      <c r="C40" s="109"/>
      <c r="D40" s="109"/>
    </row>
    <row r="41" spans="1:5" ht="15" x14ac:dyDescent="0.25">
      <c r="A41" s="390"/>
      <c r="B41" s="297" t="s">
        <v>20</v>
      </c>
      <c r="C41" s="109"/>
      <c r="D41" s="109"/>
    </row>
    <row r="42" spans="1:5" ht="13.8" x14ac:dyDescent="0.25">
      <c r="A42" s="392"/>
      <c r="B42" s="103" t="s">
        <v>21</v>
      </c>
      <c r="D42" s="105"/>
    </row>
    <row r="43" spans="1:5" ht="15" x14ac:dyDescent="0.25">
      <c r="A43" s="390"/>
      <c r="B43" s="123" t="s">
        <v>168</v>
      </c>
      <c r="C43" s="109"/>
      <c r="D43" s="110"/>
    </row>
    <row r="44" spans="1:5" ht="15" x14ac:dyDescent="0.25">
      <c r="A44" s="390"/>
      <c r="B44" s="123" t="s">
        <v>44</v>
      </c>
      <c r="C44" s="109"/>
      <c r="D44" s="110"/>
    </row>
    <row r="45" spans="1:5" ht="13.8" x14ac:dyDescent="0.25">
      <c r="A45" s="564" t="s">
        <v>0</v>
      </c>
      <c r="B45" s="123" t="s">
        <v>45</v>
      </c>
      <c r="C45" s="109"/>
    </row>
    <row r="46" spans="1:5" ht="50.4" x14ac:dyDescent="0.25">
      <c r="A46" s="565"/>
      <c r="B46" s="314" t="s">
        <v>169</v>
      </c>
      <c r="C46" s="220"/>
      <c r="D46" s="108"/>
    </row>
    <row r="47" spans="1:5" x14ac:dyDescent="0.25">
      <c r="A47" s="222"/>
      <c r="B47" s="181"/>
      <c r="C47" s="181"/>
      <c r="D47" s="108"/>
    </row>
    <row r="48" spans="1:5" x14ac:dyDescent="0.25">
      <c r="A48" s="222"/>
      <c r="B48" s="181"/>
      <c r="C48" s="181"/>
      <c r="D48" s="108"/>
    </row>
    <row r="49" spans="1:4" x14ac:dyDescent="0.25">
      <c r="A49" s="225"/>
      <c r="B49" s="223"/>
      <c r="C49" s="181"/>
      <c r="D49" s="108"/>
    </row>
    <row r="50" spans="1:4" ht="15" x14ac:dyDescent="0.35">
      <c r="A50" s="226" t="s">
        <v>0</v>
      </c>
      <c r="B50" s="224"/>
      <c r="C50" s="181"/>
      <c r="D50" s="181"/>
    </row>
    <row r="51" spans="1:4" x14ac:dyDescent="0.25">
      <c r="A51" s="108" t="s">
        <v>0</v>
      </c>
    </row>
    <row r="55" spans="1:4" ht="12.75" customHeight="1" x14ac:dyDescent="0.25"/>
    <row r="59" spans="1:4" ht="16.5" customHeight="1" x14ac:dyDescent="0.25"/>
    <row r="63" spans="1:4" ht="15.75" customHeight="1" x14ac:dyDescent="0.25"/>
    <row r="64" spans="1:4" ht="15" customHeight="1" x14ac:dyDescent="0.25"/>
  </sheetData>
  <mergeCells count="3">
    <mergeCell ref="A4:D4"/>
    <mergeCell ref="A13:D13"/>
    <mergeCell ref="B27:D27"/>
  </mergeCells>
  <printOptions horizontalCentered="1"/>
  <pageMargins left="0.59055118110236227" right="0.59055118110236227" top="0.19685039370078741" bottom="0.19685039370078741" header="0.19685039370078741" footer="0.19685039370078741"/>
  <pageSetup paperSize="9" scale="65" fitToWidth="0" orientation="portrait" r:id="rId1"/>
  <headerFooter alignWithMargins="0">
    <oddFooter>Página &amp;P de &amp;N</oddFooter>
  </headerFooter>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62DC-D04B-46F4-9B0C-798F77B40300}">
  <sheetPr>
    <tabColor theme="4" tint="-0.249977111117893"/>
    <pageSetUpPr fitToPage="1"/>
  </sheetPr>
  <dimension ref="A1:G62"/>
  <sheetViews>
    <sheetView topLeftCell="A13" zoomScaleNormal="100" workbookViewId="0">
      <selection activeCell="B18" sqref="B18"/>
    </sheetView>
  </sheetViews>
  <sheetFormatPr baseColWidth="10" defaultColWidth="10.33203125" defaultRowHeight="13.2" x14ac:dyDescent="0.25"/>
  <cols>
    <col min="1" max="1" width="5.44140625" style="108" customWidth="1"/>
    <col min="2" max="2" width="87.2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65000</v>
      </c>
      <c r="D15" s="75">
        <f t="shared" ref="D15:D23" si="0">A15*C15</f>
        <v>65000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15.6" x14ac:dyDescent="0.25">
      <c r="A19" s="72">
        <v>1</v>
      </c>
      <c r="B19" s="624" t="s">
        <v>1069</v>
      </c>
      <c r="C19" s="665">
        <f>(38500+4500+5000+18900)*1.3</f>
        <v>86970</v>
      </c>
      <c r="D19" s="75">
        <f t="shared" si="0"/>
        <v>86970</v>
      </c>
    </row>
    <row r="20" spans="1:7" ht="15.6" x14ac:dyDescent="0.25">
      <c r="A20" s="72">
        <v>1</v>
      </c>
      <c r="B20" s="624" t="s">
        <v>1206</v>
      </c>
      <c r="C20" s="665">
        <f>3500*1.4</f>
        <v>4900</v>
      </c>
      <c r="D20" s="75">
        <f t="shared" si="0"/>
        <v>4900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30.6" thickBot="1" x14ac:dyDescent="0.3">
      <c r="A23" s="72">
        <v>1</v>
      </c>
      <c r="B23" s="672" t="s">
        <v>751</v>
      </c>
      <c r="C23" s="625">
        <v>2380</v>
      </c>
      <c r="D23" s="75">
        <f t="shared" si="0"/>
        <v>2380</v>
      </c>
    </row>
    <row r="24" spans="1:7" ht="26.4" x14ac:dyDescent="0.25">
      <c r="A24" s="667"/>
      <c r="B24" s="674" t="s">
        <v>1208</v>
      </c>
      <c r="C24" s="669"/>
      <c r="D24" s="213"/>
    </row>
    <row r="25" spans="1:7" ht="15.6" x14ac:dyDescent="0.25">
      <c r="A25" s="668"/>
      <c r="B25" s="675" t="s">
        <v>1209</v>
      </c>
      <c r="C25" s="670" t="s">
        <v>188</v>
      </c>
      <c r="D25" s="630">
        <f>SUM(D15:D23)</f>
        <v>189931</v>
      </c>
    </row>
    <row r="26" spans="1:7" ht="16.2" thickBot="1" x14ac:dyDescent="0.35">
      <c r="A26" s="453"/>
      <c r="B26" s="676" t="s">
        <v>1210</v>
      </c>
      <c r="C26" s="671" t="s">
        <v>90</v>
      </c>
      <c r="D26" s="632">
        <f>D25*0.16</f>
        <v>30388.959999999999</v>
      </c>
    </row>
    <row r="27" spans="1:7" ht="16.2" thickBot="1" x14ac:dyDescent="0.35">
      <c r="A27" s="276"/>
      <c r="B27" s="673"/>
      <c r="C27" s="633" t="s">
        <v>40</v>
      </c>
      <c r="D27" s="634">
        <f>D25+D26</f>
        <v>220319.96</v>
      </c>
    </row>
    <row r="28" spans="1:7" ht="16.2" thickBot="1" x14ac:dyDescent="0.3">
      <c r="A28" s="102"/>
      <c r="B28" s="635" t="s">
        <v>1212</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0" fitToWidth="0" orientation="portrait" r:id="rId1"/>
  <headerFooter alignWithMargins="0">
    <oddFooter>Página &amp;P de &amp;N</oddFooter>
  </headerFooter>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34F1-5A54-4983-A09A-1BD44A8FA71A}">
  <sheetPr>
    <tabColor theme="4" tint="-0.249977111117893"/>
    <pageSetUpPr fitToPage="1"/>
  </sheetPr>
  <dimension ref="A1:G62"/>
  <sheetViews>
    <sheetView topLeftCell="A13" zoomScaleNormal="100" workbookViewId="0">
      <selection activeCell="B18" sqref="B18"/>
    </sheetView>
  </sheetViews>
  <sheetFormatPr baseColWidth="10" defaultColWidth="10.33203125" defaultRowHeight="13.2" x14ac:dyDescent="0.25"/>
  <cols>
    <col min="1" max="1" width="5.44140625" style="108" customWidth="1"/>
    <col min="2" max="2" width="87.2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76000</v>
      </c>
      <c r="D15" s="75">
        <f t="shared" ref="D15:D23" si="0">A15*C15</f>
        <v>76000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15.6" x14ac:dyDescent="0.25">
      <c r="A19" s="72">
        <v>1</v>
      </c>
      <c r="B19" s="624" t="s">
        <v>1069</v>
      </c>
      <c r="C19" s="665">
        <f>(38500+4500+5000+18900+3000)*1.3</f>
        <v>90870</v>
      </c>
      <c r="D19" s="75">
        <f t="shared" si="0"/>
        <v>90870</v>
      </c>
    </row>
    <row r="20" spans="1:7" ht="15.6" x14ac:dyDescent="0.25">
      <c r="A20" s="72">
        <v>1</v>
      </c>
      <c r="B20" s="624" t="s">
        <v>1206</v>
      </c>
      <c r="C20" s="665">
        <f>(3500*1.4)+3000</f>
        <v>7900</v>
      </c>
      <c r="D20" s="75">
        <f t="shared" si="0"/>
        <v>7900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30.6" thickBot="1" x14ac:dyDescent="0.3">
      <c r="A23" s="72">
        <v>1</v>
      </c>
      <c r="B23" s="672" t="s">
        <v>751</v>
      </c>
      <c r="C23" s="625">
        <v>2380</v>
      </c>
      <c r="D23" s="75">
        <f t="shared" si="0"/>
        <v>2380</v>
      </c>
    </row>
    <row r="24" spans="1:7" ht="26.4" x14ac:dyDescent="0.25">
      <c r="A24" s="667"/>
      <c r="B24" s="674" t="s">
        <v>1226</v>
      </c>
      <c r="C24" s="669"/>
      <c r="D24" s="213"/>
    </row>
    <row r="25" spans="1:7" ht="15.6" x14ac:dyDescent="0.25">
      <c r="A25" s="668"/>
      <c r="B25" s="675" t="s">
        <v>1209</v>
      </c>
      <c r="C25" s="670" t="s">
        <v>188</v>
      </c>
      <c r="D25" s="630">
        <f>SUM(D15:D23)</f>
        <v>207831</v>
      </c>
    </row>
    <row r="26" spans="1:7" ht="16.2" thickBot="1" x14ac:dyDescent="0.35">
      <c r="A26" s="453"/>
      <c r="B26" s="676" t="s">
        <v>1210</v>
      </c>
      <c r="C26" s="671" t="s">
        <v>90</v>
      </c>
      <c r="D26" s="632">
        <f>D25*0.16</f>
        <v>33252.959999999999</v>
      </c>
    </row>
    <row r="27" spans="1:7" ht="16.2" thickBot="1" x14ac:dyDescent="0.35">
      <c r="A27" s="276"/>
      <c r="B27" s="673"/>
      <c r="C27" s="633" t="s">
        <v>40</v>
      </c>
      <c r="D27" s="634">
        <f>D25+D26</f>
        <v>241083.96</v>
      </c>
    </row>
    <row r="28" spans="1:7" ht="16.2" thickBot="1" x14ac:dyDescent="0.3">
      <c r="A28" s="102"/>
      <c r="B28" s="635" t="s">
        <v>1212</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9" fitToWidth="0" orientation="portrait" r:id="rId1"/>
  <headerFooter alignWithMargins="0">
    <oddFooter>Página &amp;P de &amp;N</oddFooter>
  </headerFooter>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FD6C-F97C-4337-A5A7-51E8B6F2E86C}">
  <sheetPr>
    <tabColor theme="4" tint="-0.249977111117893"/>
    <pageSetUpPr fitToPage="1"/>
  </sheetPr>
  <dimension ref="A1:G62"/>
  <sheetViews>
    <sheetView topLeftCell="A10" zoomScaleNormal="100" workbookViewId="0">
      <selection activeCell="C19" sqref="C19"/>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65000</v>
      </c>
      <c r="D15" s="75">
        <f t="shared" ref="D15:D23" si="0">A15*C15</f>
        <v>65000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30" x14ac:dyDescent="0.25">
      <c r="A19" s="72">
        <v>1</v>
      </c>
      <c r="B19" s="624" t="s">
        <v>1230</v>
      </c>
      <c r="C19" s="665">
        <f>(120530)*1.3</f>
        <v>156689</v>
      </c>
      <c r="D19" s="75">
        <f t="shared" si="0"/>
        <v>156689</v>
      </c>
    </row>
    <row r="20" spans="1:7" ht="15.6" x14ac:dyDescent="0.25">
      <c r="A20" s="72">
        <v>1</v>
      </c>
      <c r="B20" s="624" t="s">
        <v>1206</v>
      </c>
      <c r="C20" s="665">
        <f>3500*1.4</f>
        <v>4900</v>
      </c>
      <c r="D20" s="75">
        <f t="shared" si="0"/>
        <v>4900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30.6" thickBot="1" x14ac:dyDescent="0.3">
      <c r="A23" s="72">
        <v>1</v>
      </c>
      <c r="B23" s="672" t="s">
        <v>751</v>
      </c>
      <c r="C23" s="625">
        <v>2380</v>
      </c>
      <c r="D23" s="75">
        <f t="shared" si="0"/>
        <v>2380</v>
      </c>
    </row>
    <row r="24" spans="1:7" ht="26.4" x14ac:dyDescent="0.25">
      <c r="A24" s="667"/>
      <c r="B24" s="674" t="s">
        <v>1208</v>
      </c>
      <c r="C24" s="669"/>
      <c r="D24" s="213"/>
    </row>
    <row r="25" spans="1:7" ht="15.6" x14ac:dyDescent="0.25">
      <c r="A25" s="668"/>
      <c r="B25" s="675" t="s">
        <v>1209</v>
      </c>
      <c r="C25" s="670" t="s">
        <v>188</v>
      </c>
      <c r="D25" s="630">
        <f>SUM(D15:D23)</f>
        <v>259650</v>
      </c>
    </row>
    <row r="26" spans="1:7" ht="16.2" thickBot="1" x14ac:dyDescent="0.35">
      <c r="A26" s="453"/>
      <c r="B26" s="676" t="s">
        <v>1210</v>
      </c>
      <c r="C26" s="671" t="s">
        <v>90</v>
      </c>
      <c r="D26" s="632">
        <f>D25*0.16</f>
        <v>41544</v>
      </c>
    </row>
    <row r="27" spans="1:7" ht="16.2" thickBot="1" x14ac:dyDescent="0.35">
      <c r="A27" s="276"/>
      <c r="B27" s="673"/>
      <c r="C27" s="633" t="s">
        <v>40</v>
      </c>
      <c r="D27" s="634">
        <f>D25+D26</f>
        <v>301194</v>
      </c>
    </row>
    <row r="28" spans="1:7" ht="16.2" thickBot="1" x14ac:dyDescent="0.3">
      <c r="A28" s="102"/>
      <c r="B28" s="635" t="s">
        <v>1211</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0" fitToWidth="0" orientation="portrait" r:id="rId1"/>
  <headerFooter alignWithMargins="0">
    <oddFooter>Página &amp;P de &amp;N</oddFooter>
  </headerFooter>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7F95-5456-4784-AE57-BFBB99010FC4}">
  <sheetPr>
    <tabColor theme="4" tint="-0.249977111117893"/>
    <pageSetUpPr fitToPage="1"/>
  </sheetPr>
  <dimension ref="A1:G62"/>
  <sheetViews>
    <sheetView topLeftCell="A14" zoomScaleNormal="100" workbookViewId="0">
      <selection activeCell="B27" sqref="B27"/>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65000</v>
      </c>
      <c r="D15" s="75">
        <f t="shared" ref="D15:D23" si="0">A15*C15</f>
        <v>65000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15.6" x14ac:dyDescent="0.25">
      <c r="A19" s="72">
        <v>1</v>
      </c>
      <c r="B19" s="624" t="s">
        <v>1231</v>
      </c>
      <c r="C19" s="665">
        <f>(30500+4500+5000)*1.4</f>
        <v>56000</v>
      </c>
      <c r="D19" s="75">
        <f t="shared" si="0"/>
        <v>56000</v>
      </c>
    </row>
    <row r="20" spans="1:7" ht="15.6" x14ac:dyDescent="0.25">
      <c r="A20" s="72">
        <v>1</v>
      </c>
      <c r="B20" s="624" t="s">
        <v>1206</v>
      </c>
      <c r="C20" s="665">
        <f>3500*1.4</f>
        <v>4900</v>
      </c>
      <c r="D20" s="75">
        <f t="shared" si="0"/>
        <v>4900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16.2" thickBot="1" x14ac:dyDescent="0.3">
      <c r="A23" s="72">
        <v>1</v>
      </c>
      <c r="B23" s="672" t="s">
        <v>751</v>
      </c>
      <c r="C23" s="625">
        <v>2380</v>
      </c>
      <c r="D23" s="75">
        <f t="shared" si="0"/>
        <v>2380</v>
      </c>
    </row>
    <row r="24" spans="1:7" x14ac:dyDescent="0.25">
      <c r="A24" s="667"/>
      <c r="B24" s="674" t="s">
        <v>1227</v>
      </c>
      <c r="C24" s="669"/>
      <c r="D24" s="213"/>
    </row>
    <row r="25" spans="1:7" ht="15.6" x14ac:dyDescent="0.25">
      <c r="A25" s="668"/>
      <c r="B25" s="675" t="s">
        <v>1228</v>
      </c>
      <c r="C25" s="670" t="s">
        <v>188</v>
      </c>
      <c r="D25" s="630">
        <f>SUM(D15:D23)</f>
        <v>158961</v>
      </c>
    </row>
    <row r="26" spans="1:7" ht="16.2" thickBot="1" x14ac:dyDescent="0.35">
      <c r="A26" s="453"/>
      <c r="B26" s="676"/>
      <c r="C26" s="671" t="s">
        <v>90</v>
      </c>
      <c r="D26" s="632">
        <f>D25*0.16</f>
        <v>25433.760000000002</v>
      </c>
    </row>
    <row r="27" spans="1:7" ht="16.2" thickBot="1" x14ac:dyDescent="0.35">
      <c r="A27" s="276"/>
      <c r="B27" s="673"/>
      <c r="C27" s="633" t="s">
        <v>40</v>
      </c>
      <c r="D27" s="634">
        <f>D25+D26</f>
        <v>184394.76</v>
      </c>
    </row>
    <row r="28" spans="1:7" ht="16.2" thickBot="1" x14ac:dyDescent="0.3">
      <c r="A28" s="102"/>
      <c r="B28" s="635" t="s">
        <v>1213</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3" fitToHeight="0" orientation="portrait" r:id="rId1"/>
  <headerFooter alignWithMargins="0">
    <oddFooter>Página &amp;P de &amp;N</oddFooter>
  </headerFooter>
  <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5335-287B-4C9D-B9F8-C676DEFCE20E}">
  <sheetPr>
    <tabColor theme="4" tint="-0.249977111117893"/>
    <pageSetUpPr fitToPage="1"/>
  </sheetPr>
  <dimension ref="A1:G62"/>
  <sheetViews>
    <sheetView topLeftCell="A8" zoomScaleNormal="100" workbookViewId="0">
      <selection activeCell="B27" sqref="B27"/>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f>65000+11000</f>
        <v>76000</v>
      </c>
      <c r="D15" s="75">
        <f t="shared" ref="D15:D23" si="0">A15*C15</f>
        <v>76000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30" x14ac:dyDescent="0.25">
      <c r="A19" s="72">
        <v>1</v>
      </c>
      <c r="B19" s="624" t="s">
        <v>1233</v>
      </c>
      <c r="C19" s="665">
        <f>((110000)*1.3)+8000</f>
        <v>151000</v>
      </c>
      <c r="D19" s="75">
        <f t="shared" si="0"/>
        <v>151000</v>
      </c>
    </row>
    <row r="20" spans="1:7" ht="15.6" x14ac:dyDescent="0.25">
      <c r="A20" s="72">
        <v>1</v>
      </c>
      <c r="B20" s="624" t="s">
        <v>1206</v>
      </c>
      <c r="C20" s="665">
        <f>(3500*1.4)+3000</f>
        <v>7900</v>
      </c>
      <c r="D20" s="75">
        <f t="shared" si="0"/>
        <v>7900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30.6" thickBot="1" x14ac:dyDescent="0.3">
      <c r="A23" s="72">
        <v>1</v>
      </c>
      <c r="B23" s="672" t="s">
        <v>751</v>
      </c>
      <c r="C23" s="625">
        <v>2380</v>
      </c>
      <c r="D23" s="75">
        <f t="shared" si="0"/>
        <v>2380</v>
      </c>
    </row>
    <row r="24" spans="1:7" x14ac:dyDescent="0.25">
      <c r="A24" s="667"/>
      <c r="B24" s="674" t="s">
        <v>1235</v>
      </c>
      <c r="C24" s="669"/>
      <c r="D24" s="213"/>
    </row>
    <row r="25" spans="1:7" ht="15.6" x14ac:dyDescent="0.25">
      <c r="A25" s="668"/>
      <c r="B25" s="675" t="s">
        <v>1236</v>
      </c>
      <c r="C25" s="670" t="s">
        <v>188</v>
      </c>
      <c r="D25" s="630">
        <f>SUM(D15:D23)</f>
        <v>267961</v>
      </c>
    </row>
    <row r="26" spans="1:7" ht="16.2" thickBot="1" x14ac:dyDescent="0.35">
      <c r="A26" s="453"/>
      <c r="B26" s="676" t="s">
        <v>1237</v>
      </c>
      <c r="C26" s="671" t="s">
        <v>90</v>
      </c>
      <c r="D26" s="632">
        <f>D25*0.16</f>
        <v>42873.760000000002</v>
      </c>
    </row>
    <row r="27" spans="1:7" ht="16.2" thickBot="1" x14ac:dyDescent="0.35">
      <c r="A27" s="276"/>
      <c r="B27" s="673"/>
      <c r="C27" s="633" t="s">
        <v>40</v>
      </c>
      <c r="D27" s="634">
        <f>D25+D26</f>
        <v>310834.76</v>
      </c>
    </row>
    <row r="28" spans="1:7" ht="16.2" thickBot="1" x14ac:dyDescent="0.3">
      <c r="A28" s="102"/>
      <c r="B28" s="635" t="s">
        <v>1234</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0" fitToWidth="0" orientation="portrait" r:id="rId1"/>
  <headerFooter alignWithMargins="0">
    <oddFooter>Página &amp;P de &amp;N</oddFooter>
  </headerFooter>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66CE-BE5B-4513-A322-080FF1E19437}">
  <sheetPr>
    <tabColor theme="4" tint="-0.249977111117893"/>
    <pageSetUpPr fitToPage="1"/>
  </sheetPr>
  <dimension ref="A1:G62"/>
  <sheetViews>
    <sheetView topLeftCell="A12" zoomScaleNormal="100" workbookViewId="0">
      <selection activeCell="A15" sqref="A15:D15"/>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76000</v>
      </c>
      <c r="D15" s="75">
        <f t="shared" ref="D15:D23" si="0">A15*C15</f>
        <v>76000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15.6" x14ac:dyDescent="0.25">
      <c r="A19" s="72">
        <v>1</v>
      </c>
      <c r="B19" s="624" t="s">
        <v>1069</v>
      </c>
      <c r="C19" s="665">
        <f>((30500+4500+5000)*1.4)+7000</f>
        <v>63000</v>
      </c>
      <c r="D19" s="75">
        <f t="shared" si="0"/>
        <v>63000</v>
      </c>
    </row>
    <row r="20" spans="1:7" ht="15.6" x14ac:dyDescent="0.25">
      <c r="A20" s="72">
        <v>1</v>
      </c>
      <c r="B20" s="624" t="s">
        <v>1206</v>
      </c>
      <c r="C20" s="665">
        <f>(3500*1.4)+3000</f>
        <v>7900</v>
      </c>
      <c r="D20" s="75">
        <f t="shared" si="0"/>
        <v>7900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16.2" thickBot="1" x14ac:dyDescent="0.3">
      <c r="A23" s="72">
        <v>1</v>
      </c>
      <c r="B23" s="672" t="s">
        <v>751</v>
      </c>
      <c r="C23" s="625">
        <v>2380</v>
      </c>
      <c r="D23" s="75">
        <f t="shared" si="0"/>
        <v>2380</v>
      </c>
    </row>
    <row r="24" spans="1:7" x14ac:dyDescent="0.25">
      <c r="A24" s="667"/>
      <c r="B24" s="674" t="s">
        <v>1226</v>
      </c>
      <c r="C24" s="669"/>
      <c r="D24" s="213"/>
    </row>
    <row r="25" spans="1:7" ht="15.6" x14ac:dyDescent="0.25">
      <c r="A25" s="668"/>
      <c r="B25" s="675" t="s">
        <v>1209</v>
      </c>
      <c r="C25" s="670" t="s">
        <v>188</v>
      </c>
      <c r="D25" s="630">
        <f>SUM(D15:D23)</f>
        <v>179961</v>
      </c>
    </row>
    <row r="26" spans="1:7" ht="16.2" thickBot="1" x14ac:dyDescent="0.35">
      <c r="A26" s="453"/>
      <c r="B26" s="676" t="s">
        <v>1214</v>
      </c>
      <c r="C26" s="671" t="s">
        <v>90</v>
      </c>
      <c r="D26" s="632">
        <f>D25*0.16</f>
        <v>28793.760000000002</v>
      </c>
    </row>
    <row r="27" spans="1:7" ht="16.2" thickBot="1" x14ac:dyDescent="0.35">
      <c r="A27" s="276"/>
      <c r="B27" s="673"/>
      <c r="C27" s="633" t="s">
        <v>40</v>
      </c>
      <c r="D27" s="634">
        <f>D25+D26</f>
        <v>208754.76</v>
      </c>
    </row>
    <row r="28" spans="1:7" ht="16.2" thickBot="1" x14ac:dyDescent="0.3">
      <c r="A28" s="102"/>
      <c r="B28" s="635" t="s">
        <v>1232</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3" fitToHeight="0" orientation="portrait" r:id="rId1"/>
  <headerFooter alignWithMargins="0">
    <oddFooter>Página &amp;P de &amp;N</oddFooter>
  </headerFooter>
  <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0BF2-C66E-4C70-9475-0CD3717ED607}">
  <sheetPr>
    <tabColor theme="4" tint="-0.249977111117893"/>
  </sheetPr>
  <dimension ref="A1:I55"/>
  <sheetViews>
    <sheetView zoomScaleNormal="100" workbookViewId="0">
      <selection activeCell="B22" sqref="B22"/>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1240</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1183</v>
      </c>
      <c r="C12" s="376">
        <f>(17271*20)*1.5</f>
        <v>518130</v>
      </c>
      <c r="D12" s="377">
        <f>A12*C12</f>
        <v>518130</v>
      </c>
      <c r="E12" s="190"/>
      <c r="F12" s="191"/>
    </row>
    <row r="13" spans="1:9" s="10" customFormat="1" ht="16.8" x14ac:dyDescent="0.4">
      <c r="A13" s="378"/>
      <c r="B13" s="379" t="s">
        <v>1239</v>
      </c>
      <c r="C13" s="376"/>
      <c r="D13" s="377"/>
      <c r="E13" s="190"/>
      <c r="F13" s="191"/>
      <c r="G13" s="188"/>
      <c r="H13" s="188"/>
      <c r="I13" s="188"/>
    </row>
    <row r="14" spans="1:9" s="10" customFormat="1" ht="16.8" x14ac:dyDescent="0.4">
      <c r="A14" s="380">
        <v>1</v>
      </c>
      <c r="B14" s="379" t="s">
        <v>1238</v>
      </c>
      <c r="C14" s="381">
        <f>(2700*2)*1.4</f>
        <v>7559.9999999999991</v>
      </c>
      <c r="D14" s="377">
        <f>A14*C14</f>
        <v>7559.9999999999991</v>
      </c>
      <c r="E14" s="190"/>
      <c r="F14" s="190"/>
    </row>
    <row r="15" spans="1:9" s="188" customFormat="1" ht="13.8" x14ac:dyDescent="0.25">
      <c r="A15" s="286"/>
      <c r="B15" s="206"/>
      <c r="C15" s="382" t="s">
        <v>188</v>
      </c>
      <c r="D15" s="606">
        <f>SUM(D12:D14)</f>
        <v>525690</v>
      </c>
      <c r="E15" s="189"/>
      <c r="F15" s="108"/>
    </row>
    <row r="16" spans="1:9" x14ac:dyDescent="0.25">
      <c r="A16" s="102"/>
      <c r="B16" s="383" t="s">
        <v>993</v>
      </c>
      <c r="C16" s="384" t="s">
        <v>90</v>
      </c>
      <c r="D16" s="607">
        <f>D15*0.16</f>
        <v>84110.400000000009</v>
      </c>
      <c r="E16" s="189"/>
    </row>
    <row r="17" spans="1:6" s="191" customFormat="1" ht="15.75" customHeight="1" thickBot="1" x14ac:dyDescent="0.3">
      <c r="A17" s="102"/>
      <c r="B17" s="385" t="s">
        <v>381</v>
      </c>
      <c r="C17" s="386" t="s">
        <v>40</v>
      </c>
      <c r="D17" s="608">
        <f>D15+D16</f>
        <v>609800.4</v>
      </c>
      <c r="E17" s="189"/>
      <c r="F17" s="108"/>
    </row>
    <row r="18" spans="1:6" ht="13.8" thickBot="1" x14ac:dyDescent="0.3">
      <c r="A18" s="276"/>
      <c r="B18" s="1050" t="s">
        <v>1241</v>
      </c>
      <c r="C18" s="1051"/>
      <c r="D18" s="1052"/>
      <c r="E18" s="189"/>
    </row>
    <row r="19" spans="1:6" ht="17.399999999999999" x14ac:dyDescent="0.3">
      <c r="A19" s="102"/>
      <c r="B19" s="663" t="s">
        <v>1242</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1186</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7EF9-0CC4-45C5-A717-43CB3E1DC176}">
  <sheetPr>
    <tabColor theme="4" tint="-0.249977111117893"/>
    <pageSetUpPr fitToPage="1"/>
  </sheetPr>
  <dimension ref="A1:F62"/>
  <sheetViews>
    <sheetView topLeftCell="A12" zoomScaleNormal="100" workbookViewId="0">
      <selection activeCell="A16" sqref="A16:D16"/>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1171</v>
      </c>
      <c r="C7" s="58"/>
      <c r="D7" s="58"/>
    </row>
    <row r="8" spans="1:6" s="10" customFormat="1" ht="16.8" x14ac:dyDescent="0.4">
      <c r="A8" s="57" t="s">
        <v>1172</v>
      </c>
      <c r="C8" s="58"/>
      <c r="D8" s="58"/>
    </row>
    <row r="9" spans="1:6" s="10" customFormat="1" ht="16.8" x14ac:dyDescent="0.4">
      <c r="A9" s="57" t="s">
        <v>1173</v>
      </c>
      <c r="C9" s="58"/>
      <c r="D9" s="58"/>
    </row>
    <row r="10" spans="1:6" s="10" customFormat="1" ht="16.8" x14ac:dyDescent="0.4">
      <c r="A10" s="57" t="s">
        <v>1174</v>
      </c>
      <c r="C10" s="59"/>
      <c r="D10" s="58"/>
    </row>
    <row r="11" spans="1:6" s="10" customFormat="1" ht="16.8" x14ac:dyDescent="0.4">
      <c r="A11" s="60" t="s">
        <v>1175</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1162</v>
      </c>
      <c r="C15" s="625">
        <f>110*250</f>
        <v>27500</v>
      </c>
      <c r="D15" s="75">
        <f t="shared" ref="D15:D22" si="0">A15*C15</f>
        <v>27500</v>
      </c>
      <c r="E15" s="189"/>
      <c r="F15" s="108"/>
    </row>
    <row r="16" spans="1:6" ht="60" x14ac:dyDescent="0.25">
      <c r="A16" s="72">
        <v>1</v>
      </c>
      <c r="B16" s="624" t="s">
        <v>1167</v>
      </c>
      <c r="C16" s="625">
        <v>7400</v>
      </c>
      <c r="D16" s="75">
        <f t="shared" si="0"/>
        <v>7400</v>
      </c>
      <c r="E16" s="189"/>
    </row>
    <row r="17" spans="1:6" s="191" customFormat="1" ht="15.6" x14ac:dyDescent="0.25">
      <c r="A17" s="662">
        <v>1</v>
      </c>
      <c r="B17" s="659" t="s">
        <v>1165</v>
      </c>
      <c r="C17" s="660" t="s">
        <v>1166</v>
      </c>
      <c r="D17" s="661"/>
      <c r="E17" s="189"/>
      <c r="F17" s="108"/>
    </row>
    <row r="18" spans="1:6" ht="45" x14ac:dyDescent="0.25">
      <c r="A18" s="72">
        <v>1</v>
      </c>
      <c r="B18" s="624" t="s">
        <v>1168</v>
      </c>
      <c r="C18" s="660" t="s">
        <v>1169</v>
      </c>
      <c r="D18" s="661"/>
    </row>
    <row r="19" spans="1:6" ht="45" x14ac:dyDescent="0.25">
      <c r="A19" s="72">
        <v>1</v>
      </c>
      <c r="B19" s="624" t="s">
        <v>1163</v>
      </c>
      <c r="C19" s="625">
        <f>110*250</f>
        <v>27500</v>
      </c>
      <c r="D19" s="75">
        <f t="shared" si="0"/>
        <v>27500</v>
      </c>
    </row>
    <row r="20" spans="1:6" ht="15.6" x14ac:dyDescent="0.25">
      <c r="A20" s="72">
        <v>2</v>
      </c>
      <c r="B20" s="624" t="s">
        <v>1138</v>
      </c>
      <c r="C20" s="625">
        <v>5480</v>
      </c>
      <c r="D20" s="75">
        <f t="shared" si="0"/>
        <v>10960</v>
      </c>
    </row>
    <row r="21" spans="1:6" ht="15.6" x14ac:dyDescent="0.25">
      <c r="A21" s="72">
        <v>2.5</v>
      </c>
      <c r="B21" s="624" t="s">
        <v>85</v>
      </c>
      <c r="C21" s="625">
        <v>2618</v>
      </c>
      <c r="D21" s="75">
        <f t="shared" si="0"/>
        <v>6545</v>
      </c>
    </row>
    <row r="22" spans="1:6" ht="30" x14ac:dyDescent="0.25">
      <c r="A22" s="72">
        <v>1</v>
      </c>
      <c r="B22" s="624" t="s">
        <v>1164</v>
      </c>
      <c r="C22" s="657">
        <v>2500</v>
      </c>
      <c r="D22" s="75">
        <f t="shared" si="0"/>
        <v>2500</v>
      </c>
    </row>
    <row r="23" spans="1:6" x14ac:dyDescent="0.25">
      <c r="A23" s="211"/>
      <c r="B23" s="543" t="s">
        <v>1145</v>
      </c>
      <c r="C23" s="544"/>
      <c r="D23" s="213"/>
    </row>
    <row r="24" spans="1:6" ht="15.6" x14ac:dyDescent="0.25">
      <c r="A24" s="539"/>
      <c r="B24" s="545"/>
      <c r="C24" s="629" t="s">
        <v>188</v>
      </c>
      <c r="D24" s="630">
        <f>SUM(D15:D22)</f>
        <v>82405</v>
      </c>
    </row>
    <row r="25" spans="1:6" ht="15.6" x14ac:dyDescent="0.3">
      <c r="A25" s="453"/>
      <c r="B25" s="454"/>
      <c r="C25" s="631" t="s">
        <v>90</v>
      </c>
      <c r="D25" s="632">
        <f>D24*0.16</f>
        <v>13184.800000000001</v>
      </c>
    </row>
    <row r="26" spans="1:6" ht="16.2" thickBot="1" x14ac:dyDescent="0.35">
      <c r="A26" s="276"/>
      <c r="B26" s="385"/>
      <c r="C26" s="633" t="s">
        <v>40</v>
      </c>
      <c r="D26" s="634">
        <f>D24+D25</f>
        <v>95589.8</v>
      </c>
    </row>
    <row r="27" spans="1:6" ht="16.2" thickBot="1" x14ac:dyDescent="0.3">
      <c r="A27" s="102"/>
      <c r="B27" s="635" t="s">
        <v>1170</v>
      </c>
      <c r="C27" s="553"/>
      <c r="D27" s="461"/>
    </row>
    <row r="28" spans="1:6" ht="13.8" x14ac:dyDescent="0.25">
      <c r="B28" s="103" t="s">
        <v>15</v>
      </c>
    </row>
    <row r="29" spans="1:6" ht="13.5" customHeight="1" x14ac:dyDescent="0.25">
      <c r="A29" s="106"/>
      <c r="B29" s="295" t="s">
        <v>42</v>
      </c>
    </row>
    <row r="30" spans="1:6" ht="41.4" x14ac:dyDescent="0.25">
      <c r="A30" s="106"/>
      <c r="B30" s="295" t="s">
        <v>43</v>
      </c>
      <c r="C30" s="109"/>
      <c r="D30" s="110"/>
    </row>
    <row r="31" spans="1:6" ht="15" x14ac:dyDescent="0.25">
      <c r="A31" s="106"/>
      <c r="B31" s="103" t="s">
        <v>18</v>
      </c>
      <c r="C31" s="109"/>
      <c r="D31" s="110"/>
    </row>
    <row r="32" spans="1:6" ht="15" x14ac:dyDescent="0.25">
      <c r="A32" s="106"/>
      <c r="B32" s="296" t="s">
        <v>501</v>
      </c>
      <c r="C32" s="109"/>
      <c r="D32" s="109"/>
    </row>
    <row r="33" spans="1:4" ht="15" x14ac:dyDescent="0.25">
      <c r="A33" s="106"/>
      <c r="B33" s="297" t="s">
        <v>20</v>
      </c>
      <c r="C33" s="109"/>
      <c r="D33" s="109"/>
    </row>
    <row r="34" spans="1:4" ht="13.8" x14ac:dyDescent="0.25">
      <c r="B34" s="103" t="s">
        <v>21</v>
      </c>
      <c r="D34" s="105"/>
    </row>
    <row r="35" spans="1:4" ht="15" x14ac:dyDescent="0.25">
      <c r="A35" s="106"/>
      <c r="B35" s="122" t="s">
        <v>502</v>
      </c>
      <c r="C35" s="109"/>
      <c r="D35" s="110"/>
    </row>
    <row r="36" spans="1:4" ht="15" x14ac:dyDescent="0.25">
      <c r="A36" s="106"/>
      <c r="B36" s="123" t="s">
        <v>44</v>
      </c>
      <c r="C36" s="109"/>
      <c r="D36" s="110"/>
    </row>
    <row r="37" spans="1:4" ht="13.8" x14ac:dyDescent="0.25">
      <c r="A37" s="115" t="s">
        <v>0</v>
      </c>
      <c r="B37" s="298" t="s">
        <v>45</v>
      </c>
      <c r="C37" s="109"/>
    </row>
    <row r="38" spans="1:4" ht="50.4" x14ac:dyDescent="0.25">
      <c r="A38" s="222"/>
      <c r="B38" s="314" t="s">
        <v>169</v>
      </c>
      <c r="C38" s="220"/>
      <c r="D38" s="108"/>
    </row>
    <row r="39" spans="1:4" x14ac:dyDescent="0.25">
      <c r="A39" s="222"/>
      <c r="B39" s="181"/>
      <c r="C39" s="181"/>
      <c r="D39" s="108"/>
    </row>
    <row r="40" spans="1:4" x14ac:dyDescent="0.25">
      <c r="A40" s="222"/>
      <c r="B40" s="181"/>
      <c r="C40" s="181"/>
      <c r="D40" s="108"/>
    </row>
    <row r="41" spans="1:4" x14ac:dyDescent="0.25">
      <c r="A41" s="225"/>
      <c r="B41" s="223"/>
      <c r="C41" s="181"/>
      <c r="D41" s="108"/>
    </row>
    <row r="42" spans="1:4" ht="15" x14ac:dyDescent="0.35">
      <c r="A42" s="226"/>
      <c r="B42" s="224"/>
      <c r="C42" s="181"/>
      <c r="D42" s="181"/>
    </row>
    <row r="43" spans="1:4" x14ac:dyDescent="0.25">
      <c r="A43"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2B0F-8C1E-485E-9FDF-98ABCA04DDE0}">
  <sheetPr>
    <tabColor theme="4" tint="-0.249977111117893"/>
    <pageSetUpPr fitToPage="1"/>
  </sheetPr>
  <dimension ref="A1:F62"/>
  <sheetViews>
    <sheetView topLeftCell="A7" zoomScaleNormal="100" workbookViewId="0">
      <selection activeCell="B15" sqref="B15"/>
    </sheetView>
  </sheetViews>
  <sheetFormatPr baseColWidth="10" defaultColWidth="10.33203125" defaultRowHeight="13.2" x14ac:dyDescent="0.25"/>
  <cols>
    <col min="1" max="1" width="5.44140625" style="108" customWidth="1"/>
    <col min="2" max="2" width="74.2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1171</v>
      </c>
      <c r="C7" s="58"/>
      <c r="D7" s="58"/>
    </row>
    <row r="8" spans="1:6" s="10" customFormat="1" ht="16.8" x14ac:dyDescent="0.4">
      <c r="A8" s="57" t="s">
        <v>1172</v>
      </c>
      <c r="C8" s="58"/>
      <c r="D8" s="58"/>
    </row>
    <row r="9" spans="1:6" s="10" customFormat="1" ht="16.8" x14ac:dyDescent="0.4">
      <c r="A9" s="57" t="s">
        <v>1173</v>
      </c>
      <c r="C9" s="58"/>
      <c r="D9" s="58"/>
    </row>
    <row r="10" spans="1:6" s="10" customFormat="1" ht="16.8" x14ac:dyDescent="0.4">
      <c r="A10" s="57" t="s">
        <v>1174</v>
      </c>
      <c r="C10" s="59"/>
      <c r="D10" s="58"/>
    </row>
    <row r="11" spans="1:6" s="10" customFormat="1" ht="16.8" x14ac:dyDescent="0.4">
      <c r="A11" s="60" t="s">
        <v>1207</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60" x14ac:dyDescent="0.25">
      <c r="A15" s="72">
        <v>1</v>
      </c>
      <c r="B15" s="73" t="s">
        <v>915</v>
      </c>
      <c r="C15" s="428">
        <v>76000</v>
      </c>
      <c r="D15" s="75">
        <f t="shared" ref="D15:D20" si="0">A15*C15</f>
        <v>76000</v>
      </c>
      <c r="E15" s="189"/>
      <c r="F15" s="108"/>
    </row>
    <row r="16" spans="1:6" ht="15.6" x14ac:dyDescent="0.25">
      <c r="A16" s="72">
        <v>3</v>
      </c>
      <c r="B16" s="73" t="s">
        <v>1225</v>
      </c>
      <c r="C16" s="428">
        <f>(222*20)*1.35</f>
        <v>5994</v>
      </c>
      <c r="D16" s="75">
        <f t="shared" si="0"/>
        <v>17982</v>
      </c>
      <c r="E16" s="189"/>
    </row>
    <row r="17" spans="1:6" s="191" customFormat="1" ht="15.6" x14ac:dyDescent="0.25">
      <c r="A17" s="72">
        <v>2</v>
      </c>
      <c r="B17" s="73" t="s">
        <v>269</v>
      </c>
      <c r="C17" s="428">
        <f>5664/2</f>
        <v>2832</v>
      </c>
      <c r="D17" s="75">
        <f t="shared" si="0"/>
        <v>5664</v>
      </c>
      <c r="E17" s="189"/>
      <c r="F17" s="108"/>
    </row>
    <row r="18" spans="1:6" ht="15.6" x14ac:dyDescent="0.25">
      <c r="A18" s="571">
        <v>2</v>
      </c>
      <c r="B18" s="572" t="s">
        <v>270</v>
      </c>
      <c r="C18" s="626">
        <v>320</v>
      </c>
      <c r="D18" s="75">
        <f t="shared" si="0"/>
        <v>640</v>
      </c>
    </row>
    <row r="19" spans="1:6" ht="30" x14ac:dyDescent="0.25">
      <c r="A19" s="72">
        <v>1</v>
      </c>
      <c r="B19" s="624" t="s">
        <v>1224</v>
      </c>
      <c r="C19" s="665">
        <f>(38500+6500+12500)*1.3</f>
        <v>74750</v>
      </c>
      <c r="D19" s="75">
        <f t="shared" si="0"/>
        <v>74750</v>
      </c>
    </row>
    <row r="20" spans="1:6" ht="15.6" x14ac:dyDescent="0.25">
      <c r="A20" s="72">
        <v>1</v>
      </c>
      <c r="B20" s="624" t="s">
        <v>1206</v>
      </c>
      <c r="C20" s="665">
        <f>14200*1.4</f>
        <v>19880</v>
      </c>
      <c r="D20" s="75">
        <f t="shared" si="0"/>
        <v>19880</v>
      </c>
    </row>
    <row r="21" spans="1:6" ht="15.6" x14ac:dyDescent="0.25">
      <c r="A21" s="679">
        <v>1</v>
      </c>
      <c r="B21" s="680" t="s">
        <v>1165</v>
      </c>
      <c r="C21" s="665"/>
      <c r="D21" s="75"/>
    </row>
    <row r="22" spans="1:6" ht="26.4" x14ac:dyDescent="0.25">
      <c r="A22" s="211"/>
      <c r="B22" s="543" t="s">
        <v>1145</v>
      </c>
      <c r="C22" s="544"/>
      <c r="D22" s="213"/>
    </row>
    <row r="23" spans="1:6" ht="15.6" x14ac:dyDescent="0.25">
      <c r="A23" s="539"/>
      <c r="B23" s="545"/>
      <c r="C23" s="629" t="s">
        <v>188</v>
      </c>
      <c r="D23" s="630">
        <f>SUM(D15:D21)</f>
        <v>194916</v>
      </c>
    </row>
    <row r="24" spans="1:6" ht="15.6" x14ac:dyDescent="0.3">
      <c r="A24" s="453"/>
      <c r="B24" s="454"/>
      <c r="C24" s="631" t="s">
        <v>90</v>
      </c>
      <c r="D24" s="632">
        <f>D23*0.16</f>
        <v>31186.560000000001</v>
      </c>
    </row>
    <row r="25" spans="1:6" ht="16.2" thickBot="1" x14ac:dyDescent="0.35">
      <c r="A25" s="276"/>
      <c r="B25" s="385"/>
      <c r="C25" s="633" t="s">
        <v>40</v>
      </c>
      <c r="D25" s="634">
        <f>D23+D24</f>
        <v>226102.56</v>
      </c>
    </row>
    <row r="26" spans="1:6" ht="16.2" thickBot="1" x14ac:dyDescent="0.3">
      <c r="A26" s="102"/>
      <c r="B26" s="635" t="s">
        <v>1223</v>
      </c>
      <c r="C26" s="553"/>
      <c r="D26" s="461"/>
    </row>
    <row r="27" spans="1:6" ht="13.8" x14ac:dyDescent="0.25">
      <c r="B27" s="103" t="s">
        <v>15</v>
      </c>
    </row>
    <row r="28" spans="1:6" ht="27.6" x14ac:dyDescent="0.25">
      <c r="A28" s="106"/>
      <c r="B28" s="295" t="s">
        <v>42</v>
      </c>
    </row>
    <row r="29" spans="1:6" ht="13.5" customHeight="1" x14ac:dyDescent="0.25">
      <c r="A29" s="106"/>
      <c r="B29" s="295" t="s">
        <v>43</v>
      </c>
      <c r="C29" s="109"/>
      <c r="D29" s="110"/>
    </row>
    <row r="30" spans="1:6" ht="15" x14ac:dyDescent="0.25">
      <c r="A30" s="106"/>
      <c r="B30" s="103" t="s">
        <v>18</v>
      </c>
      <c r="C30" s="109"/>
      <c r="D30" s="110"/>
    </row>
    <row r="31" spans="1:6" ht="15" x14ac:dyDescent="0.25">
      <c r="A31" s="106"/>
      <c r="B31" s="296" t="s">
        <v>501</v>
      </c>
      <c r="C31" s="109"/>
      <c r="D31" s="109"/>
    </row>
    <row r="32" spans="1:6" ht="15" x14ac:dyDescent="0.25">
      <c r="A32" s="106"/>
      <c r="B32" s="297" t="s">
        <v>20</v>
      </c>
      <c r="C32" s="109"/>
      <c r="D32" s="109"/>
    </row>
    <row r="33" spans="1:4" ht="13.8" x14ac:dyDescent="0.25">
      <c r="B33" s="103" t="s">
        <v>21</v>
      </c>
      <c r="D33" s="105"/>
    </row>
    <row r="34" spans="1:4" ht="15" x14ac:dyDescent="0.25">
      <c r="A34" s="106"/>
      <c r="B34" s="122" t="s">
        <v>502</v>
      </c>
      <c r="C34" s="109"/>
      <c r="D34" s="110"/>
    </row>
    <row r="35" spans="1:4" ht="15" x14ac:dyDescent="0.25">
      <c r="A35" s="106"/>
      <c r="B35" s="123" t="s">
        <v>44</v>
      </c>
      <c r="C35" s="109"/>
      <c r="D35" s="110"/>
    </row>
    <row r="36" spans="1:4" ht="13.8" x14ac:dyDescent="0.25">
      <c r="A36" s="115" t="s">
        <v>0</v>
      </c>
      <c r="B36" s="298" t="s">
        <v>45</v>
      </c>
      <c r="C36" s="109"/>
    </row>
    <row r="37" spans="1:4" ht="50.4" x14ac:dyDescent="0.25">
      <c r="A37" s="222"/>
      <c r="B37" s="314" t="s">
        <v>169</v>
      </c>
      <c r="C37" s="220"/>
      <c r="D37" s="108"/>
    </row>
    <row r="38" spans="1:4" x14ac:dyDescent="0.25">
      <c r="A38" s="222"/>
      <c r="B38" s="181"/>
      <c r="C38" s="181"/>
      <c r="D38" s="108"/>
    </row>
    <row r="39" spans="1:4" x14ac:dyDescent="0.25">
      <c r="A39" s="222"/>
      <c r="B39" s="181"/>
      <c r="C39" s="181"/>
      <c r="D39" s="108"/>
    </row>
    <row r="40" spans="1:4" x14ac:dyDescent="0.25">
      <c r="A40" s="225"/>
      <c r="B40" s="223"/>
      <c r="C40" s="181"/>
      <c r="D40" s="108"/>
    </row>
    <row r="41" spans="1:4" ht="15" x14ac:dyDescent="0.35">
      <c r="A41" s="226"/>
      <c r="B41" s="224"/>
      <c r="C41" s="181"/>
      <c r="D41" s="181"/>
    </row>
    <row r="42" spans="1:4" x14ac:dyDescent="0.25">
      <c r="A42"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85F0-388F-40CB-A62C-D413851F815F}">
  <sheetPr>
    <tabColor theme="4" tint="-0.249977111117893"/>
    <pageSetUpPr fitToPage="1"/>
  </sheetPr>
  <dimension ref="A1:E62"/>
  <sheetViews>
    <sheetView topLeftCell="A14" zoomScaleNormal="100" workbookViewId="0">
      <selection activeCell="C24" sqref="C24"/>
    </sheetView>
  </sheetViews>
  <sheetFormatPr baseColWidth="10" defaultColWidth="11.44140625" defaultRowHeight="13.2" x14ac:dyDescent="0.25"/>
  <cols>
    <col min="1" max="1" width="6" style="52" customWidth="1"/>
    <col min="2" max="2" width="117.886718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1243</v>
      </c>
      <c r="B8" s="10"/>
      <c r="C8" s="58"/>
      <c r="D8" s="58"/>
      <c r="E8" s="10"/>
    </row>
    <row r="9" spans="1:5" s="55" customFormat="1" ht="16.8" x14ac:dyDescent="0.4">
      <c r="A9" s="57" t="s">
        <v>1244</v>
      </c>
      <c r="B9" s="10"/>
      <c r="C9" s="58"/>
      <c r="D9" s="58"/>
      <c r="E9" s="10"/>
    </row>
    <row r="10" spans="1:5" s="55" customFormat="1" ht="16.8" x14ac:dyDescent="0.4">
      <c r="A10" s="57" t="s">
        <v>284</v>
      </c>
      <c r="B10" s="10"/>
      <c r="C10" s="58"/>
      <c r="D10" s="58"/>
      <c r="E10" s="10"/>
    </row>
    <row r="11" spans="1:5" s="55" customFormat="1" ht="16.8" x14ac:dyDescent="0.4">
      <c r="A11" s="57" t="s">
        <v>1245</v>
      </c>
      <c r="B11" s="10"/>
      <c r="C11" s="59"/>
      <c r="D11" s="58"/>
      <c r="E11" s="10"/>
    </row>
    <row r="12" spans="1:5" s="55" customFormat="1" ht="15" customHeight="1" x14ac:dyDescent="0.4">
      <c r="A12" s="12" t="s">
        <v>6</v>
      </c>
      <c r="B12" s="13"/>
      <c r="C12" s="14"/>
      <c r="D12" s="15"/>
    </row>
    <row r="13" spans="1:5" s="55" customFormat="1" ht="15" customHeight="1" x14ac:dyDescent="0.4">
      <c r="A13" s="16" t="s">
        <v>1246</v>
      </c>
      <c r="B13" s="13"/>
      <c r="C13" s="14"/>
      <c r="D13" s="15"/>
    </row>
    <row r="14" spans="1:5" s="55" customFormat="1" ht="34.799999999999997" customHeight="1" x14ac:dyDescent="0.4">
      <c r="A14" s="1097" t="s">
        <v>73</v>
      </c>
      <c r="B14" s="1098"/>
      <c r="C14" s="1099"/>
      <c r="D14" s="1100"/>
      <c r="E14" s="71"/>
    </row>
    <row r="15" spans="1:5" s="71" customFormat="1" ht="13.8" x14ac:dyDescent="0.25">
      <c r="A15" s="430" t="s">
        <v>29</v>
      </c>
      <c r="B15" s="430" t="s">
        <v>30</v>
      </c>
      <c r="C15" s="431" t="s">
        <v>31</v>
      </c>
      <c r="D15" s="431" t="s">
        <v>32</v>
      </c>
      <c r="E15" s="52"/>
    </row>
    <row r="16" spans="1:5" x14ac:dyDescent="0.25">
      <c r="A16" s="432"/>
      <c r="B16" s="433"/>
      <c r="C16" s="434"/>
      <c r="D16" s="434"/>
      <c r="E16" s="309"/>
    </row>
    <row r="17" spans="1:5" s="96" customFormat="1" ht="15.6" x14ac:dyDescent="0.25">
      <c r="A17" s="681">
        <v>1</v>
      </c>
      <c r="B17" s="682" t="s">
        <v>1247</v>
      </c>
      <c r="C17" s="29">
        <v>27800</v>
      </c>
      <c r="D17" s="30">
        <f>A17*C17</f>
        <v>27800</v>
      </c>
      <c r="E17" s="683"/>
    </row>
    <row r="18" spans="1:5" ht="15.6" x14ac:dyDescent="0.25">
      <c r="A18" s="681"/>
      <c r="B18" s="682" t="s">
        <v>1248</v>
      </c>
      <c r="C18" s="29"/>
      <c r="D18" s="30"/>
      <c r="E18" s="683"/>
    </row>
    <row r="19" spans="1:5" ht="30" x14ac:dyDescent="0.25">
      <c r="A19" s="684">
        <v>1</v>
      </c>
      <c r="B19" s="28" t="s">
        <v>1249</v>
      </c>
      <c r="C19" s="29">
        <f>200*110</f>
        <v>22000</v>
      </c>
      <c r="D19" s="30">
        <f>A19*C19</f>
        <v>22000</v>
      </c>
    </row>
    <row r="20" spans="1:5" ht="45" x14ac:dyDescent="0.25">
      <c r="A20" s="72">
        <v>1</v>
      </c>
      <c r="B20" s="624" t="s">
        <v>1167</v>
      </c>
      <c r="C20" s="625">
        <v>7400</v>
      </c>
      <c r="D20" s="75">
        <f t="shared" ref="D20" si="0">A20*C20</f>
        <v>7400</v>
      </c>
    </row>
    <row r="21" spans="1:5" ht="15.6" x14ac:dyDescent="0.25">
      <c r="A21" s="27">
        <v>153</v>
      </c>
      <c r="B21" s="28" t="s">
        <v>1250</v>
      </c>
      <c r="C21" s="29">
        <v>65</v>
      </c>
      <c r="D21" s="30">
        <f t="shared" ref="D21:D26" si="1">A21*C21</f>
        <v>9945</v>
      </c>
    </row>
    <row r="22" spans="1:5" ht="13.5" customHeight="1" x14ac:dyDescent="0.25">
      <c r="A22" s="27">
        <v>1</v>
      </c>
      <c r="B22" s="28" t="s">
        <v>1251</v>
      </c>
      <c r="C22" s="29">
        <v>81091</v>
      </c>
      <c r="D22" s="30">
        <f t="shared" si="1"/>
        <v>81091</v>
      </c>
    </row>
    <row r="23" spans="1:5" ht="15.6" x14ac:dyDescent="0.25">
      <c r="A23" s="27">
        <v>3</v>
      </c>
      <c r="B23" s="28" t="s">
        <v>1252</v>
      </c>
      <c r="C23" s="31">
        <f>(222*20)*1.5</f>
        <v>6660</v>
      </c>
      <c r="D23" s="30">
        <f t="shared" si="1"/>
        <v>19980</v>
      </c>
    </row>
    <row r="24" spans="1:5" ht="15.6" x14ac:dyDescent="0.25">
      <c r="A24" s="27">
        <v>2</v>
      </c>
      <c r="B24" s="28" t="s">
        <v>1253</v>
      </c>
      <c r="C24" s="31">
        <v>6219</v>
      </c>
      <c r="D24" s="30">
        <f t="shared" si="1"/>
        <v>12438</v>
      </c>
    </row>
    <row r="25" spans="1:5" ht="15.6" x14ac:dyDescent="0.25">
      <c r="A25" s="27">
        <v>2</v>
      </c>
      <c r="B25" s="28" t="s">
        <v>1254</v>
      </c>
      <c r="C25" s="31">
        <v>781</v>
      </c>
      <c r="D25" s="30">
        <f t="shared" si="1"/>
        <v>1562</v>
      </c>
    </row>
    <row r="26" spans="1:5" ht="15.6" x14ac:dyDescent="0.25">
      <c r="A26" s="27">
        <v>3</v>
      </c>
      <c r="B26" s="28" t="s">
        <v>1255</v>
      </c>
      <c r="C26" s="31">
        <v>192</v>
      </c>
      <c r="D26" s="685">
        <f t="shared" si="1"/>
        <v>576</v>
      </c>
    </row>
    <row r="27" spans="1:5" ht="15.6" x14ac:dyDescent="0.25">
      <c r="A27" s="686">
        <v>1</v>
      </c>
      <c r="B27" s="687" t="s">
        <v>1256</v>
      </c>
      <c r="C27" s="688" t="s">
        <v>1257</v>
      </c>
      <c r="D27" s="689"/>
    </row>
    <row r="28" spans="1:5" ht="30" x14ac:dyDescent="0.25">
      <c r="A28" s="690">
        <v>1</v>
      </c>
      <c r="B28" s="691" t="s">
        <v>1258</v>
      </c>
      <c r="C28" s="692">
        <v>28512</v>
      </c>
      <c r="D28" s="693">
        <f>A28*C28</f>
        <v>28512</v>
      </c>
    </row>
    <row r="29" spans="1:5" ht="30" x14ac:dyDescent="0.25">
      <c r="A29" s="27">
        <v>1</v>
      </c>
      <c r="B29" s="28" t="s">
        <v>1259</v>
      </c>
      <c r="C29" s="29">
        <f>200*110</f>
        <v>22000</v>
      </c>
      <c r="D29" s="30">
        <f>A29*C29</f>
        <v>22000</v>
      </c>
    </row>
    <row r="30" spans="1:5" ht="15.6" x14ac:dyDescent="0.25">
      <c r="A30" s="27">
        <v>2</v>
      </c>
      <c r="B30" s="694" t="s">
        <v>1260</v>
      </c>
      <c r="C30" s="695">
        <v>2219</v>
      </c>
      <c r="D30" s="30">
        <f>A30*C30</f>
        <v>4438</v>
      </c>
    </row>
    <row r="31" spans="1:5" ht="15.6" x14ac:dyDescent="0.25">
      <c r="A31" s="27">
        <v>1</v>
      </c>
      <c r="B31" s="694" t="s">
        <v>1261</v>
      </c>
      <c r="C31" s="695">
        <v>3500</v>
      </c>
      <c r="D31" s="30">
        <f>A31*C31</f>
        <v>3500</v>
      </c>
    </row>
    <row r="32" spans="1:5" ht="15.6" x14ac:dyDescent="0.25">
      <c r="A32" s="27"/>
      <c r="B32" s="694" t="s">
        <v>1262</v>
      </c>
      <c r="C32" s="695"/>
      <c r="D32" s="696"/>
    </row>
    <row r="33" spans="1:4" ht="13.5" customHeight="1" x14ac:dyDescent="0.3">
      <c r="A33" s="697"/>
      <c r="B33" s="698" t="s">
        <v>380</v>
      </c>
      <c r="C33" s="699" t="s">
        <v>38</v>
      </c>
      <c r="D33" s="696">
        <f>SUM(D17:D31)</f>
        <v>241242</v>
      </c>
    </row>
    <row r="34" spans="1:4" ht="15.6" x14ac:dyDescent="0.3">
      <c r="A34" s="101"/>
      <c r="B34" s="700" t="s">
        <v>1263</v>
      </c>
      <c r="C34" s="701" t="s">
        <v>90</v>
      </c>
      <c r="D34" s="30">
        <f>D33*0.16</f>
        <v>38598.720000000001</v>
      </c>
    </row>
    <row r="35" spans="1:4" ht="16.2" thickBot="1" x14ac:dyDescent="0.35">
      <c r="A35" s="101"/>
      <c r="B35" s="702"/>
      <c r="C35" s="701" t="s">
        <v>40</v>
      </c>
      <c r="D35" s="436">
        <f>D33+D34</f>
        <v>279840.71999999997</v>
      </c>
    </row>
    <row r="36" spans="1:4" ht="16.2" thickBot="1" x14ac:dyDescent="0.3">
      <c r="A36" s="101"/>
      <c r="B36" s="1101" t="s">
        <v>1270</v>
      </c>
      <c r="C36" s="1102"/>
      <c r="D36" s="1103"/>
    </row>
    <row r="37" spans="1:4" ht="14.4" thickBot="1" x14ac:dyDescent="0.3">
      <c r="A37" s="102"/>
      <c r="B37" s="703" t="s">
        <v>9</v>
      </c>
      <c r="C37" s="104"/>
      <c r="D37" s="105"/>
    </row>
    <row r="38" spans="1:4" ht="18" thickBot="1" x14ac:dyDescent="0.3">
      <c r="A38" s="712"/>
      <c r="B38" s="713" t="s">
        <v>10</v>
      </c>
      <c r="C38" s="52"/>
      <c r="D38" s="52"/>
    </row>
    <row r="39" spans="1:4" ht="15.6" thickBot="1" x14ac:dyDescent="0.3">
      <c r="A39" s="463"/>
      <c r="B39" s="703" t="s">
        <v>11</v>
      </c>
      <c r="C39" s="76"/>
      <c r="D39" s="52"/>
    </row>
    <row r="40" spans="1:4" ht="15" x14ac:dyDescent="0.25">
      <c r="A40" s="106"/>
      <c r="B40" s="121" t="s">
        <v>12</v>
      </c>
      <c r="C40" s="52"/>
      <c r="D40" s="52"/>
    </row>
    <row r="41" spans="1:4" ht="15" x14ac:dyDescent="0.25">
      <c r="A41" s="106"/>
      <c r="B41" s="121" t="s">
        <v>13</v>
      </c>
      <c r="C41" s="107"/>
      <c r="D41" s="105"/>
    </row>
    <row r="42" spans="1:4" ht="15.6" thickBot="1" x14ac:dyDescent="0.3">
      <c r="A42" s="106"/>
      <c r="B42" s="714" t="s">
        <v>14</v>
      </c>
      <c r="C42" s="107"/>
      <c r="D42" s="105"/>
    </row>
    <row r="43" spans="1:4" ht="14.4" thickBot="1" x14ac:dyDescent="0.3">
      <c r="A43" s="712"/>
      <c r="B43" s="705" t="s">
        <v>15</v>
      </c>
      <c r="C43" s="104"/>
      <c r="D43" s="107"/>
    </row>
    <row r="44" spans="1:4" ht="15" x14ac:dyDescent="0.25">
      <c r="A44" s="106"/>
      <c r="B44" s="125" t="s">
        <v>42</v>
      </c>
      <c r="C44" s="107"/>
      <c r="D44" s="107"/>
    </row>
    <row r="45" spans="1:4" ht="28.2" thickBot="1" x14ac:dyDescent="0.3">
      <c r="A45" s="106"/>
      <c r="B45" s="715" t="s">
        <v>43</v>
      </c>
      <c r="C45" s="109"/>
      <c r="D45" s="110"/>
    </row>
    <row r="46" spans="1:4" ht="15.6" thickBot="1" x14ac:dyDescent="0.3">
      <c r="A46" s="463"/>
      <c r="B46" s="705" t="s">
        <v>18</v>
      </c>
      <c r="C46" s="465"/>
      <c r="D46" s="110"/>
    </row>
    <row r="47" spans="1:4" ht="15" x14ac:dyDescent="0.25">
      <c r="A47" s="106"/>
      <c r="B47" s="121" t="s">
        <v>410</v>
      </c>
      <c r="C47" s="109"/>
      <c r="D47" s="109"/>
    </row>
    <row r="48" spans="1:4" ht="15.6" thickBot="1" x14ac:dyDescent="0.3">
      <c r="A48" s="106"/>
      <c r="B48" s="716" t="s">
        <v>20</v>
      </c>
      <c r="C48" s="109"/>
      <c r="D48" s="109"/>
    </row>
    <row r="49" spans="1:4" ht="14.4" thickBot="1" x14ac:dyDescent="0.3">
      <c r="A49" s="712"/>
      <c r="B49" s="705" t="s">
        <v>21</v>
      </c>
      <c r="C49" s="104"/>
      <c r="D49" s="105"/>
    </row>
    <row r="50" spans="1:4" ht="15" x14ac:dyDescent="0.25">
      <c r="A50" s="106"/>
      <c r="B50" s="484" t="s">
        <v>1264</v>
      </c>
      <c r="C50" s="109"/>
      <c r="D50" s="110"/>
    </row>
    <row r="51" spans="1:4" ht="15" x14ac:dyDescent="0.25">
      <c r="A51" s="106"/>
      <c r="B51" s="121" t="s">
        <v>44</v>
      </c>
      <c r="C51" s="109"/>
      <c r="D51" s="110"/>
    </row>
    <row r="52" spans="1:4" ht="15.6" thickBot="1" x14ac:dyDescent="0.3">
      <c r="A52" s="106"/>
      <c r="B52" s="714" t="s">
        <v>45</v>
      </c>
      <c r="C52" s="109"/>
      <c r="D52" s="110"/>
    </row>
    <row r="53" spans="1:4" ht="15.75" customHeight="1" thickBot="1" x14ac:dyDescent="0.45">
      <c r="A53" s="717" t="s">
        <v>0</v>
      </c>
      <c r="B53" s="718" t="s">
        <v>23</v>
      </c>
      <c r="C53" s="465"/>
      <c r="D53" s="109"/>
    </row>
    <row r="54" spans="1:4" ht="16.8" x14ac:dyDescent="0.4">
      <c r="A54" s="116"/>
      <c r="B54" s="710"/>
      <c r="C54" s="118"/>
      <c r="D54" s="118"/>
    </row>
    <row r="55" spans="1:4" x14ac:dyDescent="0.25">
      <c r="A55" s="117"/>
      <c r="B55" s="112"/>
      <c r="C55" s="112"/>
      <c r="D55" s="52"/>
    </row>
    <row r="56" spans="1:4" x14ac:dyDescent="0.25">
      <c r="A56" s="117"/>
      <c r="B56" s="112"/>
      <c r="C56" s="112"/>
      <c r="D56" s="52"/>
    </row>
    <row r="57" spans="1:4" ht="16.5" customHeight="1" x14ac:dyDescent="0.25">
      <c r="A57" s="119"/>
      <c r="B57" s="113"/>
      <c r="C57" s="112"/>
      <c r="D57" s="52"/>
    </row>
    <row r="58" spans="1:4" ht="15" x14ac:dyDescent="0.35">
      <c r="A58" s="120" t="s">
        <v>0</v>
      </c>
      <c r="B58" s="114"/>
      <c r="C58" s="112"/>
      <c r="D58" s="112"/>
    </row>
    <row r="59" spans="1:4" x14ac:dyDescent="0.25">
      <c r="A59" s="52" t="s">
        <v>0</v>
      </c>
    </row>
    <row r="61" spans="1:4" ht="24" customHeight="1" x14ac:dyDescent="0.25"/>
    <row r="62" spans="1:4" ht="24" customHeight="1" x14ac:dyDescent="0.25"/>
  </sheetData>
  <mergeCells count="3">
    <mergeCell ref="A4:D4"/>
    <mergeCell ref="A14:D14"/>
    <mergeCell ref="B36:D36"/>
  </mergeCells>
  <printOptions horizontalCentered="1"/>
  <pageMargins left="0.25" right="0.25" top="0.75" bottom="0.75" header="0.3" footer="0.3"/>
  <pageSetup scale="57" fitToWidth="0" orientation="portrait" verticalDpi="300" r:id="rId1"/>
  <headerFooter alignWithMargins="0">
    <oddFooter>Página &amp;P de &amp;N</oddFooter>
  </headerFooter>
  <drawing r:id="rId2"/>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8FF3-AA5D-4B4E-BD96-1305BADCDCD9}">
  <sheetPr>
    <tabColor theme="4" tint="-0.249977111117893"/>
    <pageSetUpPr fitToPage="1"/>
  </sheetPr>
  <dimension ref="A1:E62"/>
  <sheetViews>
    <sheetView topLeftCell="A18" zoomScaleNormal="100" workbookViewId="0">
      <selection activeCell="A20" sqref="A20:D20"/>
    </sheetView>
  </sheetViews>
  <sheetFormatPr baseColWidth="10" defaultColWidth="11.44140625" defaultRowHeight="13.2" x14ac:dyDescent="0.25"/>
  <cols>
    <col min="1" max="1" width="6" style="52" customWidth="1"/>
    <col min="2" max="2" width="117.886718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1243</v>
      </c>
      <c r="B8" s="10"/>
      <c r="C8" s="58"/>
      <c r="D8" s="58"/>
      <c r="E8" s="10"/>
    </row>
    <row r="9" spans="1:5" s="55" customFormat="1" ht="16.8" x14ac:dyDescent="0.4">
      <c r="A9" s="57" t="s">
        <v>1244</v>
      </c>
      <c r="B9" s="10"/>
      <c r="C9" s="58"/>
      <c r="D9" s="58"/>
      <c r="E9" s="10"/>
    </row>
    <row r="10" spans="1:5" s="55" customFormat="1" ht="16.8" x14ac:dyDescent="0.4">
      <c r="A10" s="57" t="s">
        <v>284</v>
      </c>
      <c r="B10" s="10"/>
      <c r="C10" s="58"/>
      <c r="D10" s="58"/>
      <c r="E10" s="10"/>
    </row>
    <row r="11" spans="1:5" s="55" customFormat="1" ht="16.8" x14ac:dyDescent="0.4">
      <c r="A11" s="57" t="s">
        <v>1245</v>
      </c>
      <c r="B11" s="10"/>
      <c r="C11" s="59"/>
      <c r="D11" s="58"/>
      <c r="E11" s="10"/>
    </row>
    <row r="12" spans="1:5" s="55" customFormat="1" ht="15" customHeight="1" x14ac:dyDescent="0.4">
      <c r="A12" s="12" t="s">
        <v>6</v>
      </c>
      <c r="B12" s="13"/>
      <c r="C12" s="14"/>
      <c r="D12" s="15"/>
    </row>
    <row r="13" spans="1:5" s="55" customFormat="1" ht="15" customHeight="1" x14ac:dyDescent="0.4">
      <c r="A13" s="16" t="s">
        <v>1265</v>
      </c>
      <c r="B13" s="13"/>
      <c r="C13" s="14"/>
      <c r="D13" s="15"/>
    </row>
    <row r="14" spans="1:5" s="55" customFormat="1" ht="34.5" customHeight="1" x14ac:dyDescent="0.4">
      <c r="A14" s="1097" t="s">
        <v>73</v>
      </c>
      <c r="B14" s="1098"/>
      <c r="C14" s="1099"/>
      <c r="D14" s="1100"/>
      <c r="E14" s="71"/>
    </row>
    <row r="15" spans="1:5" s="71" customFormat="1" ht="13.8" x14ac:dyDescent="0.25">
      <c r="A15" s="430" t="s">
        <v>29</v>
      </c>
      <c r="B15" s="430" t="s">
        <v>30</v>
      </c>
      <c r="C15" s="431" t="s">
        <v>31</v>
      </c>
      <c r="D15" s="431" t="s">
        <v>32</v>
      </c>
      <c r="E15" s="52"/>
    </row>
    <row r="16" spans="1:5" x14ac:dyDescent="0.25">
      <c r="A16" s="432"/>
      <c r="B16" s="433"/>
      <c r="C16" s="434"/>
      <c r="D16" s="434"/>
      <c r="E16" s="309"/>
    </row>
    <row r="17" spans="1:5" s="96" customFormat="1" ht="45" x14ac:dyDescent="0.25">
      <c r="A17" s="681">
        <v>1</v>
      </c>
      <c r="B17" s="711" t="s">
        <v>1266</v>
      </c>
      <c r="C17" s="29">
        <v>27800</v>
      </c>
      <c r="D17" s="30">
        <f>A17*C17</f>
        <v>27800</v>
      </c>
      <c r="E17" s="683"/>
    </row>
    <row r="18" spans="1:5" ht="30" x14ac:dyDescent="0.25">
      <c r="A18" s="684">
        <v>1</v>
      </c>
      <c r="B18" s="28" t="s">
        <v>1249</v>
      </c>
      <c r="C18" s="29">
        <f>200*102</f>
        <v>20400</v>
      </c>
      <c r="D18" s="30">
        <f>A18*C18</f>
        <v>20400</v>
      </c>
    </row>
    <row r="19" spans="1:5" ht="15.6" x14ac:dyDescent="0.25">
      <c r="A19" s="27">
        <v>153</v>
      </c>
      <c r="B19" s="28" t="s">
        <v>1250</v>
      </c>
      <c r="C19" s="29">
        <v>65</v>
      </c>
      <c r="D19" s="30">
        <f t="shared" ref="D19:D25" si="0">A19*C19</f>
        <v>9945</v>
      </c>
    </row>
    <row r="20" spans="1:5" ht="15.6" x14ac:dyDescent="0.25">
      <c r="A20" s="27">
        <v>1</v>
      </c>
      <c r="B20" s="28" t="s">
        <v>1251</v>
      </c>
      <c r="C20" s="29">
        <v>81091</v>
      </c>
      <c r="D20" s="30">
        <f t="shared" si="0"/>
        <v>81091</v>
      </c>
    </row>
    <row r="21" spans="1:5" ht="15.6" x14ac:dyDescent="0.25">
      <c r="A21" s="27">
        <v>3</v>
      </c>
      <c r="B21" s="28" t="s">
        <v>1267</v>
      </c>
      <c r="C21" s="31">
        <v>5419</v>
      </c>
      <c r="D21" s="30">
        <f t="shared" si="0"/>
        <v>16257</v>
      </c>
    </row>
    <row r="22" spans="1:5" ht="13.5" customHeight="1" x14ac:dyDescent="0.25">
      <c r="A22" s="27">
        <v>3</v>
      </c>
      <c r="B22" s="28" t="s">
        <v>1253</v>
      </c>
      <c r="C22" s="31">
        <v>6219</v>
      </c>
      <c r="D22" s="30">
        <f t="shared" si="0"/>
        <v>18657</v>
      </c>
    </row>
    <row r="23" spans="1:5" ht="15.6" x14ac:dyDescent="0.25">
      <c r="A23" s="27">
        <v>3</v>
      </c>
      <c r="B23" s="28" t="s">
        <v>1254</v>
      </c>
      <c r="C23" s="31">
        <v>781</v>
      </c>
      <c r="D23" s="30">
        <f t="shared" si="0"/>
        <v>2343</v>
      </c>
    </row>
    <row r="24" spans="1:5" ht="15.6" x14ac:dyDescent="0.25">
      <c r="A24" s="27">
        <v>3</v>
      </c>
      <c r="B24" s="28" t="s">
        <v>1255</v>
      </c>
      <c r="C24" s="31">
        <v>192</v>
      </c>
      <c r="D24" s="685">
        <f t="shared" si="0"/>
        <v>576</v>
      </c>
    </row>
    <row r="25" spans="1:5" ht="30" x14ac:dyDescent="0.25">
      <c r="A25" s="690">
        <v>1</v>
      </c>
      <c r="B25" s="691" t="s">
        <v>101</v>
      </c>
      <c r="C25" s="692">
        <v>24512</v>
      </c>
      <c r="D25" s="693">
        <f t="shared" si="0"/>
        <v>24512</v>
      </c>
    </row>
    <row r="26" spans="1:5" ht="30" x14ac:dyDescent="0.25">
      <c r="A26" s="27">
        <v>1</v>
      </c>
      <c r="B26" s="28" t="s">
        <v>1259</v>
      </c>
      <c r="C26" s="29">
        <f>200*102</f>
        <v>20400</v>
      </c>
      <c r="D26" s="30">
        <f>A26*C26</f>
        <v>20400</v>
      </c>
    </row>
    <row r="27" spans="1:5" ht="15.6" x14ac:dyDescent="0.25">
      <c r="A27" s="27"/>
      <c r="B27" s="28" t="s">
        <v>82</v>
      </c>
      <c r="C27" s="29"/>
      <c r="D27" s="30"/>
    </row>
    <row r="28" spans="1:5" ht="15.6" x14ac:dyDescent="0.25">
      <c r="A28" s="27">
        <v>2</v>
      </c>
      <c r="B28" s="694" t="s">
        <v>1260</v>
      </c>
      <c r="C28" s="695">
        <v>2219</v>
      </c>
      <c r="D28" s="30">
        <f>A28*C28</f>
        <v>4438</v>
      </c>
    </row>
    <row r="29" spans="1:5" ht="15.6" x14ac:dyDescent="0.25">
      <c r="A29" s="27">
        <v>1</v>
      </c>
      <c r="B29" s="694" t="s">
        <v>1261</v>
      </c>
      <c r="C29" s="695">
        <v>3500</v>
      </c>
      <c r="D29" s="30">
        <f>A29*C29</f>
        <v>3500</v>
      </c>
    </row>
    <row r="30" spans="1:5" ht="15.6" x14ac:dyDescent="0.25">
      <c r="A30" s="27"/>
      <c r="B30" s="694" t="s">
        <v>1262</v>
      </c>
      <c r="C30" s="695"/>
      <c r="D30" s="696"/>
    </row>
    <row r="31" spans="1:5" ht="15.6" x14ac:dyDescent="0.3">
      <c r="A31" s="697"/>
      <c r="B31" s="698" t="s">
        <v>380</v>
      </c>
      <c r="C31" s="699" t="s">
        <v>38</v>
      </c>
      <c r="D31" s="696">
        <f>SUM(D17:D29)</f>
        <v>229919</v>
      </c>
    </row>
    <row r="32" spans="1:5" ht="15.6" x14ac:dyDescent="0.3">
      <c r="A32" s="101"/>
      <c r="B32" s="700" t="s">
        <v>1263</v>
      </c>
      <c r="C32" s="701" t="s">
        <v>90</v>
      </c>
      <c r="D32" s="30">
        <f>D31*0.16</f>
        <v>36787.040000000001</v>
      </c>
    </row>
    <row r="33" spans="1:4" ht="13.5" customHeight="1" thickBot="1" x14ac:dyDescent="0.35">
      <c r="A33" s="101"/>
      <c r="B33" s="702"/>
      <c r="C33" s="701" t="s">
        <v>40</v>
      </c>
      <c r="D33" s="436">
        <f>D31+D32</f>
        <v>266706.03999999998</v>
      </c>
    </row>
    <row r="34" spans="1:4" ht="16.2" thickBot="1" x14ac:dyDescent="0.3">
      <c r="A34" s="101"/>
      <c r="B34" s="1101" t="s">
        <v>1268</v>
      </c>
      <c r="C34" s="1102"/>
      <c r="D34" s="1103"/>
    </row>
    <row r="35" spans="1:4" ht="14.4" thickBot="1" x14ac:dyDescent="0.3">
      <c r="A35" s="102"/>
      <c r="B35" s="703" t="s">
        <v>9</v>
      </c>
      <c r="C35" s="104"/>
      <c r="D35" s="105"/>
    </row>
    <row r="36" spans="1:4" ht="18" thickBot="1" x14ac:dyDescent="0.3">
      <c r="A36" s="102"/>
      <c r="B36" s="294" t="s">
        <v>10</v>
      </c>
      <c r="C36" s="52"/>
      <c r="D36" s="52"/>
    </row>
    <row r="37" spans="1:4" ht="15.6" thickBot="1" x14ac:dyDescent="0.3">
      <c r="A37" s="463"/>
      <c r="B37" s="703" t="s">
        <v>11</v>
      </c>
      <c r="C37" s="76"/>
      <c r="D37" s="52"/>
    </row>
    <row r="38" spans="1:4" ht="15" x14ac:dyDescent="0.25">
      <c r="A38" s="106"/>
      <c r="B38" s="256" t="s">
        <v>12</v>
      </c>
      <c r="C38" s="52"/>
      <c r="D38" s="52"/>
    </row>
    <row r="39" spans="1:4" ht="15" x14ac:dyDescent="0.25">
      <c r="A39" s="106"/>
      <c r="B39" s="256" t="s">
        <v>13</v>
      </c>
      <c r="C39" s="107"/>
      <c r="D39" s="105"/>
    </row>
    <row r="40" spans="1:4" ht="15.6" thickBot="1" x14ac:dyDescent="0.3">
      <c r="A40" s="106"/>
      <c r="B40" s="704" t="s">
        <v>14</v>
      </c>
      <c r="C40" s="107"/>
      <c r="D40" s="105"/>
    </row>
    <row r="41" spans="1:4" ht="14.4" thickBot="1" x14ac:dyDescent="0.3">
      <c r="A41" s="102"/>
      <c r="B41" s="705" t="s">
        <v>15</v>
      </c>
      <c r="C41" s="104"/>
      <c r="D41" s="107"/>
    </row>
    <row r="42" spans="1:4" ht="15" x14ac:dyDescent="0.25">
      <c r="A42" s="106"/>
      <c r="B42" s="216" t="s">
        <v>42</v>
      </c>
      <c r="C42" s="107"/>
      <c r="D42" s="107"/>
    </row>
    <row r="43" spans="1:4" ht="28.2" thickBot="1" x14ac:dyDescent="0.3">
      <c r="A43" s="106"/>
      <c r="B43" s="706" t="s">
        <v>43</v>
      </c>
      <c r="C43" s="109"/>
      <c r="D43" s="110"/>
    </row>
    <row r="44" spans="1:4" ht="15.6" thickBot="1" x14ac:dyDescent="0.3">
      <c r="A44" s="463"/>
      <c r="B44" s="705" t="s">
        <v>18</v>
      </c>
      <c r="C44" s="465"/>
      <c r="D44" s="110"/>
    </row>
    <row r="45" spans="1:4" ht="15" x14ac:dyDescent="0.25">
      <c r="A45" s="106"/>
      <c r="B45" s="256" t="s">
        <v>540</v>
      </c>
      <c r="C45" s="109"/>
      <c r="D45" s="109"/>
    </row>
    <row r="46" spans="1:4" ht="15.6" thickBot="1" x14ac:dyDescent="0.3">
      <c r="A46" s="106"/>
      <c r="B46" s="707" t="s">
        <v>20</v>
      </c>
      <c r="C46" s="109"/>
      <c r="D46" s="109"/>
    </row>
    <row r="47" spans="1:4" ht="14.4" thickBot="1" x14ac:dyDescent="0.3">
      <c r="A47" s="102"/>
      <c r="B47" s="705" t="s">
        <v>21</v>
      </c>
      <c r="C47" s="104"/>
      <c r="D47" s="105"/>
    </row>
    <row r="48" spans="1:4" ht="15" x14ac:dyDescent="0.25">
      <c r="A48" s="106"/>
      <c r="B48" s="310" t="s">
        <v>1264</v>
      </c>
      <c r="C48" s="109"/>
      <c r="D48" s="110"/>
    </row>
    <row r="49" spans="1:4" ht="15" x14ac:dyDescent="0.25">
      <c r="A49" s="106"/>
      <c r="B49" s="180" t="s">
        <v>44</v>
      </c>
      <c r="C49" s="109"/>
      <c r="D49" s="110"/>
    </row>
    <row r="50" spans="1:4" ht="15.6" thickBot="1" x14ac:dyDescent="0.3">
      <c r="A50" s="106"/>
      <c r="B50" s="708" t="s">
        <v>45</v>
      </c>
      <c r="C50" s="109"/>
      <c r="D50" s="110"/>
    </row>
    <row r="51" spans="1:4" ht="34.200000000000003" thickBot="1" x14ac:dyDescent="0.45">
      <c r="A51" s="464" t="s">
        <v>0</v>
      </c>
      <c r="B51" s="709" t="s">
        <v>23</v>
      </c>
      <c r="C51" s="465"/>
      <c r="D51" s="109"/>
    </row>
    <row r="52" spans="1:4" ht="16.8" x14ac:dyDescent="0.4">
      <c r="A52" s="116"/>
      <c r="B52" s="710"/>
      <c r="C52" s="118"/>
      <c r="D52" s="118"/>
    </row>
    <row r="53" spans="1:4" ht="15.75" customHeight="1" x14ac:dyDescent="0.25">
      <c r="A53" s="117"/>
      <c r="B53" s="112"/>
      <c r="C53" s="112"/>
      <c r="D53" s="52"/>
    </row>
    <row r="54" spans="1:4" x14ac:dyDescent="0.25">
      <c r="A54" s="117"/>
      <c r="B54" s="112"/>
      <c r="C54" s="112"/>
      <c r="D54" s="52"/>
    </row>
    <row r="55" spans="1:4" x14ac:dyDescent="0.25">
      <c r="A55" s="119"/>
      <c r="B55" s="113"/>
      <c r="C55" s="112"/>
      <c r="D55" s="52"/>
    </row>
    <row r="56" spans="1:4" ht="15" x14ac:dyDescent="0.35">
      <c r="A56" s="120" t="s">
        <v>0</v>
      </c>
      <c r="B56" s="114"/>
      <c r="C56" s="112"/>
      <c r="D56" s="112"/>
    </row>
    <row r="57" spans="1:4" ht="16.5" customHeight="1" x14ac:dyDescent="0.25">
      <c r="A57" s="52" t="s">
        <v>0</v>
      </c>
    </row>
    <row r="61" spans="1:4" ht="24" customHeight="1" x14ac:dyDescent="0.25"/>
    <row r="62" spans="1:4" ht="24" customHeight="1" x14ac:dyDescent="0.25"/>
  </sheetData>
  <mergeCells count="3">
    <mergeCell ref="A4:D4"/>
    <mergeCell ref="A14:D14"/>
    <mergeCell ref="B34:D34"/>
  </mergeCells>
  <printOptions horizontalCentered="1"/>
  <pageMargins left="0.25" right="0.25" top="0.75" bottom="0.75" header="0.3" footer="0.3"/>
  <pageSetup scale="60" fitToWidth="0" orientation="portrait" verticalDpi="300" r:id="rId1"/>
  <headerFooter alignWithMargins="0">
    <oddFooter>Página &amp;P de &amp;N</oddFooter>
  </headerFooter>
  <drawing r:id="rId2"/>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ABB-0AFB-4BCF-9873-066C1C6AC665}">
  <sheetPr>
    <tabColor theme="4" tint="-0.249977111117893"/>
    <pageSetUpPr fitToPage="1"/>
  </sheetPr>
  <dimension ref="A1:E62"/>
  <sheetViews>
    <sheetView topLeftCell="A8" zoomScaleNormal="100" workbookViewId="0">
      <selection activeCell="A20" sqref="A20:D20"/>
    </sheetView>
  </sheetViews>
  <sheetFormatPr baseColWidth="10" defaultColWidth="11.44140625" defaultRowHeight="13.2" x14ac:dyDescent="0.25"/>
  <cols>
    <col min="1" max="1" width="6" style="52" customWidth="1"/>
    <col min="2" max="2" width="117.886718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1243</v>
      </c>
      <c r="B8" s="10"/>
      <c r="C8" s="58"/>
      <c r="D8" s="58"/>
      <c r="E8" s="10"/>
    </row>
    <row r="9" spans="1:5" s="55" customFormat="1" ht="16.8" x14ac:dyDescent="0.4">
      <c r="A9" s="57" t="s">
        <v>1244</v>
      </c>
      <c r="B9" s="10"/>
      <c r="C9" s="58"/>
      <c r="D9" s="58"/>
      <c r="E9" s="10"/>
    </row>
    <row r="10" spans="1:5" s="55" customFormat="1" ht="16.8" x14ac:dyDescent="0.4">
      <c r="A10" s="57" t="s">
        <v>284</v>
      </c>
      <c r="B10" s="10"/>
      <c r="C10" s="58"/>
      <c r="D10" s="58"/>
      <c r="E10" s="10"/>
    </row>
    <row r="11" spans="1:5" s="55" customFormat="1" ht="16.8" x14ac:dyDescent="0.4">
      <c r="A11" s="57" t="s">
        <v>1245</v>
      </c>
      <c r="B11" s="10"/>
      <c r="C11" s="59"/>
      <c r="D11" s="58"/>
      <c r="E11" s="10"/>
    </row>
    <row r="12" spans="1:5" s="55" customFormat="1" ht="15" customHeight="1" x14ac:dyDescent="0.4">
      <c r="A12" s="12" t="s">
        <v>6</v>
      </c>
      <c r="B12" s="13"/>
      <c r="C12" s="14"/>
      <c r="D12" s="15"/>
    </row>
    <row r="13" spans="1:5" s="55" customFormat="1" ht="15" customHeight="1" x14ac:dyDescent="0.4">
      <c r="A13" s="16" t="s">
        <v>1265</v>
      </c>
      <c r="B13" s="13"/>
      <c r="C13" s="14"/>
      <c r="D13" s="15"/>
    </row>
    <row r="14" spans="1:5" s="55" customFormat="1" ht="34.5" customHeight="1" x14ac:dyDescent="0.4">
      <c r="A14" s="1097" t="s">
        <v>73</v>
      </c>
      <c r="B14" s="1098"/>
      <c r="C14" s="1099"/>
      <c r="D14" s="1100"/>
      <c r="E14" s="71"/>
    </row>
    <row r="15" spans="1:5" s="71" customFormat="1" ht="13.8" x14ac:dyDescent="0.25">
      <c r="A15" s="430" t="s">
        <v>29</v>
      </c>
      <c r="B15" s="430" t="s">
        <v>30</v>
      </c>
      <c r="C15" s="431" t="s">
        <v>31</v>
      </c>
      <c r="D15" s="431" t="s">
        <v>32</v>
      </c>
      <c r="E15" s="52"/>
    </row>
    <row r="16" spans="1:5" x14ac:dyDescent="0.25">
      <c r="A16" s="432"/>
      <c r="B16" s="433"/>
      <c r="C16" s="434"/>
      <c r="D16" s="434"/>
      <c r="E16" s="309"/>
    </row>
    <row r="17" spans="1:5" s="96" customFormat="1" ht="45" x14ac:dyDescent="0.25">
      <c r="A17" s="681">
        <v>1</v>
      </c>
      <c r="B17" s="711" t="s">
        <v>1266</v>
      </c>
      <c r="C17" s="29">
        <v>23200</v>
      </c>
      <c r="D17" s="30">
        <f>A17*C17</f>
        <v>23200</v>
      </c>
      <c r="E17" s="683"/>
    </row>
    <row r="18" spans="1:5" ht="30" x14ac:dyDescent="0.25">
      <c r="A18" s="684">
        <v>1</v>
      </c>
      <c r="B18" s="28" t="s">
        <v>1249</v>
      </c>
      <c r="C18" s="29">
        <f>200*102</f>
        <v>20400</v>
      </c>
      <c r="D18" s="30">
        <f>A18*C18</f>
        <v>20400</v>
      </c>
    </row>
    <row r="19" spans="1:5" ht="30" x14ac:dyDescent="0.25">
      <c r="A19" s="27">
        <v>1</v>
      </c>
      <c r="B19" s="28" t="s">
        <v>1259</v>
      </c>
      <c r="C19" s="29">
        <f>200*102</f>
        <v>20400</v>
      </c>
      <c r="D19" s="30">
        <f>A19*C19</f>
        <v>20400</v>
      </c>
    </row>
    <row r="20" spans="1:5" ht="15.6" x14ac:dyDescent="0.25">
      <c r="A20" s="27">
        <v>2</v>
      </c>
      <c r="B20" s="694" t="s">
        <v>1260</v>
      </c>
      <c r="C20" s="695">
        <v>2219</v>
      </c>
      <c r="D20" s="30">
        <f>A20*C20</f>
        <v>4438</v>
      </c>
    </row>
    <row r="21" spans="1:5" ht="15.6" x14ac:dyDescent="0.25">
      <c r="A21" s="27">
        <v>1</v>
      </c>
      <c r="B21" s="694" t="s">
        <v>1261</v>
      </c>
      <c r="C21" s="695">
        <v>3500</v>
      </c>
      <c r="D21" s="30">
        <f>A21*C21</f>
        <v>3500</v>
      </c>
    </row>
    <row r="22" spans="1:5" ht="13.5" customHeight="1" x14ac:dyDescent="0.25">
      <c r="A22" s="27"/>
      <c r="B22" s="694" t="s">
        <v>1262</v>
      </c>
      <c r="C22" s="695"/>
      <c r="D22" s="696"/>
    </row>
    <row r="23" spans="1:5" ht="15.6" x14ac:dyDescent="0.3">
      <c r="A23" s="697"/>
      <c r="B23" s="698" t="s">
        <v>380</v>
      </c>
      <c r="C23" s="699" t="s">
        <v>38</v>
      </c>
      <c r="D23" s="696">
        <f>SUM(D17:D21)</f>
        <v>71938</v>
      </c>
    </row>
    <row r="24" spans="1:5" ht="15.6" x14ac:dyDescent="0.3">
      <c r="A24" s="101"/>
      <c r="B24" s="700" t="s">
        <v>1263</v>
      </c>
      <c r="C24" s="701" t="s">
        <v>90</v>
      </c>
      <c r="D24" s="30">
        <f>D23*0.16</f>
        <v>11510.08</v>
      </c>
    </row>
    <row r="25" spans="1:5" ht="16.2" thickBot="1" x14ac:dyDescent="0.35">
      <c r="A25" s="101"/>
      <c r="B25" s="702"/>
      <c r="C25" s="701" t="s">
        <v>40</v>
      </c>
      <c r="D25" s="436">
        <f>D23+D24</f>
        <v>83448.08</v>
      </c>
    </row>
    <row r="26" spans="1:5" ht="16.2" thickBot="1" x14ac:dyDescent="0.3">
      <c r="A26" s="101"/>
      <c r="B26" s="1101" t="s">
        <v>1269</v>
      </c>
      <c r="C26" s="1102"/>
      <c r="D26" s="1103"/>
    </row>
    <row r="27" spans="1:5" ht="14.4" thickBot="1" x14ac:dyDescent="0.3">
      <c r="A27" s="102"/>
      <c r="B27" s="703" t="s">
        <v>9</v>
      </c>
      <c r="C27" s="104"/>
      <c r="D27" s="105"/>
    </row>
    <row r="28" spans="1:5" ht="18" thickBot="1" x14ac:dyDescent="0.3">
      <c r="A28" s="102"/>
      <c r="B28" s="294" t="s">
        <v>10</v>
      </c>
      <c r="C28" s="52"/>
      <c r="D28" s="52"/>
    </row>
    <row r="29" spans="1:5" ht="15.6" thickBot="1" x14ac:dyDescent="0.3">
      <c r="A29" s="463"/>
      <c r="B29" s="703" t="s">
        <v>11</v>
      </c>
      <c r="C29" s="76"/>
      <c r="D29" s="52"/>
    </row>
    <row r="30" spans="1:5" ht="15" x14ac:dyDescent="0.25">
      <c r="A30" s="106"/>
      <c r="B30" s="256" t="s">
        <v>12</v>
      </c>
      <c r="C30" s="52"/>
      <c r="D30" s="52"/>
    </row>
    <row r="31" spans="1:5" ht="15" x14ac:dyDescent="0.25">
      <c r="A31" s="106"/>
      <c r="B31" s="256" t="s">
        <v>13</v>
      </c>
      <c r="C31" s="107"/>
      <c r="D31" s="105"/>
    </row>
    <row r="32" spans="1:5" ht="15.6" thickBot="1" x14ac:dyDescent="0.3">
      <c r="A32" s="106"/>
      <c r="B32" s="704" t="s">
        <v>14</v>
      </c>
      <c r="C32" s="107"/>
      <c r="D32" s="105"/>
    </row>
    <row r="33" spans="1:4" ht="13.5" customHeight="1" thickBot="1" x14ac:dyDescent="0.3">
      <c r="A33" s="102"/>
      <c r="B33" s="705" t="s">
        <v>15</v>
      </c>
      <c r="C33" s="104"/>
      <c r="D33" s="107"/>
    </row>
    <row r="34" spans="1:4" ht="15" x14ac:dyDescent="0.25">
      <c r="A34" s="106"/>
      <c r="B34" s="216" t="s">
        <v>42</v>
      </c>
      <c r="C34" s="107"/>
      <c r="D34" s="107"/>
    </row>
    <row r="35" spans="1:4" ht="28.2" thickBot="1" x14ac:dyDescent="0.3">
      <c r="A35" s="106"/>
      <c r="B35" s="706" t="s">
        <v>43</v>
      </c>
      <c r="C35" s="109"/>
      <c r="D35" s="110"/>
    </row>
    <row r="36" spans="1:4" ht="15.6" thickBot="1" x14ac:dyDescent="0.3">
      <c r="A36" s="463"/>
      <c r="B36" s="705" t="s">
        <v>18</v>
      </c>
      <c r="C36" s="465"/>
      <c r="D36" s="110"/>
    </row>
    <row r="37" spans="1:4" ht="15" x14ac:dyDescent="0.25">
      <c r="A37" s="106"/>
      <c r="B37" s="256" t="s">
        <v>540</v>
      </c>
      <c r="C37" s="109"/>
      <c r="D37" s="109"/>
    </row>
    <row r="38" spans="1:4" ht="15.6" thickBot="1" x14ac:dyDescent="0.3">
      <c r="A38" s="106"/>
      <c r="B38" s="707" t="s">
        <v>20</v>
      </c>
      <c r="C38" s="109"/>
      <c r="D38" s="109"/>
    </row>
    <row r="39" spans="1:4" ht="14.4" thickBot="1" x14ac:dyDescent="0.3">
      <c r="A39" s="102"/>
      <c r="B39" s="705" t="s">
        <v>21</v>
      </c>
      <c r="C39" s="104"/>
      <c r="D39" s="105"/>
    </row>
    <row r="40" spans="1:4" ht="15" x14ac:dyDescent="0.25">
      <c r="A40" s="106"/>
      <c r="B40" s="310" t="s">
        <v>1264</v>
      </c>
      <c r="C40" s="109"/>
      <c r="D40" s="110"/>
    </row>
    <row r="41" spans="1:4" ht="15" x14ac:dyDescent="0.25">
      <c r="A41" s="106"/>
      <c r="B41" s="180" t="s">
        <v>44</v>
      </c>
      <c r="C41" s="109"/>
      <c r="D41" s="110"/>
    </row>
    <row r="42" spans="1:4" ht="15.6" thickBot="1" x14ac:dyDescent="0.3">
      <c r="A42" s="106"/>
      <c r="B42" s="708" t="s">
        <v>45</v>
      </c>
      <c r="C42" s="109"/>
      <c r="D42" s="110"/>
    </row>
    <row r="43" spans="1:4" ht="34.200000000000003" thickBot="1" x14ac:dyDescent="0.45">
      <c r="A43" s="464" t="s">
        <v>0</v>
      </c>
      <c r="B43" s="709" t="s">
        <v>23</v>
      </c>
      <c r="C43" s="465"/>
      <c r="D43" s="109"/>
    </row>
    <row r="44" spans="1:4" ht="16.8" x14ac:dyDescent="0.4">
      <c r="A44" s="116"/>
      <c r="B44" s="710"/>
      <c r="C44" s="118"/>
      <c r="D44" s="118"/>
    </row>
    <row r="45" spans="1:4" x14ac:dyDescent="0.25">
      <c r="A45" s="117"/>
      <c r="B45" s="112"/>
      <c r="C45" s="112"/>
      <c r="D45" s="52"/>
    </row>
    <row r="46" spans="1:4" x14ac:dyDescent="0.25">
      <c r="A46" s="117"/>
      <c r="B46" s="112"/>
      <c r="C46" s="112"/>
      <c r="D46" s="52"/>
    </row>
    <row r="47" spans="1:4" x14ac:dyDescent="0.25">
      <c r="A47" s="119"/>
      <c r="B47" s="113"/>
      <c r="C47" s="112"/>
      <c r="D47" s="52"/>
    </row>
    <row r="48" spans="1:4" ht="15" x14ac:dyDescent="0.35">
      <c r="A48" s="120" t="s">
        <v>0</v>
      </c>
      <c r="B48" s="114"/>
      <c r="C48" s="112"/>
      <c r="D48" s="112"/>
    </row>
    <row r="49" spans="1:1" x14ac:dyDescent="0.25">
      <c r="A49" s="52" t="s">
        <v>0</v>
      </c>
    </row>
    <row r="53" spans="1:1" ht="15.75" customHeight="1" x14ac:dyDescent="0.25"/>
    <row r="57" spans="1:1" ht="16.5" customHeight="1" x14ac:dyDescent="0.25"/>
    <row r="61" spans="1:1" ht="24" customHeight="1" x14ac:dyDescent="0.25"/>
    <row r="62" spans="1:1" ht="24" customHeight="1" x14ac:dyDescent="0.25"/>
  </sheetData>
  <mergeCells count="3">
    <mergeCell ref="A4:D4"/>
    <mergeCell ref="A14:D14"/>
    <mergeCell ref="B26:D26"/>
  </mergeCells>
  <printOptions horizontalCentered="1"/>
  <pageMargins left="0.25" right="0.25" top="0.75" bottom="0.75" header="0.3" footer="0.3"/>
  <pageSetup scale="62" fitToWidth="0" orientation="portrait" verticalDpi="300" r:id="rId1"/>
  <headerFooter alignWithMargins="0">
    <oddFooter>Página &amp;P de &amp;N</oddFooter>
  </headerFooter>
  <drawing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D2ED-5D51-440D-9ECF-AA25DD02C72B}">
  <sheetPr>
    <tabColor theme="4" tint="-0.249977111117893"/>
    <pageSetUpPr fitToPage="1"/>
  </sheetPr>
  <dimension ref="A1:F62"/>
  <sheetViews>
    <sheetView topLeftCell="A15" zoomScaleNormal="100" workbookViewId="0">
      <selection activeCell="A12" sqref="A12:D12"/>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1098</v>
      </c>
      <c r="C7" s="58"/>
      <c r="D7" s="58"/>
    </row>
    <row r="8" spans="1:6" s="10" customFormat="1" ht="16.8" x14ac:dyDescent="0.4">
      <c r="A8" s="57" t="s">
        <v>1099</v>
      </c>
      <c r="C8" s="58"/>
      <c r="D8" s="58"/>
    </row>
    <row r="9" spans="1:6" s="10" customFormat="1" ht="16.8" x14ac:dyDescent="0.4">
      <c r="A9" s="57" t="s">
        <v>1100</v>
      </c>
      <c r="C9" s="58"/>
      <c r="D9" s="58"/>
    </row>
    <row r="10" spans="1:6" s="10" customFormat="1" ht="16.8" x14ac:dyDescent="0.4">
      <c r="A10" s="57" t="s">
        <v>1101</v>
      </c>
      <c r="C10" s="59"/>
      <c r="D10" s="58"/>
    </row>
    <row r="11" spans="1:6" s="10" customFormat="1" ht="16.8" x14ac:dyDescent="0.4">
      <c r="A11" s="60" t="s">
        <v>1273</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1093</v>
      </c>
      <c r="C15" s="625">
        <f>(80*90)+2500</f>
        <v>9700</v>
      </c>
      <c r="D15" s="75">
        <f t="shared" ref="D15:D25" si="0">A15*C15</f>
        <v>9700</v>
      </c>
      <c r="E15" s="189"/>
      <c r="F15" s="108"/>
    </row>
    <row r="16" spans="1:6" ht="69" customHeight="1" x14ac:dyDescent="0.25">
      <c r="A16" s="72">
        <v>1</v>
      </c>
      <c r="B16" s="624" t="s">
        <v>1160</v>
      </c>
      <c r="C16" s="625">
        <f>(13900*1.3)+4500+(1250*5)</f>
        <v>28820</v>
      </c>
      <c r="D16" s="75">
        <f t="shared" si="0"/>
        <v>28820</v>
      </c>
      <c r="E16" s="189"/>
    </row>
    <row r="17" spans="1:6" s="191" customFormat="1" ht="21" customHeight="1" x14ac:dyDescent="0.25">
      <c r="A17" s="72">
        <v>5</v>
      </c>
      <c r="B17" s="624" t="s">
        <v>1152</v>
      </c>
      <c r="C17" s="625">
        <f>1600*1.27</f>
        <v>2032</v>
      </c>
      <c r="D17" s="75">
        <f t="shared" si="0"/>
        <v>10160</v>
      </c>
      <c r="E17" s="189"/>
      <c r="F17" s="108"/>
    </row>
    <row r="18" spans="1:6" ht="15.6" x14ac:dyDescent="0.25">
      <c r="A18" s="72">
        <v>1</v>
      </c>
      <c r="B18" s="624" t="s">
        <v>1153</v>
      </c>
      <c r="C18" s="625">
        <f>2100*1.27</f>
        <v>2667</v>
      </c>
      <c r="D18" s="75">
        <f t="shared" si="0"/>
        <v>2667</v>
      </c>
      <c r="E18" s="189"/>
    </row>
    <row r="19" spans="1:6" ht="15.6" x14ac:dyDescent="0.25">
      <c r="A19" s="72">
        <v>1</v>
      </c>
      <c r="B19" s="624" t="s">
        <v>1154</v>
      </c>
      <c r="C19" s="625">
        <f>3400*1.27</f>
        <v>4318</v>
      </c>
      <c r="D19" s="75">
        <f t="shared" si="0"/>
        <v>4318</v>
      </c>
      <c r="E19" s="189"/>
    </row>
    <row r="20" spans="1:6" ht="15.6" x14ac:dyDescent="0.25">
      <c r="A20" s="72">
        <v>1</v>
      </c>
      <c r="B20" s="624" t="s">
        <v>1155</v>
      </c>
      <c r="C20" s="625">
        <f>360*1.27</f>
        <v>457.2</v>
      </c>
      <c r="D20" s="75">
        <f t="shared" si="0"/>
        <v>457.2</v>
      </c>
      <c r="E20" s="189"/>
    </row>
    <row r="21" spans="1:6" ht="15.6" x14ac:dyDescent="0.25">
      <c r="A21" s="72">
        <v>4</v>
      </c>
      <c r="B21" s="624" t="s">
        <v>1156</v>
      </c>
      <c r="C21" s="625">
        <f>(3070*1.3)+700</f>
        <v>4691</v>
      </c>
      <c r="D21" s="75">
        <f t="shared" si="0"/>
        <v>18764</v>
      </c>
      <c r="E21" s="189"/>
    </row>
    <row r="22" spans="1:6" ht="30" x14ac:dyDescent="0.25">
      <c r="A22" s="72">
        <v>1</v>
      </c>
      <c r="B22" s="624" t="s">
        <v>1271</v>
      </c>
      <c r="C22" s="625">
        <f>26000*1.4</f>
        <v>36400</v>
      </c>
      <c r="D22" s="75">
        <f t="shared" si="0"/>
        <v>36400</v>
      </c>
      <c r="E22" s="189"/>
    </row>
    <row r="23" spans="1:6" ht="45" x14ac:dyDescent="0.25">
      <c r="A23" s="72">
        <v>1</v>
      </c>
      <c r="B23" s="624" t="s">
        <v>1097</v>
      </c>
      <c r="C23" s="625">
        <f>17800</f>
        <v>17800</v>
      </c>
      <c r="D23" s="75">
        <f t="shared" si="0"/>
        <v>17800</v>
      </c>
    </row>
    <row r="24" spans="1:6" ht="15.6" x14ac:dyDescent="0.25">
      <c r="A24" s="72">
        <v>1</v>
      </c>
      <c r="B24" s="624" t="s">
        <v>1151</v>
      </c>
      <c r="C24" s="625">
        <v>2761</v>
      </c>
      <c r="D24" s="75">
        <f t="shared" si="0"/>
        <v>2761</v>
      </c>
    </row>
    <row r="25" spans="1:6" ht="30" x14ac:dyDescent="0.25">
      <c r="A25" s="72">
        <v>1</v>
      </c>
      <c r="B25" s="624" t="s">
        <v>1095</v>
      </c>
      <c r="C25" s="625">
        <v>1680</v>
      </c>
      <c r="D25" s="75">
        <f t="shared" si="0"/>
        <v>1680</v>
      </c>
    </row>
    <row r="26" spans="1:6" x14ac:dyDescent="0.25">
      <c r="A26" s="211"/>
      <c r="B26" s="543" t="s">
        <v>1096</v>
      </c>
      <c r="C26" s="544"/>
      <c r="D26" s="213"/>
    </row>
    <row r="27" spans="1:6" ht="15.6" x14ac:dyDescent="0.25">
      <c r="A27" s="539"/>
      <c r="B27" s="543" t="s">
        <v>1158</v>
      </c>
      <c r="C27" s="629" t="s">
        <v>188</v>
      </c>
      <c r="D27" s="630">
        <f>SUM(D15:D25)</f>
        <v>133527.20000000001</v>
      </c>
    </row>
    <row r="28" spans="1:6" ht="15.6" x14ac:dyDescent="0.3">
      <c r="A28" s="453"/>
      <c r="B28" s="454"/>
      <c r="C28" s="631" t="s">
        <v>90</v>
      </c>
      <c r="D28" s="632">
        <f>D27*0.16</f>
        <v>21364.352000000003</v>
      </c>
    </row>
    <row r="29" spans="1:6" ht="16.2" thickBot="1" x14ac:dyDescent="0.35">
      <c r="A29" s="276"/>
      <c r="B29" s="385"/>
      <c r="C29" s="633" t="s">
        <v>40</v>
      </c>
      <c r="D29" s="634">
        <f>D27+D28</f>
        <v>154891.55200000003</v>
      </c>
    </row>
    <row r="30" spans="1:6" ht="16.2" thickBot="1" x14ac:dyDescent="0.3">
      <c r="A30" s="102"/>
      <c r="B30" s="635" t="s">
        <v>1272</v>
      </c>
      <c r="C30" s="553"/>
      <c r="D30" s="461"/>
    </row>
    <row r="31" spans="1:6" ht="13.8" x14ac:dyDescent="0.25">
      <c r="B31" s="103" t="s">
        <v>15</v>
      </c>
    </row>
    <row r="32" spans="1:6" ht="15" x14ac:dyDescent="0.25">
      <c r="A32" s="106"/>
      <c r="B32" s="295" t="s">
        <v>42</v>
      </c>
    </row>
    <row r="33" spans="1:4" ht="41.4" x14ac:dyDescent="0.25">
      <c r="A33" s="106"/>
      <c r="B33" s="295" t="s">
        <v>43</v>
      </c>
      <c r="C33" s="109"/>
      <c r="D33" s="110"/>
    </row>
    <row r="34" spans="1:4" ht="15" x14ac:dyDescent="0.25">
      <c r="A34" s="106"/>
      <c r="B34" s="103" t="s">
        <v>18</v>
      </c>
      <c r="C34" s="109"/>
      <c r="D34" s="110"/>
    </row>
    <row r="35" spans="1:4" ht="15" x14ac:dyDescent="0.25">
      <c r="A35" s="106"/>
      <c r="B35" s="296" t="s">
        <v>501</v>
      </c>
      <c r="C35" s="109"/>
      <c r="D35" s="109"/>
    </row>
    <row r="36" spans="1:4" ht="15" x14ac:dyDescent="0.25">
      <c r="A36" s="106"/>
      <c r="B36" s="297" t="s">
        <v>20</v>
      </c>
      <c r="C36" s="109"/>
      <c r="D36" s="109"/>
    </row>
    <row r="37" spans="1:4" ht="13.8" x14ac:dyDescent="0.25">
      <c r="B37" s="103" t="s">
        <v>21</v>
      </c>
      <c r="D37" s="105"/>
    </row>
    <row r="38" spans="1:4" ht="15" x14ac:dyDescent="0.25">
      <c r="A38" s="106"/>
      <c r="B38" s="122" t="s">
        <v>502</v>
      </c>
      <c r="C38" s="109"/>
      <c r="D38" s="110"/>
    </row>
    <row r="39" spans="1:4" ht="15" x14ac:dyDescent="0.25">
      <c r="A39" s="106"/>
      <c r="B39" s="123" t="s">
        <v>44</v>
      </c>
      <c r="C39" s="109"/>
      <c r="D39" s="110"/>
    </row>
    <row r="40" spans="1:4" ht="13.8" x14ac:dyDescent="0.25">
      <c r="A40" s="115" t="s">
        <v>0</v>
      </c>
      <c r="B40" s="298" t="s">
        <v>45</v>
      </c>
      <c r="C40" s="109"/>
    </row>
    <row r="41" spans="1:4" ht="50.4" x14ac:dyDescent="0.25">
      <c r="A41" s="222"/>
      <c r="B41" s="314" t="s">
        <v>169</v>
      </c>
      <c r="C41" s="220"/>
      <c r="D41" s="108"/>
    </row>
    <row r="42" spans="1:4" x14ac:dyDescent="0.25">
      <c r="A42" s="222"/>
      <c r="B42" s="181"/>
      <c r="C42" s="181"/>
      <c r="D42" s="108"/>
    </row>
    <row r="43" spans="1:4" x14ac:dyDescent="0.25">
      <c r="A43" s="222"/>
      <c r="B43" s="181"/>
      <c r="C43" s="181"/>
      <c r="D43" s="108"/>
    </row>
    <row r="44" spans="1:4" x14ac:dyDescent="0.25">
      <c r="A44" s="225"/>
      <c r="B44" s="223"/>
      <c r="C44" s="181"/>
      <c r="D44" s="108"/>
    </row>
    <row r="45" spans="1:4" ht="15" x14ac:dyDescent="0.35">
      <c r="A45" s="226"/>
      <c r="B45" s="224"/>
      <c r="C45" s="181"/>
      <c r="D45" s="181"/>
    </row>
    <row r="46" spans="1:4" x14ac:dyDescent="0.25">
      <c r="A4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774D-8748-4C2B-89A3-7D10D7BD1C67}">
  <sheetPr>
    <tabColor theme="4" tint="-0.249977111117893"/>
    <pageSetUpPr fitToPage="1"/>
  </sheetPr>
  <dimension ref="A1:F62"/>
  <sheetViews>
    <sheetView topLeftCell="A16" zoomScaleNormal="100" workbookViewId="0">
      <selection activeCell="C22" sqref="C22"/>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1098</v>
      </c>
      <c r="C7" s="58"/>
      <c r="D7" s="58"/>
    </row>
    <row r="8" spans="1:6" s="10" customFormat="1" ht="16.8" x14ac:dyDescent="0.4">
      <c r="A8" s="57" t="s">
        <v>1099</v>
      </c>
      <c r="C8" s="58"/>
      <c r="D8" s="58"/>
    </row>
    <row r="9" spans="1:6" s="10" customFormat="1" ht="16.8" x14ac:dyDescent="0.4">
      <c r="A9" s="57" t="s">
        <v>1100</v>
      </c>
      <c r="C9" s="58"/>
      <c r="D9" s="58"/>
    </row>
    <row r="10" spans="1:6" s="10" customFormat="1" ht="16.8" x14ac:dyDescent="0.4">
      <c r="A10" s="57" t="s">
        <v>1101</v>
      </c>
      <c r="C10" s="59"/>
      <c r="D10" s="58"/>
    </row>
    <row r="11" spans="1:6" s="10" customFormat="1" ht="16.8" x14ac:dyDescent="0.4">
      <c r="A11" s="60" t="s">
        <v>1157</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45" x14ac:dyDescent="0.25">
      <c r="A15" s="72">
        <v>1</v>
      </c>
      <c r="B15" s="624" t="s">
        <v>1093</v>
      </c>
      <c r="C15" s="625">
        <f>(80*90)+2500</f>
        <v>9700</v>
      </c>
      <c r="D15" s="75">
        <f t="shared" ref="D15:D24" si="0">A15*C15</f>
        <v>9700</v>
      </c>
      <c r="E15" s="189"/>
      <c r="F15" s="108"/>
    </row>
    <row r="16" spans="1:6" ht="75" x14ac:dyDescent="0.25">
      <c r="A16" s="72">
        <v>1</v>
      </c>
      <c r="B16" s="624" t="s">
        <v>1160</v>
      </c>
      <c r="C16" s="625">
        <f>(13900*1.3)+4500+(1250*5)</f>
        <v>28820</v>
      </c>
      <c r="D16" s="75">
        <f t="shared" si="0"/>
        <v>28820</v>
      </c>
      <c r="E16" s="189"/>
    </row>
    <row r="17" spans="1:6" s="191" customFormat="1" ht="21" customHeight="1" x14ac:dyDescent="0.25">
      <c r="A17" s="72">
        <v>1</v>
      </c>
      <c r="B17" s="624" t="s">
        <v>1152</v>
      </c>
      <c r="C17" s="625">
        <f>1600*1.27</f>
        <v>2032</v>
      </c>
      <c r="D17" s="75"/>
      <c r="E17" s="189"/>
      <c r="F17" s="108"/>
    </row>
    <row r="18" spans="1:6" ht="15.6" x14ac:dyDescent="0.25">
      <c r="A18" s="72">
        <v>1</v>
      </c>
      <c r="B18" s="624" t="s">
        <v>1153</v>
      </c>
      <c r="C18" s="625">
        <f>2100*1.27</f>
        <v>2667</v>
      </c>
      <c r="D18" s="75"/>
      <c r="E18" s="189"/>
    </row>
    <row r="19" spans="1:6" ht="15.6" x14ac:dyDescent="0.25">
      <c r="A19" s="72">
        <v>1</v>
      </c>
      <c r="B19" s="624" t="s">
        <v>1154</v>
      </c>
      <c r="C19" s="625">
        <f>3400*1.27</f>
        <v>4318</v>
      </c>
      <c r="D19" s="75"/>
      <c r="E19" s="189"/>
    </row>
    <row r="20" spans="1:6" ht="15.6" x14ac:dyDescent="0.25">
      <c r="A20" s="72">
        <v>1</v>
      </c>
      <c r="B20" s="624" t="s">
        <v>1155</v>
      </c>
      <c r="C20" s="625">
        <f>360*1.27</f>
        <v>457.2</v>
      </c>
      <c r="D20" s="75"/>
      <c r="E20" s="189"/>
    </row>
    <row r="21" spans="1:6" ht="15.6" x14ac:dyDescent="0.25">
      <c r="A21" s="72">
        <v>4</v>
      </c>
      <c r="B21" s="624" t="s">
        <v>1156</v>
      </c>
      <c r="C21" s="625">
        <f>(3070*1.3)+700</f>
        <v>4691</v>
      </c>
      <c r="D21" s="75">
        <f t="shared" si="0"/>
        <v>18764</v>
      </c>
      <c r="E21" s="189"/>
    </row>
    <row r="22" spans="1:6" ht="45" x14ac:dyDescent="0.25">
      <c r="A22" s="72">
        <v>1</v>
      </c>
      <c r="B22" s="624" t="s">
        <v>1097</v>
      </c>
      <c r="C22" s="625">
        <f>17800</f>
        <v>17800</v>
      </c>
      <c r="D22" s="75">
        <f t="shared" si="0"/>
        <v>17800</v>
      </c>
      <c r="E22" s="189"/>
    </row>
    <row r="23" spans="1:6" ht="15.6" x14ac:dyDescent="0.25">
      <c r="A23" s="72">
        <v>1</v>
      </c>
      <c r="B23" s="624" t="s">
        <v>1151</v>
      </c>
      <c r="C23" s="625">
        <v>2761</v>
      </c>
      <c r="D23" s="75">
        <f t="shared" si="0"/>
        <v>2761</v>
      </c>
    </row>
    <row r="24" spans="1:6" ht="30" x14ac:dyDescent="0.25">
      <c r="A24" s="72">
        <v>1</v>
      </c>
      <c r="B24" s="624" t="s">
        <v>1095</v>
      </c>
      <c r="C24" s="625">
        <v>1680</v>
      </c>
      <c r="D24" s="75">
        <f t="shared" si="0"/>
        <v>1680</v>
      </c>
    </row>
    <row r="25" spans="1:6" x14ac:dyDescent="0.25">
      <c r="A25" s="211"/>
      <c r="B25" s="543" t="s">
        <v>1096</v>
      </c>
      <c r="C25" s="544"/>
      <c r="D25" s="213"/>
    </row>
    <row r="26" spans="1:6" ht="15.6" x14ac:dyDescent="0.25">
      <c r="A26" s="539"/>
      <c r="B26" s="543" t="s">
        <v>1158</v>
      </c>
      <c r="C26" s="629" t="s">
        <v>188</v>
      </c>
      <c r="D26" s="630">
        <f>SUM(D15:D24)</f>
        <v>79525</v>
      </c>
    </row>
    <row r="27" spans="1:6" ht="15.6" x14ac:dyDescent="0.3">
      <c r="A27" s="453"/>
      <c r="B27" s="454"/>
      <c r="C27" s="631" t="s">
        <v>90</v>
      </c>
      <c r="D27" s="632">
        <f>D26*0.16</f>
        <v>12724</v>
      </c>
    </row>
    <row r="28" spans="1:6" ht="16.2" thickBot="1" x14ac:dyDescent="0.35">
      <c r="A28" s="276"/>
      <c r="B28" s="385"/>
      <c r="C28" s="633" t="s">
        <v>40</v>
      </c>
      <c r="D28" s="634">
        <f>D26+D27</f>
        <v>92249</v>
      </c>
    </row>
    <row r="29" spans="1:6" ht="16.2" thickBot="1" x14ac:dyDescent="0.3">
      <c r="A29" s="102"/>
      <c r="B29" s="635" t="s">
        <v>1161</v>
      </c>
      <c r="C29" s="553"/>
      <c r="D29" s="461"/>
    </row>
    <row r="30" spans="1:6" ht="13.8" x14ac:dyDescent="0.25">
      <c r="B30" s="103" t="s">
        <v>15</v>
      </c>
    </row>
    <row r="31" spans="1:6" ht="15" x14ac:dyDescent="0.25">
      <c r="A31" s="106"/>
      <c r="B31" s="295" t="s">
        <v>42</v>
      </c>
    </row>
    <row r="32" spans="1:6" ht="41.4" x14ac:dyDescent="0.25">
      <c r="A32" s="106"/>
      <c r="B32" s="295" t="s">
        <v>43</v>
      </c>
      <c r="C32" s="109"/>
      <c r="D32" s="110"/>
    </row>
    <row r="33" spans="1:4" ht="15" x14ac:dyDescent="0.25">
      <c r="A33" s="106"/>
      <c r="B33" s="103" t="s">
        <v>18</v>
      </c>
      <c r="C33" s="109"/>
      <c r="D33" s="110"/>
    </row>
    <row r="34" spans="1:4" ht="15" x14ac:dyDescent="0.25">
      <c r="A34" s="106"/>
      <c r="B34" s="296" t="s">
        <v>501</v>
      </c>
      <c r="C34" s="109"/>
      <c r="D34" s="109"/>
    </row>
    <row r="35" spans="1:4" ht="15" x14ac:dyDescent="0.25">
      <c r="A35" s="106"/>
      <c r="B35" s="297" t="s">
        <v>20</v>
      </c>
      <c r="C35" s="109"/>
      <c r="D35" s="109"/>
    </row>
    <row r="36" spans="1:4" ht="13.8" x14ac:dyDescent="0.25">
      <c r="B36" s="103" t="s">
        <v>21</v>
      </c>
      <c r="D36" s="105"/>
    </row>
    <row r="37" spans="1:4" ht="15" x14ac:dyDescent="0.25">
      <c r="A37" s="106"/>
      <c r="B37" s="122" t="s">
        <v>502</v>
      </c>
      <c r="C37" s="109"/>
      <c r="D37" s="110"/>
    </row>
    <row r="38" spans="1:4" ht="15" x14ac:dyDescent="0.25">
      <c r="A38" s="106"/>
      <c r="B38" s="123" t="s">
        <v>44</v>
      </c>
      <c r="C38" s="109"/>
      <c r="D38" s="110"/>
    </row>
    <row r="39" spans="1:4" ht="13.8" x14ac:dyDescent="0.25">
      <c r="A39" s="115" t="s">
        <v>0</v>
      </c>
      <c r="B39" s="298" t="s">
        <v>45</v>
      </c>
      <c r="C39" s="109"/>
    </row>
    <row r="40" spans="1:4" ht="50.4" x14ac:dyDescent="0.25">
      <c r="A40" s="222"/>
      <c r="B40" s="314"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c r="B44" s="224"/>
      <c r="C44" s="181"/>
      <c r="D44" s="181"/>
    </row>
    <row r="45" spans="1:4" x14ac:dyDescent="0.25">
      <c r="A45"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89C6-E897-49B5-BAF1-31441B876F3F}">
  <sheetPr>
    <tabColor theme="4" tint="-0.249977111117893"/>
    <pageSetUpPr fitToPage="1"/>
  </sheetPr>
  <dimension ref="A1:F62"/>
  <sheetViews>
    <sheetView topLeftCell="B19" zoomScaleNormal="100" workbookViewId="0">
      <selection activeCell="D31" activeCellId="1" sqref="D25 D31"/>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1098</v>
      </c>
      <c r="C7" s="58"/>
      <c r="D7" s="58"/>
    </row>
    <row r="8" spans="1:6" s="10" customFormat="1" ht="16.8" x14ac:dyDescent="0.4">
      <c r="A8" s="57" t="s">
        <v>1099</v>
      </c>
      <c r="C8" s="58"/>
      <c r="D8" s="58"/>
    </row>
    <row r="9" spans="1:6" s="10" customFormat="1" ht="16.8" x14ac:dyDescent="0.4">
      <c r="A9" s="57" t="s">
        <v>1100</v>
      </c>
      <c r="C9" s="58"/>
      <c r="D9" s="58"/>
    </row>
    <row r="10" spans="1:6" s="10" customFormat="1" ht="16.8" x14ac:dyDescent="0.4">
      <c r="A10" s="57" t="s">
        <v>1101</v>
      </c>
      <c r="C10" s="59"/>
      <c r="D10" s="58"/>
    </row>
    <row r="11" spans="1:6" s="10" customFormat="1" ht="16.8" x14ac:dyDescent="0.4">
      <c r="A11" s="60" t="s">
        <v>1273</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15.6" x14ac:dyDescent="0.25">
      <c r="A15" s="72">
        <v>1</v>
      </c>
      <c r="B15" s="624" t="s">
        <v>1153</v>
      </c>
      <c r="C15" s="625">
        <f>2100*1.27</f>
        <v>2667</v>
      </c>
      <c r="D15" s="75">
        <f t="shared" ref="D15:D21" si="0">A15*C15</f>
        <v>2667</v>
      </c>
      <c r="E15" s="189"/>
      <c r="F15" s="108"/>
    </row>
    <row r="16" spans="1:6" ht="15.6" x14ac:dyDescent="0.25">
      <c r="A16" s="72">
        <v>1</v>
      </c>
      <c r="B16" s="624" t="s">
        <v>1154</v>
      </c>
      <c r="C16" s="625">
        <f>3400*1.27</f>
        <v>4318</v>
      </c>
      <c r="D16" s="75">
        <f t="shared" si="0"/>
        <v>4318</v>
      </c>
      <c r="E16" s="189"/>
    </row>
    <row r="17" spans="1:6" s="191" customFormat="1" ht="21" customHeight="1" x14ac:dyDescent="0.25">
      <c r="A17" s="72">
        <v>1</v>
      </c>
      <c r="B17" s="624" t="s">
        <v>1155</v>
      </c>
      <c r="C17" s="625">
        <f>360*1.27</f>
        <v>457.2</v>
      </c>
      <c r="D17" s="75">
        <f t="shared" si="0"/>
        <v>457.2</v>
      </c>
      <c r="E17" s="189"/>
      <c r="F17" s="108"/>
    </row>
    <row r="18" spans="1:6" ht="15.6" x14ac:dyDescent="0.25">
      <c r="A18" s="72">
        <v>4</v>
      </c>
      <c r="B18" s="624" t="s">
        <v>1156</v>
      </c>
      <c r="C18" s="625">
        <f>(3070*1.3)+700</f>
        <v>4691</v>
      </c>
      <c r="D18" s="75">
        <f t="shared" si="0"/>
        <v>18764</v>
      </c>
      <c r="E18" s="189"/>
    </row>
    <row r="19" spans="1:6" ht="30" x14ac:dyDescent="0.25">
      <c r="A19" s="72">
        <v>1</v>
      </c>
      <c r="B19" s="624" t="s">
        <v>1271</v>
      </c>
      <c r="C19" s="625">
        <f>26000*1.4</f>
        <v>36400</v>
      </c>
      <c r="D19" s="75">
        <f t="shared" si="0"/>
        <v>36400</v>
      </c>
      <c r="E19" s="189"/>
    </row>
    <row r="20" spans="1:6" ht="15.6" x14ac:dyDescent="0.25">
      <c r="A20" s="72">
        <v>1</v>
      </c>
      <c r="B20" s="624" t="s">
        <v>1151</v>
      </c>
      <c r="C20" s="625">
        <v>2761</v>
      </c>
      <c r="D20" s="75">
        <f t="shared" si="0"/>
        <v>2761</v>
      </c>
      <c r="E20" s="189"/>
    </row>
    <row r="21" spans="1:6" ht="30" x14ac:dyDescent="0.25">
      <c r="A21" s="72">
        <v>1</v>
      </c>
      <c r="B21" s="624" t="s">
        <v>1095</v>
      </c>
      <c r="C21" s="625">
        <v>1680</v>
      </c>
      <c r="D21" s="75">
        <f t="shared" si="0"/>
        <v>1680</v>
      </c>
      <c r="E21" s="189"/>
    </row>
    <row r="22" spans="1:6" x14ac:dyDescent="0.25">
      <c r="A22" s="211"/>
      <c r="B22" s="543" t="s">
        <v>1096</v>
      </c>
      <c r="C22" s="544"/>
      <c r="D22" s="213"/>
      <c r="E22" s="189"/>
    </row>
    <row r="23" spans="1:6" ht="15.6" x14ac:dyDescent="0.25">
      <c r="A23" s="539"/>
      <c r="B23" s="543" t="s">
        <v>1158</v>
      </c>
      <c r="C23" s="629" t="s">
        <v>188</v>
      </c>
      <c r="D23" s="630">
        <f>SUM(D15:D21)</f>
        <v>67047.199999999997</v>
      </c>
    </row>
    <row r="24" spans="1:6" ht="15.6" x14ac:dyDescent="0.3">
      <c r="A24" s="453"/>
      <c r="B24" s="454"/>
      <c r="C24" s="631" t="s">
        <v>90</v>
      </c>
      <c r="D24" s="632">
        <f>D23*0.16</f>
        <v>10727.552</v>
      </c>
    </row>
    <row r="25" spans="1:6" ht="16.2" thickBot="1" x14ac:dyDescent="0.35">
      <c r="A25" s="276"/>
      <c r="B25" s="385"/>
      <c r="C25" s="633" t="s">
        <v>40</v>
      </c>
      <c r="D25" s="634">
        <f>D23+D24</f>
        <v>77774.751999999993</v>
      </c>
    </row>
    <row r="26" spans="1:6" ht="16.2" thickBot="1" x14ac:dyDescent="0.3">
      <c r="A26" s="102"/>
      <c r="B26" s="635" t="s">
        <v>1274</v>
      </c>
      <c r="C26" s="553"/>
      <c r="D26" s="461"/>
    </row>
    <row r="27" spans="1:6" ht="45" x14ac:dyDescent="0.25">
      <c r="A27" s="72">
        <v>1</v>
      </c>
      <c r="B27" s="624" t="s">
        <v>1093</v>
      </c>
      <c r="C27" s="625">
        <f>(80*90)+2500</f>
        <v>9700</v>
      </c>
      <c r="D27" s="75">
        <f>A27*C27</f>
        <v>9700</v>
      </c>
    </row>
    <row r="28" spans="1:6" ht="60.6" customHeight="1" x14ac:dyDescent="0.25">
      <c r="A28" s="72">
        <v>1</v>
      </c>
      <c r="B28" s="624" t="s">
        <v>1160</v>
      </c>
      <c r="C28" s="625">
        <f>(13900*1.3)+4500+(1250*5)</f>
        <v>28820</v>
      </c>
      <c r="D28" s="75">
        <f>A28*C28</f>
        <v>28820</v>
      </c>
    </row>
    <row r="29" spans="1:6" ht="20.399999999999999" customHeight="1" x14ac:dyDescent="0.25">
      <c r="A29" s="72">
        <v>5</v>
      </c>
      <c r="B29" s="624" t="s">
        <v>1152</v>
      </c>
      <c r="C29" s="625">
        <f>1600*1.27</f>
        <v>2032</v>
      </c>
      <c r="D29" s="75">
        <f>A29*C29</f>
        <v>10160</v>
      </c>
    </row>
    <row r="30" spans="1:6" ht="45" x14ac:dyDescent="0.25">
      <c r="A30" s="72">
        <v>1</v>
      </c>
      <c r="B30" s="624" t="s">
        <v>1097</v>
      </c>
      <c r="C30" s="625">
        <f>17800</f>
        <v>17800</v>
      </c>
      <c r="D30" s="75">
        <f>A30*C30</f>
        <v>17800</v>
      </c>
    </row>
    <row r="31" spans="1:6" ht="15.6" x14ac:dyDescent="0.3">
      <c r="A31" s="720"/>
      <c r="B31" s="719"/>
      <c r="C31" s="633" t="s">
        <v>40</v>
      </c>
      <c r="D31" s="634">
        <f>SUM(D27:D30)</f>
        <v>66480</v>
      </c>
    </row>
    <row r="32" spans="1:6" ht="16.2" thickBot="1" x14ac:dyDescent="0.35">
      <c r="A32" s="720"/>
      <c r="B32" s="719"/>
      <c r="C32" s="721"/>
      <c r="D32" s="722"/>
    </row>
    <row r="33" spans="1:5" ht="16.2" thickBot="1" x14ac:dyDescent="0.35">
      <c r="A33" s="720"/>
      <c r="B33" s="724" t="s">
        <v>1275</v>
      </c>
      <c r="C33" s="725">
        <f>D25+D31</f>
        <v>144254.75199999998</v>
      </c>
      <c r="D33" s="723"/>
      <c r="E33" s="189"/>
    </row>
    <row r="34" spans="1:5" ht="13.8" x14ac:dyDescent="0.25">
      <c r="B34" s="370" t="s">
        <v>15</v>
      </c>
      <c r="C34" s="462" t="s">
        <v>0</v>
      </c>
      <c r="D34" s="462"/>
    </row>
    <row r="35" spans="1:5" ht="15" x14ac:dyDescent="0.25">
      <c r="A35" s="106"/>
      <c r="B35" s="295" t="s">
        <v>42</v>
      </c>
    </row>
    <row r="36" spans="1:5" ht="41.4" x14ac:dyDescent="0.25">
      <c r="A36" s="106"/>
      <c r="B36" s="295" t="s">
        <v>43</v>
      </c>
      <c r="C36" s="109"/>
      <c r="D36" s="110"/>
    </row>
    <row r="37" spans="1:5" ht="15" x14ac:dyDescent="0.25">
      <c r="A37" s="106"/>
      <c r="B37" s="103" t="s">
        <v>18</v>
      </c>
      <c r="C37" s="109"/>
      <c r="D37" s="110"/>
    </row>
    <row r="38" spans="1:5" ht="15" x14ac:dyDescent="0.25">
      <c r="A38" s="106"/>
      <c r="B38" s="296" t="s">
        <v>501</v>
      </c>
      <c r="C38" s="109"/>
      <c r="D38" s="109"/>
    </row>
    <row r="39" spans="1:5" ht="15" x14ac:dyDescent="0.25">
      <c r="A39" s="106"/>
      <c r="B39" s="297" t="s">
        <v>20</v>
      </c>
      <c r="C39" s="109"/>
      <c r="D39" s="109"/>
    </row>
    <row r="40" spans="1:5" ht="13.8" x14ac:dyDescent="0.25">
      <c r="B40" s="103" t="s">
        <v>21</v>
      </c>
      <c r="D40" s="105"/>
    </row>
    <row r="41" spans="1:5" ht="15" x14ac:dyDescent="0.25">
      <c r="A41" s="106"/>
      <c r="B41" s="122" t="s">
        <v>502</v>
      </c>
      <c r="C41" s="109"/>
      <c r="D41" s="110"/>
    </row>
    <row r="42" spans="1:5" ht="15" x14ac:dyDescent="0.25">
      <c r="A42" s="106"/>
      <c r="B42" s="123" t="s">
        <v>44</v>
      </c>
      <c r="C42" s="109"/>
      <c r="D42" s="110"/>
    </row>
    <row r="43" spans="1:5" ht="13.8" x14ac:dyDescent="0.25">
      <c r="A43" s="115" t="s">
        <v>0</v>
      </c>
      <c r="B43" s="298" t="s">
        <v>45</v>
      </c>
      <c r="C43" s="109"/>
    </row>
    <row r="44" spans="1:5" ht="50.4" x14ac:dyDescent="0.25">
      <c r="A44" s="222"/>
      <c r="B44" s="314" t="s">
        <v>169</v>
      </c>
      <c r="C44" s="220"/>
      <c r="D44" s="108"/>
    </row>
    <row r="45" spans="1:5" x14ac:dyDescent="0.25">
      <c r="A45" s="222"/>
      <c r="B45" s="181"/>
      <c r="C45" s="181"/>
      <c r="D45" s="108"/>
    </row>
    <row r="46" spans="1:5" x14ac:dyDescent="0.25">
      <c r="A46" s="222"/>
      <c r="B46" s="181"/>
      <c r="C46" s="181"/>
      <c r="D46" s="108"/>
    </row>
    <row r="47" spans="1:5" x14ac:dyDescent="0.25">
      <c r="A47" s="225"/>
      <c r="B47" s="223"/>
      <c r="C47" s="181"/>
      <c r="D47" s="108"/>
    </row>
    <row r="48" spans="1:5" ht="15" x14ac:dyDescent="0.35">
      <c r="A48" s="226"/>
      <c r="B48" s="224"/>
      <c r="C48" s="181"/>
      <c r="D48" s="181"/>
    </row>
    <row r="49" spans="1:1" x14ac:dyDescent="0.25">
      <c r="A49" s="108" t="s">
        <v>0</v>
      </c>
    </row>
    <row r="53" spans="1:1" ht="17.25" customHeight="1" x14ac:dyDescent="0.25"/>
    <row r="57" spans="1:1" ht="16.5" customHeight="1" x14ac:dyDescent="0.25"/>
    <row r="61" spans="1:1" ht="15.75" customHeight="1" x14ac:dyDescent="0.25"/>
    <row r="62" spans="1:1"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7960-C3C6-44A2-B4E6-B3C9C87449AF}">
  <sheetPr>
    <tabColor theme="4" tint="-0.249977111117893"/>
    <pageSetUpPr fitToPage="1"/>
  </sheetPr>
  <dimension ref="A1:H59"/>
  <sheetViews>
    <sheetView topLeftCell="A14" zoomScaleNormal="100" workbookViewId="0">
      <selection activeCell="C39" sqref="C39"/>
    </sheetView>
  </sheetViews>
  <sheetFormatPr baseColWidth="10" defaultColWidth="11.44140625" defaultRowHeight="13.2" x14ac:dyDescent="0.25"/>
  <cols>
    <col min="1" max="1" width="4.5546875" style="108" customWidth="1"/>
    <col min="2" max="2" width="86.21875" style="108" customWidth="1"/>
    <col min="3" max="3" width="13" style="107" customWidth="1"/>
    <col min="4" max="4" width="13.33203125" style="107" customWidth="1"/>
    <col min="5" max="16384" width="11.44140625" style="108"/>
  </cols>
  <sheetData>
    <row r="1" spans="1:8" ht="81" customHeight="1" x14ac:dyDescent="0.25">
      <c r="A1" s="108" t="s">
        <v>0</v>
      </c>
      <c r="C1" s="185"/>
    </row>
    <row r="2" spans="1:8" ht="9" customHeight="1" x14ac:dyDescent="0.25">
      <c r="C2" s="185"/>
    </row>
    <row r="3" spans="1:8" ht="9" customHeight="1" x14ac:dyDescent="0.25">
      <c r="C3" s="185"/>
    </row>
    <row r="4" spans="1:8" s="10" customFormat="1" ht="16.8" x14ac:dyDescent="0.4">
      <c r="A4" s="1038"/>
      <c r="B4" s="1038"/>
      <c r="C4" s="1038"/>
      <c r="D4" s="1038"/>
    </row>
    <row r="5" spans="1:8" s="10" customFormat="1" ht="16.8" x14ac:dyDescent="0.4">
      <c r="A5" s="57"/>
      <c r="C5" s="58"/>
      <c r="D5" s="58"/>
    </row>
    <row r="6" spans="1:8" s="10" customFormat="1" ht="16.8" x14ac:dyDescent="0.4">
      <c r="A6" s="57"/>
      <c r="C6" s="58"/>
      <c r="D6" s="58"/>
    </row>
    <row r="7" spans="1:8" s="10" customFormat="1" ht="16.8" x14ac:dyDescent="0.4">
      <c r="A7" s="57"/>
      <c r="C7" s="58"/>
      <c r="D7" s="58"/>
    </row>
    <row r="8" spans="1:8" s="10" customFormat="1" ht="16.8" x14ac:dyDescent="0.4">
      <c r="A8" s="57" t="s">
        <v>733</v>
      </c>
      <c r="C8" s="58"/>
      <c r="D8" s="58"/>
    </row>
    <row r="9" spans="1:8" s="10" customFormat="1" ht="16.8" x14ac:dyDescent="0.4">
      <c r="A9" s="57" t="s">
        <v>734</v>
      </c>
      <c r="C9" s="58"/>
      <c r="D9" s="58"/>
    </row>
    <row r="10" spans="1:8" s="10" customFormat="1" ht="16.8" x14ac:dyDescent="0.4">
      <c r="A10" s="57" t="s">
        <v>735</v>
      </c>
      <c r="C10" s="58"/>
      <c r="D10" s="58"/>
    </row>
    <row r="11" spans="1:8" s="10" customFormat="1" ht="16.8" x14ac:dyDescent="0.4">
      <c r="A11" s="57" t="s">
        <v>736</v>
      </c>
      <c r="C11" s="59"/>
      <c r="D11" s="58"/>
    </row>
    <row r="12" spans="1:8" s="10" customFormat="1" ht="15" customHeight="1" x14ac:dyDescent="0.4">
      <c r="A12" s="60" t="s">
        <v>1286</v>
      </c>
      <c r="B12" s="61"/>
      <c r="C12" s="59"/>
      <c r="D12" s="58"/>
    </row>
    <row r="13" spans="1:8" s="10" customFormat="1" ht="15" customHeight="1" x14ac:dyDescent="0.4">
      <c r="A13" s="148"/>
      <c r="B13" s="149"/>
      <c r="C13" s="150"/>
      <c r="D13" s="150"/>
      <c r="E13" s="187"/>
      <c r="F13" s="188"/>
      <c r="G13" s="188"/>
      <c r="H13" s="188"/>
    </row>
    <row r="14" spans="1:8" s="10" customFormat="1" ht="16.8" x14ac:dyDescent="0.4">
      <c r="A14" s="211">
        <v>1</v>
      </c>
      <c r="B14" s="212" t="s">
        <v>1287</v>
      </c>
      <c r="C14" s="730">
        <f>((120530)*1.3)</f>
        <v>156689</v>
      </c>
      <c r="D14" s="213">
        <f>C14*A14</f>
        <v>156689</v>
      </c>
      <c r="E14" s="189"/>
      <c r="F14" s="108"/>
      <c r="G14" s="108"/>
      <c r="H14" s="108"/>
    </row>
    <row r="15" spans="1:8" s="188" customFormat="1" ht="13.8" x14ac:dyDescent="0.25">
      <c r="A15" s="155"/>
      <c r="B15" s="156" t="s">
        <v>117</v>
      </c>
      <c r="C15" s="153"/>
      <c r="D15" s="154"/>
      <c r="E15" s="190"/>
      <c r="F15" s="191"/>
      <c r="G15" s="191"/>
      <c r="H15" s="191"/>
    </row>
    <row r="16" spans="1:8" x14ac:dyDescent="0.25">
      <c r="A16" s="211">
        <v>1</v>
      </c>
      <c r="B16" s="212" t="s">
        <v>1283</v>
      </c>
      <c r="C16" s="210">
        <f>(4769.5*19.6)*1.14</f>
        <v>106569.708</v>
      </c>
      <c r="D16" s="213">
        <f>C16*A16</f>
        <v>106569.708</v>
      </c>
      <c r="E16" s="190"/>
    </row>
    <row r="17" spans="1:8" s="191" customFormat="1" ht="15.75" customHeight="1" x14ac:dyDescent="0.25">
      <c r="A17" s="155"/>
      <c r="B17" s="156" t="s">
        <v>1280</v>
      </c>
      <c r="C17" s="153"/>
      <c r="D17" s="154"/>
      <c r="E17" s="189"/>
      <c r="F17" s="108"/>
      <c r="G17" s="108"/>
      <c r="H17" s="108"/>
    </row>
    <row r="18" spans="1:8" ht="13.5" customHeight="1" x14ac:dyDescent="0.25">
      <c r="A18" s="211">
        <v>1</v>
      </c>
      <c r="B18" s="212" t="s">
        <v>1278</v>
      </c>
      <c r="C18" s="210">
        <f>(7671*19.6)*1.14</f>
        <v>171400.82399999999</v>
      </c>
      <c r="D18" s="213">
        <f>C18*A18</f>
        <v>171400.82399999999</v>
      </c>
      <c r="E18" s="189"/>
    </row>
    <row r="19" spans="1:8" ht="13.5" customHeight="1" x14ac:dyDescent="0.25">
      <c r="A19" s="155"/>
      <c r="B19" s="156" t="s">
        <v>1281</v>
      </c>
      <c r="C19" s="153"/>
      <c r="D19" s="154"/>
      <c r="E19" s="189"/>
    </row>
    <row r="20" spans="1:8" ht="13.5" customHeight="1" x14ac:dyDescent="0.25">
      <c r="A20" s="211">
        <v>1</v>
      </c>
      <c r="B20" s="212" t="s">
        <v>1284</v>
      </c>
      <c r="C20" s="210">
        <f>(154039)*1.27</f>
        <v>195629.53</v>
      </c>
      <c r="D20" s="213">
        <f>C20*A20</f>
        <v>195629.53</v>
      </c>
      <c r="E20" s="190"/>
    </row>
    <row r="21" spans="1:8" ht="13.5" customHeight="1" x14ac:dyDescent="0.25">
      <c r="A21" s="155"/>
      <c r="B21" s="156" t="s">
        <v>1279</v>
      </c>
      <c r="C21" s="153"/>
      <c r="D21" s="154"/>
      <c r="E21" s="189"/>
    </row>
    <row r="22" spans="1:8" ht="13.5" customHeight="1" x14ac:dyDescent="0.25">
      <c r="A22" s="151">
        <v>1</v>
      </c>
      <c r="B22" s="152" t="s">
        <v>1288</v>
      </c>
      <c r="C22" s="210">
        <f>(14720.5*19.6)*1.14</f>
        <v>328914.85200000001</v>
      </c>
      <c r="D22" s="154">
        <f t="shared" ref="D22" si="0">A22*C22</f>
        <v>328914.85200000001</v>
      </c>
    </row>
    <row r="23" spans="1:8" ht="13.5" customHeight="1" x14ac:dyDescent="0.25">
      <c r="A23" s="155"/>
      <c r="B23" s="156" t="s">
        <v>1282</v>
      </c>
      <c r="C23" s="153"/>
      <c r="D23" s="154"/>
    </row>
    <row r="24" spans="1:8" ht="13.5" customHeight="1" x14ac:dyDescent="0.25">
      <c r="A24" s="211">
        <v>1</v>
      </c>
      <c r="B24" s="212" t="s">
        <v>1285</v>
      </c>
      <c r="C24" s="730">
        <f>((95000)*1.3)</f>
        <v>123500</v>
      </c>
      <c r="D24" s="213">
        <f>C24*A24</f>
        <v>123500</v>
      </c>
    </row>
    <row r="25" spans="1:8" x14ac:dyDescent="0.25">
      <c r="A25" s="155"/>
      <c r="B25" s="156" t="s">
        <v>117</v>
      </c>
      <c r="C25" s="153"/>
      <c r="D25" s="154"/>
    </row>
    <row r="26" spans="1:8" x14ac:dyDescent="0.25">
      <c r="A26" s="196"/>
      <c r="B26" s="1039"/>
      <c r="C26" s="1039"/>
      <c r="D26" s="1039"/>
      <c r="E26" s="189"/>
    </row>
    <row r="27" spans="1:8" ht="13.5" customHeight="1" x14ac:dyDescent="0.25">
      <c r="A27" s="198"/>
      <c r="B27" s="199"/>
      <c r="C27" s="197"/>
      <c r="D27" s="200"/>
      <c r="E27" s="189"/>
    </row>
    <row r="28" spans="1:8" ht="26.4" x14ac:dyDescent="0.25">
      <c r="A28" s="145" t="s">
        <v>29</v>
      </c>
      <c r="B28" s="145" t="s">
        <v>30</v>
      </c>
      <c r="C28" s="146" t="s">
        <v>31</v>
      </c>
      <c r="D28" s="146" t="s">
        <v>32</v>
      </c>
      <c r="E28" s="189"/>
    </row>
    <row r="29" spans="1:8" x14ac:dyDescent="0.25">
      <c r="A29" s="148"/>
      <c r="B29" s="149"/>
      <c r="C29" s="150"/>
      <c r="D29" s="150"/>
    </row>
    <row r="30" spans="1:8" x14ac:dyDescent="0.25">
      <c r="A30" s="157">
        <v>1</v>
      </c>
      <c r="B30" s="158" t="s">
        <v>965</v>
      </c>
      <c r="C30" s="159">
        <f>(8500)*(1.5)</f>
        <v>12750</v>
      </c>
      <c r="D30" s="154">
        <f t="shared" ref="D30:D32" si="1">A30*C30</f>
        <v>12750</v>
      </c>
    </row>
    <row r="31" spans="1:8" x14ac:dyDescent="0.25">
      <c r="A31" s="157">
        <v>1</v>
      </c>
      <c r="B31" s="158" t="s">
        <v>966</v>
      </c>
      <c r="C31" s="159">
        <f>(26041)*(1.4)</f>
        <v>36457.399999999994</v>
      </c>
      <c r="D31" s="154">
        <f t="shared" si="1"/>
        <v>36457.399999999994</v>
      </c>
    </row>
    <row r="32" spans="1:8" x14ac:dyDescent="0.25">
      <c r="A32" s="157">
        <v>1</v>
      </c>
      <c r="B32" s="158" t="s">
        <v>967</v>
      </c>
      <c r="C32" s="159">
        <f>(16650)*(1.4)</f>
        <v>23310</v>
      </c>
      <c r="D32" s="154">
        <f t="shared" si="1"/>
        <v>23310</v>
      </c>
    </row>
    <row r="33" spans="1:5" x14ac:dyDescent="0.25">
      <c r="A33" s="211">
        <v>1</v>
      </c>
      <c r="B33" s="212" t="s">
        <v>968</v>
      </c>
      <c r="C33" s="210">
        <f>(2192*20.3)*1.3</f>
        <v>57846.879999999997</v>
      </c>
      <c r="D33" s="213">
        <f>A33*C33</f>
        <v>57846.879999999997</v>
      </c>
      <c r="E33" s="189"/>
    </row>
    <row r="34" spans="1:5" x14ac:dyDescent="0.25">
      <c r="A34" s="208"/>
      <c r="B34" s="204"/>
      <c r="C34" s="205"/>
      <c r="D34" s="209"/>
      <c r="E34" s="189"/>
    </row>
    <row r="35" spans="1:5" ht="26.4" x14ac:dyDescent="0.25">
      <c r="A35" s="162">
        <v>1</v>
      </c>
      <c r="B35" s="163" t="s">
        <v>138</v>
      </c>
      <c r="C35" s="210">
        <v>35627</v>
      </c>
      <c r="D35" s="165">
        <f>A35*C35</f>
        <v>35627</v>
      </c>
      <c r="E35" s="189"/>
    </row>
    <row r="36" spans="1:5" ht="39.6" x14ac:dyDescent="0.25">
      <c r="A36" s="162">
        <v>1</v>
      </c>
      <c r="B36" s="163" t="s">
        <v>139</v>
      </c>
      <c r="C36" s="210">
        <v>37861</v>
      </c>
      <c r="D36" s="165">
        <f>A36*C36</f>
        <v>37861</v>
      </c>
    </row>
    <row r="37" spans="1:5" x14ac:dyDescent="0.25">
      <c r="A37" s="162">
        <v>1</v>
      </c>
      <c r="B37" s="163" t="s">
        <v>140</v>
      </c>
      <c r="C37" s="184">
        <f>(2576.78*21)*(1.3)</f>
        <v>70346.094000000012</v>
      </c>
      <c r="D37" s="165">
        <f>A37*C37</f>
        <v>70346.094000000012</v>
      </c>
      <c r="E37" s="189"/>
    </row>
    <row r="38" spans="1:5" x14ac:dyDescent="0.25">
      <c r="A38" s="211">
        <v>1</v>
      </c>
      <c r="B38" s="212" t="s">
        <v>141</v>
      </c>
      <c r="C38" s="210">
        <v>7200</v>
      </c>
      <c r="D38" s="213">
        <f>A38*C38</f>
        <v>7200</v>
      </c>
      <c r="E38" s="189"/>
    </row>
    <row r="39" spans="1:5" ht="26.4" x14ac:dyDescent="0.25">
      <c r="A39" s="211"/>
      <c r="B39" s="212" t="s">
        <v>142</v>
      </c>
      <c r="C39" s="210"/>
      <c r="D39" s="213"/>
    </row>
    <row r="40" spans="1:5" x14ac:dyDescent="0.25">
      <c r="A40" s="204"/>
      <c r="B40" s="206"/>
      <c r="C40" s="214"/>
      <c r="D40" s="215"/>
    </row>
    <row r="41" spans="1:5" ht="13.8" x14ac:dyDescent="0.25">
      <c r="A41" s="392"/>
      <c r="B41" s="103" t="s">
        <v>15</v>
      </c>
    </row>
    <row r="42" spans="1:5" ht="15" x14ac:dyDescent="0.25">
      <c r="A42" s="390"/>
      <c r="B42" s="295" t="s">
        <v>42</v>
      </c>
    </row>
    <row r="43" spans="1:5" ht="41.4" x14ac:dyDescent="0.25">
      <c r="A43" s="390"/>
      <c r="B43" s="295" t="s">
        <v>143</v>
      </c>
      <c r="C43" s="109"/>
      <c r="D43" s="110"/>
    </row>
    <row r="44" spans="1:5" ht="15" x14ac:dyDescent="0.25">
      <c r="A44" s="390"/>
      <c r="B44" s="103" t="s">
        <v>18</v>
      </c>
      <c r="C44" s="109"/>
      <c r="D44" s="110"/>
    </row>
    <row r="45" spans="1:5" ht="15" x14ac:dyDescent="0.25">
      <c r="A45" s="390"/>
      <c r="B45" s="313" t="s">
        <v>144</v>
      </c>
      <c r="C45" s="109"/>
      <c r="D45" s="109"/>
    </row>
    <row r="46" spans="1:5" ht="15" x14ac:dyDescent="0.25">
      <c r="A46" s="390"/>
      <c r="B46" s="297" t="s">
        <v>20</v>
      </c>
      <c r="C46" s="109"/>
      <c r="D46" s="109"/>
    </row>
    <row r="47" spans="1:5" ht="13.8" x14ac:dyDescent="0.25">
      <c r="A47" s="392"/>
      <c r="B47" s="103" t="s">
        <v>21</v>
      </c>
      <c r="D47" s="105"/>
    </row>
    <row r="48" spans="1:5" ht="15" x14ac:dyDescent="0.25">
      <c r="A48" s="390"/>
      <c r="B48" s="123" t="s">
        <v>145</v>
      </c>
      <c r="C48" s="109"/>
      <c r="D48" s="110"/>
    </row>
    <row r="49" spans="1:4" ht="15" x14ac:dyDescent="0.25">
      <c r="A49" s="390"/>
      <c r="B49" s="123" t="s">
        <v>44</v>
      </c>
      <c r="C49" s="109"/>
      <c r="D49" s="110"/>
    </row>
    <row r="50" spans="1:4" ht="15" x14ac:dyDescent="0.25">
      <c r="A50" s="390"/>
      <c r="B50" s="123" t="s">
        <v>45</v>
      </c>
      <c r="D50" s="181"/>
    </row>
    <row r="51" spans="1:4" ht="50.4" x14ac:dyDescent="0.25">
      <c r="A51" s="390"/>
      <c r="B51" s="314" t="s">
        <v>23</v>
      </c>
      <c r="C51" s="109"/>
      <c r="D51" s="109"/>
    </row>
    <row r="52" spans="1:4" ht="16.8" x14ac:dyDescent="0.4">
      <c r="A52" s="106"/>
      <c r="B52" s="219"/>
      <c r="C52" s="220"/>
      <c r="D52" s="220"/>
    </row>
    <row r="53" spans="1:4" ht="13.8" x14ac:dyDescent="0.25">
      <c r="A53" s="115" t="s">
        <v>0</v>
      </c>
      <c r="B53" s="181"/>
      <c r="C53" s="181"/>
      <c r="D53" s="108"/>
    </row>
    <row r="54" spans="1:4" ht="13.8" x14ac:dyDescent="0.25">
      <c r="A54" s="221"/>
      <c r="B54" s="181"/>
      <c r="C54" s="181"/>
      <c r="D54" s="108"/>
    </row>
    <row r="55" spans="1:4" x14ac:dyDescent="0.25">
      <c r="A55" s="222"/>
      <c r="B55" s="223"/>
      <c r="C55" s="181"/>
      <c r="D55" s="108"/>
    </row>
    <row r="56" spans="1:4" ht="15" x14ac:dyDescent="0.35">
      <c r="A56" s="222"/>
      <c r="B56" s="224"/>
      <c r="C56" s="181"/>
      <c r="D56" s="181"/>
    </row>
    <row r="57" spans="1:4" x14ac:dyDescent="0.25">
      <c r="A57" s="225"/>
    </row>
    <row r="58" spans="1:4" x14ac:dyDescent="0.25">
      <c r="A58" s="226" t="s">
        <v>0</v>
      </c>
    </row>
    <row r="59" spans="1:4" x14ac:dyDescent="0.25">
      <c r="A59" s="108" t="s">
        <v>0</v>
      </c>
    </row>
  </sheetData>
  <mergeCells count="2">
    <mergeCell ref="A4:D4"/>
    <mergeCell ref="B26:D26"/>
  </mergeCells>
  <printOptions horizontalCentered="1"/>
  <pageMargins left="0.59055118110236227" right="0.59055118110236227" top="0.19685039370078741" bottom="0.19685039370078741" header="0.19685039370078741" footer="0.19685039370078741"/>
  <pageSetup paperSize="9" scale="75" fitToWidth="0" orientation="portrait" r:id="rId1"/>
  <headerFooter alignWithMargins="0">
    <oddFooter>Página &amp;P de &amp;N</oddFooter>
  </headerFooter>
  <drawing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8378-1E66-4965-8BC3-C4D3E058E66A}">
  <sheetPr>
    <tabColor theme="4" tint="-0.249977111117893"/>
    <pageSetUpPr fitToPage="1"/>
  </sheetPr>
  <dimension ref="A1:G62"/>
  <sheetViews>
    <sheetView topLeftCell="A8" zoomScaleNormal="100" workbookViewId="0">
      <selection activeCell="A7" sqref="A7:D11"/>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73" t="s">
        <v>915</v>
      </c>
      <c r="C15" s="428">
        <v>76000</v>
      </c>
      <c r="D15" s="75">
        <f t="shared" ref="D15:D23" si="0">A15*C15</f>
        <v>76000</v>
      </c>
      <c r="E15" s="189"/>
      <c r="F15" s="108"/>
      <c r="G15" s="191"/>
    </row>
    <row r="16" spans="1:7" ht="15.6" x14ac:dyDescent="0.25">
      <c r="A16" s="72">
        <v>2</v>
      </c>
      <c r="B16" s="73" t="s">
        <v>268</v>
      </c>
      <c r="C16" s="428">
        <f>6797/2</f>
        <v>3398.5</v>
      </c>
      <c r="D16" s="75">
        <f t="shared" si="0"/>
        <v>6797</v>
      </c>
      <c r="E16" s="189"/>
    </row>
    <row r="17" spans="1:7" s="191" customFormat="1" ht="15.6" x14ac:dyDescent="0.25">
      <c r="A17" s="72">
        <v>2</v>
      </c>
      <c r="B17" s="73" t="s">
        <v>269</v>
      </c>
      <c r="C17" s="428">
        <f>5664/2</f>
        <v>2832</v>
      </c>
      <c r="D17" s="75">
        <f t="shared" si="0"/>
        <v>5664</v>
      </c>
      <c r="E17" s="189"/>
      <c r="F17" s="108"/>
      <c r="G17" s="108"/>
    </row>
    <row r="18" spans="1:7" ht="15.6" x14ac:dyDescent="0.25">
      <c r="A18" s="571">
        <v>2</v>
      </c>
      <c r="B18" s="572" t="s">
        <v>270</v>
      </c>
      <c r="C18" s="626">
        <v>320</v>
      </c>
      <c r="D18" s="75">
        <f t="shared" si="0"/>
        <v>640</v>
      </c>
      <c r="E18" s="189"/>
    </row>
    <row r="19" spans="1:7" ht="30" x14ac:dyDescent="0.25">
      <c r="A19" s="72">
        <v>1</v>
      </c>
      <c r="B19" s="624" t="s">
        <v>1230</v>
      </c>
      <c r="C19" s="665">
        <f>((120530)*1.3)+11000</f>
        <v>167689</v>
      </c>
      <c r="D19" s="75">
        <f t="shared" si="0"/>
        <v>167689</v>
      </c>
    </row>
    <row r="20" spans="1:7" ht="15.6" x14ac:dyDescent="0.25">
      <c r="A20" s="72">
        <v>1</v>
      </c>
      <c r="B20" s="624" t="s">
        <v>1206</v>
      </c>
      <c r="C20" s="665">
        <f>(3500*1.4)+3000</f>
        <v>7900</v>
      </c>
      <c r="D20" s="75">
        <f t="shared" si="0"/>
        <v>7900</v>
      </c>
    </row>
    <row r="21" spans="1:7" ht="45" x14ac:dyDescent="0.25">
      <c r="A21" s="72">
        <v>1</v>
      </c>
      <c r="B21" s="624" t="s">
        <v>750</v>
      </c>
      <c r="C21" s="625">
        <v>13200</v>
      </c>
      <c r="D21" s="75">
        <f t="shared" si="0"/>
        <v>13200</v>
      </c>
    </row>
    <row r="22" spans="1:7" ht="15.6" x14ac:dyDescent="0.25">
      <c r="A22" s="72">
        <v>1</v>
      </c>
      <c r="B22" s="624" t="s">
        <v>745</v>
      </c>
      <c r="C22" s="625">
        <v>4380</v>
      </c>
      <c r="D22" s="75">
        <f t="shared" si="0"/>
        <v>4380</v>
      </c>
    </row>
    <row r="23" spans="1:7" ht="30.6" thickBot="1" x14ac:dyDescent="0.3">
      <c r="A23" s="72">
        <v>1</v>
      </c>
      <c r="B23" s="672" t="s">
        <v>751</v>
      </c>
      <c r="C23" s="625">
        <v>2380</v>
      </c>
      <c r="D23" s="75">
        <f t="shared" si="0"/>
        <v>2380</v>
      </c>
    </row>
    <row r="24" spans="1:7" x14ac:dyDescent="0.25">
      <c r="A24" s="667"/>
      <c r="B24" s="674" t="s">
        <v>1227</v>
      </c>
      <c r="C24" s="669"/>
      <c r="D24" s="213"/>
    </row>
    <row r="25" spans="1:7" ht="15.6" x14ac:dyDescent="0.25">
      <c r="A25" s="668"/>
      <c r="B25" s="675" t="s">
        <v>1228</v>
      </c>
      <c r="C25" s="670" t="s">
        <v>188</v>
      </c>
      <c r="D25" s="630">
        <f>SUM(D15:D23)</f>
        <v>284650</v>
      </c>
    </row>
    <row r="26" spans="1:7" ht="16.2" thickBot="1" x14ac:dyDescent="0.35">
      <c r="A26" s="453"/>
      <c r="B26" s="676"/>
      <c r="C26" s="671" t="s">
        <v>90</v>
      </c>
      <c r="D26" s="632">
        <f>D25*0.16</f>
        <v>45544</v>
      </c>
    </row>
    <row r="27" spans="1:7" ht="16.2" thickBot="1" x14ac:dyDescent="0.35">
      <c r="A27" s="276"/>
      <c r="B27" s="673"/>
      <c r="C27" s="633" t="s">
        <v>40</v>
      </c>
      <c r="D27" s="634">
        <f>D25+D26</f>
        <v>330194</v>
      </c>
    </row>
    <row r="28" spans="1:7" ht="16.2" thickBot="1" x14ac:dyDescent="0.3">
      <c r="A28" s="102"/>
      <c r="B28" s="635" t="s">
        <v>1229</v>
      </c>
      <c r="C28" s="553"/>
      <c r="D28" s="461"/>
    </row>
    <row r="29" spans="1:7" ht="13.5" customHeight="1"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501</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9" fitToWidth="0" orientation="portrait" r:id="rId1"/>
  <headerFooter alignWithMargins="0">
    <oddFooter>Página &amp;P de &amp;N</oddFooter>
  </headerFooter>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F7C3-7674-4550-9480-8498DA21310C}">
  <sheetPr>
    <tabColor theme="4" tint="-0.249977111117893"/>
    <pageSetUpPr fitToPage="1"/>
  </sheetPr>
  <dimension ref="A1:G62"/>
  <sheetViews>
    <sheetView topLeftCell="A9" zoomScaleNormal="100" workbookViewId="0">
      <selection activeCell="C18" sqref="C18"/>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733</v>
      </c>
      <c r="C7" s="58"/>
      <c r="D7" s="58"/>
    </row>
    <row r="8" spans="1:7" s="10" customFormat="1" ht="16.8" x14ac:dyDescent="0.4">
      <c r="A8" s="57" t="s">
        <v>734</v>
      </c>
      <c r="C8" s="58"/>
      <c r="D8" s="58"/>
    </row>
    <row r="9" spans="1:7" s="10" customFormat="1" ht="16.8" x14ac:dyDescent="0.4">
      <c r="A9" s="57" t="s">
        <v>735</v>
      </c>
      <c r="C9" s="58"/>
      <c r="D9" s="58"/>
    </row>
    <row r="10" spans="1:7" s="10" customFormat="1" ht="16.8" x14ac:dyDescent="0.4">
      <c r="A10" s="57" t="s">
        <v>736</v>
      </c>
      <c r="C10" s="59"/>
      <c r="D10" s="58"/>
    </row>
    <row r="11" spans="1:7" s="10" customFormat="1" ht="16.8" x14ac:dyDescent="0.4">
      <c r="A11" s="60" t="s">
        <v>1207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15.6" x14ac:dyDescent="0.25">
      <c r="A15" s="72">
        <v>2</v>
      </c>
      <c r="B15" s="73" t="s">
        <v>268</v>
      </c>
      <c r="C15" s="428">
        <f>6797/2</f>
        <v>3398.5</v>
      </c>
      <c r="D15" s="75">
        <f t="shared" ref="D15:D19" si="0">A15*C15</f>
        <v>6797</v>
      </c>
      <c r="E15" s="189"/>
      <c r="F15" s="108"/>
      <c r="G15" s="191"/>
    </row>
    <row r="16" spans="1:7" ht="15.6" x14ac:dyDescent="0.25">
      <c r="A16" s="72">
        <v>2</v>
      </c>
      <c r="B16" s="73" t="s">
        <v>269</v>
      </c>
      <c r="C16" s="428">
        <f>5664/2</f>
        <v>2832</v>
      </c>
      <c r="D16" s="75">
        <f t="shared" si="0"/>
        <v>5664</v>
      </c>
      <c r="E16" s="189"/>
    </row>
    <row r="17" spans="1:7" s="191" customFormat="1" ht="15.6" x14ac:dyDescent="0.25">
      <c r="A17" s="571">
        <v>2</v>
      </c>
      <c r="B17" s="572" t="s">
        <v>270</v>
      </c>
      <c r="C17" s="626">
        <v>320</v>
      </c>
      <c r="D17" s="75">
        <f t="shared" si="0"/>
        <v>640</v>
      </c>
      <c r="E17" s="189"/>
      <c r="F17" s="108"/>
      <c r="G17" s="108"/>
    </row>
    <row r="18" spans="1:7" ht="30" x14ac:dyDescent="0.25">
      <c r="A18" s="72">
        <v>1</v>
      </c>
      <c r="B18" s="624" t="s">
        <v>1230</v>
      </c>
      <c r="C18" s="665">
        <f>((120530)*1.3)+11000</f>
        <v>167689</v>
      </c>
      <c r="D18" s="75">
        <f t="shared" si="0"/>
        <v>167689</v>
      </c>
      <c r="E18" s="189"/>
    </row>
    <row r="19" spans="1:7" ht="30.6" thickBot="1" x14ac:dyDescent="0.3">
      <c r="A19" s="72">
        <v>1</v>
      </c>
      <c r="B19" s="672" t="s">
        <v>751</v>
      </c>
      <c r="C19" s="625">
        <v>2380</v>
      </c>
      <c r="D19" s="75">
        <f t="shared" si="0"/>
        <v>2380</v>
      </c>
    </row>
    <row r="20" spans="1:7" x14ac:dyDescent="0.25">
      <c r="A20" s="667"/>
      <c r="B20" s="674" t="s">
        <v>1227</v>
      </c>
      <c r="C20" s="669"/>
      <c r="D20" s="213"/>
    </row>
    <row r="21" spans="1:7" ht="15.6" x14ac:dyDescent="0.25">
      <c r="A21" s="668"/>
      <c r="B21" s="675" t="s">
        <v>1228</v>
      </c>
      <c r="C21" s="670" t="s">
        <v>188</v>
      </c>
      <c r="D21" s="630">
        <f>SUM(D15:D19)</f>
        <v>183170</v>
      </c>
    </row>
    <row r="22" spans="1:7" ht="16.2" thickBot="1" x14ac:dyDescent="0.35">
      <c r="A22" s="453"/>
      <c r="B22" s="676"/>
      <c r="C22" s="671" t="s">
        <v>90</v>
      </c>
      <c r="D22" s="632">
        <f>D21*0.16</f>
        <v>29307.200000000001</v>
      </c>
    </row>
    <row r="23" spans="1:7" ht="16.2" thickBot="1" x14ac:dyDescent="0.35">
      <c r="A23" s="276"/>
      <c r="B23" s="673"/>
      <c r="C23" s="633" t="s">
        <v>40</v>
      </c>
      <c r="D23" s="634">
        <f>D21+D22</f>
        <v>212477.2</v>
      </c>
    </row>
    <row r="24" spans="1:7" ht="16.2" thickBot="1" x14ac:dyDescent="0.3">
      <c r="A24" s="102"/>
      <c r="B24" s="635" t="s">
        <v>1276</v>
      </c>
      <c r="C24" s="553"/>
      <c r="D24" s="461"/>
    </row>
    <row r="25" spans="1:7" ht="45" x14ac:dyDescent="0.25">
      <c r="A25" s="72">
        <v>1</v>
      </c>
      <c r="B25" s="73" t="s">
        <v>915</v>
      </c>
      <c r="C25" s="428">
        <v>76000</v>
      </c>
      <c r="D25" s="75">
        <f>A25*C25</f>
        <v>76000</v>
      </c>
    </row>
    <row r="26" spans="1:7" ht="15.6" x14ac:dyDescent="0.25">
      <c r="A26" s="72">
        <v>1</v>
      </c>
      <c r="B26" s="624" t="s">
        <v>1206</v>
      </c>
      <c r="C26" s="665">
        <f>(3500*1.4)+3000</f>
        <v>7900</v>
      </c>
      <c r="D26" s="75">
        <f>A26*C26</f>
        <v>7900</v>
      </c>
    </row>
    <row r="27" spans="1:7" ht="45" x14ac:dyDescent="0.25">
      <c r="A27" s="72">
        <v>1</v>
      </c>
      <c r="B27" s="624" t="s">
        <v>750</v>
      </c>
      <c r="C27" s="625">
        <v>13200</v>
      </c>
      <c r="D27" s="75">
        <f>A27*C27</f>
        <v>13200</v>
      </c>
    </row>
    <row r="28" spans="1:7" ht="15.6" x14ac:dyDescent="0.25">
      <c r="A28" s="72">
        <v>1</v>
      </c>
      <c r="B28" s="624" t="s">
        <v>745</v>
      </c>
      <c r="C28" s="625">
        <v>4380</v>
      </c>
      <c r="D28" s="75">
        <f>A28*C28</f>
        <v>4380</v>
      </c>
    </row>
    <row r="29" spans="1:7" ht="16.2" thickBot="1" x14ac:dyDescent="0.35">
      <c r="A29" s="440"/>
      <c r="B29" s="719"/>
      <c r="C29" s="633" t="s">
        <v>40</v>
      </c>
      <c r="D29" s="634">
        <f>SUM(D25:D28)</f>
        <v>101480</v>
      </c>
    </row>
    <row r="30" spans="1:7" ht="16.2" thickBot="1" x14ac:dyDescent="0.3">
      <c r="A30" s="720"/>
      <c r="B30" s="728" t="s">
        <v>1277</v>
      </c>
      <c r="C30" s="729">
        <f>D23+D29</f>
        <v>313957.2</v>
      </c>
      <c r="D30" s="726"/>
    </row>
    <row r="31" spans="1:7" ht="13.8" x14ac:dyDescent="0.25">
      <c r="B31" s="370" t="s">
        <v>15</v>
      </c>
      <c r="C31" s="727"/>
      <c r="D31" s="666"/>
    </row>
    <row r="32" spans="1:7" ht="15" x14ac:dyDescent="0.25">
      <c r="A32" s="106"/>
      <c r="B32" s="295" t="s">
        <v>42</v>
      </c>
    </row>
    <row r="33" spans="1:4" ht="41.4" x14ac:dyDescent="0.25">
      <c r="A33" s="106"/>
      <c r="B33" s="295" t="s">
        <v>43</v>
      </c>
      <c r="C33" s="109"/>
      <c r="D33" s="110"/>
    </row>
    <row r="34" spans="1:4" ht="15" x14ac:dyDescent="0.25">
      <c r="A34" s="106"/>
      <c r="B34" s="103" t="s">
        <v>18</v>
      </c>
      <c r="C34" s="109"/>
      <c r="D34" s="110"/>
    </row>
    <row r="35" spans="1:4" ht="15" x14ac:dyDescent="0.25">
      <c r="A35" s="106"/>
      <c r="B35" s="296" t="s">
        <v>501</v>
      </c>
      <c r="C35" s="109"/>
      <c r="D35" s="109"/>
    </row>
    <row r="36" spans="1:4" ht="15" x14ac:dyDescent="0.25">
      <c r="A36" s="106"/>
      <c r="B36" s="297" t="s">
        <v>20</v>
      </c>
      <c r="C36" s="109"/>
      <c r="D36" s="109"/>
    </row>
    <row r="37" spans="1:4" ht="13.8" x14ac:dyDescent="0.25">
      <c r="B37" s="103" t="s">
        <v>21</v>
      </c>
      <c r="D37" s="105"/>
    </row>
    <row r="38" spans="1:4" ht="15" x14ac:dyDescent="0.25">
      <c r="A38" s="106"/>
      <c r="B38" s="122" t="s">
        <v>502</v>
      </c>
      <c r="C38" s="109"/>
      <c r="D38" s="110"/>
    </row>
    <row r="39" spans="1:4" ht="15" x14ac:dyDescent="0.25">
      <c r="A39" s="106"/>
      <c r="B39" s="123" t="s">
        <v>44</v>
      </c>
      <c r="C39" s="109"/>
      <c r="D39" s="110"/>
    </row>
    <row r="40" spans="1:4" ht="13.8" x14ac:dyDescent="0.25">
      <c r="A40" s="115" t="s">
        <v>0</v>
      </c>
      <c r="B40" s="298" t="s">
        <v>45</v>
      </c>
      <c r="C40" s="109"/>
    </row>
    <row r="41" spans="1:4" ht="50.4" x14ac:dyDescent="0.25">
      <c r="A41" s="222"/>
      <c r="B41" s="314" t="s">
        <v>169</v>
      </c>
      <c r="C41" s="220"/>
      <c r="D41" s="108"/>
    </row>
    <row r="42" spans="1:4" x14ac:dyDescent="0.25">
      <c r="A42" s="222"/>
      <c r="B42" s="181"/>
      <c r="C42" s="181"/>
      <c r="D42" s="108"/>
    </row>
    <row r="43" spans="1:4" x14ac:dyDescent="0.25">
      <c r="A43" s="222"/>
      <c r="B43" s="181"/>
      <c r="C43" s="181"/>
      <c r="D43" s="108"/>
    </row>
    <row r="44" spans="1:4" x14ac:dyDescent="0.25">
      <c r="A44" s="225"/>
      <c r="B44" s="223"/>
      <c r="C44" s="181"/>
      <c r="D44" s="108"/>
    </row>
    <row r="45" spans="1:4" ht="15" x14ac:dyDescent="0.35">
      <c r="A45" s="226"/>
      <c r="B45" s="224"/>
      <c r="C45" s="181"/>
      <c r="D45" s="181"/>
    </row>
    <row r="46" spans="1:4" x14ac:dyDescent="0.25">
      <c r="A4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D2B1-2855-4343-9258-A3C932C77105}">
  <dimension ref="A1:G89"/>
  <sheetViews>
    <sheetView workbookViewId="0">
      <selection activeCell="D65" sqref="D65:D69"/>
    </sheetView>
  </sheetViews>
  <sheetFormatPr baseColWidth="10" defaultRowHeight="14.4" x14ac:dyDescent="0.3"/>
  <cols>
    <col min="1" max="1" width="6.5546875" style="317" customWidth="1"/>
    <col min="2" max="2" width="60.109375" style="741" bestFit="1" customWidth="1"/>
    <col min="3" max="3" width="7.33203125" bestFit="1" customWidth="1"/>
    <col min="4" max="4" width="45.109375" style="315" customWidth="1"/>
    <col min="5" max="5" width="54" customWidth="1"/>
    <col min="6" max="6" width="18.33203125" bestFit="1" customWidth="1"/>
    <col min="9" max="10" width="11.5546875" customWidth="1"/>
  </cols>
  <sheetData>
    <row r="1" spans="1:7" s="316" customFormat="1" x14ac:dyDescent="0.3">
      <c r="A1" s="737" t="s">
        <v>1290</v>
      </c>
      <c r="B1" s="738" t="s">
        <v>1291</v>
      </c>
      <c r="D1" s="739" t="s">
        <v>1292</v>
      </c>
      <c r="E1" s="737" t="s">
        <v>1293</v>
      </c>
      <c r="F1" s="737" t="s">
        <v>1294</v>
      </c>
    </row>
    <row r="2" spans="1:7" ht="43.2" x14ac:dyDescent="0.3">
      <c r="A2" s="375">
        <v>1</v>
      </c>
      <c r="B2" s="740" t="s">
        <v>1295</v>
      </c>
      <c r="D2" s="740" t="s">
        <v>1296</v>
      </c>
      <c r="E2" s="375" t="s">
        <v>293</v>
      </c>
      <c r="F2" s="375" t="s">
        <v>1297</v>
      </c>
    </row>
    <row r="3" spans="1:7" x14ac:dyDescent="0.3">
      <c r="A3" s="375">
        <v>2</v>
      </c>
      <c r="B3" s="740" t="s">
        <v>1298</v>
      </c>
      <c r="D3" s="740" t="s">
        <v>1299</v>
      </c>
      <c r="E3" s="375" t="s">
        <v>1300</v>
      </c>
      <c r="F3" s="375" t="s">
        <v>1297</v>
      </c>
    </row>
    <row r="4" spans="1:7" ht="43.2" x14ac:dyDescent="0.3">
      <c r="A4" s="375">
        <v>3</v>
      </c>
      <c r="B4" s="740" t="s">
        <v>1301</v>
      </c>
      <c r="D4" s="740" t="s">
        <v>1302</v>
      </c>
      <c r="E4" s="375" t="s">
        <v>302</v>
      </c>
      <c r="F4" s="375" t="s">
        <v>1303</v>
      </c>
    </row>
    <row r="5" spans="1:7" ht="28.8" x14ac:dyDescent="0.3">
      <c r="A5" s="375">
        <v>4</v>
      </c>
      <c r="B5" s="740" t="s">
        <v>1304</v>
      </c>
      <c r="D5" s="740" t="s">
        <v>1305</v>
      </c>
      <c r="E5" s="375" t="s">
        <v>322</v>
      </c>
      <c r="F5" s="375" t="s">
        <v>302</v>
      </c>
    </row>
    <row r="6" spans="1:7" x14ac:dyDescent="0.3">
      <c r="D6" s="740" t="s">
        <v>311</v>
      </c>
      <c r="E6" s="375" t="s">
        <v>310</v>
      </c>
      <c r="F6" s="375" t="s">
        <v>322</v>
      </c>
    </row>
    <row r="7" spans="1:7" x14ac:dyDescent="0.3">
      <c r="D7" s="740" t="s">
        <v>1306</v>
      </c>
      <c r="E7" s="375" t="s">
        <v>312</v>
      </c>
      <c r="F7" s="375" t="s">
        <v>302</v>
      </c>
    </row>
    <row r="12" spans="1:7" s="317" customFormat="1" x14ac:dyDescent="0.3">
      <c r="B12" s="742"/>
      <c r="C12" s="737" t="s">
        <v>287</v>
      </c>
      <c r="D12" s="739" t="s">
        <v>1293</v>
      </c>
      <c r="E12" s="739" t="s">
        <v>289</v>
      </c>
      <c r="F12" s="737" t="s">
        <v>1307</v>
      </c>
      <c r="G12" s="737" t="s">
        <v>1308</v>
      </c>
    </row>
    <row r="13" spans="1:7" ht="28.8" x14ac:dyDescent="0.3">
      <c r="C13" s="1104" t="s">
        <v>292</v>
      </c>
      <c r="D13" s="1105" t="s">
        <v>293</v>
      </c>
      <c r="E13" s="740" t="s">
        <v>294</v>
      </c>
      <c r="F13" s="1106">
        <v>1</v>
      </c>
      <c r="G13" s="1112" t="s">
        <v>1309</v>
      </c>
    </row>
    <row r="14" spans="1:7" x14ac:dyDescent="0.3">
      <c r="C14" s="1104"/>
      <c r="D14" s="1105"/>
      <c r="E14" s="740" t="s">
        <v>296</v>
      </c>
      <c r="F14" s="1106"/>
      <c r="G14" s="1104"/>
    </row>
    <row r="15" spans="1:7" x14ac:dyDescent="0.3">
      <c r="C15" s="1104"/>
      <c r="D15" s="1105"/>
      <c r="E15" s="740" t="s">
        <v>297</v>
      </c>
      <c r="F15" s="1106"/>
      <c r="G15" s="1104"/>
    </row>
    <row r="16" spans="1:7" ht="72" x14ac:dyDescent="0.3">
      <c r="C16" s="1104"/>
      <c r="D16" s="1105"/>
      <c r="E16" s="740" t="s">
        <v>1310</v>
      </c>
      <c r="F16" s="1106"/>
      <c r="G16" s="1104"/>
    </row>
    <row r="17" spans="2:7" ht="28.8" x14ac:dyDescent="0.3">
      <c r="B17" s="744" t="s">
        <v>1311</v>
      </c>
      <c r="C17" s="1104"/>
      <c r="D17" s="1105"/>
      <c r="E17" s="740" t="s">
        <v>1312</v>
      </c>
      <c r="F17" s="1106"/>
      <c r="G17" s="1104"/>
    </row>
    <row r="18" spans="2:7" ht="28.8" x14ac:dyDescent="0.3">
      <c r="C18" s="1104"/>
      <c r="D18" s="1105" t="s">
        <v>302</v>
      </c>
      <c r="E18" s="740" t="s">
        <v>303</v>
      </c>
      <c r="F18" s="1106"/>
      <c r="G18" s="1104"/>
    </row>
    <row r="19" spans="2:7" ht="28.8" x14ac:dyDescent="0.3">
      <c r="C19" s="1104"/>
      <c r="D19" s="1105"/>
      <c r="E19" s="740" t="s">
        <v>305</v>
      </c>
      <c r="F19" s="1106"/>
      <c r="G19" s="1104"/>
    </row>
    <row r="20" spans="2:7" ht="57.6" x14ac:dyDescent="0.3">
      <c r="C20" s="1104"/>
      <c r="D20" s="1105"/>
      <c r="E20" s="740" t="s">
        <v>321</v>
      </c>
      <c r="F20" s="1106"/>
      <c r="G20" s="1104"/>
    </row>
    <row r="21" spans="2:7" x14ac:dyDescent="0.3">
      <c r="C21" s="1104"/>
      <c r="D21" s="1105"/>
      <c r="E21" s="740" t="s">
        <v>308</v>
      </c>
      <c r="F21" s="1106"/>
      <c r="G21" s="1104"/>
    </row>
    <row r="22" spans="2:7" x14ac:dyDescent="0.3">
      <c r="C22" s="1104"/>
      <c r="D22" s="743" t="s">
        <v>310</v>
      </c>
      <c r="E22" s="740" t="s">
        <v>311</v>
      </c>
      <c r="F22" s="1106"/>
      <c r="G22" s="1104"/>
    </row>
    <row r="23" spans="2:7" ht="28.8" x14ac:dyDescent="0.3">
      <c r="C23" s="1104"/>
      <c r="D23" s="745" t="s">
        <v>312</v>
      </c>
      <c r="E23" s="746" t="s">
        <v>313</v>
      </c>
      <c r="F23" s="1106"/>
      <c r="G23" s="1104"/>
    </row>
    <row r="24" spans="2:7" x14ac:dyDescent="0.3">
      <c r="C24" s="737" t="s">
        <v>287</v>
      </c>
      <c r="D24" s="739" t="s">
        <v>1293</v>
      </c>
      <c r="E24" s="739" t="s">
        <v>289</v>
      </c>
      <c r="F24" s="737" t="s">
        <v>1307</v>
      </c>
      <c r="G24" s="737" t="s">
        <v>1308</v>
      </c>
    </row>
    <row r="25" spans="2:7" ht="72" x14ac:dyDescent="0.3">
      <c r="C25" s="1109" t="s">
        <v>317</v>
      </c>
      <c r="D25" s="1105" t="s">
        <v>302</v>
      </c>
      <c r="E25" s="740" t="s">
        <v>318</v>
      </c>
      <c r="F25" s="1106">
        <v>1</v>
      </c>
      <c r="G25" s="1107" t="s">
        <v>1313</v>
      </c>
    </row>
    <row r="26" spans="2:7" ht="28.8" x14ac:dyDescent="0.3">
      <c r="C26" s="1110"/>
      <c r="D26" s="1105"/>
      <c r="E26" s="740" t="s">
        <v>319</v>
      </c>
      <c r="F26" s="1106"/>
      <c r="G26" s="1108"/>
    </row>
    <row r="27" spans="2:7" ht="28.8" x14ac:dyDescent="0.3">
      <c r="B27" s="744" t="s">
        <v>1311</v>
      </c>
      <c r="C27" s="1110"/>
      <c r="D27" s="1105"/>
      <c r="E27" s="740" t="s">
        <v>305</v>
      </c>
      <c r="F27" s="1106"/>
      <c r="G27" s="1108"/>
    </row>
    <row r="28" spans="2:7" ht="57.6" x14ac:dyDescent="0.3">
      <c r="C28" s="1110"/>
      <c r="D28" s="1105"/>
      <c r="E28" s="740" t="s">
        <v>321</v>
      </c>
      <c r="F28" s="1106"/>
      <c r="G28" s="1108"/>
    </row>
    <row r="29" spans="2:7" x14ac:dyDescent="0.3">
      <c r="C29" s="1110"/>
      <c r="D29" s="1105"/>
      <c r="E29" s="740" t="s">
        <v>308</v>
      </c>
      <c r="F29" s="1106"/>
      <c r="G29" s="1108"/>
    </row>
    <row r="30" spans="2:7" x14ac:dyDescent="0.3">
      <c r="C30" s="1110"/>
      <c r="D30" s="747" t="s">
        <v>322</v>
      </c>
      <c r="E30" s="748" t="s">
        <v>323</v>
      </c>
      <c r="F30" s="1106"/>
      <c r="G30" s="1108"/>
    </row>
    <row r="31" spans="2:7" x14ac:dyDescent="0.3">
      <c r="C31" s="1110"/>
      <c r="D31" s="743" t="s">
        <v>310</v>
      </c>
      <c r="E31" s="740" t="s">
        <v>311</v>
      </c>
      <c r="F31" s="1106"/>
      <c r="G31" s="1108"/>
    </row>
    <row r="32" spans="2:7" ht="28.8" x14ac:dyDescent="0.3">
      <c r="C32" s="1111"/>
      <c r="D32" s="745" t="s">
        <v>312</v>
      </c>
      <c r="E32" s="746" t="s">
        <v>324</v>
      </c>
      <c r="F32" s="1106"/>
      <c r="G32" s="1108"/>
    </row>
    <row r="33" spans="2:7" x14ac:dyDescent="0.3">
      <c r="C33" s="737" t="s">
        <v>287</v>
      </c>
      <c r="D33" s="739" t="s">
        <v>1293</v>
      </c>
      <c r="E33" s="739" t="s">
        <v>289</v>
      </c>
      <c r="F33" s="737" t="s">
        <v>1307</v>
      </c>
      <c r="G33" s="737" t="s">
        <v>1308</v>
      </c>
    </row>
    <row r="34" spans="2:7" ht="72" x14ac:dyDescent="0.3">
      <c r="C34" s="1104" t="s">
        <v>326</v>
      </c>
      <c r="D34" s="1105" t="s">
        <v>302</v>
      </c>
      <c r="E34" s="740" t="s">
        <v>327</v>
      </c>
      <c r="F34" s="1106">
        <v>1</v>
      </c>
      <c r="G34" s="1107" t="s">
        <v>1314</v>
      </c>
    </row>
    <row r="35" spans="2:7" ht="28.8" x14ac:dyDescent="0.3">
      <c r="B35" s="744" t="s">
        <v>1311</v>
      </c>
      <c r="C35" s="1104"/>
      <c r="D35" s="1105"/>
      <c r="E35" s="740" t="s">
        <v>329</v>
      </c>
      <c r="F35" s="1106"/>
      <c r="G35" s="1108"/>
    </row>
    <row r="36" spans="2:7" ht="57.6" x14ac:dyDescent="0.3">
      <c r="C36" s="1104"/>
      <c r="D36" s="1105"/>
      <c r="E36" s="740" t="s">
        <v>345</v>
      </c>
      <c r="F36" s="1106"/>
      <c r="G36" s="1108"/>
    </row>
    <row r="37" spans="2:7" x14ac:dyDescent="0.3">
      <c r="C37" s="1104"/>
      <c r="D37" s="1105"/>
      <c r="E37" s="740" t="s">
        <v>308</v>
      </c>
      <c r="F37" s="1106"/>
      <c r="G37" s="1108"/>
    </row>
    <row r="38" spans="2:7" x14ac:dyDescent="0.3">
      <c r="C38" s="1104"/>
      <c r="D38" s="747" t="s">
        <v>322</v>
      </c>
      <c r="E38" s="748" t="s">
        <v>323</v>
      </c>
      <c r="F38" s="1106"/>
      <c r="G38" s="1108"/>
    </row>
    <row r="39" spans="2:7" x14ac:dyDescent="0.3">
      <c r="C39" s="1104"/>
      <c r="D39" s="743" t="s">
        <v>310</v>
      </c>
      <c r="E39" s="740" t="s">
        <v>311</v>
      </c>
      <c r="F39" s="1106"/>
      <c r="G39" s="1108"/>
    </row>
    <row r="40" spans="2:7" ht="28.8" x14ac:dyDescent="0.3">
      <c r="C40" s="1104"/>
      <c r="D40" s="745" t="s">
        <v>312</v>
      </c>
      <c r="E40" s="746" t="s">
        <v>332</v>
      </c>
      <c r="F40" s="1106"/>
      <c r="G40" s="1108"/>
    </row>
    <row r="41" spans="2:7" x14ac:dyDescent="0.3">
      <c r="C41" s="737" t="s">
        <v>287</v>
      </c>
      <c r="D41" s="739" t="s">
        <v>1293</v>
      </c>
      <c r="E41" s="739" t="s">
        <v>289</v>
      </c>
      <c r="F41" s="737" t="s">
        <v>1307</v>
      </c>
      <c r="G41" s="737" t="s">
        <v>1308</v>
      </c>
    </row>
    <row r="42" spans="2:7" ht="72" x14ac:dyDescent="0.3">
      <c r="C42" s="1108" t="s">
        <v>334</v>
      </c>
      <c r="D42" s="1105" t="s">
        <v>302</v>
      </c>
      <c r="E42" s="740" t="s">
        <v>335</v>
      </c>
      <c r="F42" s="1106">
        <v>1</v>
      </c>
      <c r="G42" s="1107" t="s">
        <v>1315</v>
      </c>
    </row>
    <row r="43" spans="2:7" ht="28.8" x14ac:dyDescent="0.3">
      <c r="C43" s="1108"/>
      <c r="D43" s="1105"/>
      <c r="E43" s="740" t="s">
        <v>337</v>
      </c>
      <c r="F43" s="1106"/>
      <c r="G43" s="1108"/>
    </row>
    <row r="44" spans="2:7" ht="57.6" x14ac:dyDescent="0.3">
      <c r="B44" s="744" t="s">
        <v>1311</v>
      </c>
      <c r="C44" s="1108"/>
      <c r="D44" s="1105"/>
      <c r="E44" s="740" t="s">
        <v>345</v>
      </c>
      <c r="F44" s="1106"/>
      <c r="G44" s="1108"/>
    </row>
    <row r="45" spans="2:7" x14ac:dyDescent="0.3">
      <c r="C45" s="1108"/>
      <c r="D45" s="1105"/>
      <c r="E45" s="740" t="s">
        <v>308</v>
      </c>
      <c r="F45" s="1106"/>
      <c r="G45" s="1108"/>
    </row>
    <row r="46" spans="2:7" x14ac:dyDescent="0.3">
      <c r="C46" s="1108"/>
      <c r="D46" s="747" t="s">
        <v>322</v>
      </c>
      <c r="E46" s="748" t="s">
        <v>323</v>
      </c>
      <c r="F46" s="1106"/>
      <c r="G46" s="1108"/>
    </row>
    <row r="47" spans="2:7" x14ac:dyDescent="0.3">
      <c r="C47" s="1108"/>
      <c r="D47" s="743" t="s">
        <v>310</v>
      </c>
      <c r="E47" s="740" t="s">
        <v>311</v>
      </c>
      <c r="F47" s="1106"/>
      <c r="G47" s="1108"/>
    </row>
    <row r="48" spans="2:7" ht="28.8" x14ac:dyDescent="0.3">
      <c r="C48" s="1108"/>
      <c r="D48" s="745" t="s">
        <v>312</v>
      </c>
      <c r="E48" s="746" t="s">
        <v>339</v>
      </c>
      <c r="F48" s="1106"/>
      <c r="G48" s="1108"/>
    </row>
    <row r="49" spans="2:7" x14ac:dyDescent="0.3">
      <c r="C49" s="737" t="s">
        <v>287</v>
      </c>
      <c r="D49" s="739" t="s">
        <v>1293</v>
      </c>
      <c r="E49" s="739" t="s">
        <v>289</v>
      </c>
      <c r="F49" s="737" t="s">
        <v>1307</v>
      </c>
      <c r="G49" s="737" t="s">
        <v>1308</v>
      </c>
    </row>
    <row r="50" spans="2:7" ht="72" x14ac:dyDescent="0.3">
      <c r="C50" s="1104" t="s">
        <v>341</v>
      </c>
      <c r="D50" s="1105" t="s">
        <v>302</v>
      </c>
      <c r="E50" s="740" t="s">
        <v>342</v>
      </c>
      <c r="F50" s="1106">
        <v>2</v>
      </c>
      <c r="G50" s="1107" t="s">
        <v>1316</v>
      </c>
    </row>
    <row r="51" spans="2:7" ht="28.8" x14ac:dyDescent="0.3">
      <c r="B51" s="744" t="s">
        <v>1311</v>
      </c>
      <c r="C51" s="1104"/>
      <c r="D51" s="1105"/>
      <c r="E51" s="740" t="s">
        <v>344</v>
      </c>
      <c r="F51" s="1106"/>
      <c r="G51" s="1108"/>
    </row>
    <row r="52" spans="2:7" ht="57.6" x14ac:dyDescent="0.3">
      <c r="C52" s="1104"/>
      <c r="D52" s="1105"/>
      <c r="E52" s="740" t="s">
        <v>345</v>
      </c>
      <c r="F52" s="1106"/>
      <c r="G52" s="1108"/>
    </row>
    <row r="53" spans="2:7" x14ac:dyDescent="0.3">
      <c r="C53" s="1104"/>
      <c r="D53" s="1105"/>
      <c r="E53" s="740" t="s">
        <v>308</v>
      </c>
      <c r="F53" s="1106"/>
      <c r="G53" s="1108"/>
    </row>
    <row r="54" spans="2:7" x14ac:dyDescent="0.3">
      <c r="C54" s="1104"/>
      <c r="D54" s="743" t="s">
        <v>322</v>
      </c>
      <c r="E54" s="740" t="s">
        <v>323</v>
      </c>
      <c r="F54" s="1106"/>
      <c r="G54" s="1108"/>
    </row>
    <row r="55" spans="2:7" x14ac:dyDescent="0.3">
      <c r="C55" s="1104"/>
      <c r="D55" s="743" t="s">
        <v>310</v>
      </c>
      <c r="E55" s="740" t="s">
        <v>311</v>
      </c>
      <c r="F55" s="1106"/>
      <c r="G55" s="1108"/>
    </row>
    <row r="56" spans="2:7" ht="28.8" x14ac:dyDescent="0.3">
      <c r="C56" s="1104"/>
      <c r="D56" s="745" t="s">
        <v>312</v>
      </c>
      <c r="E56" s="746" t="s">
        <v>347</v>
      </c>
      <c r="F56" s="1106"/>
      <c r="G56" s="1108"/>
    </row>
    <row r="57" spans="2:7" x14ac:dyDescent="0.3">
      <c r="C57" s="737" t="s">
        <v>287</v>
      </c>
      <c r="D57" s="739" t="s">
        <v>1293</v>
      </c>
      <c r="E57" s="739" t="s">
        <v>289</v>
      </c>
      <c r="F57" s="737" t="s">
        <v>1307</v>
      </c>
      <c r="G57" s="737" t="s">
        <v>1308</v>
      </c>
    </row>
    <row r="58" spans="2:7" ht="72" x14ac:dyDescent="0.3">
      <c r="C58" s="1104" t="s">
        <v>349</v>
      </c>
      <c r="D58" s="1105" t="s">
        <v>302</v>
      </c>
      <c r="E58" s="740" t="s">
        <v>342</v>
      </c>
      <c r="F58" s="1106">
        <v>1</v>
      </c>
      <c r="G58" s="1107" t="s">
        <v>1317</v>
      </c>
    </row>
    <row r="59" spans="2:7" ht="28.8" x14ac:dyDescent="0.3">
      <c r="C59" s="1104"/>
      <c r="D59" s="1105"/>
      <c r="E59" s="740" t="s">
        <v>350</v>
      </c>
      <c r="F59" s="1106"/>
      <c r="G59" s="1108"/>
    </row>
    <row r="60" spans="2:7" ht="57.6" x14ac:dyDescent="0.3">
      <c r="B60" s="744" t="s">
        <v>1311</v>
      </c>
      <c r="C60" s="1104"/>
      <c r="D60" s="1105"/>
      <c r="E60" s="740" t="s">
        <v>345</v>
      </c>
      <c r="F60" s="1106"/>
      <c r="G60" s="1108"/>
    </row>
    <row r="61" spans="2:7" x14ac:dyDescent="0.3">
      <c r="C61" s="1104"/>
      <c r="D61" s="1105"/>
      <c r="E61" s="740" t="s">
        <v>308</v>
      </c>
      <c r="F61" s="1106"/>
      <c r="G61" s="1108"/>
    </row>
    <row r="62" spans="2:7" x14ac:dyDescent="0.3">
      <c r="C62" s="1104"/>
      <c r="D62" s="743" t="s">
        <v>322</v>
      </c>
      <c r="E62" s="740" t="s">
        <v>323</v>
      </c>
      <c r="F62" s="1106"/>
      <c r="G62" s="1108"/>
    </row>
    <row r="63" spans="2:7" ht="43.2" x14ac:dyDescent="0.3">
      <c r="C63" s="1104"/>
      <c r="D63" s="745" t="s">
        <v>312</v>
      </c>
      <c r="E63" s="746" t="s">
        <v>352</v>
      </c>
      <c r="F63" s="1106"/>
      <c r="G63" s="1108"/>
    </row>
    <row r="64" spans="2:7" x14ac:dyDescent="0.3">
      <c r="C64" s="737" t="s">
        <v>287</v>
      </c>
      <c r="D64" s="739" t="s">
        <v>1293</v>
      </c>
      <c r="E64" s="739" t="s">
        <v>289</v>
      </c>
      <c r="F64" s="737" t="s">
        <v>1307</v>
      </c>
      <c r="G64" s="737" t="s">
        <v>1308</v>
      </c>
    </row>
    <row r="65" spans="2:7" ht="72" x14ac:dyDescent="0.3">
      <c r="C65" s="1104" t="s">
        <v>354</v>
      </c>
      <c r="D65" s="1105" t="s">
        <v>302</v>
      </c>
      <c r="E65" s="740" t="s">
        <v>355</v>
      </c>
      <c r="F65" s="1106">
        <v>1</v>
      </c>
      <c r="G65" s="1107" t="s">
        <v>1318</v>
      </c>
    </row>
    <row r="66" spans="2:7" ht="28.8" x14ac:dyDescent="0.3">
      <c r="C66" s="1104"/>
      <c r="D66" s="1105"/>
      <c r="E66" s="740" t="s">
        <v>356</v>
      </c>
      <c r="F66" s="1106"/>
      <c r="G66" s="1108"/>
    </row>
    <row r="67" spans="2:7" ht="28.8" x14ac:dyDescent="0.3">
      <c r="B67" s="744" t="s">
        <v>1311</v>
      </c>
      <c r="C67" s="1104"/>
      <c r="D67" s="1105"/>
      <c r="E67" s="740" t="s">
        <v>305</v>
      </c>
      <c r="F67" s="1106"/>
      <c r="G67" s="1108"/>
    </row>
    <row r="68" spans="2:7" ht="57.6" x14ac:dyDescent="0.3">
      <c r="C68" s="1104"/>
      <c r="D68" s="1105"/>
      <c r="E68" s="740" t="s">
        <v>321</v>
      </c>
      <c r="F68" s="1106"/>
      <c r="G68" s="1108"/>
    </row>
    <row r="69" spans="2:7" x14ac:dyDescent="0.3">
      <c r="C69" s="1104"/>
      <c r="D69" s="1105"/>
      <c r="E69" s="740" t="s">
        <v>308</v>
      </c>
      <c r="F69" s="1106"/>
      <c r="G69" s="1108"/>
    </row>
    <row r="70" spans="2:7" x14ac:dyDescent="0.3">
      <c r="C70" s="1104"/>
      <c r="D70" s="743" t="s">
        <v>322</v>
      </c>
      <c r="E70" s="740" t="s">
        <v>323</v>
      </c>
      <c r="F70" s="1106"/>
      <c r="G70" s="1108"/>
    </row>
    <row r="71" spans="2:7" x14ac:dyDescent="0.3">
      <c r="C71" s="1104"/>
      <c r="D71" s="743" t="s">
        <v>310</v>
      </c>
      <c r="E71" s="740" t="s">
        <v>311</v>
      </c>
      <c r="F71" s="1106"/>
      <c r="G71" s="1108"/>
    </row>
    <row r="72" spans="2:7" ht="28.8" x14ac:dyDescent="0.3">
      <c r="C72" s="1104"/>
      <c r="D72" s="745" t="s">
        <v>312</v>
      </c>
      <c r="E72" s="746" t="s">
        <v>357</v>
      </c>
      <c r="F72" s="1106"/>
      <c r="G72" s="1108"/>
    </row>
    <row r="73" spans="2:7" x14ac:dyDescent="0.3">
      <c r="C73" s="737" t="s">
        <v>287</v>
      </c>
      <c r="D73" s="739" t="s">
        <v>1293</v>
      </c>
      <c r="E73" s="739" t="s">
        <v>289</v>
      </c>
      <c r="F73" s="737" t="s">
        <v>1307</v>
      </c>
      <c r="G73" s="737" t="s">
        <v>1308</v>
      </c>
    </row>
    <row r="74" spans="2:7" ht="72" x14ac:dyDescent="0.3">
      <c r="C74" s="1104" t="s">
        <v>359</v>
      </c>
      <c r="D74" s="1105" t="s">
        <v>302</v>
      </c>
      <c r="E74" s="740" t="s">
        <v>360</v>
      </c>
      <c r="F74" s="1106">
        <v>2</v>
      </c>
      <c r="G74" s="1107" t="s">
        <v>1316</v>
      </c>
    </row>
    <row r="75" spans="2:7" ht="28.8" x14ac:dyDescent="0.3">
      <c r="B75" s="744" t="s">
        <v>1311</v>
      </c>
      <c r="C75" s="1104"/>
      <c r="D75" s="1105"/>
      <c r="E75" s="740" t="s">
        <v>361</v>
      </c>
      <c r="F75" s="1106"/>
      <c r="G75" s="1108"/>
    </row>
    <row r="76" spans="2:7" ht="57.6" x14ac:dyDescent="0.3">
      <c r="C76" s="1104"/>
      <c r="D76" s="1105"/>
      <c r="E76" s="740" t="s">
        <v>345</v>
      </c>
      <c r="F76" s="1106"/>
      <c r="G76" s="1108"/>
    </row>
    <row r="77" spans="2:7" x14ac:dyDescent="0.3">
      <c r="C77" s="1104"/>
      <c r="D77" s="1105"/>
      <c r="E77" s="740" t="s">
        <v>308</v>
      </c>
      <c r="F77" s="1106"/>
      <c r="G77" s="1108"/>
    </row>
    <row r="78" spans="2:7" x14ac:dyDescent="0.3">
      <c r="C78" s="1104"/>
      <c r="D78" s="743" t="s">
        <v>322</v>
      </c>
      <c r="E78" s="740" t="s">
        <v>323</v>
      </c>
      <c r="F78" s="1106"/>
      <c r="G78" s="1108"/>
    </row>
    <row r="79" spans="2:7" x14ac:dyDescent="0.3">
      <c r="C79" s="1104"/>
      <c r="D79" s="743" t="s">
        <v>310</v>
      </c>
      <c r="E79" s="740" t="s">
        <v>311</v>
      </c>
      <c r="F79" s="1106"/>
      <c r="G79" s="1108"/>
    </row>
    <row r="80" spans="2:7" ht="28.8" x14ac:dyDescent="0.3">
      <c r="C80" s="1104"/>
      <c r="D80" s="745" t="s">
        <v>312</v>
      </c>
      <c r="E80" s="746" t="s">
        <v>364</v>
      </c>
      <c r="F80" s="1106"/>
      <c r="G80" s="1108"/>
    </row>
    <row r="81" spans="2:7" x14ac:dyDescent="0.3">
      <c r="C81" s="737" t="s">
        <v>287</v>
      </c>
      <c r="D81" s="739" t="s">
        <v>1293</v>
      </c>
      <c r="E81" s="739" t="s">
        <v>289</v>
      </c>
      <c r="F81" s="737" t="s">
        <v>1307</v>
      </c>
      <c r="G81" s="737" t="s">
        <v>1308</v>
      </c>
    </row>
    <row r="82" spans="2:7" ht="72" x14ac:dyDescent="0.3">
      <c r="C82" s="1104" t="s">
        <v>365</v>
      </c>
      <c r="D82" s="1105" t="s">
        <v>302</v>
      </c>
      <c r="E82" s="740" t="s">
        <v>366</v>
      </c>
      <c r="F82" s="1106">
        <v>1</v>
      </c>
      <c r="G82" s="1107" t="s">
        <v>1319</v>
      </c>
    </row>
    <row r="83" spans="2:7" ht="28.8" x14ac:dyDescent="0.3">
      <c r="C83" s="1104"/>
      <c r="D83" s="1105"/>
      <c r="E83" s="740" t="s">
        <v>367</v>
      </c>
      <c r="F83" s="1106"/>
      <c r="G83" s="1108"/>
    </row>
    <row r="84" spans="2:7" ht="28.8" x14ac:dyDescent="0.3">
      <c r="B84" s="744" t="s">
        <v>1311</v>
      </c>
      <c r="C84" s="1104"/>
      <c r="D84" s="1105"/>
      <c r="E84" s="740" t="s">
        <v>305</v>
      </c>
      <c r="F84" s="1106"/>
      <c r="G84" s="1108"/>
    </row>
    <row r="85" spans="2:7" ht="57.6" x14ac:dyDescent="0.3">
      <c r="C85" s="1104"/>
      <c r="D85" s="1105"/>
      <c r="E85" s="740" t="s">
        <v>345</v>
      </c>
      <c r="F85" s="1106"/>
      <c r="G85" s="1108"/>
    </row>
    <row r="86" spans="2:7" x14ac:dyDescent="0.3">
      <c r="C86" s="1104"/>
      <c r="D86" s="1105"/>
      <c r="E86" s="740" t="s">
        <v>308</v>
      </c>
      <c r="F86" s="1106"/>
      <c r="G86" s="1108"/>
    </row>
    <row r="87" spans="2:7" x14ac:dyDescent="0.3">
      <c r="C87" s="1104"/>
      <c r="D87" s="747" t="s">
        <v>322</v>
      </c>
      <c r="E87" s="748" t="s">
        <v>323</v>
      </c>
      <c r="F87" s="1106"/>
      <c r="G87" s="1108"/>
    </row>
    <row r="88" spans="2:7" x14ac:dyDescent="0.3">
      <c r="C88" s="1104"/>
      <c r="D88" s="747" t="s">
        <v>310</v>
      </c>
      <c r="E88" s="748" t="s">
        <v>311</v>
      </c>
      <c r="F88" s="1106"/>
      <c r="G88" s="1108"/>
    </row>
    <row r="89" spans="2:7" ht="28.8" x14ac:dyDescent="0.3">
      <c r="C89" s="1104"/>
      <c r="D89" s="745" t="s">
        <v>312</v>
      </c>
      <c r="E89" s="746" t="s">
        <v>368</v>
      </c>
      <c r="F89" s="1106"/>
      <c r="G89" s="1108"/>
    </row>
  </sheetData>
  <mergeCells count="37">
    <mergeCell ref="C25:C32"/>
    <mergeCell ref="D25:D29"/>
    <mergeCell ref="F25:F32"/>
    <mergeCell ref="G25:G32"/>
    <mergeCell ref="C13:C23"/>
    <mergeCell ref="D13:D17"/>
    <mergeCell ref="F13:F23"/>
    <mergeCell ref="G13:G23"/>
    <mergeCell ref="D18:D21"/>
    <mergeCell ref="C34:C40"/>
    <mergeCell ref="D34:D37"/>
    <mergeCell ref="F34:F40"/>
    <mergeCell ref="G34:G40"/>
    <mergeCell ref="C42:C48"/>
    <mergeCell ref="D42:D45"/>
    <mergeCell ref="F42:F48"/>
    <mergeCell ref="G42:G48"/>
    <mergeCell ref="C50:C56"/>
    <mergeCell ref="D50:D53"/>
    <mergeCell ref="F50:F56"/>
    <mergeCell ref="G50:G56"/>
    <mergeCell ref="C58:C63"/>
    <mergeCell ref="D58:D61"/>
    <mergeCell ref="F58:F63"/>
    <mergeCell ref="G58:G63"/>
    <mergeCell ref="C82:C89"/>
    <mergeCell ref="D82:D86"/>
    <mergeCell ref="F82:F89"/>
    <mergeCell ref="G82:G89"/>
    <mergeCell ref="C65:C72"/>
    <mergeCell ref="D65:D69"/>
    <mergeCell ref="F65:F72"/>
    <mergeCell ref="G65:G72"/>
    <mergeCell ref="C74:C80"/>
    <mergeCell ref="D74:D77"/>
    <mergeCell ref="F74:F80"/>
    <mergeCell ref="G74:G80"/>
  </mergeCells>
  <hyperlinks>
    <hyperlink ref="G13" r:id="rId1" xr:uid="{BC433F3E-B6DF-4628-A913-B010D0868177}"/>
    <hyperlink ref="G25" r:id="rId2" xr:uid="{4DD15C52-014F-4CA5-A911-F9F8FFCCD997}"/>
    <hyperlink ref="G34" r:id="rId3" xr:uid="{2C5B5D77-7C06-4198-916D-7731A46E01E9}"/>
    <hyperlink ref="G42" r:id="rId4" xr:uid="{D9965A0E-E499-4913-9A0D-60F66D2539F4}"/>
    <hyperlink ref="G50" r:id="rId5" xr:uid="{7B098A9F-A79A-4566-A748-472D48D9B7CB}"/>
    <hyperlink ref="G74" r:id="rId6" xr:uid="{9F6B6C99-2555-4E82-9200-68DCF518FA1B}"/>
    <hyperlink ref="G58" r:id="rId7" xr:uid="{6792613A-2844-4932-B7F4-571E5BC0FD2B}"/>
    <hyperlink ref="G65" r:id="rId8" xr:uid="{7D5EAB5D-13EA-46F2-A566-8F5855FB81E2}"/>
    <hyperlink ref="G82" r:id="rId9" xr:uid="{A21C29AC-D485-4F33-A900-A54D08FD631E}"/>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A8E2-104B-4BEC-9D24-ED6521CBB4D5}">
  <sheetPr>
    <tabColor theme="4" tint="-0.249977111117893"/>
    <pageSetUpPr fitToPage="1"/>
  </sheetPr>
  <dimension ref="A1:F62"/>
  <sheetViews>
    <sheetView zoomScaleNormal="100" workbookViewId="0">
      <selection activeCell="A16" sqref="A16"/>
    </sheetView>
  </sheetViews>
  <sheetFormatPr baseColWidth="10" defaultColWidth="10.33203125" defaultRowHeight="13.2" x14ac:dyDescent="0.25"/>
  <cols>
    <col min="1" max="1" width="5.44140625" style="108" customWidth="1"/>
    <col min="2" max="2" width="69.88671875" style="108" customWidth="1"/>
    <col min="3" max="3" width="12.109375" style="107" bestFit="1" customWidth="1"/>
    <col min="4" max="4" width="13.3320312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417</v>
      </c>
      <c r="B8" s="228"/>
      <c r="C8" s="229"/>
      <c r="D8" s="229"/>
    </row>
    <row r="9" spans="1:6" s="10" customFormat="1" ht="19.2" x14ac:dyDescent="0.45">
      <c r="A9" s="227" t="s">
        <v>418</v>
      </c>
      <c r="B9" s="228"/>
      <c r="C9" s="229"/>
      <c r="D9" s="229"/>
    </row>
    <row r="10" spans="1:6" s="10" customFormat="1" ht="19.2" x14ac:dyDescent="0.45">
      <c r="A10" s="227" t="s">
        <v>419</v>
      </c>
      <c r="B10" s="228"/>
      <c r="C10" s="230"/>
      <c r="D10" s="229"/>
    </row>
    <row r="11" spans="1:6" s="10" customFormat="1" ht="19.2" x14ac:dyDescent="0.45">
      <c r="A11" s="227" t="s">
        <v>420</v>
      </c>
      <c r="B11" s="228"/>
      <c r="C11" s="230"/>
      <c r="D11" s="229"/>
    </row>
    <row r="12" spans="1:6" s="10" customFormat="1" ht="15" customHeight="1" x14ac:dyDescent="0.45">
      <c r="A12" s="227" t="s">
        <v>6</v>
      </c>
      <c r="B12" s="231"/>
      <c r="C12" s="232"/>
      <c r="D12" s="233"/>
      <c r="E12" s="188"/>
    </row>
    <row r="13" spans="1:6" s="10" customFormat="1" ht="15" customHeight="1" x14ac:dyDescent="0.45">
      <c r="A13" s="480" t="s">
        <v>1105</v>
      </c>
      <c r="B13" s="481"/>
      <c r="C13" s="232"/>
      <c r="D13" s="482"/>
      <c r="E13" s="189"/>
    </row>
    <row r="14" spans="1:6" s="10" customFormat="1" ht="16.8" x14ac:dyDescent="0.4">
      <c r="A14" s="148"/>
      <c r="B14" s="149"/>
      <c r="C14" s="150"/>
      <c r="D14" s="150"/>
      <c r="E14" s="190"/>
      <c r="F14" s="188"/>
    </row>
    <row r="15" spans="1:6" s="188" customFormat="1" ht="60" x14ac:dyDescent="0.25">
      <c r="A15" s="72">
        <v>1</v>
      </c>
      <c r="B15" s="73" t="s">
        <v>1322</v>
      </c>
      <c r="C15" s="74">
        <v>78000</v>
      </c>
      <c r="D15" s="75">
        <f>A15*C15</f>
        <v>78000</v>
      </c>
      <c r="E15" s="189"/>
      <c r="F15" s="108"/>
    </row>
    <row r="16" spans="1:6" ht="15.6" x14ac:dyDescent="0.25">
      <c r="A16" s="72">
        <v>24</v>
      </c>
      <c r="B16" s="73" t="s">
        <v>1323</v>
      </c>
      <c r="C16" s="74">
        <v>1150</v>
      </c>
      <c r="D16" s="75">
        <f>A16*C16</f>
        <v>27600</v>
      </c>
      <c r="E16" s="189"/>
      <c r="F16" s="191"/>
    </row>
    <row r="17" spans="1:6" s="191" customFormat="1" ht="75" x14ac:dyDescent="0.25">
      <c r="A17" s="429">
        <v>1</v>
      </c>
      <c r="B17" s="73" t="s">
        <v>445</v>
      </c>
      <c r="C17" s="428">
        <v>7200</v>
      </c>
      <c r="D17" s="75">
        <f t="shared" ref="D17" si="0">A17*C17</f>
        <v>7200</v>
      </c>
      <c r="E17" s="189"/>
      <c r="F17" s="108"/>
    </row>
    <row r="18" spans="1:6" ht="15.6" x14ac:dyDescent="0.25">
      <c r="A18" s="539"/>
      <c r="B18" s="545"/>
      <c r="C18" s="629" t="s">
        <v>188</v>
      </c>
      <c r="D18" s="630">
        <f>SUM(D15:D17)</f>
        <v>112800</v>
      </c>
      <c r="E18" s="189"/>
    </row>
    <row r="19" spans="1:6" ht="15.6" x14ac:dyDescent="0.3">
      <c r="A19" s="453"/>
      <c r="B19" s="454"/>
      <c r="C19" s="631" t="s">
        <v>90</v>
      </c>
      <c r="D19" s="632">
        <f>D18*0.16</f>
        <v>18048</v>
      </c>
      <c r="E19" s="189"/>
    </row>
    <row r="20" spans="1:6" ht="16.2" thickBot="1" x14ac:dyDescent="0.35">
      <c r="A20" s="276"/>
      <c r="B20" s="385"/>
      <c r="C20" s="633" t="s">
        <v>40</v>
      </c>
      <c r="D20" s="634">
        <f>D18+D19</f>
        <v>130848</v>
      </c>
      <c r="E20" s="189"/>
    </row>
    <row r="21" spans="1:6" ht="18" thickBot="1" x14ac:dyDescent="0.3">
      <c r="A21" s="102"/>
      <c r="B21" s="652" t="s">
        <v>1324</v>
      </c>
      <c r="C21" s="460"/>
      <c r="D21" s="461"/>
    </row>
    <row r="22" spans="1:6" ht="15" x14ac:dyDescent="0.25">
      <c r="A22" s="106"/>
      <c r="B22" s="97" t="s">
        <v>11</v>
      </c>
      <c r="C22" s="462"/>
      <c r="D22" s="254"/>
      <c r="E22" s="189"/>
    </row>
    <row r="23" spans="1:6" ht="15" x14ac:dyDescent="0.25">
      <c r="A23" s="106"/>
      <c r="B23" s="123" t="s">
        <v>12</v>
      </c>
      <c r="D23" s="105"/>
    </row>
    <row r="24" spans="1:6" ht="15" x14ac:dyDescent="0.25">
      <c r="A24" s="106"/>
      <c r="B24" s="123" t="s">
        <v>13</v>
      </c>
      <c r="D24" s="105"/>
    </row>
    <row r="25" spans="1:6" ht="15" x14ac:dyDescent="0.25">
      <c r="A25" s="106"/>
      <c r="B25" s="123" t="s">
        <v>14</v>
      </c>
      <c r="D25" s="105"/>
    </row>
    <row r="26" spans="1:6" ht="13.8" x14ac:dyDescent="0.25">
      <c r="B26" s="103" t="s">
        <v>15</v>
      </c>
    </row>
    <row r="27" spans="1:6" ht="27.6" x14ac:dyDescent="0.25">
      <c r="A27" s="106"/>
      <c r="B27" s="295" t="s">
        <v>42</v>
      </c>
    </row>
    <row r="28" spans="1:6" ht="41.4" x14ac:dyDescent="0.25">
      <c r="A28" s="106"/>
      <c r="B28" s="295" t="s">
        <v>43</v>
      </c>
      <c r="C28" s="109"/>
      <c r="D28" s="110"/>
    </row>
    <row r="29" spans="1:6" ht="13.5" customHeight="1" x14ac:dyDescent="0.25">
      <c r="A29" s="106"/>
      <c r="B29" s="103" t="s">
        <v>18</v>
      </c>
      <c r="C29" s="109"/>
      <c r="D29" s="110"/>
    </row>
    <row r="30" spans="1:6" ht="15" x14ac:dyDescent="0.25">
      <c r="A30" s="106"/>
      <c r="B30" s="296" t="s">
        <v>501</v>
      </c>
      <c r="C30" s="109"/>
      <c r="D30" s="109"/>
    </row>
    <row r="31" spans="1:6" ht="15" x14ac:dyDescent="0.25">
      <c r="A31" s="106"/>
      <c r="B31" s="297" t="s">
        <v>20</v>
      </c>
      <c r="C31" s="109"/>
      <c r="D31" s="109"/>
    </row>
    <row r="32" spans="1:6" ht="13.8" x14ac:dyDescent="0.25">
      <c r="B32" s="103" t="s">
        <v>21</v>
      </c>
      <c r="D32" s="105"/>
    </row>
    <row r="33" spans="1:4" ht="15" x14ac:dyDescent="0.25">
      <c r="A33" s="106"/>
      <c r="B33" s="122" t="s">
        <v>502</v>
      </c>
      <c r="C33" s="109"/>
      <c r="D33" s="110"/>
    </row>
    <row r="34" spans="1:4" ht="15.75" customHeight="1"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81" fitToHeight="0" orientation="portrait" r:id="rId1"/>
  <headerFooter alignWithMargins="0">
    <oddFooter>Página &amp;P de &amp;N</oddFooter>
  </headerFooter>
  <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2B33-328A-4E25-ABCF-186B045A5E42}">
  <sheetPr>
    <tabColor theme="4" tint="-0.249977111117893"/>
    <pageSetUpPr fitToPage="1"/>
  </sheetPr>
  <dimension ref="A1:F62"/>
  <sheetViews>
    <sheetView topLeftCell="A6" zoomScaleNormal="100" workbookViewId="0">
      <selection activeCell="D18" sqref="D18"/>
    </sheetView>
  </sheetViews>
  <sheetFormatPr baseColWidth="10" defaultColWidth="10.33203125" defaultRowHeight="13.2" x14ac:dyDescent="0.25"/>
  <cols>
    <col min="1" max="1" width="5.44140625" style="108" customWidth="1"/>
    <col min="2" max="2" width="78.5546875" style="108" customWidth="1"/>
    <col min="3" max="3" width="12.109375" style="107" bestFit="1" customWidth="1"/>
    <col min="4" max="4" width="13.3320312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1335</v>
      </c>
      <c r="B7" s="228"/>
      <c r="C7" s="229"/>
      <c r="D7" s="229"/>
    </row>
    <row r="8" spans="1:6" s="10" customFormat="1" ht="19.2" x14ac:dyDescent="0.45">
      <c r="A8" s="227" t="s">
        <v>1336</v>
      </c>
      <c r="B8" s="228"/>
      <c r="C8" s="229"/>
      <c r="D8" s="229"/>
    </row>
    <row r="9" spans="1:6" s="10" customFormat="1" ht="19.2" x14ac:dyDescent="0.45">
      <c r="A9" s="227" t="s">
        <v>834</v>
      </c>
      <c r="B9" s="228"/>
      <c r="C9" s="229"/>
      <c r="D9" s="229"/>
    </row>
    <row r="10" spans="1:6" s="10" customFormat="1" ht="19.2" x14ac:dyDescent="0.45">
      <c r="A10" s="227" t="s">
        <v>1337</v>
      </c>
      <c r="B10" s="228"/>
      <c r="C10" s="230"/>
      <c r="D10" s="229"/>
    </row>
    <row r="11" spans="1:6" s="10" customFormat="1" ht="19.2" x14ac:dyDescent="0.45">
      <c r="A11" s="227" t="s">
        <v>1338</v>
      </c>
      <c r="B11" s="228"/>
      <c r="C11" s="230"/>
      <c r="D11" s="229"/>
    </row>
    <row r="12" spans="1:6" s="10" customFormat="1" ht="15" customHeight="1" x14ac:dyDescent="0.45">
      <c r="A12" s="227" t="s">
        <v>6</v>
      </c>
      <c r="B12" s="231"/>
      <c r="C12" s="232"/>
      <c r="D12" s="233"/>
      <c r="E12" s="188"/>
    </row>
    <row r="13" spans="1:6" s="10" customFormat="1" ht="15" customHeight="1" x14ac:dyDescent="0.45">
      <c r="A13" s="480" t="s">
        <v>1105</v>
      </c>
      <c r="B13" s="481"/>
      <c r="C13" s="232"/>
      <c r="D13" s="482"/>
      <c r="E13" s="189"/>
    </row>
    <row r="14" spans="1:6" s="10" customFormat="1" ht="16.8" x14ac:dyDescent="0.4">
      <c r="A14" s="148"/>
      <c r="B14" s="149"/>
      <c r="C14" s="150"/>
      <c r="D14" s="150"/>
      <c r="E14" s="190"/>
      <c r="F14" s="188"/>
    </row>
    <row r="15" spans="1:6" s="188" customFormat="1" ht="60" x14ac:dyDescent="0.25">
      <c r="A15" s="72">
        <v>1</v>
      </c>
      <c r="B15" s="73" t="s">
        <v>1322</v>
      </c>
      <c r="C15" s="74">
        <v>92000</v>
      </c>
      <c r="D15" s="75">
        <f>A15*C15</f>
        <v>92000</v>
      </c>
      <c r="E15" s="189"/>
      <c r="F15" s="108"/>
    </row>
    <row r="16" spans="1:6" ht="15.6" x14ac:dyDescent="0.25">
      <c r="A16" s="72">
        <v>48</v>
      </c>
      <c r="B16" s="73" t="s">
        <v>1323</v>
      </c>
      <c r="C16" s="74">
        <v>1150</v>
      </c>
      <c r="D16" s="75">
        <f>A16*C16</f>
        <v>55200</v>
      </c>
      <c r="E16" s="189"/>
      <c r="F16" s="191"/>
    </row>
    <row r="17" spans="1:6" s="191" customFormat="1" ht="60" x14ac:dyDescent="0.25">
      <c r="A17" s="429">
        <v>1</v>
      </c>
      <c r="B17" s="73" t="s">
        <v>445</v>
      </c>
      <c r="C17" s="428">
        <v>7600</v>
      </c>
      <c r="D17" s="75">
        <f>A17*C17</f>
        <v>7600</v>
      </c>
      <c r="E17" s="189"/>
      <c r="F17" s="108"/>
    </row>
    <row r="18" spans="1:6" ht="15.6" x14ac:dyDescent="0.25">
      <c r="A18" s="539"/>
      <c r="B18" s="545"/>
      <c r="C18" s="629" t="s">
        <v>188</v>
      </c>
      <c r="D18" s="630">
        <f>SUM(D15:D17)</f>
        <v>154800</v>
      </c>
      <c r="E18" s="189"/>
    </row>
    <row r="19" spans="1:6" ht="15.6" x14ac:dyDescent="0.3">
      <c r="A19" s="453"/>
      <c r="B19" s="454"/>
      <c r="C19" s="631" t="s">
        <v>90</v>
      </c>
      <c r="D19" s="632">
        <f>D18*0.16</f>
        <v>24768</v>
      </c>
      <c r="E19" s="189"/>
    </row>
    <row r="20" spans="1:6" ht="16.2" thickBot="1" x14ac:dyDescent="0.35">
      <c r="A20" s="276"/>
      <c r="B20" s="385"/>
      <c r="C20" s="633" t="s">
        <v>40</v>
      </c>
      <c r="D20" s="634">
        <f>D18+D19</f>
        <v>179568</v>
      </c>
      <c r="E20" s="189"/>
    </row>
    <row r="21" spans="1:6" ht="16.2" thickBot="1" x14ac:dyDescent="0.3">
      <c r="A21" s="102"/>
      <c r="B21" s="764" t="s">
        <v>1333</v>
      </c>
      <c r="C21" s="460"/>
      <c r="D21" s="461"/>
    </row>
    <row r="22" spans="1:6" ht="15" x14ac:dyDescent="0.25">
      <c r="A22" s="106"/>
      <c r="B22" s="97" t="s">
        <v>11</v>
      </c>
      <c r="C22" s="462"/>
      <c r="D22" s="254"/>
      <c r="E22" s="189"/>
    </row>
    <row r="23" spans="1:6" ht="15" x14ac:dyDescent="0.25">
      <c r="A23" s="106"/>
      <c r="B23" s="123" t="s">
        <v>12</v>
      </c>
      <c r="D23" s="105"/>
    </row>
    <row r="24" spans="1:6" ht="15" x14ac:dyDescent="0.25">
      <c r="A24" s="106"/>
      <c r="B24" s="123" t="s">
        <v>13</v>
      </c>
      <c r="D24" s="105"/>
    </row>
    <row r="25" spans="1:6" ht="15" x14ac:dyDescent="0.25">
      <c r="A25" s="106"/>
      <c r="B25" s="123" t="s">
        <v>14</v>
      </c>
      <c r="D25" s="105"/>
    </row>
    <row r="26" spans="1:6" ht="13.8" x14ac:dyDescent="0.25">
      <c r="B26" s="103" t="s">
        <v>15</v>
      </c>
    </row>
    <row r="27" spans="1:6" ht="110.4" x14ac:dyDescent="0.25">
      <c r="A27" s="106"/>
      <c r="B27" s="765" t="s">
        <v>1334</v>
      </c>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76" fitToHeight="0" orientation="portrait" r:id="rId1"/>
  <headerFooter alignWithMargins="0">
    <oddFooter>Página &amp;P de &amp;N</oddFooter>
  </headerFooter>
  <drawing r:id="rId2"/>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2037-65DC-4E2E-9A3F-0392281C562F}">
  <sheetPr>
    <tabColor theme="4" tint="-0.249977111117893"/>
    <pageSetUpPr fitToPage="1"/>
  </sheetPr>
  <dimension ref="A1:G42"/>
  <sheetViews>
    <sheetView topLeftCell="A10" zoomScaleNormal="100" workbookViewId="0">
      <selection activeCell="B21" sqref="B21"/>
    </sheetView>
  </sheetViews>
  <sheetFormatPr baseColWidth="10" defaultColWidth="11.44140625" defaultRowHeight="13.2" x14ac:dyDescent="0.25"/>
  <cols>
    <col min="1" max="1" width="6" style="1" customWidth="1"/>
    <col min="2" max="2" width="83.5546875" style="1" customWidth="1"/>
    <col min="3" max="3" width="12.44140625" style="3" customWidth="1"/>
    <col min="4" max="4" width="14.5546875" style="3" customWidth="1"/>
    <col min="5" max="5" width="12.33203125" style="1" bestFit="1" customWidth="1"/>
    <col min="6"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6.8" x14ac:dyDescent="0.4">
      <c r="A7" s="57" t="s">
        <v>1325</v>
      </c>
      <c r="B7" s="10"/>
      <c r="C7" s="58"/>
      <c r="D7" s="58"/>
      <c r="E7" s="10"/>
      <c r="F7" s="10"/>
      <c r="G7" s="10"/>
    </row>
    <row r="8" spans="1:7" s="4" customFormat="1" ht="16.8" x14ac:dyDescent="0.4">
      <c r="A8" s="57" t="s">
        <v>1326</v>
      </c>
      <c r="B8" s="10"/>
      <c r="C8" s="58"/>
      <c r="D8" s="58"/>
      <c r="E8" s="10"/>
      <c r="F8" s="10"/>
      <c r="G8" s="10"/>
    </row>
    <row r="9" spans="1:7" s="4" customFormat="1" ht="16.8" x14ac:dyDescent="0.4">
      <c r="A9" s="57" t="s">
        <v>284</v>
      </c>
      <c r="B9" s="10"/>
      <c r="C9" s="58"/>
      <c r="D9" s="58"/>
      <c r="E9" s="10"/>
      <c r="F9" s="10"/>
      <c r="G9" s="10"/>
    </row>
    <row r="10" spans="1:7" s="4" customFormat="1" ht="16.8" x14ac:dyDescent="0.4">
      <c r="A10" s="57" t="s">
        <v>1245</v>
      </c>
      <c r="B10" s="10"/>
      <c r="C10" s="59"/>
      <c r="D10" s="58"/>
      <c r="E10" s="10"/>
      <c r="F10" s="10"/>
      <c r="G10" s="10"/>
    </row>
    <row r="11" spans="1:7" s="4" customFormat="1" ht="16.8" x14ac:dyDescent="0.4">
      <c r="A11" s="57" t="s">
        <v>6</v>
      </c>
      <c r="B11" s="61"/>
      <c r="C11" s="62"/>
      <c r="D11" s="63"/>
      <c r="E11" s="10"/>
      <c r="F11" s="10"/>
      <c r="G11" s="10"/>
    </row>
    <row r="12" spans="1:7" s="4" customFormat="1" ht="15" customHeight="1" x14ac:dyDescent="0.4">
      <c r="A12" s="749" t="s">
        <v>1329</v>
      </c>
      <c r="B12" s="750"/>
      <c r="C12" s="751"/>
      <c r="D12" s="752"/>
      <c r="G12" s="10"/>
    </row>
    <row r="13" spans="1:7" s="4" customFormat="1" ht="30" customHeight="1" x14ac:dyDescent="0.4">
      <c r="A13" s="1113" t="s">
        <v>1327</v>
      </c>
      <c r="B13" s="1114"/>
      <c r="C13" s="1115"/>
      <c r="D13" s="1116"/>
      <c r="E13" s="17"/>
      <c r="F13" s="17"/>
    </row>
    <row r="14" spans="1:7" s="4" customFormat="1" ht="18" customHeight="1" x14ac:dyDescent="0.4">
      <c r="A14" s="753" t="s">
        <v>29</v>
      </c>
      <c r="B14" s="753" t="s">
        <v>30</v>
      </c>
      <c r="C14" s="754" t="s">
        <v>31</v>
      </c>
      <c r="D14" s="754" t="s">
        <v>32</v>
      </c>
      <c r="E14" s="147"/>
      <c r="F14" s="1"/>
    </row>
    <row r="15" spans="1:7" s="17" customFormat="1" ht="13.8" x14ac:dyDescent="0.25">
      <c r="A15" s="419"/>
      <c r="B15" s="420"/>
      <c r="C15" s="421"/>
      <c r="D15" s="421"/>
      <c r="E15" s="755"/>
      <c r="F15" s="1"/>
      <c r="G15" s="1"/>
    </row>
    <row r="16" spans="1:7" ht="61.2" x14ac:dyDescent="0.25">
      <c r="A16" s="84">
        <v>1</v>
      </c>
      <c r="B16" s="73" t="s">
        <v>1330</v>
      </c>
      <c r="C16" s="88">
        <f>8400*1.5</f>
        <v>12600</v>
      </c>
      <c r="D16" s="87">
        <f t="shared" ref="D16" si="0">A16*C16</f>
        <v>12600</v>
      </c>
      <c r="E16" s="756"/>
    </row>
    <row r="17" spans="1:6" s="26" customFormat="1" ht="15.6" x14ac:dyDescent="0.25">
      <c r="A17" s="250"/>
      <c r="B17" s="250"/>
      <c r="C17" s="475" t="s">
        <v>160</v>
      </c>
      <c r="D17" s="83">
        <f>SUM(D15:D16)</f>
        <v>12600</v>
      </c>
      <c r="E17" s="757"/>
      <c r="F17" s="25"/>
    </row>
    <row r="18" spans="1:6" ht="15.6" x14ac:dyDescent="0.25">
      <c r="A18" s="250"/>
      <c r="B18" s="250"/>
      <c r="C18" s="475" t="s">
        <v>392</v>
      </c>
      <c r="D18" s="83">
        <f>D17*0.16</f>
        <v>2016</v>
      </c>
      <c r="E18" s="756"/>
    </row>
    <row r="19" spans="1:6" ht="16.2" thickBot="1" x14ac:dyDescent="0.3">
      <c r="A19" s="250"/>
      <c r="B19" s="250"/>
      <c r="C19" s="475" t="s">
        <v>162</v>
      </c>
      <c r="D19" s="83">
        <f>D17+D18</f>
        <v>14616</v>
      </c>
      <c r="E19" s="755"/>
    </row>
    <row r="20" spans="1:6" ht="16.2" thickBot="1" x14ac:dyDescent="0.3">
      <c r="A20" s="102"/>
      <c r="B20" s="1064" t="s">
        <v>1332</v>
      </c>
      <c r="C20" s="1117"/>
      <c r="D20" s="1118"/>
    </row>
    <row r="21" spans="1:6" ht="13.8" x14ac:dyDescent="0.25">
      <c r="A21" s="33"/>
      <c r="B21" s="173" t="s">
        <v>9</v>
      </c>
      <c r="C21" s="758"/>
      <c r="D21" s="759"/>
    </row>
    <row r="22" spans="1:6" ht="17.399999999999999" x14ac:dyDescent="0.25">
      <c r="A22" s="176"/>
      <c r="B22" s="763" t="s">
        <v>10</v>
      </c>
      <c r="C22" s="760"/>
      <c r="D22" s="761"/>
    </row>
    <row r="23" spans="1:6" ht="15" x14ac:dyDescent="0.25">
      <c r="A23" s="178"/>
      <c r="B23" s="35" t="s">
        <v>11</v>
      </c>
      <c r="C23" s="755"/>
      <c r="D23" s="762"/>
    </row>
    <row r="24" spans="1:6" ht="15" x14ac:dyDescent="0.25">
      <c r="A24" s="178"/>
      <c r="B24" s="130" t="s">
        <v>12</v>
      </c>
      <c r="C24" s="147"/>
      <c r="D24" s="1"/>
    </row>
    <row r="25" spans="1:6" ht="15" x14ac:dyDescent="0.25">
      <c r="A25" s="178"/>
      <c r="B25" s="131" t="s">
        <v>13</v>
      </c>
      <c r="C25" s="1"/>
      <c r="D25" s="1"/>
    </row>
    <row r="26" spans="1:6" ht="15" x14ac:dyDescent="0.25">
      <c r="A26" s="178"/>
      <c r="B26" s="130" t="s">
        <v>14</v>
      </c>
      <c r="C26" s="1"/>
      <c r="D26" s="1"/>
    </row>
    <row r="27" spans="1:6" ht="13.8" x14ac:dyDescent="0.25">
      <c r="A27" s="129"/>
      <c r="B27" s="35" t="s">
        <v>15</v>
      </c>
      <c r="C27" s="1"/>
      <c r="D27" s="1"/>
    </row>
    <row r="28" spans="1:6" ht="15" x14ac:dyDescent="0.25">
      <c r="A28" s="178"/>
      <c r="B28" s="36" t="s">
        <v>42</v>
      </c>
      <c r="C28" s="37"/>
      <c r="D28" s="37"/>
    </row>
    <row r="29" spans="1:6" ht="41.4" x14ac:dyDescent="0.25">
      <c r="A29" s="178"/>
      <c r="B29" s="36" t="s">
        <v>43</v>
      </c>
      <c r="C29" s="38"/>
      <c r="D29" s="39"/>
    </row>
    <row r="30" spans="1:6" ht="15" x14ac:dyDescent="0.25">
      <c r="A30" s="178"/>
      <c r="B30" s="40" t="s">
        <v>18</v>
      </c>
      <c r="C30" s="38"/>
      <c r="D30" s="39"/>
    </row>
    <row r="31" spans="1:6" ht="15" x14ac:dyDescent="0.25">
      <c r="A31" s="178"/>
      <c r="B31" s="134" t="s">
        <v>1328</v>
      </c>
      <c r="C31" s="38"/>
      <c r="D31" s="38"/>
    </row>
    <row r="32" spans="1:6" ht="15" x14ac:dyDescent="0.25">
      <c r="A32" s="178"/>
      <c r="B32" s="135" t="s">
        <v>20</v>
      </c>
      <c r="C32" s="38"/>
      <c r="D32" s="38"/>
    </row>
    <row r="33" spans="1:4" ht="13.8" x14ac:dyDescent="0.25">
      <c r="A33" s="129"/>
      <c r="B33" s="40" t="s">
        <v>21</v>
      </c>
      <c r="D33" s="41"/>
    </row>
    <row r="34" spans="1:4" ht="15" x14ac:dyDescent="0.25">
      <c r="A34" s="178"/>
      <c r="B34" s="179" t="s">
        <v>1331</v>
      </c>
      <c r="C34" s="38"/>
      <c r="D34" s="39"/>
    </row>
    <row r="35" spans="1:4" ht="15" x14ac:dyDescent="0.25">
      <c r="A35" s="178"/>
      <c r="B35" s="131" t="s">
        <v>44</v>
      </c>
      <c r="C35" s="38"/>
      <c r="D35" s="39"/>
    </row>
    <row r="36" spans="1:4" ht="50.4" x14ac:dyDescent="0.25">
      <c r="A36" s="182" t="s">
        <v>0</v>
      </c>
      <c r="B36" s="183" t="s">
        <v>23</v>
      </c>
      <c r="C36" s="38"/>
      <c r="D36" s="38"/>
    </row>
    <row r="37" spans="1:4" ht="16.8" x14ac:dyDescent="0.4">
      <c r="A37" s="43"/>
      <c r="B37" s="44"/>
      <c r="C37" s="45"/>
      <c r="D37" s="45"/>
    </row>
    <row r="38" spans="1:4" x14ac:dyDescent="0.25">
      <c r="A38" s="46"/>
      <c r="B38" s="47"/>
      <c r="C38" s="47"/>
      <c r="D38" s="1"/>
    </row>
    <row r="39" spans="1:4" x14ac:dyDescent="0.25">
      <c r="A39" s="46"/>
      <c r="B39" s="47"/>
      <c r="C39" s="47"/>
      <c r="D39" s="1"/>
    </row>
    <row r="40" spans="1:4" x14ac:dyDescent="0.25">
      <c r="A40" s="48"/>
      <c r="B40" s="49"/>
      <c r="C40" s="47"/>
      <c r="D40" s="1"/>
    </row>
    <row r="41" spans="1:4" ht="15" x14ac:dyDescent="0.35">
      <c r="A41" s="50" t="s">
        <v>0</v>
      </c>
      <c r="B41" s="51"/>
      <c r="C41" s="47"/>
      <c r="D41" s="47"/>
    </row>
    <row r="42" spans="1:4" x14ac:dyDescent="0.25">
      <c r="A42" s="1" t="s">
        <v>0</v>
      </c>
    </row>
  </sheetData>
  <mergeCells count="3">
    <mergeCell ref="A4:D4"/>
    <mergeCell ref="A13:D13"/>
    <mergeCell ref="B20:D20"/>
  </mergeCells>
  <printOptions horizontalCentered="1"/>
  <pageMargins left="0.25" right="0.25" top="0.75" bottom="0.75" header="0.3" footer="0.3"/>
  <pageSetup scale="78" fitToWidth="0" orientation="portrait" r:id="rId1"/>
  <headerFooter alignWithMargins="0">
    <oddFooter>Página &amp;P de &amp;N</oddFooter>
  </headerFooter>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C54F-115C-47A3-835F-2C167122621E}">
  <sheetPr>
    <pageSetUpPr fitToPage="1"/>
  </sheetPr>
  <dimension ref="A1:G340"/>
  <sheetViews>
    <sheetView topLeftCell="A7" zoomScale="115" zoomScaleNormal="115" workbookViewId="0">
      <selection activeCell="F19" sqref="F19"/>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6" width="15.44140625" bestFit="1" customWidth="1"/>
    <col min="7" max="7" width="14.21875" bestFit="1" customWidth="1"/>
    <col min="8" max="8" width="12.77734375" customWidth="1"/>
    <col min="9" max="9" width="8.5546875" customWidth="1"/>
    <col min="10" max="10" width="90.5546875" bestFit="1" customWidth="1"/>
    <col min="11" max="11" width="14.21875" bestFit="1" customWidth="1"/>
  </cols>
  <sheetData>
    <row r="1" spans="1:7" s="316" customFormat="1" x14ac:dyDescent="0.3">
      <c r="A1"/>
      <c r="B1" s="315"/>
      <c r="C1"/>
      <c r="D1"/>
      <c r="E1"/>
      <c r="F1"/>
    </row>
    <row r="5" spans="1:7" x14ac:dyDescent="0.3">
      <c r="E5" s="316"/>
      <c r="F5" s="316"/>
    </row>
    <row r="6" spans="1:7" ht="16.8" x14ac:dyDescent="0.4">
      <c r="A6" s="57" t="s">
        <v>282</v>
      </c>
      <c r="B6" s="10"/>
      <c r="C6" s="58"/>
      <c r="D6" s="58"/>
      <c r="E6" s="10"/>
    </row>
    <row r="7" spans="1:7" ht="16.8" x14ac:dyDescent="0.4">
      <c r="A7" s="57" t="s">
        <v>283</v>
      </c>
      <c r="B7" s="10"/>
      <c r="C7" s="58"/>
      <c r="D7" s="58"/>
      <c r="E7" s="10"/>
    </row>
    <row r="8" spans="1:7" ht="16.8" x14ac:dyDescent="0.4">
      <c r="A8" s="57" t="s">
        <v>284</v>
      </c>
      <c r="B8" s="10"/>
      <c r="C8" s="58"/>
      <c r="D8" s="58"/>
      <c r="E8" s="10"/>
    </row>
    <row r="9" spans="1:7" ht="16.8" x14ac:dyDescent="0.4">
      <c r="A9" s="57" t="s">
        <v>285</v>
      </c>
      <c r="B9" s="10"/>
      <c r="C9" s="59"/>
      <c r="D9" s="58"/>
      <c r="E9" s="10"/>
    </row>
    <row r="10" spans="1:7" ht="16.8" x14ac:dyDescent="0.4">
      <c r="A10" s="57" t="s">
        <v>286</v>
      </c>
      <c r="B10" s="10"/>
      <c r="C10" s="59"/>
      <c r="D10" s="58"/>
      <c r="E10" s="10"/>
    </row>
    <row r="11" spans="1:7" ht="16.8" x14ac:dyDescent="0.4">
      <c r="A11" s="57" t="s">
        <v>6</v>
      </c>
      <c r="B11" s="61"/>
      <c r="C11" s="62"/>
      <c r="D11" s="63"/>
      <c r="E11" s="10"/>
      <c r="G11" s="317"/>
    </row>
    <row r="12" spans="1:7" s="317" customFormat="1" ht="16.8" x14ac:dyDescent="0.4">
      <c r="A12" s="60" t="s">
        <v>1342</v>
      </c>
      <c r="B12" s="61"/>
      <c r="C12" s="62"/>
      <c r="D12" s="63" t="s">
        <v>1341</v>
      </c>
      <c r="E12" s="10"/>
      <c r="F12"/>
      <c r="G12"/>
    </row>
    <row r="13" spans="1:7" x14ac:dyDescent="0.3">
      <c r="A13" s="318" t="s">
        <v>287</v>
      </c>
      <c r="B13" s="319" t="s">
        <v>288</v>
      </c>
      <c r="C13" s="320" t="s">
        <v>289</v>
      </c>
      <c r="D13" s="321" t="s">
        <v>1339</v>
      </c>
      <c r="E13" s="322" t="s">
        <v>1340</v>
      </c>
    </row>
    <row r="14" spans="1:7" x14ac:dyDescent="0.3">
      <c r="A14" s="1086"/>
      <c r="B14" s="1119" t="s">
        <v>293</v>
      </c>
      <c r="C14" s="497"/>
      <c r="D14" s="498"/>
      <c r="E14" s="499"/>
    </row>
    <row r="15" spans="1:7" x14ac:dyDescent="0.3">
      <c r="A15" s="1086"/>
      <c r="B15" s="1119"/>
      <c r="C15" s="324" t="s">
        <v>294</v>
      </c>
      <c r="D15" s="325">
        <f>(233493+118004)*1.3</f>
        <v>456946.10000000003</v>
      </c>
      <c r="E15" s="766">
        <f>(233493+118004)*1.34</f>
        <v>471005.98000000004</v>
      </c>
    </row>
    <row r="16" spans="1:7" x14ac:dyDescent="0.3">
      <c r="A16" s="1086"/>
      <c r="B16" s="1119"/>
      <c r="C16" s="324" t="s">
        <v>296</v>
      </c>
      <c r="D16" s="325">
        <f>(10200*4*1.25)</f>
        <v>51000</v>
      </c>
      <c r="E16" s="766">
        <f>(10200*4*1.28)</f>
        <v>52224</v>
      </c>
    </row>
    <row r="17" spans="1:6" ht="13.2" customHeight="1" x14ac:dyDescent="0.3">
      <c r="A17" s="1086"/>
      <c r="B17" s="1119"/>
      <c r="C17" s="324" t="s">
        <v>297</v>
      </c>
      <c r="D17" s="325">
        <f>(60*1115)*1.3</f>
        <v>86970</v>
      </c>
      <c r="E17" s="766">
        <f>(60*1115)*1.35</f>
        <v>90315</v>
      </c>
    </row>
    <row r="18" spans="1:6" ht="15.6" customHeight="1" x14ac:dyDescent="0.3">
      <c r="A18" s="1086"/>
      <c r="B18" s="1119"/>
      <c r="C18" s="486" t="s">
        <v>38</v>
      </c>
      <c r="D18" s="331">
        <f>SUM(D15:D17)</f>
        <v>594916.10000000009</v>
      </c>
      <c r="E18" s="331">
        <f>SUM(E15:E17)</f>
        <v>613544.98</v>
      </c>
      <c r="F18" s="500">
        <f>E18-D18</f>
        <v>18628.879999999888</v>
      </c>
    </row>
    <row r="19" spans="1:6" x14ac:dyDescent="0.3">
      <c r="A19" s="1086"/>
      <c r="B19" s="330" t="s">
        <v>260</v>
      </c>
      <c r="C19" s="487" t="s">
        <v>39</v>
      </c>
      <c r="D19" s="331">
        <f>D18*0.16</f>
        <v>95186.576000000015</v>
      </c>
      <c r="E19" s="331">
        <f>E18*0.16</f>
        <v>98167.196800000005</v>
      </c>
    </row>
    <row r="20" spans="1:6" ht="15" thickBot="1" x14ac:dyDescent="0.35">
      <c r="A20" s="1086"/>
      <c r="B20" s="330"/>
      <c r="C20" s="488" t="s">
        <v>40</v>
      </c>
      <c r="D20" s="333">
        <f>D18+D19</f>
        <v>690102.67600000009</v>
      </c>
      <c r="E20" s="333">
        <f>E18+E19</f>
        <v>711712.17680000002</v>
      </c>
    </row>
    <row r="21" spans="1:6" x14ac:dyDescent="0.3">
      <c r="A21" s="1086"/>
      <c r="B21" s="330"/>
      <c r="C21" s="335"/>
      <c r="D21" s="336"/>
      <c r="E21" s="317"/>
    </row>
    <row r="22" spans="1:6" x14ac:dyDescent="0.3">
      <c r="A22" s="1086"/>
      <c r="B22" s="96"/>
      <c r="C22" s="103" t="s">
        <v>11</v>
      </c>
      <c r="D22" s="76"/>
      <c r="E22" s="307"/>
    </row>
    <row r="23" spans="1:6" ht="15.6" customHeight="1" x14ac:dyDescent="0.3">
      <c r="A23" s="1086"/>
      <c r="B23" s="101"/>
      <c r="C23" s="123" t="s">
        <v>12</v>
      </c>
      <c r="D23" s="52"/>
      <c r="E23" s="52"/>
    </row>
    <row r="24" spans="1:6" ht="14.4" customHeight="1" x14ac:dyDescent="0.3">
      <c r="A24" s="1086"/>
      <c r="B24" s="101"/>
      <c r="C24" s="123" t="s">
        <v>13</v>
      </c>
      <c r="D24" s="52"/>
      <c r="E24" s="92"/>
    </row>
    <row r="25" spans="1:6" ht="15.6" x14ac:dyDescent="0.3">
      <c r="A25" s="337"/>
      <c r="B25" s="101"/>
      <c r="C25" s="123" t="s">
        <v>14</v>
      </c>
      <c r="D25" s="52"/>
      <c r="E25" s="92"/>
    </row>
    <row r="26" spans="1:6" x14ac:dyDescent="0.3">
      <c r="A26" s="329"/>
      <c r="B26" s="102"/>
      <c r="C26" s="103" t="s">
        <v>15</v>
      </c>
      <c r="D26" s="52"/>
      <c r="E26" s="92"/>
    </row>
    <row r="27" spans="1:6" x14ac:dyDescent="0.3">
      <c r="A27" s="329"/>
      <c r="B27" s="102"/>
      <c r="C27" s="489" t="s">
        <v>42</v>
      </c>
      <c r="D27" s="104"/>
      <c r="E27" s="518"/>
    </row>
    <row r="28" spans="1:6" ht="20.399999999999999" x14ac:dyDescent="0.3">
      <c r="A28" s="332"/>
      <c r="B28" s="106"/>
      <c r="C28" s="489" t="s">
        <v>43</v>
      </c>
      <c r="D28" s="104"/>
      <c r="E28" s="518"/>
    </row>
    <row r="29" spans="1:6" ht="15.6" x14ac:dyDescent="0.3">
      <c r="A29" s="332"/>
      <c r="B29" s="106"/>
      <c r="C29" s="103" t="s">
        <v>18</v>
      </c>
      <c r="D29" s="107"/>
      <c r="E29" s="518"/>
    </row>
    <row r="30" spans="1:6" ht="15.6" x14ac:dyDescent="0.3">
      <c r="A30" s="332"/>
      <c r="B30" s="106"/>
      <c r="C30" s="313" t="s">
        <v>584</v>
      </c>
      <c r="D30" s="107"/>
      <c r="E30" s="518"/>
    </row>
    <row r="31" spans="1:6" ht="15.6" x14ac:dyDescent="0.3">
      <c r="A31" s="334"/>
      <c r="B31" s="106"/>
      <c r="C31" s="297" t="s">
        <v>20</v>
      </c>
      <c r="D31" s="107"/>
      <c r="E31" s="105"/>
    </row>
    <row r="32" spans="1:6" x14ac:dyDescent="0.3">
      <c r="A32" s="337"/>
      <c r="B32" s="108"/>
      <c r="C32" s="103" t="s">
        <v>21</v>
      </c>
      <c r="D32" s="107"/>
      <c r="E32" s="105"/>
    </row>
    <row r="33" spans="1:5" ht="15.6" x14ac:dyDescent="0.3">
      <c r="A33" s="337"/>
      <c r="B33" s="106"/>
      <c r="C33" s="122" t="s">
        <v>52</v>
      </c>
      <c r="D33" s="107"/>
      <c r="E33" s="107"/>
    </row>
    <row r="34" spans="1:5" ht="15.6" x14ac:dyDescent="0.3">
      <c r="A34" s="337"/>
      <c r="B34" s="106"/>
      <c r="C34" s="123" t="s">
        <v>44</v>
      </c>
      <c r="D34" s="107"/>
      <c r="E34" s="107"/>
    </row>
    <row r="35" spans="1:5" ht="15.6" x14ac:dyDescent="0.3">
      <c r="A35" s="337"/>
      <c r="B35" s="106"/>
      <c r="C35" s="123" t="s">
        <v>45</v>
      </c>
      <c r="D35" s="109"/>
      <c r="E35" s="110"/>
    </row>
    <row r="36" spans="1:5" ht="50.4" x14ac:dyDescent="0.3">
      <c r="A36" s="337"/>
      <c r="B36" s="106"/>
      <c r="C36" s="314" t="s">
        <v>23</v>
      </c>
      <c r="D36" s="109"/>
      <c r="E36" s="110"/>
    </row>
    <row r="37" spans="1:5" ht="16.8" x14ac:dyDescent="0.3">
      <c r="A37" s="337"/>
      <c r="B37" s="361"/>
      <c r="C37" s="362"/>
      <c r="D37" s="363"/>
      <c r="E37" s="364"/>
    </row>
    <row r="38" spans="1:5" ht="16.8" x14ac:dyDescent="0.3">
      <c r="A38" s="337"/>
      <c r="B38" s="361"/>
      <c r="C38" s="362"/>
      <c r="D38" s="363"/>
      <c r="E38" s="364"/>
    </row>
    <row r="39" spans="1:5" ht="16.8" x14ac:dyDescent="0.3">
      <c r="A39" s="337"/>
      <c r="B39" s="361"/>
      <c r="C39" s="362"/>
      <c r="D39" s="363"/>
      <c r="E39" s="110"/>
    </row>
    <row r="40" spans="1:5" ht="16.8" x14ac:dyDescent="0.3">
      <c r="A40" s="337"/>
      <c r="B40" s="361"/>
      <c r="C40" s="362"/>
      <c r="D40" s="363"/>
      <c r="E40" s="364"/>
    </row>
    <row r="41" spans="1:5" ht="16.8" x14ac:dyDescent="0.3">
      <c r="A41" s="337"/>
      <c r="B41" s="361"/>
      <c r="C41" s="362"/>
      <c r="D41" s="363"/>
      <c r="E41" s="364"/>
    </row>
    <row r="42" spans="1:5" ht="16.8" x14ac:dyDescent="0.3">
      <c r="A42" s="337"/>
      <c r="B42" s="361"/>
      <c r="C42" s="362"/>
      <c r="D42" s="363"/>
      <c r="E42" s="364"/>
    </row>
    <row r="43" spans="1:5" x14ac:dyDescent="0.3">
      <c r="A43" s="337"/>
      <c r="E43" s="364"/>
    </row>
    <row r="44" spans="1:5" x14ac:dyDescent="0.3">
      <c r="A44" s="337"/>
    </row>
    <row r="45" spans="1:5" x14ac:dyDescent="0.3">
      <c r="A45" s="337"/>
    </row>
    <row r="46" spans="1:5" x14ac:dyDescent="0.3">
      <c r="A46" s="337"/>
    </row>
    <row r="47" spans="1:5" x14ac:dyDescent="0.3">
      <c r="A47" s="337"/>
      <c r="B47"/>
    </row>
    <row r="48" spans="1:5"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ht="20.25" customHeight="1"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340" ht="18.75" customHeight="1" x14ac:dyDescent="0.3"/>
  </sheetData>
  <mergeCells count="2">
    <mergeCell ref="A14:A24"/>
    <mergeCell ref="B14:B18"/>
  </mergeCells>
  <pageMargins left="0.25" right="0.25" top="0.75" bottom="0.75" header="0.3" footer="0.3"/>
  <pageSetup scale="81" fitToHeight="0" orientation="portrait" r:id="rId1"/>
  <drawing r:id="rId2"/>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B1D8F-458A-4D1C-AE9B-256F437D79FA}">
  <sheetPr>
    <tabColor theme="4" tint="-0.249977111117893"/>
    <pageSetUpPr fitToPage="1"/>
  </sheetPr>
  <dimension ref="A1:F62"/>
  <sheetViews>
    <sheetView topLeftCell="A8" zoomScaleNormal="100" workbookViewId="0">
      <selection activeCell="A15" sqref="A15:D19"/>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6.8" x14ac:dyDescent="0.4">
      <c r="A7" s="57" t="s">
        <v>1171</v>
      </c>
      <c r="C7" s="58"/>
      <c r="D7" s="58"/>
    </row>
    <row r="8" spans="1:6" s="10" customFormat="1" ht="16.8" x14ac:dyDescent="0.4">
      <c r="A8" s="57" t="s">
        <v>1172</v>
      </c>
      <c r="C8" s="58"/>
      <c r="D8" s="58"/>
    </row>
    <row r="9" spans="1:6" s="10" customFormat="1" ht="16.8" x14ac:dyDescent="0.4">
      <c r="A9" s="57" t="s">
        <v>1173</v>
      </c>
      <c r="C9" s="58"/>
      <c r="D9" s="58"/>
    </row>
    <row r="10" spans="1:6" s="10" customFormat="1" ht="16.8" x14ac:dyDescent="0.4">
      <c r="A10" s="57" t="s">
        <v>1174</v>
      </c>
      <c r="C10" s="59"/>
      <c r="D10" s="58"/>
    </row>
    <row r="11" spans="1:6" s="10" customFormat="1" ht="16.8" x14ac:dyDescent="0.4">
      <c r="A11" s="60" t="s">
        <v>1175</v>
      </c>
      <c r="B11" s="61"/>
      <c r="C11" s="59"/>
      <c r="D11" s="58"/>
    </row>
    <row r="12" spans="1:6" s="10" customFormat="1" ht="15" customHeight="1" x14ac:dyDescent="0.4">
      <c r="A12" s="1060" t="s">
        <v>498</v>
      </c>
      <c r="B12" s="1061"/>
      <c r="C12" s="1062"/>
      <c r="D12" s="1063"/>
      <c r="E12" s="188"/>
    </row>
    <row r="13" spans="1:6" s="10" customFormat="1" ht="15" customHeight="1" x14ac:dyDescent="0.4">
      <c r="A13" s="145" t="s">
        <v>29</v>
      </c>
      <c r="B13" s="145" t="s">
        <v>30</v>
      </c>
      <c r="C13" s="146" t="s">
        <v>31</v>
      </c>
      <c r="D13" s="146" t="s">
        <v>32</v>
      </c>
      <c r="E13" s="189"/>
    </row>
    <row r="14" spans="1:6" s="10" customFormat="1" ht="16.8" x14ac:dyDescent="0.4">
      <c r="A14" s="148"/>
      <c r="B14" s="149"/>
      <c r="C14" s="150"/>
      <c r="D14" s="150"/>
      <c r="E14" s="190"/>
      <c r="F14" s="188"/>
    </row>
    <row r="15" spans="1:6" s="188" customFormat="1" ht="15.6" x14ac:dyDescent="0.25">
      <c r="A15" s="72">
        <v>4</v>
      </c>
      <c r="B15" s="624" t="s">
        <v>1343</v>
      </c>
      <c r="C15" s="625">
        <f>8200*1.4</f>
        <v>11480</v>
      </c>
      <c r="D15" s="75">
        <f t="shared" ref="D15:D19" si="0">A15*C15</f>
        <v>45920</v>
      </c>
      <c r="E15" s="189"/>
      <c r="F15" s="108"/>
    </row>
    <row r="16" spans="1:6" ht="15.6" x14ac:dyDescent="0.25">
      <c r="A16" s="72">
        <v>60</v>
      </c>
      <c r="B16" s="624" t="s">
        <v>1344</v>
      </c>
      <c r="C16" s="625">
        <f>710*1.35</f>
        <v>958.50000000000011</v>
      </c>
      <c r="D16" s="75">
        <f t="shared" si="0"/>
        <v>57510.000000000007</v>
      </c>
      <c r="E16" s="189"/>
    </row>
    <row r="17" spans="1:6" s="191" customFormat="1" ht="25.2" customHeight="1" x14ac:dyDescent="0.25">
      <c r="A17" s="72">
        <v>1</v>
      </c>
      <c r="B17" s="624" t="s">
        <v>1345</v>
      </c>
      <c r="C17" s="625">
        <f>21616*1.35</f>
        <v>29181.600000000002</v>
      </c>
      <c r="D17" s="75">
        <f t="shared" si="0"/>
        <v>29181.600000000002</v>
      </c>
      <c r="E17" s="189"/>
      <c r="F17" s="108"/>
    </row>
    <row r="18" spans="1:6" ht="30" x14ac:dyDescent="0.25">
      <c r="A18" s="72">
        <v>1</v>
      </c>
      <c r="B18" s="624" t="s">
        <v>1346</v>
      </c>
      <c r="C18" s="625">
        <f>10980*1.4</f>
        <v>15371.999999999998</v>
      </c>
      <c r="D18" s="75">
        <f t="shared" ref="D18" si="1">A18*C18</f>
        <v>15371.999999999998</v>
      </c>
    </row>
    <row r="19" spans="1:6" ht="15.6" x14ac:dyDescent="0.25">
      <c r="A19" s="72">
        <v>2</v>
      </c>
      <c r="B19" s="624" t="s">
        <v>745</v>
      </c>
      <c r="C19" s="625">
        <v>4100</v>
      </c>
      <c r="D19" s="75">
        <f t="shared" si="0"/>
        <v>8200</v>
      </c>
    </row>
    <row r="20" spans="1:6" x14ac:dyDescent="0.25">
      <c r="A20" s="211"/>
      <c r="B20" s="543" t="s">
        <v>1145</v>
      </c>
      <c r="C20" s="544"/>
      <c r="D20" s="213"/>
    </row>
    <row r="21" spans="1:6" ht="15.6" x14ac:dyDescent="0.25">
      <c r="A21" s="539"/>
      <c r="B21" s="545"/>
      <c r="C21" s="629" t="s">
        <v>188</v>
      </c>
      <c r="D21" s="630">
        <f>SUM(D15:D19)</f>
        <v>156183.6</v>
      </c>
    </row>
    <row r="22" spans="1:6" ht="15.6" x14ac:dyDescent="0.3">
      <c r="A22" s="453"/>
      <c r="B22" s="454"/>
      <c r="C22" s="631" t="s">
        <v>90</v>
      </c>
      <c r="D22" s="632">
        <f>D21*0.16</f>
        <v>24989.376</v>
      </c>
    </row>
    <row r="23" spans="1:6" ht="16.2" thickBot="1" x14ac:dyDescent="0.35">
      <c r="A23" s="276"/>
      <c r="B23" s="385"/>
      <c r="C23" s="633" t="s">
        <v>40</v>
      </c>
      <c r="D23" s="634">
        <f>D21+D22</f>
        <v>181172.976</v>
      </c>
    </row>
    <row r="24" spans="1:6" ht="16.2" thickBot="1" x14ac:dyDescent="0.3">
      <c r="A24" s="102"/>
      <c r="B24" s="635" t="s">
        <v>1347</v>
      </c>
      <c r="C24" s="553"/>
      <c r="D24" s="461"/>
    </row>
    <row r="25" spans="1:6" ht="13.8" x14ac:dyDescent="0.25">
      <c r="B25" s="103" t="s">
        <v>15</v>
      </c>
    </row>
    <row r="26" spans="1:6" ht="15" x14ac:dyDescent="0.25">
      <c r="A26" s="106"/>
      <c r="B26" s="295" t="s">
        <v>42</v>
      </c>
    </row>
    <row r="27" spans="1:6" ht="41.4" x14ac:dyDescent="0.25">
      <c r="A27" s="106"/>
      <c r="B27" s="295" t="s">
        <v>43</v>
      </c>
      <c r="C27" s="109"/>
      <c r="D27" s="110"/>
    </row>
    <row r="28" spans="1:6" ht="15" x14ac:dyDescent="0.25">
      <c r="A28" s="106"/>
      <c r="B28" s="103" t="s">
        <v>18</v>
      </c>
      <c r="C28" s="109"/>
      <c r="D28" s="110"/>
    </row>
    <row r="29" spans="1:6" ht="13.5" customHeight="1" x14ac:dyDescent="0.25">
      <c r="A29" s="106"/>
      <c r="B29" s="296" t="s">
        <v>92</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3.8"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7" fitToHeight="0" orientation="portrait" r:id="rId1"/>
  <headerFooter alignWithMargins="0">
    <oddFooter>Página &amp;P de &amp;N</oddFooter>
  </headerFooter>
  <drawing r:id="rId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D95DC-96FB-4220-B62D-850C49EEE141}">
  <sheetPr>
    <tabColor theme="4" tint="-0.249977111117893"/>
    <pageSetUpPr fitToPage="1"/>
  </sheetPr>
  <dimension ref="A1:F63"/>
  <sheetViews>
    <sheetView zoomScale="115" zoomScaleNormal="115" workbookViewId="0">
      <selection activeCell="B15" sqref="B15"/>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57" t="s">
        <v>1176</v>
      </c>
      <c r="B7" s="10"/>
      <c r="C7" s="9"/>
      <c r="D7" s="9"/>
    </row>
    <row r="8" spans="1:6" s="4" customFormat="1" ht="19.2" x14ac:dyDescent="0.45">
      <c r="A8" s="57" t="s">
        <v>1177</v>
      </c>
      <c r="B8" s="10"/>
      <c r="C8" s="9"/>
      <c r="D8" s="9"/>
    </row>
    <row r="9" spans="1:6" s="4" customFormat="1" ht="19.2" x14ac:dyDescent="0.45">
      <c r="A9" s="57" t="s">
        <v>284</v>
      </c>
      <c r="B9" s="10"/>
      <c r="C9" s="9"/>
      <c r="D9" s="9"/>
    </row>
    <row r="10" spans="1:6" s="4" customFormat="1" ht="19.2" x14ac:dyDescent="0.45">
      <c r="A10" s="57" t="s">
        <v>1348</v>
      </c>
      <c r="B10" s="10"/>
      <c r="C10" s="11"/>
      <c r="D10" s="9"/>
    </row>
    <row r="11" spans="1:6" s="4" customFormat="1" ht="19.2" x14ac:dyDescent="0.45">
      <c r="A11" s="60" t="s">
        <v>1349</v>
      </c>
      <c r="B11" s="61"/>
      <c r="C11" s="11"/>
      <c r="D11" s="9"/>
    </row>
    <row r="12" spans="1:6" s="4" customFormat="1" ht="15" customHeight="1" x14ac:dyDescent="0.4">
      <c r="A12" s="1031" t="s">
        <v>73</v>
      </c>
      <c r="B12" s="1032"/>
      <c r="C12" s="1033"/>
      <c r="D12" s="1034"/>
    </row>
    <row r="13" spans="1:6" s="4" customFormat="1" ht="15" customHeight="1" x14ac:dyDescent="0.4">
      <c r="A13" s="145" t="s">
        <v>29</v>
      </c>
      <c r="B13" s="145" t="s">
        <v>30</v>
      </c>
      <c r="C13" s="146" t="s">
        <v>31</v>
      </c>
      <c r="D13" s="146" t="s">
        <v>32</v>
      </c>
    </row>
    <row r="14" spans="1:6" s="4" customFormat="1" ht="11.25" customHeight="1" x14ac:dyDescent="0.4">
      <c r="A14" s="148"/>
      <c r="B14" s="149"/>
      <c r="C14" s="150"/>
      <c r="D14" s="150"/>
      <c r="E14" s="17"/>
      <c r="F14" s="17"/>
    </row>
    <row r="15" spans="1:6" s="17" customFormat="1" ht="13.8" x14ac:dyDescent="0.25">
      <c r="A15" s="151">
        <v>1</v>
      </c>
      <c r="B15" s="152" t="s">
        <v>1350</v>
      </c>
      <c r="C15" s="153">
        <f>(18000)*(1.53)</f>
        <v>27540</v>
      </c>
      <c r="D15" s="154">
        <f t="shared" ref="D15:D17" si="0">A15*C15</f>
        <v>27540</v>
      </c>
      <c r="E15" s="147"/>
      <c r="F15" s="1"/>
    </row>
    <row r="16" spans="1:6" x14ac:dyDescent="0.25">
      <c r="A16" s="155"/>
      <c r="B16" s="156" t="s">
        <v>1351</v>
      </c>
      <c r="C16" s="153"/>
      <c r="D16" s="154"/>
      <c r="E16" s="25"/>
      <c r="F16" s="26"/>
    </row>
    <row r="17" spans="1:5" s="26" customFormat="1" ht="16.5" customHeight="1" x14ac:dyDescent="0.25">
      <c r="A17" s="155">
        <v>1</v>
      </c>
      <c r="B17" s="156" t="s">
        <v>1352</v>
      </c>
      <c r="C17" s="153">
        <v>4300</v>
      </c>
      <c r="D17" s="154">
        <f t="shared" si="0"/>
        <v>4300</v>
      </c>
      <c r="E17" s="25"/>
    </row>
    <row r="18" spans="1:5" ht="13.5" customHeight="1" x14ac:dyDescent="0.25">
      <c r="A18" s="32"/>
      <c r="B18" s="767"/>
      <c r="C18" s="167" t="s">
        <v>38</v>
      </c>
      <c r="D18" s="168">
        <f>SUM(D15:D17)</f>
        <v>31840</v>
      </c>
      <c r="E18" s="147"/>
    </row>
    <row r="19" spans="1:5" ht="13.5" customHeight="1" x14ac:dyDescent="0.25">
      <c r="A19" s="33"/>
      <c r="B19" s="33"/>
      <c r="C19" s="167" t="s">
        <v>90</v>
      </c>
      <c r="D19" s="168">
        <f>D18*0.16</f>
        <v>5094.4000000000005</v>
      </c>
      <c r="E19" s="147"/>
    </row>
    <row r="20" spans="1:5" ht="13.5" customHeight="1" thickBot="1" x14ac:dyDescent="0.3">
      <c r="A20" s="33"/>
      <c r="B20" s="170"/>
      <c r="C20" s="171" t="s">
        <v>40</v>
      </c>
      <c r="D20" s="172">
        <f>D18+D19</f>
        <v>36934.400000000001</v>
      </c>
      <c r="E20" s="147"/>
    </row>
    <row r="21" spans="1:5" ht="13.5" customHeight="1" thickBot="1" x14ac:dyDescent="0.3">
      <c r="A21" s="33"/>
      <c r="B21" s="1035" t="s">
        <v>1353</v>
      </c>
      <c r="C21" s="1036"/>
      <c r="D21" s="1037"/>
      <c r="E21" s="147"/>
    </row>
    <row r="22" spans="1:5" ht="13.5" customHeight="1" x14ac:dyDescent="0.25">
      <c r="A22" s="33"/>
      <c r="B22" s="173" t="s">
        <v>9</v>
      </c>
      <c r="C22" s="174"/>
      <c r="D22" s="175"/>
      <c r="E22" s="147"/>
    </row>
    <row r="23" spans="1:5" ht="17.399999999999999" x14ac:dyDescent="0.25">
      <c r="A23" s="176"/>
      <c r="B23" s="177" t="s">
        <v>10</v>
      </c>
      <c r="C23" s="169"/>
      <c r="D23" s="41"/>
      <c r="E23" s="169"/>
    </row>
    <row r="24" spans="1:5" ht="15" x14ac:dyDescent="0.25">
      <c r="A24" s="178"/>
      <c r="B24" s="40" t="s">
        <v>11</v>
      </c>
      <c r="D24" s="41"/>
    </row>
    <row r="25" spans="1:5" ht="15" x14ac:dyDescent="0.25">
      <c r="A25" s="178"/>
      <c r="B25" s="131" t="s">
        <v>12</v>
      </c>
      <c r="D25" s="41"/>
    </row>
    <row r="26" spans="1:5" ht="15" x14ac:dyDescent="0.25">
      <c r="A26" s="178"/>
      <c r="B26" s="131" t="s">
        <v>13</v>
      </c>
      <c r="D26" s="41"/>
    </row>
    <row r="27" spans="1:5" ht="15" x14ac:dyDescent="0.25">
      <c r="A27" s="178"/>
      <c r="B27" s="131" t="s">
        <v>14</v>
      </c>
      <c r="D27" s="41"/>
    </row>
    <row r="28" spans="1:5" ht="13.5" customHeight="1" x14ac:dyDescent="0.25">
      <c r="A28" s="129"/>
      <c r="B28" s="40" t="s">
        <v>15</v>
      </c>
    </row>
    <row r="29" spans="1:5" ht="13.5" customHeight="1" x14ac:dyDescent="0.25">
      <c r="A29" s="178"/>
      <c r="B29" s="36" t="s">
        <v>42</v>
      </c>
    </row>
    <row r="30" spans="1:5" ht="27.6" x14ac:dyDescent="0.25">
      <c r="A30" s="178"/>
      <c r="B30" s="36" t="s">
        <v>43</v>
      </c>
      <c r="C30" s="38"/>
      <c r="D30" s="39"/>
    </row>
    <row r="31" spans="1:5" ht="15" x14ac:dyDescent="0.25">
      <c r="A31" s="178"/>
      <c r="B31" s="40" t="s">
        <v>18</v>
      </c>
      <c r="C31" s="38"/>
      <c r="D31" s="39"/>
    </row>
    <row r="32" spans="1:5" ht="15" x14ac:dyDescent="0.25">
      <c r="A32" s="178"/>
      <c r="B32" s="134" t="s">
        <v>221</v>
      </c>
      <c r="C32" s="38"/>
      <c r="D32" s="38"/>
    </row>
    <row r="33" spans="1:4" ht="15" x14ac:dyDescent="0.25">
      <c r="A33" s="178"/>
      <c r="B33" s="135" t="s">
        <v>20</v>
      </c>
      <c r="C33" s="38"/>
      <c r="D33" s="38"/>
    </row>
    <row r="34" spans="1:4" ht="13.8" x14ac:dyDescent="0.25">
      <c r="A34" s="129"/>
      <c r="B34" s="40" t="s">
        <v>21</v>
      </c>
      <c r="D34" s="41"/>
    </row>
    <row r="35" spans="1:4" ht="15" x14ac:dyDescent="0.25">
      <c r="A35" s="178"/>
      <c r="B35" s="179" t="s">
        <v>1354</v>
      </c>
      <c r="C35" s="38"/>
      <c r="D35" s="39"/>
    </row>
    <row r="36" spans="1:4" ht="15" x14ac:dyDescent="0.25">
      <c r="A36" s="178"/>
      <c r="B36" s="131" t="s">
        <v>44</v>
      </c>
      <c r="C36" s="38"/>
      <c r="D36" s="39"/>
    </row>
    <row r="37" spans="1:4" ht="33.6" x14ac:dyDescent="0.25">
      <c r="A37" s="182" t="s">
        <v>0</v>
      </c>
      <c r="B37" s="183" t="s">
        <v>23</v>
      </c>
      <c r="C37" s="38"/>
      <c r="D37" s="38"/>
    </row>
    <row r="38" spans="1:4" ht="16.8" x14ac:dyDescent="0.4">
      <c r="A38" s="43"/>
      <c r="B38" s="44"/>
      <c r="C38" s="45"/>
      <c r="D38" s="45"/>
    </row>
    <row r="39" spans="1:4" x14ac:dyDescent="0.25">
      <c r="A39" s="46"/>
      <c r="B39" s="47"/>
      <c r="C39" s="47"/>
      <c r="D39" s="1"/>
    </row>
    <row r="40" spans="1:4" x14ac:dyDescent="0.25">
      <c r="A40" s="46"/>
      <c r="B40" s="47"/>
      <c r="C40" s="47"/>
      <c r="D40" s="1"/>
    </row>
    <row r="41" spans="1:4" x14ac:dyDescent="0.25">
      <c r="A41" s="48"/>
      <c r="B41" s="49"/>
      <c r="C41" s="47"/>
      <c r="D41" s="1"/>
    </row>
    <row r="42" spans="1:4" ht="15" x14ac:dyDescent="0.35">
      <c r="A42" s="50" t="s">
        <v>0</v>
      </c>
      <c r="B42" s="51"/>
      <c r="C42" s="47"/>
      <c r="D42" s="47"/>
    </row>
    <row r="43" spans="1:4" x14ac:dyDescent="0.25">
      <c r="A43" s="1" t="s">
        <v>0</v>
      </c>
    </row>
    <row r="45" spans="1:4" ht="13.5" customHeight="1" x14ac:dyDescent="0.25"/>
    <row r="53" ht="15.75" customHeight="1" x14ac:dyDescent="0.25"/>
    <row r="58" ht="16.5" customHeight="1" x14ac:dyDescent="0.25"/>
    <row r="63" ht="15" customHeight="1" x14ac:dyDescent="0.25"/>
  </sheetData>
  <mergeCells count="3">
    <mergeCell ref="A4:D4"/>
    <mergeCell ref="A12:D12"/>
    <mergeCell ref="B21:D21"/>
  </mergeCells>
  <printOptions horizontalCentered="1"/>
  <pageMargins left="0.25" right="0.25" top="0.75" bottom="0.75" header="0.3" footer="0.3"/>
  <pageSetup paperSize="9" scale="58" orientation="portrait" r:id="rId1"/>
  <headerFooter alignWithMargins="0">
    <oddFooter>Página &amp;P de &amp;N</oddFooter>
  </headerFooter>
  <drawing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A8700-F38B-4862-9138-36D83D36CD86}">
  <sheetPr>
    <pageSetUpPr fitToPage="1"/>
  </sheetPr>
  <dimension ref="A1:E67"/>
  <sheetViews>
    <sheetView zoomScaleNormal="100" workbookViewId="0">
      <selection activeCell="A13" sqref="A13:D1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1390</v>
      </c>
      <c r="B8" s="10"/>
      <c r="C8" s="58"/>
      <c r="D8" s="58"/>
    </row>
    <row r="9" spans="1:5" s="55" customFormat="1" ht="16.8" x14ac:dyDescent="0.4">
      <c r="A9" s="57" t="s">
        <v>1391</v>
      </c>
      <c r="B9" s="10"/>
      <c r="C9" s="58"/>
      <c r="D9" s="58"/>
    </row>
    <row r="10" spans="1:5" s="55" customFormat="1" ht="16.8" x14ac:dyDescent="0.4">
      <c r="A10" s="57" t="s">
        <v>1392</v>
      </c>
      <c r="B10" s="10"/>
      <c r="C10" s="58"/>
      <c r="D10" s="58"/>
    </row>
    <row r="11" spans="1:5" s="55" customFormat="1" ht="16.8" x14ac:dyDescent="0.4">
      <c r="A11" s="57" t="s">
        <v>404</v>
      </c>
      <c r="B11" s="10"/>
      <c r="C11" s="59"/>
      <c r="D11" s="58"/>
    </row>
    <row r="12" spans="1:5" s="55" customFormat="1" ht="15" customHeight="1" x14ac:dyDescent="0.4">
      <c r="A12" s="60" t="s">
        <v>1393</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422">
        <v>1</v>
      </c>
      <c r="B16" s="423" t="s">
        <v>1388</v>
      </c>
      <c r="C16" s="424">
        <f>(10473.75)*(1.4)</f>
        <v>14663.249999999998</v>
      </c>
      <c r="D16" s="425">
        <f t="shared" ref="D16:D18" si="0">A16*C16</f>
        <v>14663.249999999998</v>
      </c>
      <c r="E16" s="76"/>
    </row>
    <row r="17" spans="1:5" ht="15.6" x14ac:dyDescent="0.25">
      <c r="A17" s="422">
        <v>1</v>
      </c>
      <c r="B17" s="423" t="s">
        <v>1389</v>
      </c>
      <c r="C17" s="424">
        <f>(9800)*(1.4)</f>
        <v>13720</v>
      </c>
      <c r="D17" s="425">
        <f t="shared" ref="D17" si="1">A17*C17</f>
        <v>13720</v>
      </c>
      <c r="E17" s="76"/>
    </row>
    <row r="18" spans="1:5" ht="15.6" x14ac:dyDescent="0.25">
      <c r="A18" s="483">
        <v>1</v>
      </c>
      <c r="B18" s="423" t="s">
        <v>457</v>
      </c>
      <c r="C18" s="424">
        <f>23966.25*1.35</f>
        <v>32354.437500000004</v>
      </c>
      <c r="D18" s="425">
        <f t="shared" si="0"/>
        <v>32354.437500000004</v>
      </c>
      <c r="E18" s="76"/>
    </row>
    <row r="19" spans="1:5" ht="15.6" x14ac:dyDescent="0.25">
      <c r="A19" s="72"/>
      <c r="B19" s="75"/>
      <c r="C19" s="75"/>
      <c r="D19" s="75"/>
      <c r="E19" s="76"/>
    </row>
    <row r="20" spans="1:5" ht="15.6" x14ac:dyDescent="0.25">
      <c r="A20" s="89"/>
      <c r="B20" s="90"/>
      <c r="C20" s="304" t="s">
        <v>38</v>
      </c>
      <c r="D20" s="75">
        <f>SUM(D16:D19)</f>
        <v>60737.6875</v>
      </c>
      <c r="E20" s="76"/>
    </row>
    <row r="21" spans="1:5" ht="15.6" x14ac:dyDescent="0.3">
      <c r="A21" s="92"/>
      <c r="B21" s="90"/>
      <c r="C21" s="305" t="s">
        <v>39</v>
      </c>
      <c r="D21" s="75">
        <f>D20*0.16</f>
        <v>9718.0300000000007</v>
      </c>
      <c r="E21" s="76"/>
    </row>
    <row r="22" spans="1:5" ht="16.2" thickBot="1" x14ac:dyDescent="0.35">
      <c r="A22" s="92"/>
      <c r="B22" s="90"/>
      <c r="C22" s="306" t="s">
        <v>40</v>
      </c>
      <c r="D22" s="95">
        <f>D20+D21</f>
        <v>70455.717499999999</v>
      </c>
      <c r="E22" s="76"/>
    </row>
    <row r="23" spans="1:5" ht="18.75" customHeight="1" thickBot="1" x14ac:dyDescent="0.3">
      <c r="A23" s="92"/>
      <c r="B23" s="1023"/>
      <c r="C23" s="1024"/>
      <c r="D23" s="1025"/>
      <c r="E23" s="76"/>
    </row>
    <row r="24" spans="1:5" ht="18.75" customHeight="1" x14ac:dyDescent="0.25">
      <c r="A24" s="307"/>
      <c r="B24" s="308"/>
      <c r="C24" s="308"/>
      <c r="D24" s="308"/>
      <c r="E24" s="309"/>
    </row>
    <row r="25" spans="1:5" s="96" customFormat="1" ht="18.75" customHeight="1" x14ac:dyDescent="0.25">
      <c r="A25" s="52"/>
      <c r="B25" s="97" t="s">
        <v>9</v>
      </c>
      <c r="C25" s="98"/>
      <c r="D25" s="99"/>
      <c r="E25" s="52"/>
    </row>
    <row r="26" spans="1:5" ht="15.75" customHeight="1" x14ac:dyDescent="0.25">
      <c r="B26" s="255"/>
      <c r="C26" s="96"/>
      <c r="D26" s="96"/>
      <c r="E26" s="96"/>
    </row>
    <row r="27" spans="1:5" s="96" customFormat="1" ht="15" customHeight="1" x14ac:dyDescent="0.25">
      <c r="B27" s="485" t="s">
        <v>11</v>
      </c>
      <c r="C27" s="76"/>
    </row>
    <row r="28" spans="1:5" s="96" customFormat="1" ht="15.75" customHeight="1" x14ac:dyDescent="0.25">
      <c r="A28" s="101"/>
      <c r="B28" s="121" t="s">
        <v>12</v>
      </c>
      <c r="C28" s="52"/>
      <c r="D28" s="52"/>
      <c r="E28" s="52"/>
    </row>
    <row r="29" spans="1:5" ht="13.5" customHeight="1" x14ac:dyDescent="0.25">
      <c r="A29" s="101"/>
      <c r="B29" s="121" t="s">
        <v>13</v>
      </c>
      <c r="C29" s="52"/>
      <c r="D29" s="52"/>
    </row>
    <row r="30" spans="1:5" ht="13.5" customHeight="1" x14ac:dyDescent="0.25">
      <c r="A30" s="101"/>
      <c r="B30" s="121" t="s">
        <v>14</v>
      </c>
      <c r="C30" s="52"/>
      <c r="D30" s="52"/>
    </row>
    <row r="31" spans="1:5" ht="13.5" customHeight="1" x14ac:dyDescent="0.25">
      <c r="A31" s="102"/>
      <c r="B31" s="485" t="s">
        <v>15</v>
      </c>
      <c r="C31" s="52"/>
      <c r="D31" s="52"/>
    </row>
    <row r="32" spans="1:5" ht="13.8" x14ac:dyDescent="0.25">
      <c r="A32" s="102"/>
      <c r="B32" s="125" t="s">
        <v>42</v>
      </c>
      <c r="C32" s="104"/>
      <c r="D32" s="105"/>
    </row>
    <row r="33" spans="1:4" ht="27.6" x14ac:dyDescent="0.25">
      <c r="A33" s="106"/>
      <c r="B33" s="125" t="s">
        <v>43</v>
      </c>
      <c r="C33" s="104"/>
      <c r="D33" s="105"/>
    </row>
    <row r="34" spans="1:4" ht="13.5" customHeight="1" x14ac:dyDescent="0.25">
      <c r="A34" s="106"/>
      <c r="B34" s="485" t="s">
        <v>18</v>
      </c>
      <c r="C34" s="107"/>
      <c r="D34" s="105"/>
    </row>
    <row r="35" spans="1:4" ht="13.5" customHeight="1" x14ac:dyDescent="0.25">
      <c r="A35" s="106"/>
      <c r="B35" s="126" t="s">
        <v>261</v>
      </c>
      <c r="C35" s="107"/>
      <c r="D35" s="105"/>
    </row>
    <row r="36" spans="1:4" ht="13.5" customHeight="1" x14ac:dyDescent="0.25">
      <c r="A36" s="106"/>
      <c r="B36" s="127" t="s">
        <v>20</v>
      </c>
      <c r="C36" s="107"/>
      <c r="D36" s="105"/>
    </row>
    <row r="37" spans="1:4" ht="13.5" customHeight="1" x14ac:dyDescent="0.25">
      <c r="A37" s="108"/>
      <c r="B37" s="485" t="s">
        <v>21</v>
      </c>
      <c r="C37" s="107"/>
      <c r="D37" s="105"/>
    </row>
    <row r="38" spans="1:4" ht="13.5" customHeight="1" x14ac:dyDescent="0.25">
      <c r="A38" s="106"/>
      <c r="B38" s="484" t="s">
        <v>571</v>
      </c>
      <c r="C38" s="107"/>
      <c r="D38" s="107"/>
    </row>
    <row r="39" spans="1:4" ht="15" x14ac:dyDescent="0.25">
      <c r="A39" s="106"/>
      <c r="B39" s="121" t="s">
        <v>44</v>
      </c>
      <c r="C39" s="107"/>
      <c r="D39" s="107"/>
    </row>
    <row r="40" spans="1:4" ht="15" x14ac:dyDescent="0.25">
      <c r="A40" s="106"/>
      <c r="B40" s="121" t="s">
        <v>45</v>
      </c>
      <c r="C40" s="109"/>
      <c r="D40" s="110"/>
    </row>
    <row r="41" spans="1:4" ht="33.6" x14ac:dyDescent="0.4">
      <c r="A41" s="106"/>
      <c r="B41" s="128"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58" spans="1:4" ht="15.75" customHeight="1" x14ac:dyDescent="0.25"/>
    <row r="62" spans="1:4" ht="16.5" customHeight="1" x14ac:dyDescent="0.25"/>
    <row r="66" ht="24" customHeight="1" x14ac:dyDescent="0.25"/>
    <row r="67" ht="24" customHeight="1" x14ac:dyDescent="0.25"/>
  </sheetData>
  <mergeCells count="3">
    <mergeCell ref="A4:D4"/>
    <mergeCell ref="A13:D13"/>
    <mergeCell ref="B23:D23"/>
  </mergeCells>
  <pageMargins left="0.25" right="0.25" top="0.75" bottom="0.75" header="0.3" footer="0.3"/>
  <pageSetup orientation="portrait" r:id="rId1"/>
  <drawing r:id="rId2"/>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F3EE-F3FC-4E37-99EF-CE4722BF9A81}">
  <sheetPr>
    <tabColor theme="4" tint="-0.249977111117893"/>
    <pageSetUpPr fitToPage="1"/>
  </sheetPr>
  <dimension ref="A1:G62"/>
  <sheetViews>
    <sheetView topLeftCell="A13" zoomScaleNormal="100" workbookViewId="0">
      <selection activeCell="B21" sqref="B21"/>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1418</v>
      </c>
      <c r="C7" s="58"/>
      <c r="D7" s="58"/>
    </row>
    <row r="8" spans="1:7" s="10" customFormat="1" ht="16.8" x14ac:dyDescent="0.4">
      <c r="A8" s="57" t="s">
        <v>1419</v>
      </c>
      <c r="C8" s="58"/>
      <c r="D8" s="58"/>
    </row>
    <row r="9" spans="1:7" s="10" customFormat="1" ht="16.8" x14ac:dyDescent="0.4">
      <c r="A9" s="57" t="s">
        <v>1392</v>
      </c>
      <c r="C9" s="58"/>
      <c r="D9" s="58"/>
    </row>
    <row r="10" spans="1:7" s="10" customFormat="1" ht="16.8" x14ac:dyDescent="0.4">
      <c r="A10" s="57" t="s">
        <v>1420</v>
      </c>
      <c r="C10" s="59"/>
      <c r="D10" s="58"/>
    </row>
    <row r="11" spans="1:7" s="10" customFormat="1" ht="16.8" x14ac:dyDescent="0.4">
      <c r="A11" s="60" t="s">
        <v>1421</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1410</v>
      </c>
      <c r="C15" s="625">
        <f>220*100</f>
        <v>22000</v>
      </c>
      <c r="D15" s="75">
        <f t="shared" ref="D15" si="0">A15*C15</f>
        <v>22000</v>
      </c>
      <c r="E15" s="190"/>
      <c r="G15" s="10"/>
    </row>
    <row r="16" spans="1:7" ht="45" x14ac:dyDescent="0.4">
      <c r="A16" s="72">
        <v>1</v>
      </c>
      <c r="B16" s="73" t="s">
        <v>1411</v>
      </c>
      <c r="C16" s="428">
        <f>7300+1100</f>
        <v>8400</v>
      </c>
      <c r="D16" s="75">
        <f t="shared" ref="D16:D17" si="1">A16*C16</f>
        <v>8400</v>
      </c>
      <c r="E16" s="190"/>
      <c r="F16" s="188"/>
      <c r="G16" s="10"/>
    </row>
    <row r="17" spans="1:7" s="191" customFormat="1" ht="45" x14ac:dyDescent="0.4">
      <c r="A17" s="72">
        <v>1</v>
      </c>
      <c r="B17" s="73" t="s">
        <v>915</v>
      </c>
      <c r="C17" s="428">
        <v>76000</v>
      </c>
      <c r="D17" s="75">
        <f t="shared" si="1"/>
        <v>76000</v>
      </c>
      <c r="E17" s="190"/>
      <c r="F17" s="188"/>
      <c r="G17" s="10"/>
    </row>
    <row r="18" spans="1:7" ht="16.8" x14ac:dyDescent="0.4">
      <c r="A18" s="72">
        <v>2</v>
      </c>
      <c r="B18" s="73" t="s">
        <v>1415</v>
      </c>
      <c r="C18" s="428">
        <f>(222*19.5)*1.5</f>
        <v>6493.5</v>
      </c>
      <c r="D18" s="75">
        <f t="shared" ref="D18:D26" si="2">A18*C18</f>
        <v>12987</v>
      </c>
      <c r="E18" s="190"/>
      <c r="F18" s="188"/>
      <c r="G18" s="10"/>
    </row>
    <row r="19" spans="1:7" ht="15.6" x14ac:dyDescent="0.25">
      <c r="A19" s="72">
        <v>2</v>
      </c>
      <c r="B19" s="73" t="s">
        <v>269</v>
      </c>
      <c r="C19" s="428">
        <f>5664/2</f>
        <v>2832</v>
      </c>
      <c r="D19" s="75">
        <f t="shared" si="2"/>
        <v>5664</v>
      </c>
      <c r="E19" s="189"/>
      <c r="G19" s="191"/>
    </row>
    <row r="20" spans="1:7" ht="15.6" x14ac:dyDescent="0.25">
      <c r="A20" s="571">
        <v>2</v>
      </c>
      <c r="B20" s="572" t="s">
        <v>270</v>
      </c>
      <c r="C20" s="626">
        <v>320</v>
      </c>
      <c r="D20" s="75">
        <f t="shared" si="2"/>
        <v>640</v>
      </c>
      <c r="E20" s="189"/>
    </row>
    <row r="21" spans="1:7" ht="30" x14ac:dyDescent="0.25">
      <c r="A21" s="72">
        <v>1</v>
      </c>
      <c r="B21" s="624" t="s">
        <v>1412</v>
      </c>
      <c r="C21" s="782" t="s">
        <v>1070</v>
      </c>
      <c r="D21" s="783"/>
      <c r="E21" s="189"/>
    </row>
    <row r="22" spans="1:7" ht="15.6" x14ac:dyDescent="0.25">
      <c r="A22" s="72">
        <v>1</v>
      </c>
      <c r="B22" s="624" t="s">
        <v>1413</v>
      </c>
      <c r="C22" s="782" t="s">
        <v>1414</v>
      </c>
      <c r="D22" s="783"/>
      <c r="E22" s="189"/>
    </row>
    <row r="23" spans="1:7" ht="15.6" x14ac:dyDescent="0.25">
      <c r="A23" s="72">
        <v>240</v>
      </c>
      <c r="B23" s="624" t="s">
        <v>1416</v>
      </c>
      <c r="C23" s="625">
        <f>670*1.35</f>
        <v>904.50000000000011</v>
      </c>
      <c r="D23" s="75">
        <f t="shared" si="2"/>
        <v>217080.00000000003</v>
      </c>
    </row>
    <row r="24" spans="1:7" ht="45" x14ac:dyDescent="0.25">
      <c r="A24" s="72">
        <v>1</v>
      </c>
      <c r="B24" s="624" t="s">
        <v>750</v>
      </c>
      <c r="C24" s="625">
        <v>22000</v>
      </c>
      <c r="D24" s="75">
        <f t="shared" si="2"/>
        <v>22000</v>
      </c>
    </row>
    <row r="25" spans="1:7" ht="15.6" x14ac:dyDescent="0.25">
      <c r="A25" s="72">
        <v>1</v>
      </c>
      <c r="B25" s="624" t="s">
        <v>745</v>
      </c>
      <c r="C25" s="625">
        <v>4380</v>
      </c>
      <c r="D25" s="75">
        <f t="shared" si="2"/>
        <v>4380</v>
      </c>
    </row>
    <row r="26" spans="1:7" ht="30.6" thickBot="1" x14ac:dyDescent="0.3">
      <c r="A26" s="72">
        <v>1</v>
      </c>
      <c r="B26" s="672" t="s">
        <v>751</v>
      </c>
      <c r="C26" s="625">
        <v>2380</v>
      </c>
      <c r="D26" s="75">
        <f t="shared" si="2"/>
        <v>2380</v>
      </c>
    </row>
    <row r="27" spans="1:7" x14ac:dyDescent="0.25">
      <c r="A27" s="667"/>
      <c r="B27" s="674"/>
      <c r="C27" s="669"/>
      <c r="D27" s="213"/>
    </row>
    <row r="28" spans="1:7" ht="15.6" x14ac:dyDescent="0.25">
      <c r="A28" s="668"/>
      <c r="B28" s="675"/>
      <c r="C28" s="670" t="s">
        <v>188</v>
      </c>
      <c r="D28" s="630">
        <f>SUM(D15:D26)</f>
        <v>371531</v>
      </c>
    </row>
    <row r="29" spans="1:7" ht="16.2" thickBot="1" x14ac:dyDescent="0.35">
      <c r="A29" s="453"/>
      <c r="B29" s="676"/>
      <c r="C29" s="671" t="s">
        <v>90</v>
      </c>
      <c r="D29" s="632">
        <f>D28*0.16</f>
        <v>59444.959999999999</v>
      </c>
    </row>
    <row r="30" spans="1:7" ht="16.2" thickBot="1" x14ac:dyDescent="0.35">
      <c r="A30" s="276"/>
      <c r="B30" s="673"/>
      <c r="C30" s="633" t="s">
        <v>40</v>
      </c>
      <c r="D30" s="634">
        <f>D28+D29</f>
        <v>430975.96</v>
      </c>
    </row>
    <row r="31" spans="1:7" ht="16.2" thickBot="1" x14ac:dyDescent="0.3">
      <c r="A31" s="102"/>
      <c r="B31" s="635" t="s">
        <v>1417</v>
      </c>
      <c r="C31" s="553"/>
      <c r="D31" s="461"/>
    </row>
    <row r="32" spans="1:7" ht="13.8" x14ac:dyDescent="0.25">
      <c r="B32" s="103" t="s">
        <v>15</v>
      </c>
      <c r="C32" s="189"/>
      <c r="D32" s="666"/>
    </row>
    <row r="33" spans="1:4" ht="15" x14ac:dyDescent="0.25">
      <c r="A33" s="106"/>
      <c r="B33" s="295" t="s">
        <v>42</v>
      </c>
    </row>
    <row r="34" spans="1:4" ht="41.4" x14ac:dyDescent="0.25">
      <c r="A34" s="106"/>
      <c r="B34" s="295" t="s">
        <v>43</v>
      </c>
      <c r="C34" s="109"/>
      <c r="D34" s="110"/>
    </row>
    <row r="35" spans="1:4" ht="15" x14ac:dyDescent="0.25">
      <c r="A35" s="106"/>
      <c r="B35" s="103" t="s">
        <v>18</v>
      </c>
      <c r="C35" s="109"/>
      <c r="D35" s="110"/>
    </row>
    <row r="36" spans="1:4" ht="15" x14ac:dyDescent="0.25">
      <c r="A36" s="106"/>
      <c r="B36" s="296" t="s">
        <v>501</v>
      </c>
      <c r="C36" s="109"/>
      <c r="D36" s="109"/>
    </row>
    <row r="37" spans="1:4" ht="15" x14ac:dyDescent="0.25">
      <c r="A37" s="106"/>
      <c r="B37" s="297" t="s">
        <v>20</v>
      </c>
      <c r="C37" s="109"/>
      <c r="D37" s="109"/>
    </row>
    <row r="38" spans="1:4" ht="13.8" x14ac:dyDescent="0.25">
      <c r="B38" s="103" t="s">
        <v>21</v>
      </c>
      <c r="D38" s="105"/>
    </row>
    <row r="39" spans="1:4" ht="15" x14ac:dyDescent="0.25">
      <c r="A39" s="106"/>
      <c r="B39" s="122" t="s">
        <v>502</v>
      </c>
      <c r="C39" s="109"/>
      <c r="D39" s="110"/>
    </row>
    <row r="40" spans="1:4" ht="15" x14ac:dyDescent="0.25">
      <c r="A40" s="106"/>
      <c r="B40" s="123" t="s">
        <v>44</v>
      </c>
      <c r="C40" s="109"/>
      <c r="D40" s="110"/>
    </row>
    <row r="41" spans="1:4" ht="13.8" x14ac:dyDescent="0.25">
      <c r="A41" s="115" t="s">
        <v>0</v>
      </c>
      <c r="B41" s="298" t="s">
        <v>45</v>
      </c>
      <c r="C41" s="109"/>
    </row>
    <row r="42" spans="1:4" ht="50.4" x14ac:dyDescent="0.25">
      <c r="A42" s="222"/>
      <c r="B42" s="314" t="s">
        <v>169</v>
      </c>
      <c r="C42" s="220"/>
      <c r="D42" s="108"/>
    </row>
    <row r="43" spans="1:4" x14ac:dyDescent="0.25">
      <c r="A43" s="222"/>
      <c r="B43" s="181"/>
      <c r="C43" s="181"/>
      <c r="D43" s="108"/>
    </row>
    <row r="44" spans="1:4" x14ac:dyDescent="0.25">
      <c r="A44" s="222"/>
      <c r="B44" s="181"/>
      <c r="C44" s="181"/>
      <c r="D44" s="108"/>
    </row>
    <row r="45" spans="1:4" x14ac:dyDescent="0.25">
      <c r="A45" s="225"/>
      <c r="B45" s="223"/>
      <c r="C45" s="181"/>
      <c r="D45" s="108"/>
    </row>
    <row r="46" spans="1:4" ht="15" x14ac:dyDescent="0.35">
      <c r="A46" s="226"/>
      <c r="B46" s="224"/>
      <c r="C46" s="181"/>
      <c r="D46" s="181"/>
    </row>
    <row r="47" spans="1:4" x14ac:dyDescent="0.25">
      <c r="A47"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01EE-241C-4DFF-8C4A-44426FB6A776}">
  <sheetPr>
    <tabColor theme="4" tint="-0.249977111117893"/>
    <pageSetUpPr fitToPage="1"/>
  </sheetPr>
  <dimension ref="A1:H62"/>
  <sheetViews>
    <sheetView topLeftCell="A9" zoomScaleNormal="100" workbookViewId="0">
      <selection activeCell="B16" sqref="B16"/>
    </sheetView>
  </sheetViews>
  <sheetFormatPr baseColWidth="10" defaultColWidth="10.33203125" defaultRowHeight="13.2" x14ac:dyDescent="0.25"/>
  <cols>
    <col min="1" max="1" width="5.44140625" style="108" customWidth="1"/>
    <col min="2" max="2" width="70.21875" style="108" customWidth="1"/>
    <col min="3" max="3" width="14.88671875" style="107" bestFit="1" customWidth="1"/>
    <col min="4" max="4" width="13.21875" style="107" bestFit="1" customWidth="1"/>
    <col min="5" max="16384" width="10.33203125" style="108"/>
  </cols>
  <sheetData>
    <row r="1" spans="1:8" ht="81" customHeight="1" x14ac:dyDescent="0.25">
      <c r="A1" s="108" t="s">
        <v>0</v>
      </c>
      <c r="C1" s="185"/>
    </row>
    <row r="2" spans="1:8" ht="9" customHeight="1" x14ac:dyDescent="0.25">
      <c r="C2" s="185"/>
    </row>
    <row r="3" spans="1:8" ht="9" customHeight="1" x14ac:dyDescent="0.25">
      <c r="C3" s="185"/>
    </row>
    <row r="4" spans="1:8" s="10" customFormat="1" ht="16.8" x14ac:dyDescent="0.4">
      <c r="A4" s="1038"/>
      <c r="B4" s="1038"/>
      <c r="C4" s="1038"/>
      <c r="D4" s="1038"/>
    </row>
    <row r="5" spans="1:8" s="10" customFormat="1" ht="16.8" x14ac:dyDescent="0.4">
      <c r="A5" s="57"/>
      <c r="C5" s="58"/>
      <c r="D5" s="58"/>
    </row>
    <row r="6" spans="1:8" s="10" customFormat="1" ht="16.8" x14ac:dyDescent="0.4">
      <c r="A6" s="57"/>
      <c r="C6" s="58"/>
      <c r="D6" s="58"/>
    </row>
    <row r="7" spans="1:8" s="10" customFormat="1" ht="16.8" x14ac:dyDescent="0.4">
      <c r="A7" s="57" t="s">
        <v>1422</v>
      </c>
      <c r="C7" s="58"/>
      <c r="D7" s="58"/>
    </row>
    <row r="8" spans="1:8" s="10" customFormat="1" ht="16.8" x14ac:dyDescent="0.4">
      <c r="A8" s="57" t="s">
        <v>1423</v>
      </c>
      <c r="C8" s="58"/>
      <c r="D8" s="58"/>
    </row>
    <row r="9" spans="1:8" s="10" customFormat="1" ht="16.8" x14ac:dyDescent="0.4">
      <c r="A9" s="57" t="s">
        <v>1392</v>
      </c>
      <c r="C9" s="58"/>
      <c r="D9" s="58"/>
    </row>
    <row r="10" spans="1:8" s="10" customFormat="1" ht="16.8" x14ac:dyDescent="0.4">
      <c r="A10" s="57" t="s">
        <v>1424</v>
      </c>
      <c r="C10" s="59"/>
      <c r="D10" s="58"/>
    </row>
    <row r="11" spans="1:8" s="10" customFormat="1" ht="16.8" x14ac:dyDescent="0.4">
      <c r="A11" s="60" t="s">
        <v>1421</v>
      </c>
      <c r="B11" s="61"/>
      <c r="C11" s="59"/>
      <c r="D11" s="58"/>
    </row>
    <row r="12" spans="1:8" s="10" customFormat="1" ht="15" customHeight="1" x14ac:dyDescent="0.4">
      <c r="A12" s="1060" t="s">
        <v>498</v>
      </c>
      <c r="B12" s="1061"/>
      <c r="C12" s="1062"/>
      <c r="D12" s="1063"/>
      <c r="E12" s="188"/>
    </row>
    <row r="13" spans="1:8" s="10" customFormat="1" ht="15" customHeight="1" x14ac:dyDescent="0.4">
      <c r="A13" s="145" t="s">
        <v>29</v>
      </c>
      <c r="B13" s="145" t="s">
        <v>30</v>
      </c>
      <c r="C13" s="146" t="s">
        <v>31</v>
      </c>
      <c r="D13" s="146" t="s">
        <v>32</v>
      </c>
      <c r="E13" s="189"/>
    </row>
    <row r="14" spans="1:8" s="10" customFormat="1" ht="16.8" x14ac:dyDescent="0.4">
      <c r="A14" s="148"/>
      <c r="B14" s="149"/>
      <c r="C14" s="150"/>
      <c r="D14" s="150"/>
      <c r="E14" s="190"/>
      <c r="F14" s="188"/>
    </row>
    <row r="15" spans="1:8" s="188" customFormat="1" ht="90.6" thickBot="1" x14ac:dyDescent="0.3">
      <c r="A15" s="72">
        <v>1</v>
      </c>
      <c r="B15" s="624" t="s">
        <v>1425</v>
      </c>
      <c r="C15" s="787">
        <f>17284*1.3</f>
        <v>22469.200000000001</v>
      </c>
      <c r="D15" s="781">
        <f>A15*C15</f>
        <v>22469.200000000001</v>
      </c>
      <c r="E15" s="189"/>
      <c r="F15" s="108"/>
      <c r="G15" s="108"/>
      <c r="H15" s="108"/>
    </row>
    <row r="16" spans="1:8" x14ac:dyDescent="0.25">
      <c r="A16" s="667"/>
      <c r="B16" s="784"/>
      <c r="C16" s="669"/>
      <c r="D16" s="213"/>
    </row>
    <row r="17" spans="1:8" s="191" customFormat="1" ht="15.6" x14ac:dyDescent="0.25">
      <c r="A17" s="668"/>
      <c r="B17" s="785"/>
      <c r="C17" s="670" t="s">
        <v>188</v>
      </c>
      <c r="D17" s="630">
        <f>SUM(D15:D15)</f>
        <v>22469.200000000001</v>
      </c>
      <c r="E17" s="108"/>
      <c r="F17" s="108"/>
      <c r="G17" s="108"/>
      <c r="H17" s="108"/>
    </row>
    <row r="18" spans="1:8" ht="16.2" thickBot="1" x14ac:dyDescent="0.35">
      <c r="A18" s="453"/>
      <c r="B18" s="786"/>
      <c r="C18" s="671" t="s">
        <v>90</v>
      </c>
      <c r="D18" s="632">
        <f>D17*0.16</f>
        <v>3595.0720000000001</v>
      </c>
    </row>
    <row r="19" spans="1:8" ht="16.2" thickBot="1" x14ac:dyDescent="0.35">
      <c r="A19" s="276"/>
      <c r="B19" s="673"/>
      <c r="C19" s="633" t="s">
        <v>40</v>
      </c>
      <c r="D19" s="634">
        <f>D17+D18</f>
        <v>26064.272000000001</v>
      </c>
    </row>
    <row r="20" spans="1:8" ht="16.2" thickBot="1" x14ac:dyDescent="0.3">
      <c r="A20" s="102"/>
      <c r="B20" s="635" t="s">
        <v>1417</v>
      </c>
      <c r="C20" s="553"/>
      <c r="D20" s="461"/>
    </row>
    <row r="21" spans="1:8" ht="13.8" x14ac:dyDescent="0.25">
      <c r="B21" s="103" t="s">
        <v>15</v>
      </c>
      <c r="C21" s="189"/>
      <c r="D21" s="666"/>
    </row>
    <row r="22" spans="1:8" ht="27.6" x14ac:dyDescent="0.25">
      <c r="A22" s="106"/>
      <c r="B22" s="295" t="s">
        <v>42</v>
      </c>
    </row>
    <row r="23" spans="1:8" ht="41.4" x14ac:dyDescent="0.25">
      <c r="A23" s="106"/>
      <c r="B23" s="295" t="s">
        <v>43</v>
      </c>
      <c r="C23" s="109"/>
      <c r="D23" s="110"/>
    </row>
    <row r="24" spans="1:8" ht="15" x14ac:dyDescent="0.25">
      <c r="A24" s="106"/>
      <c r="B24" s="103" t="s">
        <v>18</v>
      </c>
      <c r="C24" s="109"/>
      <c r="D24" s="110"/>
    </row>
    <row r="25" spans="1:8" ht="15" x14ac:dyDescent="0.25">
      <c r="A25" s="106"/>
      <c r="B25" s="296" t="s">
        <v>501</v>
      </c>
      <c r="C25" s="109"/>
      <c r="D25" s="109"/>
    </row>
    <row r="26" spans="1:8" ht="15" x14ac:dyDescent="0.25">
      <c r="A26" s="106"/>
      <c r="B26" s="297" t="s">
        <v>20</v>
      </c>
      <c r="C26" s="109"/>
      <c r="D26" s="109"/>
    </row>
    <row r="27" spans="1:8" ht="13.8" x14ac:dyDescent="0.25">
      <c r="B27" s="103" t="s">
        <v>21</v>
      </c>
      <c r="D27" s="105"/>
    </row>
    <row r="28" spans="1:8" ht="15" x14ac:dyDescent="0.25">
      <c r="A28" s="106"/>
      <c r="B28" s="122" t="s">
        <v>502</v>
      </c>
      <c r="C28" s="109"/>
      <c r="D28" s="110"/>
    </row>
    <row r="29" spans="1:8" ht="15" x14ac:dyDescent="0.25">
      <c r="A29" s="106"/>
      <c r="B29" s="123" t="s">
        <v>44</v>
      </c>
      <c r="C29" s="109"/>
      <c r="D29" s="110"/>
    </row>
    <row r="30" spans="1:8" ht="13.8" x14ac:dyDescent="0.25">
      <c r="A30" s="115" t="s">
        <v>0</v>
      </c>
      <c r="B30" s="298" t="s">
        <v>45</v>
      </c>
      <c r="C30" s="109"/>
    </row>
    <row r="31" spans="1:8" ht="50.4" x14ac:dyDescent="0.25">
      <c r="A31" s="222"/>
      <c r="B31" s="314" t="s">
        <v>169</v>
      </c>
      <c r="C31" s="220"/>
      <c r="D31" s="108"/>
    </row>
    <row r="32" spans="1:8" x14ac:dyDescent="0.25">
      <c r="A32" s="222"/>
      <c r="B32" s="181"/>
      <c r="C32" s="181"/>
      <c r="D32" s="108"/>
    </row>
    <row r="33" spans="1:4" x14ac:dyDescent="0.25">
      <c r="A33" s="222"/>
      <c r="B33" s="181"/>
      <c r="C33" s="181"/>
      <c r="D33" s="108"/>
    </row>
    <row r="34" spans="1:4" x14ac:dyDescent="0.25">
      <c r="A34" s="225"/>
      <c r="B34" s="223"/>
      <c r="C34" s="181"/>
      <c r="D34" s="108"/>
    </row>
    <row r="35" spans="1:4" ht="15" x14ac:dyDescent="0.35">
      <c r="A35" s="226"/>
      <c r="B35" s="224"/>
      <c r="C35" s="181"/>
      <c r="D35" s="181"/>
    </row>
    <row r="36" spans="1:4" x14ac:dyDescent="0.25">
      <c r="A3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93" fitToWidth="0" orientation="portrait" r:id="rId1"/>
  <headerFooter alignWithMargins="0">
    <oddFooter>Página &amp;P de &amp;N</oddFooter>
  </headerFooter>
  <drawing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85D2-64BC-45AB-B411-D526BF104ADB}">
  <sheetPr>
    <pageSetUpPr fitToPage="1"/>
  </sheetPr>
  <dimension ref="A1:F69"/>
  <sheetViews>
    <sheetView topLeftCell="A20" zoomScaleNormal="100" workbookViewId="0">
      <selection activeCell="D30" sqref="D30:D31"/>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1430</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1376</v>
      </c>
      <c r="C17" s="82">
        <f>(119920)*(1.33)</f>
        <v>159493.6</v>
      </c>
      <c r="D17" s="83">
        <f t="shared" ref="D17:D23" si="0">A17*C17</f>
        <v>159493.6</v>
      </c>
      <c r="E17" s="76"/>
    </row>
    <row r="18" spans="1:6" ht="45" x14ac:dyDescent="0.25">
      <c r="A18" s="72">
        <v>1</v>
      </c>
      <c r="B18" s="73" t="s">
        <v>1382</v>
      </c>
      <c r="C18" s="428">
        <v>87000</v>
      </c>
      <c r="D18" s="75">
        <f t="shared" si="0"/>
        <v>87000</v>
      </c>
      <c r="E18" s="76"/>
    </row>
    <row r="19" spans="1:6" ht="15.6" x14ac:dyDescent="0.25">
      <c r="A19" s="72">
        <v>4</v>
      </c>
      <c r="B19" s="73" t="s">
        <v>1384</v>
      </c>
      <c r="C19" s="428">
        <f>(227*19.5)*1.35</f>
        <v>5975.7750000000005</v>
      </c>
      <c r="D19" s="75">
        <f t="shared" si="0"/>
        <v>23903.100000000002</v>
      </c>
      <c r="E19" s="76"/>
    </row>
    <row r="20" spans="1:6" ht="15.6" x14ac:dyDescent="0.25">
      <c r="A20" s="571">
        <v>3</v>
      </c>
      <c r="B20" s="73" t="s">
        <v>1385</v>
      </c>
      <c r="C20" s="428">
        <f>(197*19.5)*1.35</f>
        <v>5186.0250000000005</v>
      </c>
      <c r="D20" s="75">
        <f t="shared" si="0"/>
        <v>15558.075000000001</v>
      </c>
      <c r="E20" s="76"/>
    </row>
    <row r="21" spans="1:6" ht="15.6" x14ac:dyDescent="0.25">
      <c r="A21" s="72">
        <v>3</v>
      </c>
      <c r="B21" s="73" t="s">
        <v>270</v>
      </c>
      <c r="C21" s="772">
        <v>320</v>
      </c>
      <c r="D21" s="75">
        <f t="shared" si="0"/>
        <v>960</v>
      </c>
      <c r="E21" s="76"/>
    </row>
    <row r="22" spans="1:6" ht="30" x14ac:dyDescent="0.25">
      <c r="A22" s="77">
        <v>1</v>
      </c>
      <c r="B22" s="81" t="s">
        <v>612</v>
      </c>
      <c r="C22" s="82">
        <f>(625.11*20.56)*1.3+(4500)</f>
        <v>21207.94008</v>
      </c>
      <c r="D22" s="83">
        <f t="shared" si="0"/>
        <v>21207.94008</v>
      </c>
      <c r="E22" s="76"/>
    </row>
    <row r="23" spans="1:6" ht="15.6" x14ac:dyDescent="0.25">
      <c r="A23" s="77">
        <v>1</v>
      </c>
      <c r="B23" s="81" t="s">
        <v>1049</v>
      </c>
      <c r="C23" s="82">
        <v>6400</v>
      </c>
      <c r="D23" s="83">
        <f t="shared" si="0"/>
        <v>6400</v>
      </c>
      <c r="E23" s="76"/>
    </row>
    <row r="24" spans="1:6" ht="30" x14ac:dyDescent="0.25">
      <c r="A24" s="72">
        <v>1</v>
      </c>
      <c r="B24" s="73" t="s">
        <v>33</v>
      </c>
      <c r="C24" s="74">
        <v>4600</v>
      </c>
      <c r="D24" s="75">
        <f>A24*C24</f>
        <v>4600</v>
      </c>
    </row>
    <row r="25" spans="1:6" ht="15.6" x14ac:dyDescent="0.25">
      <c r="A25" s="84">
        <v>205</v>
      </c>
      <c r="B25" s="85" t="s">
        <v>34</v>
      </c>
      <c r="C25" s="86">
        <v>18.7</v>
      </c>
      <c r="D25" s="87">
        <f>A25*C25</f>
        <v>3833.5</v>
      </c>
      <c r="E25" s="96"/>
    </row>
    <row r="26" spans="1:6" ht="30" x14ac:dyDescent="0.25">
      <c r="A26" s="72">
        <v>1</v>
      </c>
      <c r="B26" s="73" t="s">
        <v>1056</v>
      </c>
      <c r="C26" s="74">
        <v>5800</v>
      </c>
      <c r="D26" s="75">
        <f>A26*C26</f>
        <v>5800</v>
      </c>
      <c r="E26" s="96"/>
    </row>
    <row r="27" spans="1:6" ht="15.6" x14ac:dyDescent="0.25">
      <c r="A27" s="72">
        <v>1</v>
      </c>
      <c r="B27" s="73" t="s">
        <v>36</v>
      </c>
      <c r="C27" s="74">
        <v>2498</v>
      </c>
      <c r="D27" s="75">
        <f>A27*C27</f>
        <v>2498</v>
      </c>
    </row>
    <row r="28" spans="1:6" ht="45" x14ac:dyDescent="0.25">
      <c r="A28" s="72">
        <v>1</v>
      </c>
      <c r="B28" s="73" t="s">
        <v>1044</v>
      </c>
      <c r="C28" s="74">
        <v>21000</v>
      </c>
      <c r="D28" s="75">
        <f>A28*C28</f>
        <v>21000</v>
      </c>
      <c r="F28" s="96"/>
    </row>
    <row r="29" spans="1:6" s="96" customFormat="1" ht="15.6" x14ac:dyDescent="0.25">
      <c r="A29" s="72"/>
      <c r="B29" s="75"/>
      <c r="C29" s="75"/>
      <c r="D29" s="75"/>
      <c r="E29" s="52"/>
    </row>
    <row r="30" spans="1:6" s="96" customFormat="1" ht="15.75" customHeight="1" x14ac:dyDescent="0.25">
      <c r="A30" s="89"/>
      <c r="B30" s="90"/>
      <c r="C30" s="91" t="s">
        <v>38</v>
      </c>
      <c r="D30" s="75">
        <f>SUM(D16:D28)</f>
        <v>387654.21507999999</v>
      </c>
      <c r="E30" s="52"/>
      <c r="F30" s="52"/>
    </row>
    <row r="31" spans="1:6" ht="13.5" customHeight="1" x14ac:dyDescent="0.3">
      <c r="A31" s="92"/>
      <c r="B31" s="90"/>
      <c r="C31" s="93" t="s">
        <v>39</v>
      </c>
      <c r="D31" s="75">
        <f>D30*0.16</f>
        <v>62024.674412799999</v>
      </c>
    </row>
    <row r="32" spans="1:6" ht="16.2" thickBot="1" x14ac:dyDescent="0.35">
      <c r="A32" s="92"/>
      <c r="B32" s="90"/>
      <c r="C32" s="94" t="s">
        <v>40</v>
      </c>
      <c r="D32" s="95">
        <f>D30+D31</f>
        <v>449678.88949279999</v>
      </c>
    </row>
    <row r="33" spans="1:4" ht="13.5" customHeight="1" thickBot="1" x14ac:dyDescent="0.3">
      <c r="A33" s="92"/>
      <c r="B33" s="1023" t="s">
        <v>1429</v>
      </c>
      <c r="C33" s="1024"/>
      <c r="D33" s="1025"/>
    </row>
    <row r="34" spans="1:4" ht="13.8" x14ac:dyDescent="0.25">
      <c r="B34" s="370" t="s">
        <v>9</v>
      </c>
      <c r="C34" s="98"/>
      <c r="D34" s="99"/>
    </row>
    <row r="35" spans="1:4" ht="34.799999999999997" x14ac:dyDescent="0.25">
      <c r="B35" s="124" t="s">
        <v>484</v>
      </c>
      <c r="C35" s="76"/>
      <c r="D35" s="96"/>
    </row>
    <row r="36" spans="1:4" ht="13.5" customHeight="1" x14ac:dyDescent="0.25">
      <c r="A36" s="96"/>
      <c r="B36" s="103" t="s">
        <v>11</v>
      </c>
      <c r="C36" s="96"/>
      <c r="D36" s="96"/>
    </row>
    <row r="37" spans="1:4" ht="13.5" customHeight="1" x14ac:dyDescent="0.25">
      <c r="A37" s="101"/>
      <c r="B37" s="123" t="s">
        <v>12</v>
      </c>
      <c r="C37" s="52"/>
      <c r="D37" s="52"/>
    </row>
    <row r="38" spans="1:4" ht="13.5" customHeight="1" x14ac:dyDescent="0.25">
      <c r="A38" s="101"/>
      <c r="B38" s="123" t="s">
        <v>13</v>
      </c>
      <c r="C38" s="52"/>
      <c r="D38" s="52"/>
    </row>
    <row r="39" spans="1:4" ht="13.5" customHeight="1" x14ac:dyDescent="0.25">
      <c r="A39" s="101"/>
      <c r="B39" s="123" t="s">
        <v>14</v>
      </c>
      <c r="C39" s="52"/>
      <c r="D39" s="52"/>
    </row>
    <row r="40" spans="1:4" ht="13.5" customHeight="1" x14ac:dyDescent="0.25">
      <c r="A40" s="102"/>
      <c r="B40" s="103" t="s">
        <v>15</v>
      </c>
      <c r="C40" s="52"/>
      <c r="D40" s="52"/>
    </row>
    <row r="41" spans="1:4" ht="13.8" x14ac:dyDescent="0.25">
      <c r="A41" s="102"/>
      <c r="B41" s="295" t="s">
        <v>42</v>
      </c>
      <c r="C41" s="104"/>
      <c r="D41" s="105"/>
    </row>
    <row r="42" spans="1:4" ht="27.6" x14ac:dyDescent="0.25">
      <c r="A42" s="106"/>
      <c r="B42" s="295" t="s">
        <v>43</v>
      </c>
      <c r="C42" s="104"/>
      <c r="D42" s="105"/>
    </row>
    <row r="43" spans="1:4" ht="15" x14ac:dyDescent="0.25">
      <c r="A43" s="106"/>
      <c r="B43" s="103" t="s">
        <v>18</v>
      </c>
      <c r="C43" s="107"/>
      <c r="D43" s="105"/>
    </row>
    <row r="44" spans="1:4" ht="15" x14ac:dyDescent="0.25">
      <c r="A44" s="106"/>
      <c r="B44" s="313" t="s">
        <v>410</v>
      </c>
      <c r="C44" s="107"/>
      <c r="D44" s="105"/>
    </row>
    <row r="45" spans="1:4" ht="15" x14ac:dyDescent="0.25">
      <c r="A45" s="106"/>
      <c r="B45" s="297" t="s">
        <v>20</v>
      </c>
      <c r="C45" s="107"/>
      <c r="D45" s="105"/>
    </row>
    <row r="46" spans="1:4" ht="13.8" x14ac:dyDescent="0.25">
      <c r="A46" s="108"/>
      <c r="B46" s="103" t="s">
        <v>21</v>
      </c>
      <c r="C46" s="107"/>
      <c r="D46" s="105"/>
    </row>
    <row r="47" spans="1:4" ht="15" x14ac:dyDescent="0.25">
      <c r="A47" s="106"/>
      <c r="B47" s="122" t="s">
        <v>1375</v>
      </c>
      <c r="C47" s="107"/>
      <c r="D47" s="107"/>
    </row>
    <row r="48" spans="1:4" ht="15" x14ac:dyDescent="0.25">
      <c r="A48" s="106"/>
      <c r="B48" s="123" t="s">
        <v>44</v>
      </c>
      <c r="C48" s="107"/>
      <c r="D48" s="107"/>
    </row>
    <row r="49" spans="1:4" ht="15" x14ac:dyDescent="0.25">
      <c r="A49" s="106"/>
      <c r="B49" s="123" t="s">
        <v>45</v>
      </c>
      <c r="C49" s="109"/>
      <c r="D49" s="110"/>
    </row>
    <row r="50" spans="1:4" ht="33.6" x14ac:dyDescent="0.25">
      <c r="A50" s="106"/>
      <c r="B50" s="314" t="s">
        <v>23</v>
      </c>
      <c r="C50" s="109"/>
      <c r="D50" s="110"/>
    </row>
    <row r="51" spans="1:4" ht="16.8" x14ac:dyDescent="0.4">
      <c r="A51" s="106"/>
      <c r="B51" s="111"/>
      <c r="C51" s="109"/>
      <c r="D51" s="109"/>
    </row>
    <row r="52" spans="1:4" ht="13.8" x14ac:dyDescent="0.25">
      <c r="A52" s="108"/>
      <c r="B52" s="112"/>
      <c r="C52" s="109"/>
      <c r="D52" s="109"/>
    </row>
    <row r="53" spans="1:4" ht="15" x14ac:dyDescent="0.25">
      <c r="A53" s="106"/>
      <c r="B53" s="112"/>
      <c r="C53" s="107"/>
      <c r="D53" s="105"/>
    </row>
    <row r="54" spans="1:4" ht="15" x14ac:dyDescent="0.25">
      <c r="A54" s="106"/>
      <c r="B54" s="113"/>
      <c r="C54" s="109"/>
      <c r="D54" s="110"/>
    </row>
    <row r="55" spans="1:4" ht="16.2" x14ac:dyDescent="0.35">
      <c r="A55" s="106"/>
      <c r="B55" s="114"/>
      <c r="C55" s="109"/>
      <c r="D55" s="110"/>
    </row>
    <row r="56" spans="1:4" ht="13.8" x14ac:dyDescent="0.25">
      <c r="A56" s="115" t="s">
        <v>0</v>
      </c>
      <c r="C56" s="109"/>
      <c r="D56" s="110"/>
    </row>
    <row r="57" spans="1:4" ht="13.8" x14ac:dyDescent="0.25">
      <c r="A57" s="116"/>
      <c r="C57" s="109"/>
      <c r="D57" s="109"/>
    </row>
    <row r="58" spans="1:4" ht="13.8" x14ac:dyDescent="0.25">
      <c r="A58" s="117"/>
      <c r="C58" s="118"/>
      <c r="D58" s="118"/>
    </row>
    <row r="59" spans="1:4" x14ac:dyDescent="0.25">
      <c r="A59" s="117"/>
      <c r="C59" s="112"/>
      <c r="D59" s="52"/>
    </row>
    <row r="60" spans="1:4" ht="15.75" customHeight="1" x14ac:dyDescent="0.25">
      <c r="A60" s="119"/>
      <c r="C60" s="112"/>
      <c r="D60" s="52"/>
    </row>
    <row r="61" spans="1:4" x14ac:dyDescent="0.25">
      <c r="A61" s="120" t="s">
        <v>0</v>
      </c>
      <c r="C61" s="112"/>
      <c r="D61" s="52"/>
    </row>
    <row r="62" spans="1:4" x14ac:dyDescent="0.25">
      <c r="A62" s="52" t="s">
        <v>0</v>
      </c>
      <c r="C62" s="112"/>
      <c r="D62" s="112"/>
    </row>
    <row r="64" spans="1:4" ht="16.5" customHeight="1" x14ac:dyDescent="0.25"/>
    <row r="68" ht="24" customHeight="1" x14ac:dyDescent="0.25"/>
    <row r="69" ht="24" customHeight="1" x14ac:dyDescent="0.25"/>
  </sheetData>
  <mergeCells count="3">
    <mergeCell ref="A4:D4"/>
    <mergeCell ref="A13:D13"/>
    <mergeCell ref="B33:D33"/>
  </mergeCells>
  <pageMargins left="0.25" right="0.25" top="0.75" bottom="0.75" header="0.3" footer="0.3"/>
  <pageSetup scale="60" fitToHeight="0" orientation="portrait" r:id="rId1"/>
  <drawing r:id="rId2"/>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9E7C-3477-460A-9C86-6E6F373277A6}">
  <sheetPr>
    <tabColor theme="4" tint="-0.249977111117893"/>
    <pageSetUpPr fitToPage="1"/>
  </sheetPr>
  <dimension ref="A1:G62"/>
  <sheetViews>
    <sheetView topLeftCell="A9" zoomScaleNormal="100" workbookViewId="0">
      <selection activeCell="B18" sqref="B18"/>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1434</v>
      </c>
      <c r="C7" s="58"/>
      <c r="D7" s="58"/>
    </row>
    <row r="8" spans="1:7" s="10" customFormat="1" ht="16.8" x14ac:dyDescent="0.4">
      <c r="A8" s="57" t="s">
        <v>1435</v>
      </c>
      <c r="C8" s="58"/>
      <c r="D8" s="58"/>
    </row>
    <row r="9" spans="1:7" s="10" customFormat="1" ht="16.8" x14ac:dyDescent="0.4">
      <c r="A9" s="57" t="s">
        <v>735</v>
      </c>
      <c r="C9" s="58"/>
      <c r="D9" s="58"/>
    </row>
    <row r="10" spans="1:7" s="10" customFormat="1" ht="16.8" x14ac:dyDescent="0.4">
      <c r="A10" s="57" t="s">
        <v>1037</v>
      </c>
      <c r="C10" s="59"/>
      <c r="D10" s="58"/>
    </row>
    <row r="11" spans="1:7" s="10" customFormat="1" ht="16.8" x14ac:dyDescent="0.4">
      <c r="A11" s="60" t="s">
        <v>1436</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1431</v>
      </c>
      <c r="C15" s="625">
        <f>(135*110)*2.6</f>
        <v>38610</v>
      </c>
      <c r="D15" s="75">
        <f t="shared" ref="D15:D25" si="0">A15*C15</f>
        <v>38610</v>
      </c>
      <c r="E15" s="190"/>
      <c r="G15" s="10"/>
    </row>
    <row r="16" spans="1:7" ht="45" x14ac:dyDescent="0.4">
      <c r="A16" s="72">
        <v>1</v>
      </c>
      <c r="B16" s="73" t="s">
        <v>1411</v>
      </c>
      <c r="C16" s="428">
        <f>7300+1100</f>
        <v>8400</v>
      </c>
      <c r="D16" s="75">
        <f t="shared" si="0"/>
        <v>8400</v>
      </c>
      <c r="E16" s="190"/>
      <c r="F16" s="188"/>
      <c r="G16" s="10"/>
    </row>
    <row r="17" spans="1:7" s="191" customFormat="1" ht="45" x14ac:dyDescent="0.4">
      <c r="A17" s="72">
        <v>1</v>
      </c>
      <c r="B17" s="73" t="s">
        <v>915</v>
      </c>
      <c r="C17" s="428">
        <v>76000</v>
      </c>
      <c r="D17" s="75">
        <f t="shared" si="0"/>
        <v>76000</v>
      </c>
      <c r="E17" s="190"/>
      <c r="F17" s="188"/>
      <c r="G17" s="10"/>
    </row>
    <row r="18" spans="1:7" ht="16.8" x14ac:dyDescent="0.4">
      <c r="A18" s="72">
        <v>2</v>
      </c>
      <c r="B18" s="73" t="s">
        <v>1415</v>
      </c>
      <c r="C18" s="428">
        <f>(222*19.5)*1.5</f>
        <v>6493.5</v>
      </c>
      <c r="D18" s="75">
        <f t="shared" si="0"/>
        <v>12987</v>
      </c>
      <c r="E18" s="190"/>
      <c r="F18" s="188"/>
      <c r="G18" s="10"/>
    </row>
    <row r="19" spans="1:7" ht="15.6" x14ac:dyDescent="0.25">
      <c r="A19" s="72">
        <v>2</v>
      </c>
      <c r="B19" s="73" t="s">
        <v>269</v>
      </c>
      <c r="C19" s="428">
        <f>5664/2</f>
        <v>2832</v>
      </c>
      <c r="D19" s="75">
        <f t="shared" si="0"/>
        <v>5664</v>
      </c>
      <c r="E19" s="189"/>
      <c r="G19" s="191"/>
    </row>
    <row r="20" spans="1:7" ht="15.6" x14ac:dyDescent="0.25">
      <c r="A20" s="571">
        <v>2</v>
      </c>
      <c r="B20" s="572" t="s">
        <v>270</v>
      </c>
      <c r="C20" s="626">
        <v>320</v>
      </c>
      <c r="D20" s="75">
        <f t="shared" si="0"/>
        <v>640</v>
      </c>
      <c r="E20" s="189"/>
    </row>
    <row r="21" spans="1:7" ht="30" x14ac:dyDescent="0.25">
      <c r="A21" s="72">
        <v>1</v>
      </c>
      <c r="B21" s="624" t="s">
        <v>1412</v>
      </c>
      <c r="C21" s="782" t="s">
        <v>1070</v>
      </c>
      <c r="D21" s="783"/>
      <c r="E21" s="189"/>
    </row>
    <row r="22" spans="1:7" ht="15.6" x14ac:dyDescent="0.25">
      <c r="A22" s="72">
        <v>1</v>
      </c>
      <c r="B22" s="624" t="s">
        <v>1413</v>
      </c>
      <c r="C22" s="782" t="s">
        <v>1414</v>
      </c>
      <c r="D22" s="783"/>
      <c r="E22" s="189"/>
    </row>
    <row r="23" spans="1:7" ht="45" x14ac:dyDescent="0.25">
      <c r="A23" s="72">
        <v>1</v>
      </c>
      <c r="B23" s="624" t="s">
        <v>750</v>
      </c>
      <c r="C23" s="625">
        <f>(135*110)*2.6</f>
        <v>38610</v>
      </c>
      <c r="D23" s="75">
        <f t="shared" si="0"/>
        <v>38610</v>
      </c>
    </row>
    <row r="24" spans="1:7" ht="15.6" x14ac:dyDescent="0.25">
      <c r="A24" s="72">
        <v>1</v>
      </c>
      <c r="B24" s="624" t="s">
        <v>745</v>
      </c>
      <c r="C24" s="625">
        <v>2450</v>
      </c>
      <c r="D24" s="75">
        <f t="shared" si="0"/>
        <v>2450</v>
      </c>
    </row>
    <row r="25" spans="1:7" ht="30.6" thickBot="1" x14ac:dyDescent="0.3">
      <c r="A25" s="72">
        <v>1</v>
      </c>
      <c r="B25" s="672" t="s">
        <v>1432</v>
      </c>
      <c r="C25" s="625">
        <v>4380</v>
      </c>
      <c r="D25" s="75">
        <f t="shared" si="0"/>
        <v>4380</v>
      </c>
    </row>
    <row r="26" spans="1:7" x14ac:dyDescent="0.25">
      <c r="A26" s="667"/>
      <c r="B26" s="674"/>
      <c r="C26" s="669"/>
      <c r="D26" s="213"/>
    </row>
    <row r="27" spans="1:7" ht="15.6" x14ac:dyDescent="0.25">
      <c r="A27" s="668"/>
      <c r="B27" s="675"/>
      <c r="C27" s="670" t="s">
        <v>188</v>
      </c>
      <c r="D27" s="630">
        <f>SUM(D15:D25)</f>
        <v>187741</v>
      </c>
    </row>
    <row r="28" spans="1:7" ht="16.2" thickBot="1" x14ac:dyDescent="0.35">
      <c r="A28" s="453"/>
      <c r="B28" s="676"/>
      <c r="C28" s="671" t="s">
        <v>90</v>
      </c>
      <c r="D28" s="632">
        <f>D27*0.16</f>
        <v>30038.560000000001</v>
      </c>
    </row>
    <row r="29" spans="1:7" ht="16.2" thickBot="1" x14ac:dyDescent="0.35">
      <c r="A29" s="276"/>
      <c r="B29" s="673"/>
      <c r="C29" s="633" t="s">
        <v>40</v>
      </c>
      <c r="D29" s="634">
        <f>D27+D28</f>
        <v>217779.56</v>
      </c>
    </row>
    <row r="30" spans="1:7" ht="16.2" thickBot="1" x14ac:dyDescent="0.3">
      <c r="A30" s="102"/>
      <c r="B30" s="635" t="s">
        <v>1433</v>
      </c>
      <c r="C30" s="553"/>
      <c r="D30" s="461"/>
    </row>
    <row r="31" spans="1:7" ht="13.8" x14ac:dyDescent="0.25">
      <c r="B31" s="103" t="s">
        <v>15</v>
      </c>
      <c r="C31" s="189"/>
      <c r="D31" s="666"/>
    </row>
    <row r="32" spans="1:7" ht="15" x14ac:dyDescent="0.25">
      <c r="A32" s="106"/>
      <c r="B32" s="295" t="s">
        <v>42</v>
      </c>
    </row>
    <row r="33" spans="1:4" ht="41.4" x14ac:dyDescent="0.25">
      <c r="A33" s="106"/>
      <c r="B33" s="295" t="s">
        <v>43</v>
      </c>
      <c r="C33" s="109"/>
      <c r="D33" s="110"/>
    </row>
    <row r="34" spans="1:4" ht="15" x14ac:dyDescent="0.25">
      <c r="A34" s="106"/>
      <c r="B34" s="103" t="s">
        <v>18</v>
      </c>
      <c r="C34" s="109"/>
      <c r="D34" s="110"/>
    </row>
    <row r="35" spans="1:4" ht="15" x14ac:dyDescent="0.25">
      <c r="A35" s="106"/>
      <c r="B35" s="296" t="s">
        <v>501</v>
      </c>
      <c r="C35" s="109"/>
      <c r="D35" s="109"/>
    </row>
    <row r="36" spans="1:4" ht="15" x14ac:dyDescent="0.25">
      <c r="A36" s="106"/>
      <c r="B36" s="297" t="s">
        <v>20</v>
      </c>
      <c r="C36" s="109"/>
      <c r="D36" s="109"/>
    </row>
    <row r="37" spans="1:4" ht="13.8" x14ac:dyDescent="0.25">
      <c r="B37" s="103" t="s">
        <v>21</v>
      </c>
      <c r="D37" s="105"/>
    </row>
    <row r="38" spans="1:4" ht="15" x14ac:dyDescent="0.25">
      <c r="A38" s="106"/>
      <c r="B38" s="122" t="s">
        <v>502</v>
      </c>
      <c r="C38" s="109"/>
      <c r="D38" s="110"/>
    </row>
    <row r="39" spans="1:4" ht="15" x14ac:dyDescent="0.25">
      <c r="A39" s="106"/>
      <c r="B39" s="123" t="s">
        <v>44</v>
      </c>
      <c r="C39" s="109"/>
      <c r="D39" s="110"/>
    </row>
    <row r="40" spans="1:4" ht="13.8" x14ac:dyDescent="0.25">
      <c r="A40" s="115" t="s">
        <v>0</v>
      </c>
      <c r="B40" s="298" t="s">
        <v>45</v>
      </c>
      <c r="C40" s="109"/>
    </row>
    <row r="41" spans="1:4" ht="50.4" x14ac:dyDescent="0.25">
      <c r="A41" s="222"/>
      <c r="B41" s="314" t="s">
        <v>169</v>
      </c>
      <c r="C41" s="220"/>
      <c r="D41" s="108"/>
    </row>
    <row r="42" spans="1:4" x14ac:dyDescent="0.25">
      <c r="A42" s="222"/>
      <c r="B42" s="181"/>
      <c r="C42" s="181"/>
      <c r="D42" s="108"/>
    </row>
    <row r="43" spans="1:4" x14ac:dyDescent="0.25">
      <c r="A43" s="222"/>
      <c r="B43" s="181"/>
      <c r="C43" s="181"/>
      <c r="D43" s="108"/>
    </row>
    <row r="44" spans="1:4" x14ac:dyDescent="0.25">
      <c r="A44" s="225"/>
      <c r="B44" s="223"/>
      <c r="C44" s="181"/>
      <c r="D44" s="108"/>
    </row>
    <row r="45" spans="1:4" ht="15" x14ac:dyDescent="0.35">
      <c r="A45" s="226"/>
      <c r="B45" s="224"/>
      <c r="C45" s="181"/>
      <c r="D45" s="181"/>
    </row>
    <row r="46" spans="1:4" x14ac:dyDescent="0.25">
      <c r="A4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76AE-00CF-44DD-84C3-716D6BF43DA5}">
  <sheetPr>
    <tabColor theme="4" tint="-0.249977111117893"/>
    <pageSetUpPr fitToPage="1"/>
  </sheetPr>
  <dimension ref="A1:F62"/>
  <sheetViews>
    <sheetView zoomScaleNormal="100" workbookViewId="0">
      <selection activeCell="B28" sqref="B28"/>
    </sheetView>
  </sheetViews>
  <sheetFormatPr baseColWidth="10" defaultColWidth="10.33203125" defaultRowHeight="13.2" x14ac:dyDescent="0.25"/>
  <cols>
    <col min="1" max="1" width="5.44140625" style="108" customWidth="1"/>
    <col min="2" max="2" width="78.5546875" style="108" customWidth="1"/>
    <col min="3" max="3" width="12.109375" style="107" bestFit="1" customWidth="1"/>
    <col min="4" max="4" width="13.3320312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236</v>
      </c>
      <c r="B7" s="228"/>
      <c r="C7" s="229"/>
      <c r="D7" s="229"/>
    </row>
    <row r="8" spans="1:6" s="10" customFormat="1" ht="19.2" x14ac:dyDescent="0.45">
      <c r="A8" s="227" t="s">
        <v>1438</v>
      </c>
      <c r="B8" s="228"/>
      <c r="C8" s="229"/>
      <c r="D8" s="229"/>
    </row>
    <row r="9" spans="1:6" s="10" customFormat="1" ht="19.2" x14ac:dyDescent="0.45">
      <c r="A9" s="227" t="s">
        <v>284</v>
      </c>
      <c r="B9" s="228"/>
      <c r="C9" s="229"/>
      <c r="D9" s="229"/>
    </row>
    <row r="10" spans="1:6" s="10" customFormat="1" ht="19.8" customHeight="1" x14ac:dyDescent="0.45">
      <c r="A10" s="227" t="s">
        <v>1439</v>
      </c>
      <c r="B10" s="228"/>
      <c r="C10" s="230"/>
      <c r="D10" s="229"/>
    </row>
    <row r="11" spans="1:6" s="10" customFormat="1" ht="19.2" x14ac:dyDescent="0.45">
      <c r="A11" s="227" t="s">
        <v>316</v>
      </c>
      <c r="B11" s="228"/>
      <c r="C11" s="230"/>
      <c r="D11" s="229"/>
    </row>
    <row r="12" spans="1:6" s="10" customFormat="1" ht="15" customHeight="1" x14ac:dyDescent="0.45">
      <c r="A12" s="227" t="s">
        <v>6</v>
      </c>
      <c r="B12" s="231"/>
      <c r="C12" s="232"/>
      <c r="D12" s="233"/>
      <c r="E12" s="188"/>
    </row>
    <row r="13" spans="1:6" s="10" customFormat="1" ht="15" customHeight="1" x14ac:dyDescent="0.45">
      <c r="A13" s="480" t="s">
        <v>1436</v>
      </c>
      <c r="B13" s="481"/>
      <c r="C13" s="232"/>
      <c r="D13" s="482"/>
      <c r="E13" s="189"/>
    </row>
    <row r="14" spans="1:6" s="10" customFormat="1" ht="16.8" x14ac:dyDescent="0.4">
      <c r="A14" s="148"/>
      <c r="B14" s="149"/>
      <c r="C14" s="150"/>
      <c r="D14" s="150"/>
      <c r="E14" s="190"/>
      <c r="F14" s="188"/>
    </row>
    <row r="15" spans="1:6" s="188" customFormat="1" ht="60" x14ac:dyDescent="0.25">
      <c r="A15" s="72">
        <v>1</v>
      </c>
      <c r="B15" s="73" t="s">
        <v>1322</v>
      </c>
      <c r="C15" s="74">
        <v>54000</v>
      </c>
      <c r="D15" s="75">
        <f>A15*C15</f>
        <v>54000</v>
      </c>
      <c r="E15" s="189"/>
      <c r="F15" s="108"/>
    </row>
    <row r="16" spans="1:6" ht="15.6" x14ac:dyDescent="0.25">
      <c r="A16" s="72">
        <v>1</v>
      </c>
      <c r="B16" s="73" t="s">
        <v>1323</v>
      </c>
      <c r="C16" s="74">
        <v>1150</v>
      </c>
      <c r="D16" s="75"/>
      <c r="E16" s="189"/>
      <c r="F16" s="191"/>
    </row>
    <row r="17" spans="1:6" s="191" customFormat="1" ht="60" x14ac:dyDescent="0.25">
      <c r="A17" s="429">
        <v>1</v>
      </c>
      <c r="B17" s="73" t="s">
        <v>445</v>
      </c>
      <c r="C17" s="428">
        <v>7200</v>
      </c>
      <c r="D17" s="75">
        <f>A17*C17</f>
        <v>7200</v>
      </c>
      <c r="E17" s="189"/>
      <c r="F17" s="108"/>
    </row>
    <row r="18" spans="1:6" ht="15.6" x14ac:dyDescent="0.25">
      <c r="A18" s="539"/>
      <c r="B18" s="545"/>
      <c r="C18" s="629" t="s">
        <v>188</v>
      </c>
      <c r="D18" s="630">
        <f>SUM(D15:D17)</f>
        <v>61200</v>
      </c>
      <c r="E18" s="189"/>
    </row>
    <row r="19" spans="1:6" ht="15.6" x14ac:dyDescent="0.3">
      <c r="A19" s="453"/>
      <c r="B19" s="454"/>
      <c r="C19" s="631" t="s">
        <v>90</v>
      </c>
      <c r="D19" s="632">
        <f>D18*0.16</f>
        <v>9792</v>
      </c>
      <c r="E19" s="189"/>
    </row>
    <row r="20" spans="1:6" ht="16.2" thickBot="1" x14ac:dyDescent="0.35">
      <c r="A20" s="276"/>
      <c r="B20" s="385"/>
      <c r="C20" s="633" t="s">
        <v>40</v>
      </c>
      <c r="D20" s="634">
        <f>D18+D19</f>
        <v>70992</v>
      </c>
      <c r="E20" s="189"/>
    </row>
    <row r="21" spans="1:6" ht="16.2" thickBot="1" x14ac:dyDescent="0.3">
      <c r="A21" s="102"/>
      <c r="B21" s="764" t="s">
        <v>1437</v>
      </c>
      <c r="C21" s="460"/>
      <c r="D21" s="461"/>
    </row>
    <row r="22" spans="1:6" ht="15" x14ac:dyDescent="0.25">
      <c r="A22" s="106"/>
      <c r="B22" s="97" t="s">
        <v>11</v>
      </c>
      <c r="C22" s="462"/>
      <c r="D22" s="254"/>
      <c r="E22" s="189"/>
    </row>
    <row r="23" spans="1:6" ht="15" x14ac:dyDescent="0.25">
      <c r="A23" s="106"/>
      <c r="B23" s="123" t="s">
        <v>12</v>
      </c>
      <c r="D23" s="105"/>
    </row>
    <row r="24" spans="1:6" ht="15" x14ac:dyDescent="0.25">
      <c r="A24" s="106"/>
      <c r="B24" s="123" t="s">
        <v>13</v>
      </c>
      <c r="D24" s="105"/>
    </row>
    <row r="25" spans="1:6" ht="15" x14ac:dyDescent="0.25">
      <c r="A25" s="106"/>
      <c r="B25" s="123" t="s">
        <v>14</v>
      </c>
      <c r="D25" s="105"/>
    </row>
    <row r="26" spans="1:6" ht="13.8" x14ac:dyDescent="0.25">
      <c r="B26" s="103" t="s">
        <v>15</v>
      </c>
    </row>
    <row r="27" spans="1:6" ht="96.6" x14ac:dyDescent="0.25">
      <c r="A27" s="106"/>
      <c r="B27" s="765" t="s">
        <v>1440</v>
      </c>
    </row>
    <row r="28" spans="1:6" ht="15" x14ac:dyDescent="0.25">
      <c r="A28" s="106"/>
      <c r="B28" s="103" t="s">
        <v>18</v>
      </c>
      <c r="C28" s="109"/>
      <c r="D28" s="110"/>
    </row>
    <row r="29" spans="1:6" ht="13.5" customHeight="1" x14ac:dyDescent="0.25">
      <c r="A29" s="106"/>
      <c r="B29" s="296" t="s">
        <v>501</v>
      </c>
      <c r="C29" s="109"/>
      <c r="D29" s="109"/>
    </row>
    <row r="30" spans="1:6" ht="15" x14ac:dyDescent="0.25">
      <c r="A30" s="106"/>
      <c r="B30" s="297" t="s">
        <v>20</v>
      </c>
      <c r="C30" s="109"/>
      <c r="D30" s="109"/>
    </row>
    <row r="31" spans="1:6" ht="13.8" x14ac:dyDescent="0.25">
      <c r="B31" s="103" t="s">
        <v>21</v>
      </c>
      <c r="D31" s="105"/>
    </row>
    <row r="32" spans="1:6" ht="15" x14ac:dyDescent="0.25">
      <c r="A32" s="106"/>
      <c r="B32" s="122" t="s">
        <v>502</v>
      </c>
      <c r="C32" s="109"/>
      <c r="D32" s="110"/>
    </row>
    <row r="33" spans="1:4" ht="15" x14ac:dyDescent="0.25">
      <c r="A33" s="106"/>
      <c r="B33" s="123" t="s">
        <v>44</v>
      </c>
      <c r="C33" s="109"/>
      <c r="D33" s="110"/>
    </row>
    <row r="34" spans="1:4" ht="15.75" customHeight="1"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76" fitToHeight="0" orientation="portrait" r:id="rId1"/>
  <headerFooter alignWithMargins="0">
    <oddFooter>Página &amp;P de &amp;N</oddFooter>
  </headerFooter>
  <drawing r:id="rId2"/>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D879-EFA9-4122-A0E3-82E61838908B}">
  <sheetPr>
    <tabColor theme="4" tint="-0.249977111117893"/>
    <pageSetUpPr fitToPage="1"/>
  </sheetPr>
  <dimension ref="A1:F62"/>
  <sheetViews>
    <sheetView zoomScaleNormal="100" workbookViewId="0">
      <selection activeCell="B31" sqref="B31"/>
    </sheetView>
  </sheetViews>
  <sheetFormatPr baseColWidth="10" defaultColWidth="10.33203125" defaultRowHeight="13.2" x14ac:dyDescent="0.25"/>
  <cols>
    <col min="1" max="1" width="5.44140625" style="108" customWidth="1"/>
    <col min="2" max="2" width="69.88671875" style="108" customWidth="1"/>
    <col min="3" max="4" width="13.3320312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1441</v>
      </c>
      <c r="B7" s="228"/>
      <c r="C7" s="229"/>
      <c r="D7" s="229"/>
    </row>
    <row r="8" spans="1:6" s="10" customFormat="1" ht="19.2" x14ac:dyDescent="0.45">
      <c r="A8" s="227" t="s">
        <v>1442</v>
      </c>
      <c r="B8" s="228"/>
      <c r="C8" s="229"/>
      <c r="D8" s="229"/>
    </row>
    <row r="9" spans="1:6" s="10" customFormat="1" ht="19.2" x14ac:dyDescent="0.45">
      <c r="A9" s="227" t="s">
        <v>1443</v>
      </c>
      <c r="B9" s="228"/>
      <c r="C9" s="229"/>
      <c r="D9" s="229"/>
    </row>
    <row r="10" spans="1:6" s="10" customFormat="1" ht="19.2" x14ac:dyDescent="0.45">
      <c r="A10" s="227" t="s">
        <v>1010</v>
      </c>
      <c r="B10" s="228"/>
      <c r="C10" s="230"/>
      <c r="D10" s="229"/>
    </row>
    <row r="11" spans="1:6" s="10" customFormat="1" ht="19.2" x14ac:dyDescent="0.45">
      <c r="A11" s="227" t="s">
        <v>1444</v>
      </c>
      <c r="B11" s="228"/>
      <c r="C11" s="230"/>
      <c r="D11" s="229"/>
    </row>
    <row r="12" spans="1:6" s="10" customFormat="1" ht="15" customHeight="1" x14ac:dyDescent="0.45">
      <c r="A12" s="227" t="s">
        <v>6</v>
      </c>
      <c r="B12" s="231"/>
      <c r="C12" s="232"/>
      <c r="D12" s="233"/>
      <c r="E12" s="188"/>
    </row>
    <row r="13" spans="1:6" s="10" customFormat="1" ht="15" customHeight="1" x14ac:dyDescent="0.45">
      <c r="A13" s="480" t="s">
        <v>1436</v>
      </c>
      <c r="B13" s="481"/>
      <c r="C13" s="232"/>
      <c r="D13" s="482"/>
      <c r="E13" s="189"/>
    </row>
    <row r="14" spans="1:6" s="10" customFormat="1" ht="16.8" x14ac:dyDescent="0.4">
      <c r="A14" s="148"/>
      <c r="B14" s="149"/>
      <c r="C14" s="150"/>
      <c r="D14" s="150"/>
      <c r="E14" s="190"/>
      <c r="F14" s="188"/>
    </row>
    <row r="15" spans="1:6" s="188" customFormat="1" ht="60" x14ac:dyDescent="0.25">
      <c r="A15" s="72">
        <v>1</v>
      </c>
      <c r="B15" s="73" t="s">
        <v>1445</v>
      </c>
      <c r="C15" s="74">
        <f>176000</f>
        <v>176000</v>
      </c>
      <c r="D15" s="75">
        <f>A15*C15</f>
        <v>176000</v>
      </c>
      <c r="E15" s="189"/>
      <c r="F15" s="108"/>
    </row>
    <row r="16" spans="1:6" ht="15.6" x14ac:dyDescent="0.25">
      <c r="A16" s="72">
        <v>1</v>
      </c>
      <c r="B16" s="73" t="s">
        <v>1323</v>
      </c>
      <c r="C16" s="74">
        <v>1150</v>
      </c>
      <c r="D16" s="75"/>
      <c r="E16" s="189"/>
      <c r="F16" s="191"/>
    </row>
    <row r="17" spans="1:6" s="191" customFormat="1" ht="75" x14ac:dyDescent="0.25">
      <c r="A17" s="429">
        <v>1</v>
      </c>
      <c r="B17" s="73" t="s">
        <v>445</v>
      </c>
      <c r="C17" s="428">
        <v>7200</v>
      </c>
      <c r="D17" s="75">
        <f t="shared" ref="D17" si="0">A17*C17</f>
        <v>7200</v>
      </c>
      <c r="E17" s="189"/>
      <c r="F17" s="108"/>
    </row>
    <row r="18" spans="1:6" ht="15.6" x14ac:dyDescent="0.25">
      <c r="A18" s="539"/>
      <c r="B18" s="545"/>
      <c r="C18" s="629" t="s">
        <v>188</v>
      </c>
      <c r="D18" s="630">
        <f>SUM(D15:D17)</f>
        <v>183200</v>
      </c>
      <c r="E18" s="189"/>
    </row>
    <row r="19" spans="1:6" ht="15.6" x14ac:dyDescent="0.3">
      <c r="A19" s="453"/>
      <c r="B19" s="454"/>
      <c r="C19" s="631" t="s">
        <v>90</v>
      </c>
      <c r="D19" s="632">
        <f>D18*0.16</f>
        <v>29312</v>
      </c>
      <c r="E19" s="189"/>
    </row>
    <row r="20" spans="1:6" ht="16.2" thickBot="1" x14ac:dyDescent="0.35">
      <c r="A20" s="276"/>
      <c r="B20" s="385"/>
      <c r="C20" s="633" t="s">
        <v>40</v>
      </c>
      <c r="D20" s="634">
        <f>D18+D19</f>
        <v>212512</v>
      </c>
      <c r="E20" s="189"/>
    </row>
    <row r="21" spans="1:6" ht="18" thickBot="1" x14ac:dyDescent="0.3">
      <c r="A21" s="102"/>
      <c r="B21" s="652" t="s">
        <v>1446</v>
      </c>
      <c r="C21" s="460"/>
      <c r="D21" s="461"/>
    </row>
    <row r="22" spans="1:6" ht="15" x14ac:dyDescent="0.25">
      <c r="A22" s="106"/>
      <c r="B22" s="97" t="s">
        <v>11</v>
      </c>
      <c r="C22" s="462"/>
      <c r="D22" s="254"/>
      <c r="E22" s="189"/>
    </row>
    <row r="23" spans="1:6" ht="15" x14ac:dyDescent="0.25">
      <c r="A23" s="106"/>
      <c r="B23" s="123" t="s">
        <v>12</v>
      </c>
      <c r="D23" s="105"/>
    </row>
    <row r="24" spans="1:6" ht="15" x14ac:dyDescent="0.25">
      <c r="A24" s="106"/>
      <c r="B24" s="123" t="s">
        <v>13</v>
      </c>
      <c r="D24" s="105"/>
    </row>
    <row r="25" spans="1:6" ht="15" x14ac:dyDescent="0.25">
      <c r="A25" s="106"/>
      <c r="B25" s="123" t="s">
        <v>14</v>
      </c>
      <c r="D25" s="105"/>
    </row>
    <row r="26" spans="1:6" ht="13.8" x14ac:dyDescent="0.25">
      <c r="B26" s="103" t="s">
        <v>15</v>
      </c>
    </row>
    <row r="27" spans="1:6" ht="27.6" x14ac:dyDescent="0.25">
      <c r="A27" s="106"/>
      <c r="B27" s="295" t="s">
        <v>42</v>
      </c>
    </row>
    <row r="28" spans="1:6" ht="41.4" x14ac:dyDescent="0.25">
      <c r="A28" s="106"/>
      <c r="B28" s="295" t="s">
        <v>43</v>
      </c>
      <c r="C28" s="109"/>
      <c r="D28" s="110"/>
    </row>
    <row r="29" spans="1:6" ht="13.5" customHeight="1" x14ac:dyDescent="0.25">
      <c r="A29" s="106"/>
      <c r="B29" s="103" t="s">
        <v>18</v>
      </c>
      <c r="C29" s="109"/>
      <c r="D29" s="110"/>
    </row>
    <row r="30" spans="1:6" ht="15" x14ac:dyDescent="0.25">
      <c r="A30" s="106"/>
      <c r="B30" s="296" t="s">
        <v>1368</v>
      </c>
      <c r="C30" s="109"/>
      <c r="D30" s="109"/>
    </row>
    <row r="31" spans="1:6" ht="15" x14ac:dyDescent="0.25">
      <c r="A31" s="106"/>
      <c r="B31" s="297" t="s">
        <v>20</v>
      </c>
      <c r="C31" s="109"/>
      <c r="D31" s="109"/>
    </row>
    <row r="32" spans="1:6" ht="13.8" x14ac:dyDescent="0.25">
      <c r="B32" s="103" t="s">
        <v>21</v>
      </c>
      <c r="D32" s="105"/>
    </row>
    <row r="33" spans="1:4" ht="15" x14ac:dyDescent="0.25">
      <c r="A33" s="106"/>
      <c r="B33" s="122" t="s">
        <v>502</v>
      </c>
      <c r="C33" s="109"/>
      <c r="D33" s="110"/>
    </row>
    <row r="34" spans="1:4" ht="15.75" customHeight="1"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scale="80" fitToHeight="0" orientation="portrait" r:id="rId1"/>
  <headerFooter alignWithMargins="0">
    <oddFooter>Página &amp;P de &amp;N</oddFooter>
  </headerFooter>
  <drawing r:id="rId2"/>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0ED6-F826-48A8-9553-766CC8BEA380}">
  <sheetPr>
    <tabColor theme="4" tint="-0.249977111117893"/>
    <pageSetUpPr fitToPage="1"/>
  </sheetPr>
  <dimension ref="A1:G62"/>
  <sheetViews>
    <sheetView topLeftCell="A11" zoomScaleNormal="100" workbookViewId="0">
      <selection activeCell="B27" sqref="B27"/>
    </sheetView>
  </sheetViews>
  <sheetFormatPr baseColWidth="10" defaultColWidth="10.33203125" defaultRowHeight="13.2" x14ac:dyDescent="0.25"/>
  <cols>
    <col min="1" max="1" width="5.44140625" style="108" customWidth="1"/>
    <col min="2" max="2" width="84.44140625" style="108" customWidth="1"/>
    <col min="3" max="4" width="14.8867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1363</v>
      </c>
      <c r="C10" s="59"/>
      <c r="D10" s="58"/>
    </row>
    <row r="11" spans="1:7" s="10" customFormat="1" ht="16.8" x14ac:dyDescent="0.4">
      <c r="A11" s="60" t="s">
        <v>1364</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30" x14ac:dyDescent="0.25">
      <c r="A15" s="72">
        <v>1</v>
      </c>
      <c r="B15" s="624" t="s">
        <v>1370</v>
      </c>
      <c r="C15" s="665">
        <v>17000</v>
      </c>
      <c r="D15" s="75">
        <f t="shared" ref="D15:D26" si="0">A15*C15</f>
        <v>17000</v>
      </c>
      <c r="E15" s="190"/>
      <c r="F15" s="108"/>
      <c r="G15" s="191"/>
    </row>
    <row r="16" spans="1:7" ht="30" x14ac:dyDescent="0.25">
      <c r="A16" s="72">
        <v>1</v>
      </c>
      <c r="B16" s="624" t="s">
        <v>1371</v>
      </c>
      <c r="C16" s="665">
        <f>5000+7000</f>
        <v>12000</v>
      </c>
      <c r="D16" s="75">
        <f t="shared" si="0"/>
        <v>12000</v>
      </c>
    </row>
    <row r="17" spans="1:7" s="191" customFormat="1" ht="30" x14ac:dyDescent="0.25">
      <c r="A17" s="72">
        <v>1</v>
      </c>
      <c r="B17" s="624" t="s">
        <v>1355</v>
      </c>
      <c r="C17" s="665">
        <f>((42355)*1.35)</f>
        <v>57179.250000000007</v>
      </c>
      <c r="D17" s="75">
        <f t="shared" si="0"/>
        <v>57179.250000000007</v>
      </c>
      <c r="E17" s="108"/>
      <c r="F17" s="108"/>
      <c r="G17" s="108"/>
    </row>
    <row r="18" spans="1:7" ht="15.6" x14ac:dyDescent="0.25">
      <c r="A18" s="72">
        <v>1</v>
      </c>
      <c r="B18" s="624" t="s">
        <v>1356</v>
      </c>
      <c r="C18" s="665">
        <f>(15700*1.4)</f>
        <v>21980</v>
      </c>
      <c r="D18" s="75">
        <f t="shared" si="0"/>
        <v>21980</v>
      </c>
    </row>
    <row r="19" spans="1:7" ht="30" x14ac:dyDescent="0.25">
      <c r="A19" s="72">
        <v>7</v>
      </c>
      <c r="B19" s="624" t="s">
        <v>1359</v>
      </c>
      <c r="C19" s="665">
        <f>2300*1.4</f>
        <v>3220</v>
      </c>
      <c r="D19" s="75">
        <f t="shared" si="0"/>
        <v>22540</v>
      </c>
    </row>
    <row r="20" spans="1:7" ht="15.6" x14ac:dyDescent="0.25">
      <c r="A20" s="72">
        <v>50</v>
      </c>
      <c r="B20" s="624" t="s">
        <v>1360</v>
      </c>
      <c r="C20" s="625">
        <f>670*1.35</f>
        <v>904.50000000000011</v>
      </c>
      <c r="D20" s="75">
        <f t="shared" si="0"/>
        <v>45225.000000000007</v>
      </c>
    </row>
    <row r="21" spans="1:7" ht="15.6" x14ac:dyDescent="0.25">
      <c r="A21" s="72">
        <v>2</v>
      </c>
      <c r="B21" s="624" t="s">
        <v>1366</v>
      </c>
      <c r="C21" s="625">
        <f>(374.5*19.3)*1.35</f>
        <v>9757.5975000000017</v>
      </c>
      <c r="D21" s="75">
        <f t="shared" si="0"/>
        <v>19515.195000000003</v>
      </c>
    </row>
    <row r="22" spans="1:7" ht="15.6" x14ac:dyDescent="0.25">
      <c r="A22" s="72">
        <v>1</v>
      </c>
      <c r="B22" s="624" t="s">
        <v>1365</v>
      </c>
      <c r="C22" s="625">
        <f>(5530)*1.35</f>
        <v>7465.5000000000009</v>
      </c>
      <c r="D22" s="75">
        <f t="shared" ref="D22:D23" si="1">A22*C22</f>
        <v>7465.5000000000009</v>
      </c>
    </row>
    <row r="23" spans="1:7" ht="30" x14ac:dyDescent="0.25">
      <c r="A23" s="72">
        <v>1</v>
      </c>
      <c r="B23" s="624" t="s">
        <v>1367</v>
      </c>
      <c r="C23" s="625">
        <f>17645*1.35</f>
        <v>23820.75</v>
      </c>
      <c r="D23" s="75">
        <f t="shared" si="1"/>
        <v>23820.75</v>
      </c>
    </row>
    <row r="24" spans="1:7" ht="15.6" x14ac:dyDescent="0.25">
      <c r="A24" s="72">
        <v>1</v>
      </c>
      <c r="B24" s="624" t="s">
        <v>1357</v>
      </c>
      <c r="C24" s="625">
        <v>4380</v>
      </c>
      <c r="D24" s="75">
        <f t="shared" si="0"/>
        <v>4380</v>
      </c>
    </row>
    <row r="25" spans="1:7" ht="30" x14ac:dyDescent="0.25">
      <c r="A25" s="72">
        <v>1</v>
      </c>
      <c r="B25" s="624" t="s">
        <v>1358</v>
      </c>
      <c r="C25" s="625">
        <v>3245</v>
      </c>
      <c r="D25" s="75">
        <f t="shared" si="0"/>
        <v>3245</v>
      </c>
    </row>
    <row r="26" spans="1:7" ht="15.6" x14ac:dyDescent="0.25">
      <c r="A26" s="211">
        <v>1</v>
      </c>
      <c r="B26" s="85" t="s">
        <v>1448</v>
      </c>
      <c r="C26" s="74">
        <v>14500</v>
      </c>
      <c r="D26" s="75">
        <f t="shared" si="0"/>
        <v>14500</v>
      </c>
    </row>
    <row r="27" spans="1:7" ht="15.6" x14ac:dyDescent="0.25">
      <c r="A27" s="668"/>
      <c r="B27" s="768"/>
      <c r="C27" s="629" t="s">
        <v>188</v>
      </c>
      <c r="D27" s="630">
        <f>SUM(D15:D26)</f>
        <v>248850.69500000001</v>
      </c>
    </row>
    <row r="28" spans="1:7" ht="15.6" x14ac:dyDescent="0.3">
      <c r="A28" s="453"/>
      <c r="B28" s="768"/>
      <c r="C28" s="631" t="s">
        <v>90</v>
      </c>
      <c r="D28" s="632">
        <f>D27*0.16</f>
        <v>39816.111199999999</v>
      </c>
    </row>
    <row r="29" spans="1:7" ht="16.2" thickBot="1" x14ac:dyDescent="0.35">
      <c r="A29" s="276"/>
      <c r="B29" s="673"/>
      <c r="C29" s="633" t="s">
        <v>40</v>
      </c>
      <c r="D29" s="775">
        <f>D27+D28</f>
        <v>288666.80619999999</v>
      </c>
    </row>
    <row r="30" spans="1:7" ht="16.2" thickBot="1" x14ac:dyDescent="0.3">
      <c r="A30" s="102"/>
      <c r="B30" s="635" t="s">
        <v>1400</v>
      </c>
      <c r="C30" s="553"/>
      <c r="D30" s="461"/>
    </row>
    <row r="31" spans="1:7" ht="13.8" x14ac:dyDescent="0.25">
      <c r="B31" s="103" t="s">
        <v>15</v>
      </c>
      <c r="C31" s="189"/>
      <c r="D31" s="666"/>
    </row>
    <row r="32" spans="1:7" ht="15" x14ac:dyDescent="0.25">
      <c r="A32" s="106"/>
      <c r="B32" s="295" t="s">
        <v>42</v>
      </c>
    </row>
    <row r="33" spans="1:4" ht="41.4" x14ac:dyDescent="0.25">
      <c r="A33" s="106"/>
      <c r="B33" s="295" t="s">
        <v>43</v>
      </c>
      <c r="C33" s="109"/>
      <c r="D33" s="110"/>
    </row>
    <row r="34" spans="1:4" ht="15" x14ac:dyDescent="0.25">
      <c r="A34" s="106"/>
      <c r="B34" s="103" t="s">
        <v>18</v>
      </c>
      <c r="C34" s="109"/>
      <c r="D34" s="110"/>
    </row>
    <row r="35" spans="1:4" ht="15" x14ac:dyDescent="0.25">
      <c r="A35" s="106"/>
      <c r="B35" s="296" t="s">
        <v>1368</v>
      </c>
      <c r="C35" s="109"/>
      <c r="D35" s="109"/>
    </row>
    <row r="36" spans="1:4" ht="15" x14ac:dyDescent="0.25">
      <c r="A36" s="106"/>
      <c r="B36" s="297" t="s">
        <v>20</v>
      </c>
      <c r="C36" s="109"/>
      <c r="D36" s="109"/>
    </row>
    <row r="37" spans="1:4" ht="13.8" x14ac:dyDescent="0.25">
      <c r="B37" s="103" t="s">
        <v>21</v>
      </c>
      <c r="D37" s="105"/>
    </row>
    <row r="38" spans="1:4" ht="15" x14ac:dyDescent="0.25">
      <c r="A38" s="106"/>
      <c r="B38" s="122" t="s">
        <v>502</v>
      </c>
      <c r="C38" s="109"/>
      <c r="D38" s="110"/>
    </row>
    <row r="39" spans="1:4" ht="15" x14ac:dyDescent="0.25">
      <c r="A39" s="106"/>
      <c r="B39" s="123" t="s">
        <v>44</v>
      </c>
      <c r="C39" s="109"/>
      <c r="D39" s="110"/>
    </row>
    <row r="40" spans="1:4" ht="13.8" x14ac:dyDescent="0.25">
      <c r="A40" s="115" t="s">
        <v>0</v>
      </c>
      <c r="B40" s="298" t="s">
        <v>45</v>
      </c>
      <c r="C40" s="109"/>
    </row>
    <row r="41" spans="1:4" ht="50.4" x14ac:dyDescent="0.25">
      <c r="A41" s="222"/>
      <c r="B41" s="314" t="s">
        <v>169</v>
      </c>
      <c r="C41" s="220"/>
      <c r="D41" s="108"/>
    </row>
    <row r="42" spans="1:4" x14ac:dyDescent="0.25">
      <c r="A42" s="222"/>
      <c r="B42" s="181"/>
      <c r="C42" s="181"/>
      <c r="D42" s="108"/>
    </row>
    <row r="43" spans="1:4" x14ac:dyDescent="0.25">
      <c r="A43" s="222"/>
      <c r="B43" s="181"/>
      <c r="C43" s="181"/>
      <c r="D43" s="108"/>
    </row>
    <row r="44" spans="1:4" x14ac:dyDescent="0.25">
      <c r="A44" s="225"/>
      <c r="B44" s="223"/>
      <c r="C44" s="181"/>
      <c r="D44" s="108"/>
    </row>
    <row r="45" spans="1:4" ht="15" x14ac:dyDescent="0.35">
      <c r="A45" s="226"/>
      <c r="B45" s="224"/>
      <c r="C45" s="181"/>
      <c r="D45" s="181"/>
    </row>
    <row r="46" spans="1:4" x14ac:dyDescent="0.25">
      <c r="A4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6" fitToWidth="0" orientation="portrait" r:id="rId1"/>
  <headerFooter alignWithMargins="0">
    <oddFooter>Página &amp;P de &amp;N</oddFooter>
  </headerFooter>
  <drawing r:id="rId2"/>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4660-8879-40BC-B22F-A5BE22931CF1}">
  <sheetPr>
    <tabColor theme="4" tint="-0.249977111117893"/>
    <pageSetUpPr fitToPage="1"/>
  </sheetPr>
  <dimension ref="A1:G62"/>
  <sheetViews>
    <sheetView topLeftCell="A13" zoomScaleNormal="100" workbookViewId="0">
      <selection activeCell="A15" sqref="A15:D16"/>
    </sheetView>
  </sheetViews>
  <sheetFormatPr baseColWidth="10" defaultColWidth="10.33203125" defaultRowHeight="13.2" x14ac:dyDescent="0.25"/>
  <cols>
    <col min="1" max="1" width="5.44140625" style="108" customWidth="1"/>
    <col min="2" max="2" width="76.1093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1363</v>
      </c>
      <c r="C10" s="59"/>
      <c r="D10" s="58"/>
    </row>
    <row r="11" spans="1:7" s="10" customFormat="1" ht="16.8" x14ac:dyDescent="0.4">
      <c r="A11" s="60" t="s">
        <v>1364</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624" t="s">
        <v>1370</v>
      </c>
      <c r="C15" s="665">
        <v>17000</v>
      </c>
      <c r="D15" s="75">
        <f t="shared" ref="D15:D16" si="0">A15*C15</f>
        <v>17000</v>
      </c>
      <c r="E15" s="108"/>
      <c r="F15" s="108"/>
      <c r="G15" s="191"/>
    </row>
    <row r="16" spans="1:7" ht="30" x14ac:dyDescent="0.25">
      <c r="A16" s="72">
        <v>1</v>
      </c>
      <c r="B16" s="624" t="s">
        <v>1371</v>
      </c>
      <c r="C16" s="665">
        <f>5000+7000</f>
        <v>12000</v>
      </c>
      <c r="D16" s="75">
        <f t="shared" si="0"/>
        <v>12000</v>
      </c>
    </row>
    <row r="17" spans="1:7" s="191" customFormat="1" ht="45" x14ac:dyDescent="0.25">
      <c r="A17" s="72">
        <v>1</v>
      </c>
      <c r="B17" s="624" t="s">
        <v>1369</v>
      </c>
      <c r="C17" s="665">
        <f>((19925)*1.35)+3800</f>
        <v>30698.75</v>
      </c>
      <c r="D17" s="75">
        <f t="shared" ref="D17:D24" si="1">A17*C17</f>
        <v>30698.75</v>
      </c>
      <c r="E17" s="108"/>
      <c r="F17" s="108"/>
      <c r="G17" s="108"/>
    </row>
    <row r="18" spans="1:7" ht="15.6" x14ac:dyDescent="0.25">
      <c r="A18" s="72">
        <v>1</v>
      </c>
      <c r="B18" s="624" t="s">
        <v>1406</v>
      </c>
      <c r="C18" s="665">
        <f>(15700*1.4)</f>
        <v>21980</v>
      </c>
      <c r="D18" s="75">
        <f t="shared" si="1"/>
        <v>21980</v>
      </c>
    </row>
    <row r="19" spans="1:7" ht="15.6" x14ac:dyDescent="0.25">
      <c r="A19" s="72">
        <v>27</v>
      </c>
      <c r="B19" s="624" t="s">
        <v>1360</v>
      </c>
      <c r="C19" s="625">
        <f>670*1.35</f>
        <v>904.50000000000011</v>
      </c>
      <c r="D19" s="75">
        <f t="shared" si="1"/>
        <v>24421.500000000004</v>
      </c>
    </row>
    <row r="20" spans="1:7" ht="30.6" x14ac:dyDescent="0.25">
      <c r="A20" s="72">
        <v>1</v>
      </c>
      <c r="B20" s="624" t="s">
        <v>1366</v>
      </c>
      <c r="C20" s="625">
        <f>(374.5*19.3)*1.35</f>
        <v>9757.5975000000017</v>
      </c>
      <c r="D20" s="75">
        <f t="shared" si="1"/>
        <v>9757.5975000000017</v>
      </c>
    </row>
    <row r="21" spans="1:7" ht="24.6" customHeight="1" x14ac:dyDescent="0.25">
      <c r="A21" s="72">
        <v>1</v>
      </c>
      <c r="B21" s="624" t="s">
        <v>1365</v>
      </c>
      <c r="C21" s="625">
        <f>(5530)*1.35</f>
        <v>7465.5000000000009</v>
      </c>
      <c r="D21" s="75">
        <f t="shared" si="1"/>
        <v>7465.5000000000009</v>
      </c>
    </row>
    <row r="22" spans="1:7" ht="15.6" x14ac:dyDescent="0.25">
      <c r="A22" s="72">
        <v>1</v>
      </c>
      <c r="B22" s="624" t="s">
        <v>1357</v>
      </c>
      <c r="C22" s="625">
        <v>4380</v>
      </c>
      <c r="D22" s="75">
        <f t="shared" si="1"/>
        <v>4380</v>
      </c>
    </row>
    <row r="23" spans="1:7" ht="30" x14ac:dyDescent="0.25">
      <c r="A23" s="72">
        <v>1</v>
      </c>
      <c r="B23" s="624" t="s">
        <v>1358</v>
      </c>
      <c r="C23" s="625">
        <v>3245</v>
      </c>
      <c r="D23" s="75">
        <f t="shared" si="1"/>
        <v>3245</v>
      </c>
    </row>
    <row r="24" spans="1:7" ht="15.6" x14ac:dyDescent="0.25">
      <c r="A24" s="72">
        <v>1</v>
      </c>
      <c r="B24" s="85" t="s">
        <v>1399</v>
      </c>
      <c r="C24" s="74">
        <v>14500</v>
      </c>
      <c r="D24" s="75">
        <f t="shared" si="1"/>
        <v>14500</v>
      </c>
    </row>
    <row r="25" spans="1:7" ht="15.6" x14ac:dyDescent="0.25">
      <c r="A25" s="668"/>
      <c r="B25" s="768"/>
      <c r="C25" s="629" t="s">
        <v>188</v>
      </c>
      <c r="D25" s="630">
        <f>SUM(D15:D24)</f>
        <v>145448.3475</v>
      </c>
    </row>
    <row r="26" spans="1:7" ht="15.6" x14ac:dyDescent="0.3">
      <c r="A26" s="453"/>
      <c r="B26" s="768"/>
      <c r="C26" s="631" t="s">
        <v>90</v>
      </c>
      <c r="D26" s="632">
        <f>D25*0.16</f>
        <v>23271.7356</v>
      </c>
    </row>
    <row r="27" spans="1:7" ht="16.2" thickBot="1" x14ac:dyDescent="0.35">
      <c r="A27" s="276"/>
      <c r="B27" s="673"/>
      <c r="C27" s="633" t="s">
        <v>40</v>
      </c>
      <c r="D27" s="634">
        <f>D25+D26</f>
        <v>168720.08309999999</v>
      </c>
    </row>
    <row r="28" spans="1:7" ht="16.2" thickBot="1" x14ac:dyDescent="0.3">
      <c r="A28" s="102"/>
      <c r="B28" s="635" t="s">
        <v>1407</v>
      </c>
      <c r="C28" s="553"/>
      <c r="D28" s="461"/>
    </row>
    <row r="29" spans="1:7" ht="13.5" customHeight="1" x14ac:dyDescent="0.25">
      <c r="B29" s="103" t="s">
        <v>15</v>
      </c>
      <c r="C29" s="189"/>
      <c r="D29" s="666"/>
    </row>
    <row r="30" spans="1:7" ht="27.6"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1368</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9" fitToWidth="0" orientation="portrait" r:id="rId1"/>
  <headerFooter alignWithMargins="0">
    <oddFooter>Página &amp;P de &amp;N</oddFooter>
  </headerFooter>
  <drawing r:id="rId2"/>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39E6-7276-4BE5-8E1B-FB6DF67283F8}">
  <sheetPr>
    <tabColor theme="4" tint="-0.249977111117893"/>
    <pageSetUpPr fitToPage="1"/>
  </sheetPr>
  <dimension ref="A1:G62"/>
  <sheetViews>
    <sheetView zoomScaleNormal="100" workbookViewId="0">
      <selection activeCell="A7" sqref="A7:B11"/>
    </sheetView>
  </sheetViews>
  <sheetFormatPr baseColWidth="10" defaultColWidth="10.33203125" defaultRowHeight="13.2" x14ac:dyDescent="0.25"/>
  <cols>
    <col min="1" max="1" width="5.44140625" style="108" customWidth="1"/>
    <col min="2" max="2" width="84.44140625" style="108" customWidth="1"/>
    <col min="3" max="3" width="14.88671875" style="107" bestFit="1" customWidth="1"/>
    <col min="4" max="4" width="15.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1363</v>
      </c>
      <c r="C10" s="59"/>
      <c r="D10" s="58"/>
    </row>
    <row r="11" spans="1:7" s="10" customFormat="1" ht="16.8" x14ac:dyDescent="0.4">
      <c r="A11" s="60" t="s">
        <v>1454</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30" x14ac:dyDescent="0.25">
      <c r="A15" s="72">
        <v>1</v>
      </c>
      <c r="B15" s="624" t="s">
        <v>1370</v>
      </c>
      <c r="C15" s="780">
        <v>17000</v>
      </c>
      <c r="D15" s="788">
        <f t="shared" ref="D15:D25" si="0">A15*C15</f>
        <v>17000</v>
      </c>
      <c r="E15" s="190"/>
      <c r="F15" s="108"/>
      <c r="G15" s="191"/>
    </row>
    <row r="16" spans="1:7" ht="30" x14ac:dyDescent="0.25">
      <c r="A16" s="72">
        <v>1</v>
      </c>
      <c r="B16" s="624" t="s">
        <v>1371</v>
      </c>
      <c r="C16" s="780">
        <v>12000</v>
      </c>
      <c r="D16" s="788">
        <f t="shared" si="0"/>
        <v>12000</v>
      </c>
    </row>
    <row r="17" spans="1:7" s="191" customFormat="1" ht="15.6" x14ac:dyDescent="0.25">
      <c r="A17" s="72">
        <v>7</v>
      </c>
      <c r="B17" s="624" t="s">
        <v>1449</v>
      </c>
      <c r="C17" s="780">
        <v>460</v>
      </c>
      <c r="D17" s="788">
        <f t="shared" si="0"/>
        <v>3220</v>
      </c>
      <c r="E17" s="108"/>
      <c r="F17" s="108"/>
      <c r="G17" s="108"/>
    </row>
    <row r="18" spans="1:7" ht="15.6" x14ac:dyDescent="0.3">
      <c r="A18" s="776">
        <v>1</v>
      </c>
      <c r="B18" s="777" t="s">
        <v>1401</v>
      </c>
      <c r="C18" s="780">
        <f>(3344*19.5)*1.35</f>
        <v>88030.8</v>
      </c>
      <c r="D18" s="788">
        <f t="shared" si="0"/>
        <v>88030.8</v>
      </c>
    </row>
    <row r="19" spans="1:7" ht="30" x14ac:dyDescent="0.25">
      <c r="A19" s="72">
        <v>1</v>
      </c>
      <c r="B19" s="624" t="s">
        <v>1372</v>
      </c>
      <c r="C19" s="780">
        <f>((65732)*1.35)</f>
        <v>88738.200000000012</v>
      </c>
      <c r="D19" s="788">
        <f t="shared" si="0"/>
        <v>88738.200000000012</v>
      </c>
    </row>
    <row r="20" spans="1:7" ht="22.8" customHeight="1" x14ac:dyDescent="0.25">
      <c r="A20" s="72">
        <v>1</v>
      </c>
      <c r="B20" s="624" t="s">
        <v>1450</v>
      </c>
      <c r="C20" s="780">
        <f>(2350*19)*1.3</f>
        <v>58045</v>
      </c>
      <c r="D20" s="788">
        <f t="shared" si="0"/>
        <v>58045</v>
      </c>
    </row>
    <row r="21" spans="1:7" ht="15.6" x14ac:dyDescent="0.25">
      <c r="A21" s="72">
        <v>6</v>
      </c>
      <c r="B21" s="624" t="s">
        <v>1447</v>
      </c>
      <c r="C21" s="780">
        <f>(2300*1.5)</f>
        <v>3450</v>
      </c>
      <c r="D21" s="788">
        <f t="shared" si="0"/>
        <v>20700</v>
      </c>
    </row>
    <row r="22" spans="1:7" ht="15.6" x14ac:dyDescent="0.25">
      <c r="A22" s="72">
        <v>2</v>
      </c>
      <c r="B22" s="624" t="s">
        <v>1366</v>
      </c>
      <c r="C22" s="625">
        <f>(374.5*19.3)*1.35</f>
        <v>9757.5975000000017</v>
      </c>
      <c r="D22" s="788">
        <f t="shared" si="0"/>
        <v>19515.195000000003</v>
      </c>
    </row>
    <row r="23" spans="1:7" ht="15.6" x14ac:dyDescent="0.25">
      <c r="A23" s="72">
        <v>1</v>
      </c>
      <c r="B23" s="624" t="s">
        <v>1365</v>
      </c>
      <c r="C23" s="625">
        <f>(5530)*1.35</f>
        <v>7465.5000000000009</v>
      </c>
      <c r="D23" s="788">
        <f t="shared" si="0"/>
        <v>7465.5000000000009</v>
      </c>
    </row>
    <row r="24" spans="1:7" ht="15.6" x14ac:dyDescent="0.25">
      <c r="A24" s="72">
        <v>270</v>
      </c>
      <c r="B24" s="624" t="s">
        <v>1427</v>
      </c>
      <c r="C24" s="625">
        <f>705*1.5</f>
        <v>1057.5</v>
      </c>
      <c r="D24" s="788">
        <f t="shared" si="0"/>
        <v>285525</v>
      </c>
    </row>
    <row r="25" spans="1:7" ht="15.6" x14ac:dyDescent="0.25">
      <c r="A25" s="72">
        <v>1</v>
      </c>
      <c r="B25" s="790" t="s">
        <v>1399</v>
      </c>
      <c r="C25" s="780">
        <v>14500</v>
      </c>
      <c r="D25" s="788">
        <f t="shared" si="0"/>
        <v>14500</v>
      </c>
    </row>
    <row r="26" spans="1:7" ht="15.6" x14ac:dyDescent="0.25">
      <c r="A26" s="668"/>
      <c r="B26" s="792" t="s">
        <v>1453</v>
      </c>
      <c r="C26" s="670" t="s">
        <v>188</v>
      </c>
      <c r="D26" s="630">
        <f>SUM(D15:D25)</f>
        <v>614739.69500000007</v>
      </c>
    </row>
    <row r="27" spans="1:7" ht="15.6" x14ac:dyDescent="0.3">
      <c r="A27" s="453"/>
      <c r="B27" s="792" t="s">
        <v>1451</v>
      </c>
      <c r="C27" s="671" t="s">
        <v>90</v>
      </c>
      <c r="D27" s="632">
        <f>D26*0.16</f>
        <v>98358.351200000019</v>
      </c>
    </row>
    <row r="28" spans="1:7" ht="16.2" thickBot="1" x14ac:dyDescent="0.35">
      <c r="A28" s="276"/>
      <c r="B28" s="792" t="s">
        <v>1452</v>
      </c>
      <c r="C28" s="789" t="s">
        <v>40</v>
      </c>
      <c r="D28" s="634">
        <f>D26+D27</f>
        <v>713098.0462000001</v>
      </c>
    </row>
    <row r="29" spans="1:7" ht="16.2" thickBot="1" x14ac:dyDescent="0.3">
      <c r="A29" s="102"/>
      <c r="B29" s="791" t="s">
        <v>1455</v>
      </c>
      <c r="C29" s="553"/>
      <c r="D29" s="461"/>
    </row>
    <row r="30" spans="1:7" ht="13.8" x14ac:dyDescent="0.25">
      <c r="B30" s="103" t="s">
        <v>15</v>
      </c>
      <c r="C30" s="189"/>
      <c r="D30" s="666"/>
    </row>
    <row r="31" spans="1:7" ht="15" x14ac:dyDescent="0.25">
      <c r="A31" s="106"/>
      <c r="B31" s="295" t="s">
        <v>42</v>
      </c>
    </row>
    <row r="32" spans="1:7" ht="41.4" x14ac:dyDescent="0.25">
      <c r="A32" s="106"/>
      <c r="B32" s="295" t="s">
        <v>43</v>
      </c>
      <c r="C32" s="109"/>
      <c r="D32" s="110"/>
    </row>
    <row r="33" spans="1:4" ht="15" x14ac:dyDescent="0.25">
      <c r="A33" s="106"/>
      <c r="B33" s="103" t="s">
        <v>18</v>
      </c>
      <c r="C33" s="109"/>
      <c r="D33" s="110"/>
    </row>
    <row r="34" spans="1:4" ht="15" x14ac:dyDescent="0.25">
      <c r="A34" s="106"/>
      <c r="B34" s="296" t="s">
        <v>1368</v>
      </c>
      <c r="C34" s="109"/>
      <c r="D34" s="109"/>
    </row>
    <row r="35" spans="1:4" ht="15" x14ac:dyDescent="0.25">
      <c r="A35" s="106"/>
      <c r="B35" s="297" t="s">
        <v>20</v>
      </c>
      <c r="C35" s="109"/>
      <c r="D35" s="109"/>
    </row>
    <row r="36" spans="1:4" ht="13.8" x14ac:dyDescent="0.25">
      <c r="B36" s="103" t="s">
        <v>21</v>
      </c>
      <c r="D36" s="105"/>
    </row>
    <row r="37" spans="1:4" ht="15" x14ac:dyDescent="0.25">
      <c r="A37" s="106"/>
      <c r="B37" s="122" t="s">
        <v>502</v>
      </c>
      <c r="C37" s="109"/>
      <c r="D37" s="110"/>
    </row>
    <row r="38" spans="1:4" ht="15" x14ac:dyDescent="0.25">
      <c r="A38" s="106"/>
      <c r="B38" s="123" t="s">
        <v>44</v>
      </c>
      <c r="C38" s="109"/>
      <c r="D38" s="110"/>
    </row>
    <row r="39" spans="1:4" ht="13.8" x14ac:dyDescent="0.25">
      <c r="A39" s="115" t="s">
        <v>0</v>
      </c>
      <c r="B39" s="298" t="s">
        <v>45</v>
      </c>
      <c r="C39" s="109"/>
    </row>
    <row r="40" spans="1:4" ht="50.4" x14ac:dyDescent="0.25">
      <c r="A40" s="222"/>
      <c r="B40" s="314"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c r="B44" s="224"/>
      <c r="C44" s="181"/>
      <c r="D44" s="181"/>
    </row>
    <row r="45" spans="1:4" x14ac:dyDescent="0.25">
      <c r="A45"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3" fitToWidth="0" orientation="portrait" r:id="rId1"/>
  <headerFooter alignWithMargins="0">
    <oddFooter>Página &amp;P de &amp;N</oddFooter>
  </headerFooter>
  <drawing r:id="rId2"/>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10B5-4C74-40CC-A52C-ECF4E2266664}">
  <sheetPr>
    <tabColor theme="4" tint="-0.249977111117893"/>
    <pageSetUpPr fitToPage="1"/>
  </sheetPr>
  <dimension ref="A1:G62"/>
  <sheetViews>
    <sheetView topLeftCell="A16" zoomScaleNormal="100" workbookViewId="0">
      <selection activeCell="A7" sqref="A7:D11"/>
    </sheetView>
  </sheetViews>
  <sheetFormatPr baseColWidth="10" defaultColWidth="10.33203125" defaultRowHeight="13.2" x14ac:dyDescent="0.25"/>
  <cols>
    <col min="1" max="1" width="5.44140625" style="108" customWidth="1"/>
    <col min="2" max="2" width="77" style="108" customWidth="1"/>
    <col min="3" max="3" width="14.88671875" style="107" bestFit="1" customWidth="1"/>
    <col min="4" max="4" width="15.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1363</v>
      </c>
      <c r="C10" s="59"/>
      <c r="D10" s="58"/>
    </row>
    <row r="11" spans="1:7" s="10" customFormat="1" ht="16.8" x14ac:dyDescent="0.4">
      <c r="A11" s="60" t="s">
        <v>1398</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3">
      <c r="A15" s="776">
        <v>1</v>
      </c>
      <c r="B15" s="778" t="s">
        <v>1402</v>
      </c>
      <c r="C15" s="779">
        <f>122000*1.45</f>
        <v>176900</v>
      </c>
      <c r="D15" s="75">
        <f t="shared" ref="D15:D27" si="0">A15*C15</f>
        <v>176900</v>
      </c>
      <c r="E15" s="190"/>
      <c r="F15" s="108"/>
      <c r="G15" s="191"/>
    </row>
    <row r="16" spans="1:7" ht="45" x14ac:dyDescent="0.3">
      <c r="A16" s="776">
        <v>1</v>
      </c>
      <c r="B16" s="778" t="s">
        <v>1403</v>
      </c>
      <c r="C16" s="779">
        <f>10682.4*2</f>
        <v>21364.799999999999</v>
      </c>
      <c r="D16" s="75">
        <f t="shared" si="0"/>
        <v>21364.799999999999</v>
      </c>
    </row>
    <row r="17" spans="1:7" s="191" customFormat="1" ht="15.6" x14ac:dyDescent="0.3">
      <c r="A17" s="776">
        <v>1</v>
      </c>
      <c r="B17" s="777" t="s">
        <v>1409</v>
      </c>
      <c r="C17" s="779">
        <f>(3712*19.5)*1.35</f>
        <v>97718.400000000009</v>
      </c>
      <c r="D17" s="75">
        <f t="shared" si="0"/>
        <v>97718.400000000009</v>
      </c>
      <c r="E17" s="108"/>
      <c r="F17" s="108"/>
      <c r="G17" s="108"/>
    </row>
    <row r="18" spans="1:7" ht="15.6" x14ac:dyDescent="0.3">
      <c r="A18" s="776">
        <v>1</v>
      </c>
      <c r="B18" s="777" t="s">
        <v>1408</v>
      </c>
      <c r="C18" s="779">
        <f>(180*19.5)*1.5</f>
        <v>5265</v>
      </c>
      <c r="D18" s="75">
        <f t="shared" si="0"/>
        <v>5265</v>
      </c>
    </row>
    <row r="19" spans="1:7" ht="30" x14ac:dyDescent="0.25">
      <c r="A19" s="72">
        <v>1</v>
      </c>
      <c r="B19" s="624" t="s">
        <v>1426</v>
      </c>
      <c r="C19" s="780">
        <f>((65732)*1.35)</f>
        <v>88738.200000000012</v>
      </c>
      <c r="D19" s="75">
        <f t="shared" si="0"/>
        <v>88738.200000000012</v>
      </c>
    </row>
    <row r="20" spans="1:7" ht="30" x14ac:dyDescent="0.25">
      <c r="A20" s="72">
        <v>1</v>
      </c>
      <c r="B20" s="624" t="s">
        <v>1405</v>
      </c>
      <c r="C20" s="780">
        <f>(67415*1.4)</f>
        <v>94381</v>
      </c>
      <c r="D20" s="75">
        <f t="shared" si="0"/>
        <v>94381</v>
      </c>
    </row>
    <row r="21" spans="1:7" ht="30" x14ac:dyDescent="0.25">
      <c r="A21" s="72">
        <v>240</v>
      </c>
      <c r="B21" s="624" t="s">
        <v>1394</v>
      </c>
      <c r="C21" s="780">
        <f>(22*19.5)*1.35</f>
        <v>579.15000000000009</v>
      </c>
      <c r="D21" s="75">
        <f t="shared" si="0"/>
        <v>138996.00000000003</v>
      </c>
    </row>
    <row r="22" spans="1:7" ht="30" x14ac:dyDescent="0.25">
      <c r="A22" s="72">
        <v>2</v>
      </c>
      <c r="B22" s="624" t="s">
        <v>1395</v>
      </c>
      <c r="C22" s="780">
        <f>(193*19.5)*1.35</f>
        <v>5080.7250000000004</v>
      </c>
      <c r="D22" s="75">
        <f t="shared" si="0"/>
        <v>10161.450000000001</v>
      </c>
    </row>
    <row r="23" spans="1:7" ht="30" x14ac:dyDescent="0.25">
      <c r="A23" s="72">
        <v>8</v>
      </c>
      <c r="B23" s="624" t="s">
        <v>1396</v>
      </c>
      <c r="C23" s="780">
        <f>(29*19.5)*1.35</f>
        <v>763.42500000000007</v>
      </c>
      <c r="D23" s="75">
        <f t="shared" si="0"/>
        <v>6107.4000000000005</v>
      </c>
    </row>
    <row r="24" spans="1:7" ht="30" x14ac:dyDescent="0.25">
      <c r="A24" s="72">
        <v>250</v>
      </c>
      <c r="B24" s="624" t="s">
        <v>1397</v>
      </c>
      <c r="C24" s="780">
        <f>(3.5*19.5)*1.35</f>
        <v>92.137500000000003</v>
      </c>
      <c r="D24" s="75">
        <f t="shared" si="0"/>
        <v>23034.375</v>
      </c>
    </row>
    <row r="25" spans="1:7" ht="15.6" x14ac:dyDescent="0.25">
      <c r="A25" s="72">
        <v>270</v>
      </c>
      <c r="B25" s="624" t="s">
        <v>1427</v>
      </c>
      <c r="C25" s="625">
        <f>705*1.48</f>
        <v>1043.4000000000001</v>
      </c>
      <c r="D25" s="75">
        <f t="shared" si="0"/>
        <v>281718</v>
      </c>
    </row>
    <row r="26" spans="1:7" ht="45" x14ac:dyDescent="0.25">
      <c r="A26" s="72">
        <v>1</v>
      </c>
      <c r="B26" s="624" t="s">
        <v>1367</v>
      </c>
      <c r="C26" s="625">
        <f>17645*1.35</f>
        <v>23820.75</v>
      </c>
      <c r="D26" s="75">
        <f t="shared" si="0"/>
        <v>23820.75</v>
      </c>
    </row>
    <row r="27" spans="1:7" ht="30" x14ac:dyDescent="0.25">
      <c r="A27" s="72">
        <v>1</v>
      </c>
      <c r="B27" s="85" t="s">
        <v>1404</v>
      </c>
      <c r="C27" s="74">
        <v>64500</v>
      </c>
      <c r="D27" s="75">
        <f t="shared" si="0"/>
        <v>64500</v>
      </c>
    </row>
    <row r="28" spans="1:7" ht="15.6" x14ac:dyDescent="0.25">
      <c r="A28" s="668"/>
      <c r="B28" s="768"/>
      <c r="C28" s="629" t="s">
        <v>188</v>
      </c>
      <c r="D28" s="630">
        <f>SUM(D15:D27)</f>
        <v>1032705.375</v>
      </c>
    </row>
    <row r="29" spans="1:7" ht="15.6" x14ac:dyDescent="0.3">
      <c r="A29" s="453"/>
      <c r="B29" s="768"/>
      <c r="C29" s="631" t="s">
        <v>90</v>
      </c>
      <c r="D29" s="632">
        <f>D28*0.16</f>
        <v>165232.86000000002</v>
      </c>
    </row>
    <row r="30" spans="1:7" ht="16.2" thickBot="1" x14ac:dyDescent="0.35">
      <c r="A30" s="276"/>
      <c r="B30" s="673"/>
      <c r="C30" s="633" t="s">
        <v>40</v>
      </c>
      <c r="D30" s="634">
        <f>D28+D29</f>
        <v>1197938.2350000001</v>
      </c>
    </row>
    <row r="31" spans="1:7" ht="16.2" thickBot="1" x14ac:dyDescent="0.3">
      <c r="A31" s="102"/>
      <c r="B31" s="635" t="s">
        <v>1428</v>
      </c>
      <c r="C31" s="553"/>
      <c r="D31" s="461"/>
    </row>
    <row r="32" spans="1:7" ht="13.8" x14ac:dyDescent="0.25">
      <c r="B32" s="103" t="s">
        <v>15</v>
      </c>
      <c r="C32" s="189"/>
      <c r="D32" s="666"/>
    </row>
    <row r="33" spans="1:4" ht="27.6" x14ac:dyDescent="0.25">
      <c r="A33" s="106"/>
      <c r="B33" s="295" t="s">
        <v>42</v>
      </c>
    </row>
    <row r="34" spans="1:4" ht="41.4" x14ac:dyDescent="0.25">
      <c r="A34" s="106"/>
      <c r="B34" s="295" t="s">
        <v>43</v>
      </c>
      <c r="C34" s="109"/>
      <c r="D34" s="110"/>
    </row>
    <row r="35" spans="1:4" ht="15" x14ac:dyDescent="0.25">
      <c r="A35" s="106"/>
      <c r="B35" s="103" t="s">
        <v>18</v>
      </c>
      <c r="C35" s="109"/>
      <c r="D35" s="110"/>
    </row>
    <row r="36" spans="1:4" ht="15" x14ac:dyDescent="0.25">
      <c r="A36" s="106"/>
      <c r="B36" s="296" t="s">
        <v>1368</v>
      </c>
      <c r="C36" s="109"/>
      <c r="D36" s="109"/>
    </row>
    <row r="37" spans="1:4" ht="15" x14ac:dyDescent="0.25">
      <c r="A37" s="106"/>
      <c r="B37" s="297" t="s">
        <v>20</v>
      </c>
      <c r="C37" s="109"/>
      <c r="D37" s="109"/>
    </row>
    <row r="38" spans="1:4" ht="13.8" x14ac:dyDescent="0.25">
      <c r="B38" s="103" t="s">
        <v>21</v>
      </c>
      <c r="D38" s="105"/>
    </row>
    <row r="39" spans="1:4" ht="15" x14ac:dyDescent="0.25">
      <c r="A39" s="106"/>
      <c r="B39" s="122" t="s">
        <v>502</v>
      </c>
      <c r="C39" s="109"/>
      <c r="D39" s="110"/>
    </row>
    <row r="40" spans="1:4" ht="15" x14ac:dyDescent="0.25">
      <c r="A40" s="106"/>
      <c r="B40" s="123" t="s">
        <v>44</v>
      </c>
      <c r="C40" s="109"/>
      <c r="D40" s="110"/>
    </row>
    <row r="41" spans="1:4" ht="13.8" x14ac:dyDescent="0.25">
      <c r="A41" s="115" t="s">
        <v>0</v>
      </c>
      <c r="B41" s="298" t="s">
        <v>45</v>
      </c>
      <c r="C41" s="109"/>
    </row>
    <row r="42" spans="1:4" x14ac:dyDescent="0.25">
      <c r="A42" s="222"/>
      <c r="B42" s="181"/>
      <c r="C42" s="181"/>
      <c r="D42" s="108"/>
    </row>
    <row r="43" spans="1:4" x14ac:dyDescent="0.25">
      <c r="A43" s="222"/>
      <c r="B43" s="181"/>
      <c r="C43" s="181"/>
      <c r="D43" s="108"/>
    </row>
    <row r="44" spans="1:4" x14ac:dyDescent="0.25">
      <c r="A44" s="225"/>
      <c r="B44" s="223"/>
      <c r="C44" s="181"/>
      <c r="D44" s="108"/>
    </row>
    <row r="45" spans="1:4" ht="15" x14ac:dyDescent="0.35">
      <c r="A45" s="226"/>
      <c r="B45" s="224"/>
      <c r="C45" s="181"/>
      <c r="D45" s="181"/>
    </row>
    <row r="46" spans="1:4" x14ac:dyDescent="0.25">
      <c r="A46"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8" fitToHeight="0" orientation="portrait" r:id="rId1"/>
  <headerFooter alignWithMargins="0">
    <oddFooter>Página &amp;P de &amp;N</oddFooter>
  </headerFooter>
  <drawing r:id="rId2"/>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D206-2421-44AD-BF70-574000E07C10}">
  <sheetPr>
    <tabColor theme="4" tint="-0.249977111117893"/>
    <pageSetUpPr fitToPage="1"/>
  </sheetPr>
  <dimension ref="A1:G50"/>
  <sheetViews>
    <sheetView topLeftCell="A8" zoomScaleNormal="100" workbookViewId="0">
      <selection activeCell="B28" sqref="B28"/>
    </sheetView>
  </sheetViews>
  <sheetFormatPr baseColWidth="10" defaultColWidth="10.33203125" defaultRowHeight="13.2" x14ac:dyDescent="0.25"/>
  <cols>
    <col min="1" max="1" width="5.44140625" style="108" customWidth="1"/>
    <col min="2" max="2" width="77" style="108" customWidth="1"/>
    <col min="3" max="3" width="14.88671875" style="107" bestFit="1" customWidth="1"/>
    <col min="4" max="4" width="15.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1460</v>
      </c>
      <c r="C7" s="58"/>
      <c r="D7" s="58"/>
    </row>
    <row r="8" spans="1:7" s="10" customFormat="1" ht="16.8" x14ac:dyDescent="0.4">
      <c r="A8" s="57" t="s">
        <v>1461</v>
      </c>
      <c r="C8" s="58"/>
      <c r="D8" s="58"/>
    </row>
    <row r="9" spans="1:7" s="10" customFormat="1" ht="16.8" x14ac:dyDescent="0.4">
      <c r="A9" s="57" t="s">
        <v>931</v>
      </c>
      <c r="C9" s="58"/>
      <c r="D9" s="58"/>
    </row>
    <row r="10" spans="1:7" s="10" customFormat="1" ht="16.8" x14ac:dyDescent="0.4">
      <c r="A10" s="57" t="s">
        <v>1462</v>
      </c>
      <c r="C10" s="59"/>
      <c r="D10" s="58"/>
    </row>
    <row r="11" spans="1:7" s="10" customFormat="1" ht="16.8" x14ac:dyDescent="0.4">
      <c r="A11" s="60" t="s">
        <v>1459</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60" x14ac:dyDescent="0.25">
      <c r="A15" s="793">
        <v>1</v>
      </c>
      <c r="B15" s="778" t="s">
        <v>1456</v>
      </c>
      <c r="C15" s="779">
        <v>2500</v>
      </c>
      <c r="D15" s="75">
        <f t="shared" ref="D15" si="0">A15*C15</f>
        <v>2500</v>
      </c>
      <c r="E15" s="190"/>
      <c r="F15" s="108"/>
      <c r="G15" s="191"/>
    </row>
    <row r="16" spans="1:7" ht="15.6" x14ac:dyDescent="0.25">
      <c r="A16" s="668"/>
      <c r="B16" s="794" t="s">
        <v>1457</v>
      </c>
      <c r="C16" s="629" t="s">
        <v>188</v>
      </c>
      <c r="D16" s="630">
        <f>SUM(D15:D15)</f>
        <v>2500</v>
      </c>
    </row>
    <row r="17" spans="1:4" ht="15.6" x14ac:dyDescent="0.3">
      <c r="A17" s="453"/>
      <c r="B17" s="768"/>
      <c r="C17" s="631" t="s">
        <v>90</v>
      </c>
      <c r="D17" s="632">
        <f>D16*0.16</f>
        <v>400</v>
      </c>
    </row>
    <row r="18" spans="1:4" ht="16.2" thickBot="1" x14ac:dyDescent="0.35">
      <c r="A18" s="276"/>
      <c r="B18" s="673"/>
      <c r="C18" s="633" t="s">
        <v>40</v>
      </c>
      <c r="D18" s="634">
        <f>D16+D17</f>
        <v>2900</v>
      </c>
    </row>
    <row r="19" spans="1:4" ht="16.2" thickBot="1" x14ac:dyDescent="0.3">
      <c r="A19" s="102"/>
      <c r="B19" s="635" t="s">
        <v>1458</v>
      </c>
      <c r="C19" s="553"/>
      <c r="D19" s="461"/>
    </row>
    <row r="20" spans="1:4" ht="13.8" x14ac:dyDescent="0.25">
      <c r="B20" s="103" t="s">
        <v>15</v>
      </c>
      <c r="C20" s="189"/>
      <c r="D20" s="666"/>
    </row>
    <row r="21" spans="1:4" ht="27.6" x14ac:dyDescent="0.25">
      <c r="A21" s="106"/>
      <c r="B21" s="295" t="s">
        <v>42</v>
      </c>
    </row>
    <row r="22" spans="1:4" ht="41.4" x14ac:dyDescent="0.25">
      <c r="A22" s="106"/>
      <c r="B22" s="295" t="s">
        <v>43</v>
      </c>
      <c r="C22" s="109"/>
      <c r="D22" s="110"/>
    </row>
    <row r="23" spans="1:4" ht="15" x14ac:dyDescent="0.25">
      <c r="A23" s="106"/>
      <c r="B23" s="103" t="s">
        <v>18</v>
      </c>
      <c r="C23" s="109"/>
      <c r="D23" s="110"/>
    </row>
    <row r="24" spans="1:4" ht="15" x14ac:dyDescent="0.25">
      <c r="A24" s="106"/>
      <c r="B24" s="296" t="s">
        <v>1368</v>
      </c>
      <c r="C24" s="109"/>
      <c r="D24" s="109"/>
    </row>
    <row r="25" spans="1:4" ht="15" x14ac:dyDescent="0.25">
      <c r="A25" s="106"/>
      <c r="B25" s="297" t="s">
        <v>20</v>
      </c>
      <c r="C25" s="109"/>
      <c r="D25" s="109"/>
    </row>
    <row r="26" spans="1:4" ht="13.8" x14ac:dyDescent="0.25">
      <c r="B26" s="103" t="s">
        <v>21</v>
      </c>
      <c r="D26" s="105"/>
    </row>
    <row r="27" spans="1:4" ht="15" x14ac:dyDescent="0.25">
      <c r="A27" s="106"/>
      <c r="B27" s="122" t="s">
        <v>1463</v>
      </c>
      <c r="C27" s="109"/>
      <c r="D27" s="110"/>
    </row>
    <row r="28" spans="1:4" ht="15" x14ac:dyDescent="0.25">
      <c r="A28" s="106"/>
      <c r="B28" s="123" t="s">
        <v>44</v>
      </c>
      <c r="C28" s="109"/>
      <c r="D28" s="110"/>
    </row>
    <row r="29" spans="1:4" ht="13.8" x14ac:dyDescent="0.25">
      <c r="A29" s="115" t="s">
        <v>0</v>
      </c>
      <c r="B29" s="298" t="s">
        <v>45</v>
      </c>
      <c r="C29" s="109"/>
    </row>
    <row r="30" spans="1:4" x14ac:dyDescent="0.25">
      <c r="A30" s="222"/>
      <c r="B30" s="181"/>
      <c r="C30" s="181"/>
      <c r="D30" s="108"/>
    </row>
    <row r="31" spans="1:4" x14ac:dyDescent="0.25">
      <c r="A31" s="222"/>
      <c r="B31" s="181"/>
      <c r="C31" s="181"/>
      <c r="D31" s="108"/>
    </row>
    <row r="32" spans="1:4" x14ac:dyDescent="0.25">
      <c r="A32" s="225"/>
      <c r="B32" s="223"/>
      <c r="C32" s="181"/>
      <c r="D32" s="108"/>
    </row>
    <row r="33" spans="1:4" ht="15" x14ac:dyDescent="0.35">
      <c r="A33" s="226"/>
      <c r="B33" s="224"/>
      <c r="C33" s="181"/>
      <c r="D33" s="181"/>
    </row>
    <row r="34" spans="1:4" x14ac:dyDescent="0.25">
      <c r="A34" s="108" t="s">
        <v>0</v>
      </c>
    </row>
    <row r="41" spans="1:4" ht="17.25" customHeight="1" x14ac:dyDescent="0.25"/>
    <row r="45" spans="1:4" ht="16.5" customHeight="1" x14ac:dyDescent="0.25"/>
    <row r="49" ht="15.75" customHeight="1" x14ac:dyDescent="0.25"/>
    <row r="50" ht="15" customHeight="1" x14ac:dyDescent="0.25"/>
  </sheetData>
  <mergeCells count="2">
    <mergeCell ref="A4:D4"/>
    <mergeCell ref="A12:D12"/>
  </mergeCells>
  <printOptions horizontalCentered="1"/>
  <pageMargins left="0.25" right="0.25" top="0.75" bottom="0.75" header="0.3" footer="0.3"/>
  <pageSetup paperSize="9" scale="68" fitToHeight="0" orientation="portrait" r:id="rId1"/>
  <headerFooter alignWithMargins="0">
    <oddFooter>Página &amp;P de &amp;N</oddFooter>
  </headerFooter>
  <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779F4-4707-401B-8571-121E80E31A15}">
  <sheetPr>
    <tabColor theme="4" tint="-0.249977111117893"/>
    <pageSetUpPr fitToPage="1"/>
  </sheetPr>
  <dimension ref="A1:F62"/>
  <sheetViews>
    <sheetView topLeftCell="A10" zoomScale="115" zoomScaleNormal="115" workbookViewId="0">
      <selection activeCell="A14" sqref="A14:D14"/>
    </sheetView>
  </sheetViews>
  <sheetFormatPr baseColWidth="10" defaultColWidth="11.44140625" defaultRowHeight="13.2" x14ac:dyDescent="0.25"/>
  <cols>
    <col min="1" max="1" width="6" style="1" customWidth="1"/>
    <col min="2" max="2" width="73.88671875" style="1" customWidth="1"/>
    <col min="3" max="3" width="12.5546875" style="3" customWidth="1"/>
    <col min="4" max="4" width="13.332031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7" t="s">
        <v>1</v>
      </c>
      <c r="B7" s="8"/>
      <c r="C7" s="9"/>
      <c r="D7" s="9"/>
    </row>
    <row r="8" spans="1:6" s="4" customFormat="1" ht="19.2" x14ac:dyDescent="0.45">
      <c r="A8" s="7" t="s">
        <v>2</v>
      </c>
      <c r="B8" s="8"/>
      <c r="C8" s="9"/>
      <c r="D8" s="9"/>
    </row>
    <row r="9" spans="1:6" s="4" customFormat="1" ht="19.2" x14ac:dyDescent="0.45">
      <c r="A9" s="7" t="s">
        <v>3</v>
      </c>
      <c r="B9" s="8"/>
      <c r="C9" s="9"/>
      <c r="D9" s="9"/>
    </row>
    <row r="10" spans="1:6" s="4" customFormat="1" ht="19.2" x14ac:dyDescent="0.45">
      <c r="A10" s="7" t="s">
        <v>202</v>
      </c>
      <c r="B10" s="8"/>
      <c r="C10" s="11"/>
      <c r="D10" s="9"/>
    </row>
    <row r="11" spans="1:6" s="4" customFormat="1" ht="19.2" x14ac:dyDescent="0.45">
      <c r="A11" s="7" t="s">
        <v>203</v>
      </c>
      <c r="B11" s="8"/>
      <c r="C11" s="11"/>
      <c r="D11" s="9"/>
    </row>
    <row r="12" spans="1:6" s="4" customFormat="1" ht="15" customHeight="1" x14ac:dyDescent="0.4">
      <c r="A12" s="12" t="s">
        <v>6</v>
      </c>
      <c r="B12" s="13"/>
      <c r="C12" s="14"/>
      <c r="D12" s="15"/>
    </row>
    <row r="13" spans="1:6" s="4" customFormat="1" ht="15" customHeight="1" x14ac:dyDescent="0.45">
      <c r="A13" s="234" t="s">
        <v>1466</v>
      </c>
      <c r="B13" s="13"/>
      <c r="C13" s="14"/>
      <c r="D13" s="15"/>
    </row>
    <row r="14" spans="1:6" s="4" customFormat="1" ht="11.25" customHeight="1" x14ac:dyDescent="0.4">
      <c r="A14" s="1031" t="s">
        <v>73</v>
      </c>
      <c r="B14" s="1032"/>
      <c r="C14" s="1033"/>
      <c r="D14" s="1034"/>
      <c r="E14" s="17"/>
      <c r="F14" s="17"/>
    </row>
    <row r="15" spans="1:6" s="17" customFormat="1" ht="26.4" x14ac:dyDescent="0.25">
      <c r="A15" s="145" t="s">
        <v>29</v>
      </c>
      <c r="B15" s="145" t="s">
        <v>30</v>
      </c>
      <c r="C15" s="146" t="s">
        <v>31</v>
      </c>
      <c r="D15" s="146" t="s">
        <v>32</v>
      </c>
      <c r="E15" s="147"/>
      <c r="F15" s="1"/>
    </row>
    <row r="16" spans="1:6" x14ac:dyDescent="0.25">
      <c r="A16" s="148"/>
      <c r="B16" s="149"/>
      <c r="C16" s="150"/>
      <c r="D16" s="150"/>
      <c r="E16" s="25"/>
      <c r="F16" s="26"/>
    </row>
    <row r="17" spans="1:5" s="26" customFormat="1" ht="26.4" x14ac:dyDescent="0.25">
      <c r="A17" s="155">
        <v>1</v>
      </c>
      <c r="B17" s="156" t="s">
        <v>705</v>
      </c>
      <c r="C17" s="153">
        <f>(159774)*(1.29)</f>
        <v>206108.46</v>
      </c>
      <c r="D17" s="154">
        <f t="shared" ref="D17:D20" si="0">A17*C17</f>
        <v>206108.46</v>
      </c>
      <c r="E17" s="147"/>
    </row>
    <row r="18" spans="1:5" ht="26.4" x14ac:dyDescent="0.25">
      <c r="A18" s="157">
        <v>1</v>
      </c>
      <c r="B18" s="158" t="s">
        <v>1464</v>
      </c>
      <c r="C18" s="159">
        <f>59870*1.42</f>
        <v>85015.4</v>
      </c>
      <c r="D18" s="161">
        <f t="shared" si="0"/>
        <v>85015.4</v>
      </c>
      <c r="E18" s="147"/>
    </row>
    <row r="19" spans="1:5" ht="79.2" x14ac:dyDescent="0.25">
      <c r="A19" s="157">
        <v>1</v>
      </c>
      <c r="B19" s="158" t="s">
        <v>103</v>
      </c>
      <c r="C19" s="159">
        <f>(10987)*1.3+4280</f>
        <v>18563.099999999999</v>
      </c>
      <c r="D19" s="161">
        <f t="shared" si="0"/>
        <v>18563.099999999999</v>
      </c>
      <c r="E19" s="147"/>
    </row>
    <row r="20" spans="1:5" ht="26.4" x14ac:dyDescent="0.25">
      <c r="A20" s="157">
        <v>1</v>
      </c>
      <c r="B20" s="158" t="s">
        <v>88</v>
      </c>
      <c r="C20" s="160">
        <v>2500</v>
      </c>
      <c r="D20" s="161">
        <f t="shared" si="0"/>
        <v>2500</v>
      </c>
      <c r="E20" s="147"/>
    </row>
    <row r="21" spans="1:5" x14ac:dyDescent="0.25">
      <c r="A21" s="157"/>
      <c r="B21" s="158" t="s">
        <v>89</v>
      </c>
      <c r="C21" s="160"/>
      <c r="D21" s="161"/>
      <c r="E21" s="147"/>
    </row>
    <row r="22" spans="1:5" x14ac:dyDescent="0.25">
      <c r="A22" s="32"/>
      <c r="B22" s="166"/>
      <c r="C22" s="167" t="s">
        <v>38</v>
      </c>
      <c r="D22" s="168">
        <f>SUM(D17:D21)</f>
        <v>312186.95999999996</v>
      </c>
      <c r="E22" s="147"/>
    </row>
    <row r="23" spans="1:5" x14ac:dyDescent="0.25">
      <c r="A23" s="33"/>
      <c r="B23" s="33"/>
      <c r="C23" s="167" t="s">
        <v>90</v>
      </c>
      <c r="D23" s="168">
        <f>D22*0.16</f>
        <v>49949.913599999993</v>
      </c>
      <c r="E23" s="147"/>
    </row>
    <row r="24" spans="1:5" ht="13.8" thickBot="1" x14ac:dyDescent="0.3">
      <c r="A24" s="33"/>
      <c r="B24" s="170"/>
      <c r="C24" s="171" t="s">
        <v>40</v>
      </c>
      <c r="D24" s="172">
        <f>D22+D23</f>
        <v>362136.87359999993</v>
      </c>
      <c r="E24" s="147"/>
    </row>
    <row r="25" spans="1:5" ht="13.8" thickBot="1" x14ac:dyDescent="0.3">
      <c r="A25" s="33"/>
      <c r="B25" s="1035" t="s">
        <v>1465</v>
      </c>
      <c r="C25" s="1036"/>
      <c r="D25" s="1037"/>
      <c r="E25" s="147"/>
    </row>
    <row r="26" spans="1:5" ht="13.8" x14ac:dyDescent="0.25">
      <c r="A26" s="33"/>
      <c r="B26" s="173" t="s">
        <v>9</v>
      </c>
      <c r="C26" s="174"/>
      <c r="D26" s="175"/>
      <c r="E26" s="147"/>
    </row>
    <row r="27" spans="1:5" ht="17.399999999999999" x14ac:dyDescent="0.25">
      <c r="A27" s="176"/>
      <c r="B27" s="177" t="s">
        <v>10</v>
      </c>
      <c r="C27" s="169"/>
      <c r="D27" s="41"/>
      <c r="E27" s="147"/>
    </row>
    <row r="28" spans="1:5" ht="15" x14ac:dyDescent="0.25">
      <c r="A28" s="178"/>
      <c r="B28" s="40" t="s">
        <v>11</v>
      </c>
      <c r="D28" s="41"/>
    </row>
    <row r="29" spans="1:5" ht="15" x14ac:dyDescent="0.25">
      <c r="A29" s="178"/>
      <c r="B29" s="131" t="s">
        <v>12</v>
      </c>
      <c r="D29" s="41"/>
    </row>
    <row r="30" spans="1:5" ht="15" x14ac:dyDescent="0.25">
      <c r="A30" s="178"/>
      <c r="B30" s="131" t="s">
        <v>13</v>
      </c>
      <c r="D30" s="41"/>
    </row>
    <row r="31" spans="1:5" ht="15" x14ac:dyDescent="0.25">
      <c r="A31" s="178"/>
      <c r="B31" s="131" t="s">
        <v>14</v>
      </c>
      <c r="D31" s="41"/>
    </row>
    <row r="32" spans="1:5" ht="13.8" x14ac:dyDescent="0.25">
      <c r="A32" s="129"/>
      <c r="B32" s="40" t="s">
        <v>15</v>
      </c>
    </row>
    <row r="33" spans="1:4" ht="27.6" x14ac:dyDescent="0.25">
      <c r="A33" s="178"/>
      <c r="B33" s="36" t="s">
        <v>42</v>
      </c>
    </row>
    <row r="34" spans="1:4" ht="41.4" x14ac:dyDescent="0.25">
      <c r="A34" s="178"/>
      <c r="B34" s="36" t="s">
        <v>43</v>
      </c>
      <c r="C34" s="38"/>
      <c r="D34" s="39"/>
    </row>
    <row r="35" spans="1:4" ht="15" x14ac:dyDescent="0.25">
      <c r="A35" s="178"/>
      <c r="B35" s="40" t="s">
        <v>18</v>
      </c>
      <c r="C35" s="38"/>
      <c r="D35" s="39"/>
    </row>
    <row r="36" spans="1:4" ht="15" x14ac:dyDescent="0.25">
      <c r="A36" s="178"/>
      <c r="B36" s="134" t="s">
        <v>397</v>
      </c>
      <c r="C36" s="38"/>
      <c r="D36" s="38"/>
    </row>
    <row r="37" spans="1:4" ht="15" x14ac:dyDescent="0.25">
      <c r="A37" s="178"/>
      <c r="B37" s="135" t="s">
        <v>20</v>
      </c>
      <c r="C37" s="38"/>
      <c r="D37" s="38"/>
    </row>
    <row r="38" spans="1:4" ht="13.8" x14ac:dyDescent="0.25">
      <c r="A38" s="129"/>
      <c r="B38" s="40" t="s">
        <v>21</v>
      </c>
      <c r="D38" s="41"/>
    </row>
    <row r="39" spans="1:4" ht="15" x14ac:dyDescent="0.25">
      <c r="A39" s="178"/>
      <c r="B39" s="179" t="s">
        <v>222</v>
      </c>
      <c r="C39" s="38"/>
      <c r="D39" s="39"/>
    </row>
    <row r="40" spans="1:4" ht="15" x14ac:dyDescent="0.25">
      <c r="A40" s="178"/>
      <c r="B40" s="131" t="s">
        <v>44</v>
      </c>
      <c r="C40" s="38"/>
      <c r="D40" s="39"/>
    </row>
    <row r="41" spans="1:4" ht="50.4" x14ac:dyDescent="0.25">
      <c r="A41" s="182" t="s">
        <v>0</v>
      </c>
      <c r="B41" s="183" t="s">
        <v>23</v>
      </c>
      <c r="C41" s="38"/>
      <c r="D41" s="38"/>
    </row>
    <row r="42" spans="1:4" ht="16.8" x14ac:dyDescent="0.4">
      <c r="A42" s="43"/>
      <c r="B42" s="44"/>
      <c r="C42" s="45"/>
      <c r="D42" s="45"/>
    </row>
    <row r="43" spans="1:4" x14ac:dyDescent="0.25">
      <c r="A43" s="46"/>
      <c r="B43" s="47"/>
      <c r="C43" s="47"/>
      <c r="D43" s="1"/>
    </row>
    <row r="44" spans="1:4" x14ac:dyDescent="0.25">
      <c r="A44" s="46"/>
      <c r="B44" s="47"/>
      <c r="C44" s="47"/>
      <c r="D44" s="1"/>
    </row>
    <row r="45" spans="1:4" x14ac:dyDescent="0.25">
      <c r="A45" s="48"/>
      <c r="B45" s="49"/>
      <c r="C45" s="47"/>
      <c r="D45" s="1"/>
    </row>
    <row r="46" spans="1:4" ht="15" x14ac:dyDescent="0.35">
      <c r="A46" s="50" t="s">
        <v>0</v>
      </c>
      <c r="B46" s="51"/>
      <c r="C46" s="47"/>
      <c r="D46" s="47"/>
    </row>
    <row r="47" spans="1:4" x14ac:dyDescent="0.25">
      <c r="A47" s="1" t="s">
        <v>0</v>
      </c>
    </row>
    <row r="52" ht="15.75" customHeight="1" x14ac:dyDescent="0.25"/>
    <row r="57" ht="16.5" customHeight="1" x14ac:dyDescent="0.25"/>
    <row r="61" ht="15.75" customHeight="1" x14ac:dyDescent="0.25"/>
    <row r="62" ht="15" customHeight="1" x14ac:dyDescent="0.25"/>
  </sheetData>
  <mergeCells count="3">
    <mergeCell ref="A4:D4"/>
    <mergeCell ref="A14:D14"/>
    <mergeCell ref="B25:D25"/>
  </mergeCells>
  <printOptions horizontalCentered="1"/>
  <pageMargins left="0.25" right="0.25" top="0.75" bottom="0.75" header="0.3" footer="0.3"/>
  <pageSetup paperSize="9" scale="76" fitToHeight="0" orientation="portrait" r:id="rId1"/>
  <headerFooter alignWithMargins="0">
    <oddFooter>Página &amp;P de &amp;N</oddFooter>
  </headerFooter>
  <drawing r:id="rId2"/>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EE7E-0509-45E8-985B-1394FA35603B}">
  <sheetPr>
    <tabColor theme="4" tint="-0.249977111117893"/>
    <pageSetUpPr fitToPage="1"/>
  </sheetPr>
  <dimension ref="A1:G62"/>
  <sheetViews>
    <sheetView topLeftCell="A6" zoomScaleNormal="100" workbookViewId="0">
      <selection activeCell="B22" sqref="B22"/>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1467</v>
      </c>
      <c r="C10" s="59"/>
      <c r="D10" s="58"/>
    </row>
    <row r="11" spans="1:7" s="10" customFormat="1" ht="16.8" x14ac:dyDescent="0.4">
      <c r="A11" s="60" t="s">
        <v>1471</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25">
      <c r="A15" s="72">
        <v>1</v>
      </c>
      <c r="B15" s="624" t="s">
        <v>1469</v>
      </c>
      <c r="C15" s="665">
        <f>(19925)*1.3</f>
        <v>25902.5</v>
      </c>
      <c r="D15" s="75">
        <f t="shared" ref="D15:D17" si="0">A15*C15</f>
        <v>25902.5</v>
      </c>
      <c r="E15" s="108"/>
      <c r="F15" s="108"/>
      <c r="G15" s="191"/>
    </row>
    <row r="16" spans="1:7" ht="30" x14ac:dyDescent="0.25">
      <c r="A16" s="72">
        <v>1</v>
      </c>
      <c r="B16" s="624" t="s">
        <v>1470</v>
      </c>
      <c r="C16" s="665">
        <f>(12998)*1.3</f>
        <v>16897.400000000001</v>
      </c>
      <c r="D16" s="75">
        <f t="shared" si="0"/>
        <v>16897.400000000001</v>
      </c>
    </row>
    <row r="17" spans="1:7" s="191" customFormat="1" ht="16.2" thickBot="1" x14ac:dyDescent="0.3">
      <c r="A17" s="72">
        <v>1</v>
      </c>
      <c r="B17" s="672" t="s">
        <v>1468</v>
      </c>
      <c r="C17" s="625">
        <v>8100</v>
      </c>
      <c r="D17" s="75">
        <f t="shared" si="0"/>
        <v>8100</v>
      </c>
      <c r="E17" s="108"/>
      <c r="F17" s="108"/>
      <c r="G17" s="108"/>
    </row>
    <row r="18" spans="1:7" x14ac:dyDescent="0.25">
      <c r="A18" s="667"/>
      <c r="B18" s="796" t="s">
        <v>1473</v>
      </c>
      <c r="C18" s="669"/>
      <c r="D18" s="213"/>
    </row>
    <row r="19" spans="1:7" ht="15.6" x14ac:dyDescent="0.25">
      <c r="A19" s="668"/>
      <c r="B19" s="797" t="s">
        <v>1474</v>
      </c>
      <c r="C19" s="670" t="s">
        <v>188</v>
      </c>
      <c r="D19" s="630">
        <f>SUM(D15:D17)</f>
        <v>50899.9</v>
      </c>
    </row>
    <row r="20" spans="1:7" ht="16.2" thickBot="1" x14ac:dyDescent="0.35">
      <c r="A20" s="453"/>
      <c r="B20" s="795"/>
      <c r="C20" s="671" t="s">
        <v>90</v>
      </c>
      <c r="D20" s="632">
        <f>D19*0.16</f>
        <v>8143.9840000000004</v>
      </c>
    </row>
    <row r="21" spans="1:7" ht="16.2" thickBot="1" x14ac:dyDescent="0.35">
      <c r="A21" s="276"/>
      <c r="B21" s="673"/>
      <c r="C21" s="633" t="s">
        <v>40</v>
      </c>
      <c r="D21" s="634">
        <f>D19+D20</f>
        <v>59043.884000000005</v>
      </c>
    </row>
    <row r="22" spans="1:7" ht="16.2" thickBot="1" x14ac:dyDescent="0.3">
      <c r="A22" s="102"/>
      <c r="B22" s="635" t="s">
        <v>1472</v>
      </c>
      <c r="C22" s="553"/>
      <c r="D22" s="461"/>
    </row>
    <row r="23" spans="1:7" ht="13.8" x14ac:dyDescent="0.25">
      <c r="B23" s="103" t="s">
        <v>15</v>
      </c>
      <c r="C23" s="189"/>
      <c r="D23" s="666"/>
    </row>
    <row r="24" spans="1:7" ht="15" x14ac:dyDescent="0.25">
      <c r="A24" s="106"/>
      <c r="B24" s="295" t="s">
        <v>42</v>
      </c>
    </row>
    <row r="25" spans="1:7" ht="41.4" x14ac:dyDescent="0.25">
      <c r="A25" s="106"/>
      <c r="B25" s="295" t="s">
        <v>43</v>
      </c>
      <c r="C25" s="109"/>
      <c r="D25" s="110"/>
    </row>
    <row r="26" spans="1:7" ht="15" x14ac:dyDescent="0.25">
      <c r="A26" s="106"/>
      <c r="B26" s="103" t="s">
        <v>18</v>
      </c>
      <c r="C26" s="109"/>
      <c r="D26" s="110"/>
    </row>
    <row r="27" spans="1:7" ht="15" x14ac:dyDescent="0.25">
      <c r="A27" s="106"/>
      <c r="B27" s="296" t="s">
        <v>501</v>
      </c>
      <c r="C27" s="109"/>
      <c r="D27" s="109"/>
    </row>
    <row r="28" spans="1:7" ht="15" x14ac:dyDescent="0.25">
      <c r="A28" s="106"/>
      <c r="B28" s="297" t="s">
        <v>20</v>
      </c>
      <c r="C28" s="109"/>
      <c r="D28" s="109"/>
    </row>
    <row r="29" spans="1:7" ht="13.5" customHeight="1" x14ac:dyDescent="0.25">
      <c r="B29" s="103" t="s">
        <v>21</v>
      </c>
      <c r="D29" s="105"/>
    </row>
    <row r="30" spans="1:7" ht="15" x14ac:dyDescent="0.25">
      <c r="A30" s="106"/>
      <c r="B30" s="122" t="s">
        <v>502</v>
      </c>
      <c r="C30" s="109"/>
      <c r="D30" s="110"/>
    </row>
    <row r="31" spans="1:7" ht="15" x14ac:dyDescent="0.25">
      <c r="A31" s="106"/>
      <c r="B31" s="123" t="s">
        <v>44</v>
      </c>
      <c r="C31" s="109"/>
      <c r="D31" s="110"/>
    </row>
    <row r="32" spans="1:7" ht="13.8" x14ac:dyDescent="0.25">
      <c r="A32" s="115" t="s">
        <v>0</v>
      </c>
      <c r="B32" s="298" t="s">
        <v>45</v>
      </c>
      <c r="C32" s="109"/>
    </row>
    <row r="33" spans="1:4" ht="50.4" x14ac:dyDescent="0.25">
      <c r="A33" s="222"/>
      <c r="B33" s="314" t="s">
        <v>169</v>
      </c>
      <c r="C33" s="220"/>
      <c r="D33" s="108"/>
    </row>
    <row r="34" spans="1:4" x14ac:dyDescent="0.25">
      <c r="A34" s="222"/>
      <c r="B34" s="181"/>
      <c r="C34" s="181"/>
      <c r="D34" s="108"/>
    </row>
    <row r="35" spans="1:4" x14ac:dyDescent="0.25">
      <c r="A35" s="222"/>
      <c r="B35" s="181"/>
      <c r="C35" s="181"/>
      <c r="D35" s="108"/>
    </row>
    <row r="36" spans="1:4" x14ac:dyDescent="0.25">
      <c r="A36" s="225"/>
      <c r="B36" s="223"/>
      <c r="C36" s="181"/>
      <c r="D36" s="108"/>
    </row>
    <row r="37" spans="1:4" ht="15" x14ac:dyDescent="0.35">
      <c r="A37" s="226"/>
      <c r="B37" s="224"/>
      <c r="C37" s="181"/>
      <c r="D37" s="181"/>
    </row>
    <row r="38" spans="1:4" x14ac:dyDescent="0.25">
      <c r="A38"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3" fitToHeight="0" orientation="portrait" r:id="rId1"/>
  <headerFooter alignWithMargins="0">
    <oddFooter>Página &amp;P de &amp;N</oddFooter>
  </headerFooter>
  <drawing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E7C0-BAAF-4F7B-A130-0AF636082F4A}">
  <sheetPr>
    <tabColor theme="4" tint="-0.249977111117893"/>
    <pageSetUpPr fitToPage="1"/>
  </sheetPr>
  <dimension ref="A1:G62"/>
  <sheetViews>
    <sheetView topLeftCell="A14" zoomScaleNormal="100" workbookViewId="0">
      <selection activeCell="A16" sqref="A16:D16"/>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1418</v>
      </c>
      <c r="C7" s="58"/>
      <c r="D7" s="58"/>
    </row>
    <row r="8" spans="1:7" s="10" customFormat="1" ht="16.8" x14ac:dyDescent="0.4">
      <c r="A8" s="57" t="s">
        <v>1419</v>
      </c>
      <c r="C8" s="58"/>
      <c r="D8" s="58"/>
    </row>
    <row r="9" spans="1:7" s="10" customFormat="1" ht="16.8" x14ac:dyDescent="0.4">
      <c r="A9" s="57" t="s">
        <v>1392</v>
      </c>
      <c r="C9" s="58"/>
      <c r="D9" s="58"/>
    </row>
    <row r="10" spans="1:7" s="10" customFormat="1" ht="16.8" x14ac:dyDescent="0.4">
      <c r="A10" s="57" t="s">
        <v>1420</v>
      </c>
      <c r="C10" s="59"/>
      <c r="D10" s="58"/>
    </row>
    <row r="11" spans="1:7" s="10" customFormat="1" ht="16.8" x14ac:dyDescent="0.4">
      <c r="A11" s="60" t="s">
        <v>1421</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1410</v>
      </c>
      <c r="C15" s="625">
        <f>220*100</f>
        <v>22000</v>
      </c>
      <c r="D15" s="75">
        <f t="shared" ref="D15:D28" si="0">A15*C15</f>
        <v>22000</v>
      </c>
      <c r="E15" s="190"/>
      <c r="G15" s="10"/>
    </row>
    <row r="16" spans="1:7" ht="45" x14ac:dyDescent="0.4">
      <c r="A16" s="72">
        <v>1</v>
      </c>
      <c r="B16" s="73" t="s">
        <v>1411</v>
      </c>
      <c r="C16" s="428">
        <f>7300+1100</f>
        <v>8400</v>
      </c>
      <c r="D16" s="75">
        <f t="shared" si="0"/>
        <v>8400</v>
      </c>
      <c r="E16" s="190"/>
      <c r="F16" s="188"/>
      <c r="G16" s="10"/>
    </row>
    <row r="17" spans="1:7" s="191" customFormat="1" ht="45" x14ac:dyDescent="0.4">
      <c r="A17" s="72">
        <v>1</v>
      </c>
      <c r="B17" s="73" t="s">
        <v>915</v>
      </c>
      <c r="C17" s="428">
        <v>76000</v>
      </c>
      <c r="D17" s="75">
        <f t="shared" si="0"/>
        <v>76000</v>
      </c>
      <c r="E17" s="190"/>
      <c r="F17" s="188"/>
      <c r="G17" s="10"/>
    </row>
    <row r="18" spans="1:7" ht="16.8" x14ac:dyDescent="0.4">
      <c r="A18" s="72">
        <v>2</v>
      </c>
      <c r="B18" s="73" t="s">
        <v>1415</v>
      </c>
      <c r="C18" s="428">
        <f>(222*19.5)*1.5</f>
        <v>6493.5</v>
      </c>
      <c r="D18" s="75">
        <f t="shared" si="0"/>
        <v>12987</v>
      </c>
      <c r="E18" s="190"/>
      <c r="F18" s="188"/>
      <c r="G18" s="10"/>
    </row>
    <row r="19" spans="1:7" ht="15.6" x14ac:dyDescent="0.25">
      <c r="A19" s="72">
        <v>2</v>
      </c>
      <c r="B19" s="73" t="s">
        <v>269</v>
      </c>
      <c r="C19" s="428">
        <f>5664/2</f>
        <v>2832</v>
      </c>
      <c r="D19" s="75">
        <f t="shared" si="0"/>
        <v>5664</v>
      </c>
      <c r="E19" s="189"/>
      <c r="G19" s="191"/>
    </row>
    <row r="20" spans="1:7" ht="15.6" x14ac:dyDescent="0.25">
      <c r="A20" s="571">
        <v>2</v>
      </c>
      <c r="B20" s="572" t="s">
        <v>270</v>
      </c>
      <c r="C20" s="626">
        <v>320</v>
      </c>
      <c r="D20" s="75">
        <f t="shared" si="0"/>
        <v>640</v>
      </c>
      <c r="E20" s="189"/>
    </row>
    <row r="21" spans="1:7" ht="30" x14ac:dyDescent="0.25">
      <c r="A21" s="72">
        <v>1</v>
      </c>
      <c r="B21" s="624" t="s">
        <v>1412</v>
      </c>
      <c r="C21" s="626">
        <v>7830</v>
      </c>
      <c r="D21" s="75">
        <f t="shared" si="0"/>
        <v>7830</v>
      </c>
      <c r="E21" s="189"/>
    </row>
    <row r="22" spans="1:7" ht="15.6" x14ac:dyDescent="0.25">
      <c r="A22" s="72">
        <v>1</v>
      </c>
      <c r="B22" s="624" t="s">
        <v>1413</v>
      </c>
      <c r="C22" s="626">
        <v>28179</v>
      </c>
      <c r="D22" s="75">
        <f t="shared" si="0"/>
        <v>28179</v>
      </c>
      <c r="E22" s="189"/>
    </row>
    <row r="23" spans="1:7" ht="15.6" x14ac:dyDescent="0.25">
      <c r="A23" s="72">
        <v>240</v>
      </c>
      <c r="B23" s="624" t="s">
        <v>1416</v>
      </c>
      <c r="C23" s="625">
        <v>1025</v>
      </c>
      <c r="D23" s="75">
        <f t="shared" si="0"/>
        <v>246000</v>
      </c>
    </row>
    <row r="24" spans="1:7" ht="45" x14ac:dyDescent="0.25">
      <c r="A24" s="72">
        <v>1</v>
      </c>
      <c r="B24" s="624" t="s">
        <v>750</v>
      </c>
      <c r="C24" s="625">
        <v>22000</v>
      </c>
      <c r="D24" s="75">
        <f t="shared" si="0"/>
        <v>22000</v>
      </c>
    </row>
    <row r="25" spans="1:7" ht="15.6" x14ac:dyDescent="0.25">
      <c r="A25" s="72">
        <v>1</v>
      </c>
      <c r="B25" s="624" t="s">
        <v>745</v>
      </c>
      <c r="C25" s="625">
        <v>4380</v>
      </c>
      <c r="D25" s="75">
        <f t="shared" si="0"/>
        <v>4380</v>
      </c>
    </row>
    <row r="26" spans="1:7" ht="30" x14ac:dyDescent="0.25">
      <c r="A26" s="72">
        <v>1</v>
      </c>
      <c r="B26" s="672" t="s">
        <v>751</v>
      </c>
      <c r="C26" s="625">
        <v>2380</v>
      </c>
      <c r="D26" s="75">
        <f t="shared" ref="D26:D27" si="1">A26*C26</f>
        <v>2380</v>
      </c>
    </row>
    <row r="27" spans="1:7" ht="15.6" x14ac:dyDescent="0.25">
      <c r="A27" s="72">
        <v>2</v>
      </c>
      <c r="B27" s="672" t="s">
        <v>1475</v>
      </c>
      <c r="C27" s="625">
        <v>3200</v>
      </c>
      <c r="D27" s="75">
        <f t="shared" si="1"/>
        <v>6400</v>
      </c>
    </row>
    <row r="28" spans="1:7" ht="16.2" thickBot="1" x14ac:dyDescent="0.3">
      <c r="A28" s="72">
        <v>2</v>
      </c>
      <c r="B28" s="672" t="s">
        <v>1476</v>
      </c>
      <c r="C28" s="625">
        <v>5911</v>
      </c>
      <c r="D28" s="75">
        <f t="shared" si="0"/>
        <v>11822</v>
      </c>
    </row>
    <row r="29" spans="1:7" x14ac:dyDescent="0.25">
      <c r="A29" s="667"/>
      <c r="B29" s="674"/>
      <c r="C29" s="669"/>
      <c r="D29" s="213"/>
    </row>
    <row r="30" spans="1:7" ht="15.6" x14ac:dyDescent="0.25">
      <c r="A30" s="668"/>
      <c r="B30" s="675"/>
      <c r="C30" s="670" t="s">
        <v>188</v>
      </c>
      <c r="D30" s="630">
        <f>SUM(D15:D28)</f>
        <v>454682</v>
      </c>
    </row>
    <row r="31" spans="1:7" ht="16.2" thickBot="1" x14ac:dyDescent="0.35">
      <c r="A31" s="453"/>
      <c r="B31" s="676"/>
      <c r="C31" s="671" t="s">
        <v>90</v>
      </c>
      <c r="D31" s="632">
        <f>D30*0.16</f>
        <v>72749.119999999995</v>
      </c>
    </row>
    <row r="32" spans="1:7" ht="16.2" thickBot="1" x14ac:dyDescent="0.35">
      <c r="A32" s="276"/>
      <c r="B32" s="673"/>
      <c r="C32" s="633" t="s">
        <v>40</v>
      </c>
      <c r="D32" s="634">
        <f>D30+D31</f>
        <v>527431.12</v>
      </c>
    </row>
    <row r="33" spans="1:4" ht="16.2" thickBot="1" x14ac:dyDescent="0.3">
      <c r="A33" s="102"/>
      <c r="B33" s="635" t="s">
        <v>1417</v>
      </c>
      <c r="C33" s="553"/>
      <c r="D33" s="461"/>
    </row>
    <row r="34" spans="1:4" ht="13.8" x14ac:dyDescent="0.25">
      <c r="B34" s="103" t="s">
        <v>15</v>
      </c>
      <c r="C34" s="189"/>
      <c r="D34" s="666"/>
    </row>
    <row r="35" spans="1:4" ht="15" x14ac:dyDescent="0.25">
      <c r="A35" s="106"/>
      <c r="B35" s="295" t="s">
        <v>42</v>
      </c>
    </row>
    <row r="36" spans="1:4" ht="41.4" x14ac:dyDescent="0.25">
      <c r="A36" s="106"/>
      <c r="B36" s="295" t="s">
        <v>43</v>
      </c>
      <c r="C36" s="109"/>
      <c r="D36" s="110"/>
    </row>
    <row r="37" spans="1:4" ht="15" x14ac:dyDescent="0.25">
      <c r="A37" s="106"/>
      <c r="B37" s="103" t="s">
        <v>18</v>
      </c>
      <c r="C37" s="109"/>
      <c r="D37" s="110"/>
    </row>
    <row r="38" spans="1:4" ht="15" x14ac:dyDescent="0.25">
      <c r="A38" s="106"/>
      <c r="B38" s="296" t="s">
        <v>501</v>
      </c>
      <c r="C38" s="109"/>
      <c r="D38" s="109"/>
    </row>
    <row r="39" spans="1:4" ht="15" x14ac:dyDescent="0.25">
      <c r="A39" s="106"/>
      <c r="B39" s="297" t="s">
        <v>20</v>
      </c>
      <c r="C39" s="109"/>
      <c r="D39" s="109"/>
    </row>
    <row r="40" spans="1:4" ht="13.8" x14ac:dyDescent="0.25">
      <c r="B40" s="103" t="s">
        <v>21</v>
      </c>
      <c r="D40" s="105"/>
    </row>
    <row r="41" spans="1:4" ht="15" x14ac:dyDescent="0.25">
      <c r="A41" s="106"/>
      <c r="B41" s="122" t="s">
        <v>502</v>
      </c>
      <c r="C41" s="109"/>
      <c r="D41" s="110"/>
    </row>
    <row r="42" spans="1:4" ht="15" x14ac:dyDescent="0.25">
      <c r="A42" s="106"/>
      <c r="B42" s="123" t="s">
        <v>44</v>
      </c>
      <c r="C42" s="109"/>
      <c r="D42" s="110"/>
    </row>
    <row r="43" spans="1:4" ht="13.8" x14ac:dyDescent="0.25">
      <c r="A43" s="115" t="s">
        <v>0</v>
      </c>
      <c r="B43" s="298" t="s">
        <v>45</v>
      </c>
      <c r="C43" s="109"/>
    </row>
    <row r="44" spans="1:4" ht="50.4" x14ac:dyDescent="0.25">
      <c r="A44" s="222"/>
      <c r="B44" s="314" t="s">
        <v>169</v>
      </c>
      <c r="C44" s="220"/>
      <c r="D44" s="108"/>
    </row>
    <row r="45" spans="1:4" x14ac:dyDescent="0.25">
      <c r="A45" s="222"/>
      <c r="B45" s="181"/>
      <c r="C45" s="181"/>
      <c r="D45" s="108"/>
    </row>
    <row r="46" spans="1:4" x14ac:dyDescent="0.25">
      <c r="A46" s="222"/>
      <c r="B46" s="181"/>
      <c r="C46" s="181"/>
      <c r="D46" s="108"/>
    </row>
    <row r="47" spans="1:4" x14ac:dyDescent="0.25">
      <c r="A47" s="225"/>
      <c r="B47" s="223"/>
      <c r="C47" s="181"/>
      <c r="D47" s="108"/>
    </row>
    <row r="48" spans="1:4" ht="15" x14ac:dyDescent="0.35">
      <c r="A48" s="226"/>
      <c r="B48" s="224"/>
      <c r="C48" s="181"/>
      <c r="D48" s="181"/>
    </row>
    <row r="49" spans="1:1" x14ac:dyDescent="0.25">
      <c r="A49" s="108" t="s">
        <v>0</v>
      </c>
    </row>
    <row r="53" spans="1:1" ht="17.25" customHeight="1" x14ac:dyDescent="0.25"/>
    <row r="57" spans="1:1" ht="16.5" customHeight="1" x14ac:dyDescent="0.25"/>
    <row r="61" spans="1:1" ht="15.75" customHeight="1" x14ac:dyDescent="0.25"/>
    <row r="62" spans="1:1" ht="15" customHeight="1" x14ac:dyDescent="0.25"/>
  </sheetData>
  <mergeCells count="2">
    <mergeCell ref="A4:D4"/>
    <mergeCell ref="A12:D12"/>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533A-B77A-42CB-9973-59321D5F872D}">
  <sheetPr>
    <tabColor theme="4" tint="-0.249977111117893"/>
    <pageSetUpPr fitToPage="1"/>
  </sheetPr>
  <dimension ref="A1:G62"/>
  <sheetViews>
    <sheetView topLeftCell="A6" zoomScaleNormal="100" workbookViewId="0">
      <selection activeCell="D18" sqref="D18"/>
    </sheetView>
  </sheetViews>
  <sheetFormatPr baseColWidth="10" defaultColWidth="10.33203125" defaultRowHeight="13.2" x14ac:dyDescent="0.25"/>
  <cols>
    <col min="1" max="1" width="5.44140625" style="108" customWidth="1"/>
    <col min="2" max="2" width="92.88671875" style="108" customWidth="1"/>
    <col min="3" max="3" width="14"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1467</v>
      </c>
      <c r="C10" s="59"/>
      <c r="D10" s="58"/>
    </row>
    <row r="11" spans="1:7" s="10" customFormat="1" ht="16.8" x14ac:dyDescent="0.4">
      <c r="A11" s="60" t="s">
        <v>1480</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30" x14ac:dyDescent="0.25">
      <c r="A15" s="72">
        <v>1</v>
      </c>
      <c r="B15" s="624" t="s">
        <v>1470</v>
      </c>
      <c r="C15" s="665">
        <f>(12998)*1.3</f>
        <v>16897.400000000001</v>
      </c>
      <c r="D15" s="75">
        <f t="shared" ref="D15:D16" si="0">A15*C15</f>
        <v>16897.400000000001</v>
      </c>
      <c r="E15" s="108"/>
      <c r="F15" s="108"/>
      <c r="G15" s="191"/>
    </row>
    <row r="16" spans="1:7" ht="15.6" x14ac:dyDescent="0.25">
      <c r="A16" s="72">
        <v>1</v>
      </c>
      <c r="B16" s="672" t="s">
        <v>1468</v>
      </c>
      <c r="C16" s="625">
        <v>6432</v>
      </c>
      <c r="D16" s="75">
        <f t="shared" si="0"/>
        <v>6432</v>
      </c>
    </row>
    <row r="17" spans="1:7" s="191" customFormat="1" x14ac:dyDescent="0.25">
      <c r="A17" s="667"/>
      <c r="B17" s="813" t="s">
        <v>1473</v>
      </c>
      <c r="C17" s="669"/>
      <c r="D17" s="213"/>
      <c r="E17" s="108"/>
      <c r="F17" s="108"/>
      <c r="G17" s="108"/>
    </row>
    <row r="18" spans="1:7" ht="15.6" x14ac:dyDescent="0.25">
      <c r="A18" s="668"/>
      <c r="B18" s="814" t="s">
        <v>1474</v>
      </c>
      <c r="C18" s="670" t="s">
        <v>188</v>
      </c>
      <c r="D18" s="630">
        <f>SUM(D15:D16)</f>
        <v>23329.4</v>
      </c>
    </row>
    <row r="19" spans="1:7" ht="15.6" x14ac:dyDescent="0.3">
      <c r="A19" s="453"/>
      <c r="B19" s="815"/>
      <c r="C19" s="671" t="s">
        <v>90</v>
      </c>
      <c r="D19" s="632">
        <f>D18*0.16</f>
        <v>3732.7040000000002</v>
      </c>
    </row>
    <row r="20" spans="1:7" ht="16.2" thickBot="1" x14ac:dyDescent="0.35">
      <c r="A20" s="276"/>
      <c r="B20" s="673"/>
      <c r="C20" s="633" t="s">
        <v>40</v>
      </c>
      <c r="D20" s="634">
        <f>D18+D19</f>
        <v>27062.104000000003</v>
      </c>
    </row>
    <row r="21" spans="1:7" ht="16.2" thickBot="1" x14ac:dyDescent="0.3">
      <c r="A21" s="102"/>
      <c r="B21" s="635" t="s">
        <v>1472</v>
      </c>
      <c r="C21" s="553"/>
      <c r="D21" s="461"/>
    </row>
    <row r="22" spans="1:7" ht="13.8" x14ac:dyDescent="0.25">
      <c r="B22" s="103" t="s">
        <v>15</v>
      </c>
      <c r="C22" s="189"/>
      <c r="D22" s="666"/>
    </row>
    <row r="23" spans="1:7" ht="15" x14ac:dyDescent="0.25">
      <c r="A23" s="106"/>
      <c r="B23" s="295" t="s">
        <v>42</v>
      </c>
    </row>
    <row r="24" spans="1:7" ht="41.4" x14ac:dyDescent="0.25">
      <c r="A24" s="106"/>
      <c r="B24" s="295" t="s">
        <v>43</v>
      </c>
      <c r="C24" s="109"/>
      <c r="D24" s="110"/>
    </row>
    <row r="25" spans="1:7" ht="15" x14ac:dyDescent="0.25">
      <c r="A25" s="106"/>
      <c r="B25" s="103" t="s">
        <v>18</v>
      </c>
      <c r="C25" s="109"/>
      <c r="D25" s="110"/>
    </row>
    <row r="26" spans="1:7" ht="15" x14ac:dyDescent="0.25">
      <c r="A26" s="106"/>
      <c r="B26" s="296" t="s">
        <v>1368</v>
      </c>
      <c r="C26" s="109"/>
      <c r="D26" s="109"/>
    </row>
    <row r="27" spans="1:7" ht="15" x14ac:dyDescent="0.25">
      <c r="A27" s="106"/>
      <c r="B27" s="297" t="s">
        <v>20</v>
      </c>
      <c r="C27" s="109"/>
      <c r="D27" s="109"/>
    </row>
    <row r="28" spans="1:7" ht="13.8" x14ac:dyDescent="0.25">
      <c r="B28" s="103" t="s">
        <v>21</v>
      </c>
      <c r="D28" s="105"/>
    </row>
    <row r="29" spans="1:7" ht="13.5" customHeight="1" x14ac:dyDescent="0.25">
      <c r="A29" s="106"/>
      <c r="B29" s="122" t="s">
        <v>502</v>
      </c>
      <c r="C29" s="109"/>
      <c r="D29" s="110"/>
    </row>
    <row r="30" spans="1:7" ht="15" x14ac:dyDescent="0.25">
      <c r="A30" s="106"/>
      <c r="B30" s="123" t="s">
        <v>44</v>
      </c>
      <c r="C30" s="109"/>
      <c r="D30" s="110"/>
    </row>
    <row r="31" spans="1:7" ht="13.8" x14ac:dyDescent="0.25">
      <c r="A31" s="115" t="s">
        <v>0</v>
      </c>
      <c r="B31" s="298" t="s">
        <v>45</v>
      </c>
      <c r="C31" s="109"/>
    </row>
    <row r="32" spans="1:7" ht="50.4" x14ac:dyDescent="0.25">
      <c r="A32" s="222"/>
      <c r="B32" s="314" t="s">
        <v>169</v>
      </c>
      <c r="C32" s="220"/>
      <c r="D32" s="108"/>
    </row>
    <row r="33" spans="1:4" x14ac:dyDescent="0.25">
      <c r="A33" s="222"/>
      <c r="B33" s="181"/>
      <c r="C33" s="181"/>
      <c r="D33" s="108"/>
    </row>
    <row r="34" spans="1:4" x14ac:dyDescent="0.25">
      <c r="A34" s="222"/>
      <c r="B34" s="181"/>
      <c r="C34" s="181"/>
      <c r="D34" s="108"/>
    </row>
    <row r="35" spans="1:4" x14ac:dyDescent="0.25">
      <c r="A35" s="225"/>
      <c r="B35" s="223"/>
      <c r="C35" s="181"/>
      <c r="D35" s="108"/>
    </row>
    <row r="36" spans="1:4" ht="15" x14ac:dyDescent="0.35">
      <c r="A36" s="226"/>
      <c r="B36" s="224"/>
      <c r="C36" s="181"/>
      <c r="D36" s="181"/>
    </row>
    <row r="37" spans="1:4" x14ac:dyDescent="0.25">
      <c r="A37"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3" fitToHeight="0" orientation="portrait" r:id="rId1"/>
  <headerFooter alignWithMargins="0">
    <oddFooter>Página &amp;P de &amp;N</oddFooter>
  </headerFooter>
  <drawing r:id="rId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AF5A-FDEB-4FE1-8F36-1E3759740761}">
  <sheetPr>
    <tabColor theme="4" tint="-0.249977111117893"/>
  </sheetPr>
  <dimension ref="A1:I55"/>
  <sheetViews>
    <sheetView zoomScaleNormal="100" workbookViewId="0">
      <selection activeCell="B15" sqref="B15"/>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1481</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1485</v>
      </c>
      <c r="C12" s="376">
        <f>(15186*20)*1.5</f>
        <v>455580</v>
      </c>
      <c r="D12" s="377">
        <f>A12*C12</f>
        <v>455580</v>
      </c>
      <c r="E12" s="190"/>
      <c r="F12" s="191"/>
    </row>
    <row r="13" spans="1:9" s="10" customFormat="1" ht="16.8" x14ac:dyDescent="0.4">
      <c r="A13" s="378"/>
      <c r="B13" s="379" t="s">
        <v>1482</v>
      </c>
      <c r="C13" s="376"/>
      <c r="D13" s="377"/>
      <c r="E13" s="190"/>
      <c r="F13" s="191"/>
      <c r="G13" s="188"/>
      <c r="H13" s="188"/>
      <c r="I13" s="188"/>
    </row>
    <row r="14" spans="1:9" s="10" customFormat="1" ht="16.8" x14ac:dyDescent="0.4">
      <c r="A14" s="380">
        <v>1</v>
      </c>
      <c r="B14" s="379" t="s">
        <v>1238</v>
      </c>
      <c r="C14" s="381">
        <f>(2700*2)*1.4</f>
        <v>7559.9999999999991</v>
      </c>
      <c r="D14" s="377">
        <f>A14*C14</f>
        <v>7559.9999999999991</v>
      </c>
      <c r="E14" s="190"/>
      <c r="F14" s="190"/>
    </row>
    <row r="15" spans="1:9" s="188" customFormat="1" ht="13.8" x14ac:dyDescent="0.25">
      <c r="A15" s="286"/>
      <c r="B15" s="206"/>
      <c r="C15" s="382" t="s">
        <v>188</v>
      </c>
      <c r="D15" s="606">
        <f>SUM(D12:D14)</f>
        <v>463140</v>
      </c>
      <c r="E15" s="189"/>
      <c r="F15" s="108"/>
    </row>
    <row r="16" spans="1:9" x14ac:dyDescent="0.25">
      <c r="A16" s="102"/>
      <c r="B16" s="383" t="s">
        <v>993</v>
      </c>
      <c r="C16" s="384" t="s">
        <v>90</v>
      </c>
      <c r="D16" s="607">
        <f>D15*0.16</f>
        <v>74102.400000000009</v>
      </c>
      <c r="E16" s="189"/>
    </row>
    <row r="17" spans="1:6" s="191" customFormat="1" ht="15.75" customHeight="1" thickBot="1" x14ac:dyDescent="0.3">
      <c r="A17" s="102"/>
      <c r="B17" s="385" t="s">
        <v>381</v>
      </c>
      <c r="C17" s="386" t="s">
        <v>40</v>
      </c>
      <c r="D17" s="608">
        <f>D15+D16</f>
        <v>537242.4</v>
      </c>
      <c r="E17" s="189"/>
      <c r="F17" s="108"/>
    </row>
    <row r="18" spans="1:6" ht="13.8" thickBot="1" x14ac:dyDescent="0.3">
      <c r="A18" s="276"/>
      <c r="B18" s="1050" t="s">
        <v>1488</v>
      </c>
      <c r="C18" s="1051"/>
      <c r="D18" s="1052"/>
      <c r="E18" s="189"/>
    </row>
    <row r="19" spans="1:6" ht="17.399999999999999" x14ac:dyDescent="0.3">
      <c r="A19" s="102"/>
      <c r="B19" s="663" t="s">
        <v>1242</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1483</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01F6-B820-4C93-89BA-396DE331DCA9}">
  <sheetPr>
    <tabColor theme="4" tint="-0.249977111117893"/>
  </sheetPr>
  <dimension ref="A1:I55"/>
  <sheetViews>
    <sheetView zoomScaleNormal="100" workbookViewId="0">
      <selection activeCell="C13" sqref="C13"/>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1481</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1484</v>
      </c>
      <c r="C12" s="376">
        <f>(613619)*1.5</f>
        <v>920428.5</v>
      </c>
      <c r="D12" s="377">
        <f>A12*C12</f>
        <v>920428.5</v>
      </c>
      <c r="E12" s="190"/>
      <c r="F12" s="191"/>
    </row>
    <row r="13" spans="1:9" s="10" customFormat="1" ht="16.8" x14ac:dyDescent="0.4">
      <c r="A13" s="378"/>
      <c r="B13" s="379" t="s">
        <v>1486</v>
      </c>
      <c r="C13" s="376"/>
      <c r="D13" s="377"/>
      <c r="E13" s="190"/>
      <c r="F13" s="191"/>
      <c r="G13" s="188"/>
      <c r="H13" s="188"/>
      <c r="I13" s="188"/>
    </row>
    <row r="14" spans="1:9" s="10" customFormat="1" ht="16.8" x14ac:dyDescent="0.4">
      <c r="A14" s="378">
        <v>1</v>
      </c>
      <c r="B14" s="379" t="s">
        <v>1487</v>
      </c>
      <c r="C14" s="376">
        <f>191087*1.35</f>
        <v>257967.45</v>
      </c>
      <c r="D14" s="377">
        <f t="shared" ref="D14" si="0">A14*C14</f>
        <v>257967.45</v>
      </c>
      <c r="E14" s="190"/>
      <c r="F14" s="190"/>
    </row>
    <row r="15" spans="1:9" s="188" customFormat="1" ht="14.4" x14ac:dyDescent="0.3">
      <c r="A15" s="380">
        <v>1</v>
      </c>
      <c r="B15" s="379" t="s">
        <v>1238</v>
      </c>
      <c r="C15" s="381">
        <f>(2700*2)*1.4</f>
        <v>7559.9999999999991</v>
      </c>
      <c r="D15" s="377">
        <f>A15*C15</f>
        <v>7559.9999999999991</v>
      </c>
      <c r="E15" s="190"/>
      <c r="F15" s="108"/>
    </row>
    <row r="16" spans="1:9" x14ac:dyDescent="0.25">
      <c r="A16" s="286"/>
      <c r="B16" s="206"/>
      <c r="C16" s="382" t="s">
        <v>188</v>
      </c>
      <c r="D16" s="606">
        <f>SUM(D12:D15)</f>
        <v>1185955.95</v>
      </c>
      <c r="E16" s="189"/>
    </row>
    <row r="17" spans="1:6" s="191" customFormat="1" ht="15.75" customHeight="1" x14ac:dyDescent="0.25">
      <c r="A17" s="102"/>
      <c r="B17" s="383" t="s">
        <v>993</v>
      </c>
      <c r="C17" s="384" t="s">
        <v>90</v>
      </c>
      <c r="D17" s="607">
        <f>D16*0.16</f>
        <v>189752.95199999999</v>
      </c>
      <c r="E17" s="189"/>
      <c r="F17" s="108"/>
    </row>
    <row r="18" spans="1:6" ht="13.8" thickBot="1" x14ac:dyDescent="0.3">
      <c r="A18" s="102"/>
      <c r="B18" s="385" t="s">
        <v>381</v>
      </c>
      <c r="C18" s="386" t="s">
        <v>40</v>
      </c>
      <c r="D18" s="608">
        <f>D16+D17</f>
        <v>1375708.902</v>
      </c>
      <c r="E18" s="189"/>
    </row>
    <row r="19" spans="1:6" ht="13.8" thickBot="1" x14ac:dyDescent="0.3">
      <c r="A19" s="276"/>
      <c r="B19" s="1050" t="s">
        <v>1241</v>
      </c>
      <c r="C19" s="1051"/>
      <c r="D19" s="1052"/>
      <c r="E19" s="189"/>
    </row>
    <row r="20" spans="1:6" ht="17.399999999999999" x14ac:dyDescent="0.3">
      <c r="A20" s="102"/>
      <c r="B20" s="663" t="s">
        <v>1242</v>
      </c>
      <c r="C20" s="104"/>
      <c r="D20" s="105"/>
    </row>
    <row r="21" spans="1:6" ht="15" x14ac:dyDescent="0.25">
      <c r="A21" s="106"/>
      <c r="B21" s="485" t="s">
        <v>11</v>
      </c>
      <c r="C21" s="104"/>
      <c r="D21" s="105"/>
    </row>
    <row r="22" spans="1:6" ht="15" x14ac:dyDescent="0.25">
      <c r="A22" s="106"/>
      <c r="B22" s="121" t="s">
        <v>13</v>
      </c>
      <c r="D22" s="105"/>
    </row>
    <row r="23" spans="1:6" ht="13.8" x14ac:dyDescent="0.25">
      <c r="B23" s="485" t="s">
        <v>15</v>
      </c>
    </row>
    <row r="24" spans="1:6" ht="27.6" x14ac:dyDescent="0.25">
      <c r="A24" s="106"/>
      <c r="B24" s="125" t="s">
        <v>192</v>
      </c>
      <c r="C24" s="109"/>
      <c r="D24" s="110"/>
    </row>
    <row r="25" spans="1:6" ht="41.4" x14ac:dyDescent="0.25">
      <c r="A25" s="106"/>
      <c r="B25" s="125" t="s">
        <v>43</v>
      </c>
      <c r="C25" s="109"/>
      <c r="D25" s="110"/>
    </row>
    <row r="26" spans="1:6" ht="15" x14ac:dyDescent="0.25">
      <c r="A26" s="106"/>
      <c r="B26" s="485" t="s">
        <v>18</v>
      </c>
      <c r="C26" s="109"/>
    </row>
    <row r="27" spans="1:6" ht="15" x14ac:dyDescent="0.25">
      <c r="A27" s="106"/>
      <c r="B27" s="126" t="s">
        <v>1483</v>
      </c>
      <c r="C27" s="220"/>
    </row>
    <row r="28" spans="1:6" ht="15" x14ac:dyDescent="0.25">
      <c r="A28" s="106"/>
      <c r="B28" s="127" t="s">
        <v>20</v>
      </c>
      <c r="C28" s="109"/>
      <c r="D28" s="108"/>
    </row>
    <row r="29" spans="1:6" ht="13.8" x14ac:dyDescent="0.25">
      <c r="B29" s="485" t="s">
        <v>21</v>
      </c>
      <c r="C29" s="220"/>
      <c r="D29" s="108"/>
    </row>
    <row r="30" spans="1:6" ht="15" x14ac:dyDescent="0.25">
      <c r="A30" s="106"/>
      <c r="B30" s="484" t="s">
        <v>262</v>
      </c>
      <c r="C30" s="181"/>
      <c r="D30" s="108"/>
    </row>
    <row r="31" spans="1:6" ht="15" x14ac:dyDescent="0.25">
      <c r="A31" s="106"/>
      <c r="B31" s="121" t="s">
        <v>44</v>
      </c>
      <c r="C31" s="181"/>
      <c r="D31" s="181"/>
    </row>
    <row r="32" spans="1:6" ht="15" x14ac:dyDescent="0.25">
      <c r="A32" s="106"/>
      <c r="B32" s="121" t="s">
        <v>1187</v>
      </c>
      <c r="D32"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9:D19"/>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3831-E795-4F39-B96F-ACE2B03DF655}">
  <sheetPr>
    <tabColor theme="4" tint="-0.249977111117893"/>
  </sheetPr>
  <dimension ref="A1:I55"/>
  <sheetViews>
    <sheetView topLeftCell="A12" zoomScaleNormal="100" workbookViewId="0">
      <selection activeCell="B19" sqref="B1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982</v>
      </c>
      <c r="C4" s="58"/>
      <c r="D4" s="58"/>
    </row>
    <row r="5" spans="1:9" s="10" customFormat="1" ht="16.8" x14ac:dyDescent="0.4">
      <c r="A5" s="57" t="s">
        <v>983</v>
      </c>
      <c r="C5" s="58"/>
      <c r="D5" s="58"/>
    </row>
    <row r="6" spans="1:9" s="10" customFormat="1" ht="16.8" x14ac:dyDescent="0.4">
      <c r="A6" s="57" t="s">
        <v>984</v>
      </c>
      <c r="C6" s="59"/>
      <c r="D6" s="58"/>
    </row>
    <row r="7" spans="1:9" s="10" customFormat="1" ht="16.8" x14ac:dyDescent="0.4">
      <c r="A7" s="57" t="s">
        <v>985</v>
      </c>
      <c r="C7" s="59"/>
      <c r="D7" s="58"/>
    </row>
    <row r="8" spans="1:9" s="10" customFormat="1" ht="16.8" x14ac:dyDescent="0.4">
      <c r="A8" s="57" t="s">
        <v>6</v>
      </c>
      <c r="B8" s="61"/>
      <c r="C8" s="62"/>
      <c r="D8" s="63"/>
    </row>
    <row r="9" spans="1:9" s="10" customFormat="1" ht="16.8" x14ac:dyDescent="0.4">
      <c r="A9" s="60" t="s">
        <v>1481</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1485</v>
      </c>
      <c r="C12" s="376">
        <f>(17186*20)*1.5</f>
        <v>515580</v>
      </c>
      <c r="D12" s="377">
        <f>A12*C12</f>
        <v>515580</v>
      </c>
      <c r="E12" s="190"/>
      <c r="F12" s="191"/>
    </row>
    <row r="13" spans="1:9" s="10" customFormat="1" ht="16.8" x14ac:dyDescent="0.4">
      <c r="A13" s="378"/>
      <c r="B13" s="379" t="s">
        <v>1482</v>
      </c>
      <c r="C13" s="376"/>
      <c r="D13" s="377"/>
      <c r="E13" s="190"/>
      <c r="F13" s="191"/>
      <c r="G13" s="188"/>
      <c r="H13" s="188"/>
      <c r="I13" s="188"/>
    </row>
    <row r="14" spans="1:9" s="10" customFormat="1" ht="16.8" x14ac:dyDescent="0.4">
      <c r="A14" s="380">
        <v>1</v>
      </c>
      <c r="B14" s="379" t="s">
        <v>1238</v>
      </c>
      <c r="C14" s="381">
        <f>(2700*2)*1.4</f>
        <v>7559.9999999999991</v>
      </c>
      <c r="D14" s="377">
        <f>A14*C14</f>
        <v>7559.9999999999991</v>
      </c>
      <c r="E14" s="190"/>
      <c r="F14" s="190"/>
    </row>
    <row r="15" spans="1:9" s="188" customFormat="1" ht="13.8" x14ac:dyDescent="0.25">
      <c r="A15" s="286"/>
      <c r="B15" s="206"/>
      <c r="C15" s="382" t="s">
        <v>188</v>
      </c>
      <c r="D15" s="606">
        <f>SUM(D12:D14)</f>
        <v>523140</v>
      </c>
      <c r="E15" s="189"/>
      <c r="F15" s="108"/>
    </row>
    <row r="16" spans="1:9" x14ac:dyDescent="0.25">
      <c r="A16" s="102"/>
      <c r="B16" s="383" t="s">
        <v>993</v>
      </c>
      <c r="C16" s="384" t="s">
        <v>90</v>
      </c>
      <c r="D16" s="607">
        <f>D15*0.16</f>
        <v>83702.400000000009</v>
      </c>
      <c r="E16" s="189"/>
    </row>
    <row r="17" spans="1:6" s="191" customFormat="1" ht="15.75" customHeight="1" thickBot="1" x14ac:dyDescent="0.3">
      <c r="A17" s="102"/>
      <c r="B17" s="385" t="s">
        <v>381</v>
      </c>
      <c r="C17" s="386" t="s">
        <v>40</v>
      </c>
      <c r="D17" s="608">
        <f>D15+D16</f>
        <v>606842.4</v>
      </c>
      <c r="E17" s="189"/>
      <c r="F17" s="108"/>
    </row>
    <row r="18" spans="1:6" ht="13.8" thickBot="1" x14ac:dyDescent="0.3">
      <c r="A18" s="276"/>
      <c r="B18" s="1050" t="s">
        <v>1489</v>
      </c>
      <c r="C18" s="1051"/>
      <c r="D18" s="1052"/>
      <c r="E18" s="189"/>
    </row>
    <row r="19" spans="1:6" ht="17.399999999999999" x14ac:dyDescent="0.3">
      <c r="A19" s="102"/>
      <c r="B19" s="663" t="s">
        <v>1242</v>
      </c>
      <c r="C19" s="104"/>
      <c r="D19" s="105"/>
    </row>
    <row r="20" spans="1:6" ht="15" x14ac:dyDescent="0.25">
      <c r="A20" s="106"/>
      <c r="B20" s="485" t="s">
        <v>11</v>
      </c>
      <c r="C20" s="104"/>
      <c r="D20" s="105"/>
    </row>
    <row r="21" spans="1:6" ht="15" x14ac:dyDescent="0.25">
      <c r="A21" s="106"/>
      <c r="B21" s="121" t="s">
        <v>13</v>
      </c>
      <c r="D21" s="105"/>
    </row>
    <row r="22" spans="1:6" ht="13.8" x14ac:dyDescent="0.25">
      <c r="B22" s="485" t="s">
        <v>15</v>
      </c>
    </row>
    <row r="23" spans="1:6" ht="27.6" x14ac:dyDescent="0.25">
      <c r="A23" s="106"/>
      <c r="B23" s="125" t="s">
        <v>192</v>
      </c>
      <c r="C23" s="109"/>
      <c r="D23" s="110"/>
    </row>
    <row r="24" spans="1:6" ht="41.4" x14ac:dyDescent="0.25">
      <c r="A24" s="106"/>
      <c r="B24" s="125" t="s">
        <v>43</v>
      </c>
      <c r="C24" s="109"/>
      <c r="D24" s="110"/>
    </row>
    <row r="25" spans="1:6" ht="15" x14ac:dyDescent="0.25">
      <c r="A25" s="106"/>
      <c r="B25" s="485" t="s">
        <v>18</v>
      </c>
      <c r="C25" s="109"/>
    </row>
    <row r="26" spans="1:6" ht="15" x14ac:dyDescent="0.25">
      <c r="A26" s="106"/>
      <c r="B26" s="126" t="s">
        <v>1483</v>
      </c>
      <c r="C26" s="220"/>
    </row>
    <row r="27" spans="1:6" ht="15" x14ac:dyDescent="0.25">
      <c r="A27" s="106"/>
      <c r="B27" s="127" t="s">
        <v>20</v>
      </c>
      <c r="C27" s="109"/>
      <c r="D27" s="108"/>
    </row>
    <row r="28" spans="1:6" ht="13.8" x14ac:dyDescent="0.25">
      <c r="B28" s="485" t="s">
        <v>21</v>
      </c>
      <c r="C28" s="220"/>
      <c r="D28" s="108"/>
    </row>
    <row r="29" spans="1:6" ht="15" x14ac:dyDescent="0.25">
      <c r="A29" s="106"/>
      <c r="B29" s="484" t="s">
        <v>262</v>
      </c>
      <c r="C29" s="181"/>
      <c r="D29" s="108"/>
    </row>
    <row r="30" spans="1:6" ht="15" x14ac:dyDescent="0.25">
      <c r="A30" s="106"/>
      <c r="B30" s="121" t="s">
        <v>44</v>
      </c>
      <c r="C30" s="181"/>
      <c r="D30" s="181"/>
    </row>
    <row r="31" spans="1:6" ht="15" x14ac:dyDescent="0.25">
      <c r="A31" s="106"/>
      <c r="B31" s="121" t="s">
        <v>1187</v>
      </c>
      <c r="D31" s="181"/>
    </row>
    <row r="34" ht="13.5" customHeight="1" x14ac:dyDescent="0.25"/>
    <row r="35" ht="15.75" customHeight="1" x14ac:dyDescent="0.25"/>
    <row r="36" ht="13.5" customHeight="1" x14ac:dyDescent="0.25"/>
    <row r="37" ht="12" customHeight="1" x14ac:dyDescent="0.25"/>
    <row r="38" ht="11.25" customHeight="1" x14ac:dyDescent="0.25"/>
    <row r="41" ht="14.25" customHeight="1" x14ac:dyDescent="0.25"/>
    <row r="43" ht="16.5" customHeight="1" x14ac:dyDescent="0.25"/>
    <row r="46" ht="12.75" customHeight="1" x14ac:dyDescent="0.25"/>
    <row r="47" ht="13.5" customHeight="1" x14ac:dyDescent="0.25"/>
    <row r="50" ht="16.5" customHeight="1" x14ac:dyDescent="0.25"/>
    <row r="54" ht="24" customHeight="1" x14ac:dyDescent="0.25"/>
    <row r="55" ht="24" customHeight="1" x14ac:dyDescent="0.25"/>
  </sheetData>
  <mergeCells count="1">
    <mergeCell ref="B18:D18"/>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92E6-0094-48E7-9924-5235326282B8}">
  <sheetPr>
    <tabColor theme="4" tint="-0.249977111117893"/>
  </sheetPr>
  <dimension ref="A1:I55"/>
  <sheetViews>
    <sheetView topLeftCell="A2" zoomScaleNormal="100" workbookViewId="0">
      <selection activeCell="B32" sqref="B32"/>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1504</v>
      </c>
      <c r="C4" s="58"/>
      <c r="D4" s="58"/>
    </row>
    <row r="5" spans="1:9" s="10" customFormat="1" ht="16.8" x14ac:dyDescent="0.4">
      <c r="A5" s="57" t="s">
        <v>1500</v>
      </c>
      <c r="C5" s="58"/>
      <c r="D5" s="58"/>
    </row>
    <row r="6" spans="1:9" s="10" customFormat="1" ht="16.8" x14ac:dyDescent="0.4">
      <c r="A6" s="57" t="s">
        <v>1501</v>
      </c>
      <c r="C6" s="59"/>
      <c r="D6" s="58"/>
    </row>
    <row r="7" spans="1:9" s="10" customFormat="1" ht="16.8" x14ac:dyDescent="0.4">
      <c r="A7" s="57" t="s">
        <v>1502</v>
      </c>
      <c r="C7" s="59"/>
      <c r="D7" s="58"/>
    </row>
    <row r="8" spans="1:9" s="10" customFormat="1" ht="16.8" x14ac:dyDescent="0.4">
      <c r="A8" s="57" t="s">
        <v>6</v>
      </c>
      <c r="B8" s="61"/>
      <c r="C8" s="62"/>
      <c r="D8" s="63"/>
    </row>
    <row r="9" spans="1:9" s="10" customFormat="1" ht="16.8" x14ac:dyDescent="0.4">
      <c r="A9" s="257" t="s">
        <v>1503</v>
      </c>
      <c r="B9" s="258"/>
      <c r="C9" s="62"/>
      <c r="D9" s="259"/>
    </row>
    <row r="10" spans="1:9" s="10" customFormat="1" ht="26.4" x14ac:dyDescent="0.4">
      <c r="A10" s="145" t="s">
        <v>29</v>
      </c>
      <c r="B10" s="145" t="s">
        <v>175</v>
      </c>
      <c r="C10" s="146" t="s">
        <v>31</v>
      </c>
      <c r="D10" s="146" t="s">
        <v>32</v>
      </c>
      <c r="E10" s="189"/>
    </row>
    <row r="11" spans="1:9" s="10" customFormat="1" ht="9" customHeight="1" x14ac:dyDescent="0.4">
      <c r="A11" s="148"/>
      <c r="B11" s="149"/>
      <c r="C11" s="150"/>
      <c r="D11" s="150"/>
      <c r="E11" s="190"/>
      <c r="F11" s="108"/>
    </row>
    <row r="12" spans="1:9" s="10" customFormat="1" ht="15" customHeight="1" x14ac:dyDescent="0.4">
      <c r="A12" s="799">
        <v>1</v>
      </c>
      <c r="B12" s="800" t="s">
        <v>1490</v>
      </c>
      <c r="C12" s="184">
        <f>10000+6000+19000</f>
        <v>35000</v>
      </c>
      <c r="D12" s="165">
        <f>A12*C12</f>
        <v>35000</v>
      </c>
      <c r="E12" s="190"/>
      <c r="F12" s="191"/>
    </row>
    <row r="13" spans="1:9" s="10" customFormat="1" ht="16.8" x14ac:dyDescent="0.4">
      <c r="A13" s="801"/>
      <c r="B13" s="802" t="s">
        <v>1491</v>
      </c>
      <c r="C13" s="184"/>
      <c r="D13" s="165"/>
      <c r="E13" s="190"/>
      <c r="F13" s="191"/>
      <c r="G13" s="188"/>
      <c r="H13" s="188"/>
      <c r="I13" s="188"/>
    </row>
    <row r="14" spans="1:9" s="10" customFormat="1" ht="16.8" x14ac:dyDescent="0.4">
      <c r="A14" s="801">
        <v>1</v>
      </c>
      <c r="B14" s="802" t="s">
        <v>1492</v>
      </c>
      <c r="C14" s="184">
        <f>3580</f>
        <v>3580</v>
      </c>
      <c r="D14" s="165">
        <f t="shared" ref="D14" si="0">A14*C14</f>
        <v>3580</v>
      </c>
      <c r="E14" s="190"/>
      <c r="F14" s="191"/>
      <c r="G14" s="108"/>
      <c r="H14" s="108"/>
      <c r="I14" s="108"/>
    </row>
    <row r="15" spans="1:9" s="188" customFormat="1" ht="14.4" x14ac:dyDescent="0.3">
      <c r="A15" s="801"/>
      <c r="B15" s="802" t="s">
        <v>1493</v>
      </c>
      <c r="C15" s="184"/>
      <c r="D15" s="165"/>
      <c r="E15" s="189"/>
      <c r="F15" s="276"/>
      <c r="G15" s="191"/>
      <c r="H15" s="191"/>
      <c r="I15" s="191"/>
    </row>
    <row r="16" spans="1:9" ht="14.4" x14ac:dyDescent="0.25">
      <c r="A16" s="799">
        <v>1</v>
      </c>
      <c r="B16" s="800" t="s">
        <v>1490</v>
      </c>
      <c r="C16" s="184">
        <f>10000+6000+19000</f>
        <v>35000</v>
      </c>
      <c r="D16" s="165">
        <f>A16*C16</f>
        <v>35000</v>
      </c>
      <c r="E16" s="189"/>
    </row>
    <row r="17" spans="1:6" s="191" customFormat="1" ht="15.75" customHeight="1" x14ac:dyDescent="0.3">
      <c r="A17" s="801"/>
      <c r="B17" s="802" t="s">
        <v>1491</v>
      </c>
      <c r="C17" s="184"/>
      <c r="D17" s="165">
        <f t="shared" ref="D17:D21" si="1">A17*C17</f>
        <v>0</v>
      </c>
      <c r="E17" s="189"/>
      <c r="F17" s="108"/>
    </row>
    <row r="18" spans="1:6" ht="14.4" x14ac:dyDescent="0.3">
      <c r="A18" s="801">
        <v>1</v>
      </c>
      <c r="B18" s="802" t="s">
        <v>1494</v>
      </c>
      <c r="C18" s="184">
        <f>2980</f>
        <v>2980</v>
      </c>
      <c r="D18" s="165">
        <f t="shared" si="1"/>
        <v>2980</v>
      </c>
      <c r="E18" s="189"/>
    </row>
    <row r="19" spans="1:6" ht="14.4" x14ac:dyDescent="0.3">
      <c r="A19" s="801">
        <v>1</v>
      </c>
      <c r="B19" s="802" t="s">
        <v>1495</v>
      </c>
      <c r="C19" s="184">
        <v>26980</v>
      </c>
      <c r="D19" s="165">
        <f t="shared" si="1"/>
        <v>26980</v>
      </c>
      <c r="E19" s="189"/>
    </row>
    <row r="20" spans="1:6" ht="14.4" x14ac:dyDescent="0.3">
      <c r="A20" s="801"/>
      <c r="B20" s="802" t="s">
        <v>1496</v>
      </c>
      <c r="C20" s="184"/>
      <c r="D20" s="165"/>
      <c r="E20" s="189"/>
    </row>
    <row r="21" spans="1:6" ht="14.4" x14ac:dyDescent="0.3">
      <c r="A21" s="801">
        <v>1</v>
      </c>
      <c r="B21" s="802" t="s">
        <v>1498</v>
      </c>
      <c r="C21" s="184">
        <f>37800</f>
        <v>37800</v>
      </c>
      <c r="D21" s="165">
        <f t="shared" si="1"/>
        <v>37800</v>
      </c>
      <c r="E21" s="189"/>
    </row>
    <row r="22" spans="1:6" ht="14.4" x14ac:dyDescent="0.3">
      <c r="A22" s="801"/>
      <c r="B22" s="802" t="s">
        <v>1497</v>
      </c>
      <c r="C22" s="184"/>
      <c r="D22" s="165"/>
      <c r="E22" s="189"/>
    </row>
    <row r="23" spans="1:6" x14ac:dyDescent="0.25">
      <c r="A23" s="286"/>
      <c r="B23" s="286"/>
      <c r="C23" s="810" t="s">
        <v>188</v>
      </c>
      <c r="D23" s="811">
        <f>SUM(D12:D22)</f>
        <v>141340</v>
      </c>
      <c r="E23" s="189"/>
    </row>
    <row r="24" spans="1:6" x14ac:dyDescent="0.25">
      <c r="A24" s="102"/>
      <c r="B24" s="383" t="s">
        <v>993</v>
      </c>
      <c r="C24" s="804" t="s">
        <v>90</v>
      </c>
      <c r="D24" s="805">
        <f>D23*0.16</f>
        <v>22614.400000000001</v>
      </c>
      <c r="E24" s="189"/>
    </row>
    <row r="25" spans="1:6" x14ac:dyDescent="0.25">
      <c r="A25" s="102"/>
      <c r="B25" s="385" t="s">
        <v>381</v>
      </c>
      <c r="C25" s="806" t="s">
        <v>40</v>
      </c>
      <c r="D25" s="807">
        <f>D23+D24</f>
        <v>163954.4</v>
      </c>
      <c r="E25" s="803"/>
    </row>
    <row r="26" spans="1:6" x14ac:dyDescent="0.25">
      <c r="A26" s="276"/>
      <c r="B26" s="1120" t="s">
        <v>1499</v>
      </c>
      <c r="C26" s="1120"/>
      <c r="D26" s="1120"/>
      <c r="E26" s="803"/>
    </row>
    <row r="27" spans="1:6" ht="17.399999999999999" x14ac:dyDescent="0.25">
      <c r="A27" s="383"/>
      <c r="B27" s="713" t="s">
        <v>10</v>
      </c>
      <c r="C27" s="808"/>
      <c r="D27" s="809"/>
      <c r="E27" s="803"/>
    </row>
    <row r="28" spans="1:6" ht="15" x14ac:dyDescent="0.25">
      <c r="A28" s="390"/>
      <c r="B28" s="103" t="s">
        <v>11</v>
      </c>
      <c r="C28" s="388"/>
      <c r="D28" s="389"/>
      <c r="E28" s="392"/>
    </row>
    <row r="29" spans="1:6" ht="15" x14ac:dyDescent="0.25">
      <c r="A29" s="390"/>
      <c r="B29" s="123" t="s">
        <v>13</v>
      </c>
      <c r="C29" s="391"/>
      <c r="D29" s="389"/>
      <c r="E29" s="392"/>
    </row>
    <row r="30" spans="1:6" ht="13.8" x14ac:dyDescent="0.25">
      <c r="A30" s="392"/>
      <c r="B30" s="103" t="s">
        <v>15</v>
      </c>
      <c r="C30" s="391"/>
      <c r="D30" s="391"/>
      <c r="E30" s="392"/>
    </row>
    <row r="31" spans="1:6" ht="27.6" x14ac:dyDescent="0.25">
      <c r="A31" s="390"/>
      <c r="B31" s="295" t="s">
        <v>192</v>
      </c>
      <c r="C31" s="393"/>
      <c r="D31" s="394"/>
      <c r="E31" s="392"/>
    </row>
    <row r="32" spans="1:6" ht="41.4" x14ac:dyDescent="0.25">
      <c r="A32" s="390"/>
      <c r="B32" s="295" t="s">
        <v>43</v>
      </c>
      <c r="C32" s="393"/>
      <c r="D32" s="394"/>
      <c r="E32" s="392"/>
    </row>
    <row r="33" spans="1:5" ht="15" x14ac:dyDescent="0.25">
      <c r="A33" s="390"/>
      <c r="B33" s="103" t="s">
        <v>18</v>
      </c>
      <c r="C33" s="393"/>
      <c r="D33" s="391"/>
      <c r="E33" s="392"/>
    </row>
    <row r="34" spans="1:5" ht="13.5" customHeight="1" x14ac:dyDescent="0.25">
      <c r="A34" s="390"/>
      <c r="B34" s="313" t="s">
        <v>1034</v>
      </c>
      <c r="C34" s="393"/>
      <c r="D34" s="391"/>
      <c r="E34" s="392"/>
    </row>
    <row r="35" spans="1:5" ht="15.75" customHeight="1" x14ac:dyDescent="0.25">
      <c r="A35" s="390"/>
      <c r="B35" s="297" t="s">
        <v>20</v>
      </c>
      <c r="C35" s="393"/>
      <c r="D35" s="392"/>
      <c r="E35" s="392"/>
    </row>
    <row r="36" spans="1:5" ht="13.5" customHeight="1" x14ac:dyDescent="0.25">
      <c r="A36" s="392"/>
      <c r="B36" s="103" t="s">
        <v>21</v>
      </c>
      <c r="C36" s="393"/>
      <c r="D36" s="392"/>
      <c r="E36" s="392"/>
    </row>
    <row r="37" spans="1:5" ht="12" customHeight="1" x14ac:dyDescent="0.25">
      <c r="A37" s="390"/>
      <c r="B37" s="122" t="s">
        <v>262</v>
      </c>
      <c r="C37" s="395"/>
      <c r="D37" s="392"/>
      <c r="E37" s="392"/>
    </row>
    <row r="38" spans="1:5" ht="11.25" customHeight="1" x14ac:dyDescent="0.25">
      <c r="A38" s="390"/>
      <c r="B38" s="123" t="s">
        <v>44</v>
      </c>
      <c r="C38" s="395"/>
      <c r="D38" s="395"/>
    </row>
    <row r="39" spans="1:5" ht="15" x14ac:dyDescent="0.25">
      <c r="A39" s="390"/>
      <c r="B39" s="123" t="s">
        <v>45</v>
      </c>
      <c r="C39" s="391"/>
      <c r="D39" s="395"/>
    </row>
    <row r="41" spans="1:5" ht="14.25" customHeight="1" x14ac:dyDescent="0.25"/>
    <row r="43" spans="1:5" ht="16.5" customHeight="1" x14ac:dyDescent="0.25"/>
    <row r="46" spans="1:5" ht="12.75" customHeight="1" x14ac:dyDescent="0.25"/>
    <row r="47" spans="1:5" ht="13.5" customHeight="1" x14ac:dyDescent="0.25"/>
    <row r="50" ht="16.5" customHeight="1" x14ac:dyDescent="0.25"/>
    <row r="54" ht="24" customHeight="1" x14ac:dyDescent="0.25"/>
    <row r="55" ht="24" customHeight="1" x14ac:dyDescent="0.25"/>
  </sheetData>
  <mergeCells count="1">
    <mergeCell ref="B26:D26"/>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CA51-899D-4EF4-9EA5-4300F124CFF2}">
  <sheetPr>
    <tabColor theme="4" tint="-0.249977111117893"/>
  </sheetPr>
  <dimension ref="A1:I55"/>
  <sheetViews>
    <sheetView topLeftCell="A2" zoomScaleNormal="100" workbookViewId="0">
      <selection activeCell="B30" sqref="B30"/>
    </sheetView>
  </sheetViews>
  <sheetFormatPr baseColWidth="10" defaultColWidth="11.44140625" defaultRowHeight="13.2" x14ac:dyDescent="0.25"/>
  <cols>
    <col min="1" max="1" width="6.44140625" style="108" customWidth="1"/>
    <col min="2" max="2" width="65.88671875" style="108" customWidth="1"/>
    <col min="3" max="3" width="12.664062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1504</v>
      </c>
      <c r="C4" s="58"/>
      <c r="D4" s="58"/>
    </row>
    <row r="5" spans="1:9" s="10" customFormat="1" ht="16.8" x14ac:dyDescent="0.4">
      <c r="A5" s="57" t="s">
        <v>1500</v>
      </c>
      <c r="C5" s="58"/>
      <c r="D5" s="58"/>
    </row>
    <row r="6" spans="1:9" s="10" customFormat="1" ht="16.8" x14ac:dyDescent="0.4">
      <c r="A6" s="57" t="s">
        <v>1501</v>
      </c>
      <c r="C6" s="59"/>
      <c r="D6" s="58"/>
    </row>
    <row r="7" spans="1:9" s="10" customFormat="1" ht="16.8" x14ac:dyDescent="0.4">
      <c r="A7" s="57" t="s">
        <v>1502</v>
      </c>
      <c r="C7" s="59"/>
      <c r="D7" s="58"/>
    </row>
    <row r="8" spans="1:9" s="10" customFormat="1" ht="16.8" x14ac:dyDescent="0.4">
      <c r="A8" s="57" t="s">
        <v>6</v>
      </c>
      <c r="B8" s="61"/>
      <c r="C8" s="62"/>
      <c r="D8" s="63"/>
    </row>
    <row r="9" spans="1:9" s="10" customFormat="1" ht="15" customHeight="1" x14ac:dyDescent="0.4">
      <c r="A9" s="257" t="s">
        <v>1503</v>
      </c>
      <c r="B9" s="258"/>
      <c r="C9" s="62"/>
      <c r="D9" s="259"/>
    </row>
    <row r="10" spans="1:9" s="10" customFormat="1" ht="26.4" x14ac:dyDescent="0.4">
      <c r="A10" s="145" t="s">
        <v>29</v>
      </c>
      <c r="B10" s="145" t="s">
        <v>175</v>
      </c>
      <c r="C10" s="146" t="s">
        <v>31</v>
      </c>
      <c r="D10" s="146" t="s">
        <v>32</v>
      </c>
      <c r="E10" s="189"/>
    </row>
    <row r="11" spans="1:9" s="10" customFormat="1" ht="9" customHeight="1" x14ac:dyDescent="0.4">
      <c r="A11" s="148"/>
      <c r="B11" s="149"/>
      <c r="C11" s="150"/>
      <c r="D11" s="150"/>
      <c r="E11" s="190"/>
      <c r="F11" s="108"/>
    </row>
    <row r="12" spans="1:9" s="10" customFormat="1" ht="15" customHeight="1" x14ac:dyDescent="0.4">
      <c r="A12" s="799">
        <v>1</v>
      </c>
      <c r="B12" s="800" t="s">
        <v>1505</v>
      </c>
      <c r="C12" s="184">
        <v>27900</v>
      </c>
      <c r="D12" s="165">
        <f>A12*C12</f>
        <v>27900</v>
      </c>
      <c r="E12" s="190"/>
      <c r="F12" s="191"/>
    </row>
    <row r="13" spans="1:9" s="10" customFormat="1" ht="16.8" x14ac:dyDescent="0.4">
      <c r="A13" s="801">
        <v>1</v>
      </c>
      <c r="B13" s="802" t="s">
        <v>1506</v>
      </c>
      <c r="C13" s="184">
        <f>200*10500</f>
        <v>2100000</v>
      </c>
      <c r="D13" s="165">
        <f>A13*C13</f>
        <v>2100000</v>
      </c>
      <c r="E13" s="190"/>
      <c r="F13" s="191"/>
      <c r="G13" s="188"/>
      <c r="H13" s="188"/>
      <c r="I13" s="188"/>
    </row>
    <row r="14" spans="1:9" s="10" customFormat="1" ht="16.8" x14ac:dyDescent="0.4">
      <c r="A14" s="801"/>
      <c r="B14" s="802" t="s">
        <v>1507</v>
      </c>
      <c r="C14" s="184"/>
      <c r="D14" s="165"/>
      <c r="E14" s="190"/>
      <c r="F14" s="191"/>
      <c r="G14" s="108"/>
      <c r="H14" s="108"/>
      <c r="I14" s="108"/>
    </row>
    <row r="15" spans="1:9" s="188" customFormat="1" ht="14.4" x14ac:dyDescent="0.3">
      <c r="A15" s="801">
        <v>1</v>
      </c>
      <c r="B15" s="802" t="s">
        <v>1508</v>
      </c>
      <c r="C15" s="184">
        <f>1300000</f>
        <v>1300000</v>
      </c>
      <c r="D15" s="165">
        <f t="shared" ref="D15" si="0">A15*C15</f>
        <v>1300000</v>
      </c>
      <c r="E15" s="189"/>
      <c r="F15" s="276"/>
      <c r="G15" s="191"/>
      <c r="H15" s="191"/>
      <c r="I15" s="191"/>
    </row>
    <row r="16" spans="1:9" ht="14.4" x14ac:dyDescent="0.25">
      <c r="A16" s="799"/>
      <c r="B16" s="800" t="s">
        <v>1509</v>
      </c>
      <c r="C16" s="184"/>
      <c r="D16" s="165"/>
      <c r="E16" s="189"/>
    </row>
    <row r="17" spans="1:6" s="191" customFormat="1" ht="15.75" customHeight="1" x14ac:dyDescent="0.3">
      <c r="A17" s="801">
        <v>1</v>
      </c>
      <c r="B17" s="802" t="s">
        <v>1510</v>
      </c>
      <c r="C17" s="184">
        <v>1089872</v>
      </c>
      <c r="D17" s="165">
        <f t="shared" ref="D17" si="1">A17*C17</f>
        <v>1089872</v>
      </c>
      <c r="E17" s="189"/>
      <c r="F17" s="108"/>
    </row>
    <row r="18" spans="1:6" x14ac:dyDescent="0.25">
      <c r="A18" s="286"/>
      <c r="B18" s="286"/>
      <c r="C18" s="810" t="s">
        <v>188</v>
      </c>
      <c r="D18" s="811">
        <f>SUM(D12:D17)</f>
        <v>4517772</v>
      </c>
      <c r="E18" s="189"/>
    </row>
    <row r="19" spans="1:6" x14ac:dyDescent="0.25">
      <c r="A19" s="102"/>
      <c r="B19" s="383" t="s">
        <v>993</v>
      </c>
      <c r="C19" s="804" t="s">
        <v>90</v>
      </c>
      <c r="D19" s="805">
        <f>D18*0.16</f>
        <v>722843.52</v>
      </c>
      <c r="E19" s="189"/>
    </row>
    <row r="20" spans="1:6" x14ac:dyDescent="0.25">
      <c r="A20" s="102"/>
      <c r="B20" s="385" t="s">
        <v>381</v>
      </c>
      <c r="C20" s="806" t="s">
        <v>40</v>
      </c>
      <c r="D20" s="807">
        <f>D18+D19</f>
        <v>5240615.5199999996</v>
      </c>
      <c r="E20" s="803"/>
    </row>
    <row r="21" spans="1:6" x14ac:dyDescent="0.25">
      <c r="A21" s="276"/>
      <c r="B21" s="1120"/>
      <c r="C21" s="1120"/>
      <c r="D21" s="1120"/>
      <c r="E21" s="803"/>
    </row>
    <row r="22" spans="1:6" ht="17.399999999999999" x14ac:dyDescent="0.25">
      <c r="A22" s="383"/>
      <c r="B22" s="713" t="s">
        <v>10</v>
      </c>
      <c r="C22" s="808"/>
      <c r="D22" s="809"/>
      <c r="E22" s="803"/>
    </row>
    <row r="23" spans="1:6" ht="15" x14ac:dyDescent="0.25">
      <c r="A23" s="390"/>
      <c r="B23" s="103" t="s">
        <v>11</v>
      </c>
      <c r="C23" s="388"/>
      <c r="D23" s="389"/>
      <c r="E23" s="392"/>
    </row>
    <row r="24" spans="1:6" ht="15" x14ac:dyDescent="0.25">
      <c r="A24" s="390"/>
      <c r="B24" s="123" t="s">
        <v>13</v>
      </c>
      <c r="C24" s="391"/>
      <c r="D24" s="389"/>
      <c r="E24" s="392"/>
    </row>
    <row r="25" spans="1:6" ht="13.8" x14ac:dyDescent="0.25">
      <c r="A25" s="392"/>
      <c r="B25" s="103" t="s">
        <v>15</v>
      </c>
      <c r="C25" s="391"/>
      <c r="D25" s="391"/>
      <c r="E25" s="392"/>
    </row>
    <row r="26" spans="1:6" ht="27.6" x14ac:dyDescent="0.25">
      <c r="A26" s="390"/>
      <c r="B26" s="295" t="s">
        <v>192</v>
      </c>
      <c r="C26" s="393"/>
      <c r="D26" s="394"/>
      <c r="E26" s="392"/>
    </row>
    <row r="27" spans="1:6" ht="42.6" customHeight="1" x14ac:dyDescent="0.25">
      <c r="A27" s="390"/>
      <c r="B27" s="295" t="s">
        <v>43</v>
      </c>
      <c r="C27" s="393"/>
      <c r="D27" s="394"/>
      <c r="E27" s="392"/>
    </row>
    <row r="28" spans="1:6" ht="15" x14ac:dyDescent="0.25">
      <c r="A28" s="390"/>
      <c r="B28" s="103" t="s">
        <v>18</v>
      </c>
      <c r="C28" s="393"/>
      <c r="D28" s="391"/>
      <c r="E28" s="392"/>
    </row>
    <row r="29" spans="1:6" ht="15" x14ac:dyDescent="0.25">
      <c r="A29" s="390"/>
      <c r="B29" s="313" t="s">
        <v>1529</v>
      </c>
      <c r="C29" s="393"/>
      <c r="D29" s="391"/>
      <c r="E29" s="392"/>
    </row>
    <row r="30" spans="1:6" ht="19.2" customHeight="1" x14ac:dyDescent="0.25">
      <c r="A30" s="390"/>
      <c r="B30" s="297" t="s">
        <v>20</v>
      </c>
      <c r="C30" s="393"/>
      <c r="D30" s="392"/>
      <c r="E30" s="392"/>
    </row>
    <row r="31" spans="1:6" ht="13.8" x14ac:dyDescent="0.25">
      <c r="A31" s="392"/>
      <c r="B31" s="103" t="s">
        <v>21</v>
      </c>
      <c r="C31" s="393"/>
      <c r="D31" s="392"/>
      <c r="E31" s="392"/>
    </row>
    <row r="32" spans="1:6" ht="15" x14ac:dyDescent="0.25">
      <c r="A32" s="390"/>
      <c r="B32" s="122" t="s">
        <v>262</v>
      </c>
      <c r="C32" s="395"/>
      <c r="D32" s="392"/>
      <c r="E32" s="392"/>
    </row>
    <row r="33" spans="1:4" ht="15" x14ac:dyDescent="0.25">
      <c r="A33" s="390"/>
      <c r="B33" s="123" t="s">
        <v>44</v>
      </c>
      <c r="C33" s="395"/>
      <c r="D33" s="395"/>
    </row>
    <row r="34" spans="1:4" ht="13.5" customHeight="1" x14ac:dyDescent="0.25">
      <c r="A34" s="390"/>
      <c r="B34" s="123" t="s">
        <v>45</v>
      </c>
      <c r="C34" s="391"/>
      <c r="D34" s="395"/>
    </row>
    <row r="35" spans="1:4" ht="15.75" customHeight="1" x14ac:dyDescent="0.25"/>
    <row r="36" spans="1:4" ht="13.5" customHeight="1" x14ac:dyDescent="0.25"/>
    <row r="37" spans="1:4" ht="12" customHeight="1" x14ac:dyDescent="0.25"/>
    <row r="38" spans="1:4" ht="11.25" customHeight="1" x14ac:dyDescent="0.25"/>
    <row r="41" spans="1:4" ht="14.25" customHeight="1" x14ac:dyDescent="0.25"/>
    <row r="43" spans="1:4" ht="16.5" customHeight="1" x14ac:dyDescent="0.25"/>
    <row r="46" spans="1:4" ht="12.75" customHeight="1" x14ac:dyDescent="0.25"/>
    <row r="47" spans="1:4" ht="13.5" customHeight="1" x14ac:dyDescent="0.25"/>
    <row r="50" ht="16.5" customHeight="1" x14ac:dyDescent="0.25"/>
    <row r="54" ht="24" customHeight="1" x14ac:dyDescent="0.25"/>
    <row r="55" ht="24" customHeight="1" x14ac:dyDescent="0.25"/>
  </sheetData>
  <mergeCells count="1">
    <mergeCell ref="B21:D21"/>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0879-8354-4414-9BEB-111DFF70AB2F}">
  <sheetPr>
    <tabColor theme="4" tint="-0.249977111117893"/>
  </sheetPr>
  <dimension ref="A1:F62"/>
  <sheetViews>
    <sheetView topLeftCell="A4" zoomScaleNormal="100" workbookViewId="0">
      <selection activeCell="A14" sqref="A14:D14"/>
    </sheetView>
  </sheetViews>
  <sheetFormatPr baseColWidth="10" defaultColWidth="10.33203125" defaultRowHeight="13.2" x14ac:dyDescent="0.25"/>
  <cols>
    <col min="1" max="1" width="5.44140625" style="108" customWidth="1"/>
    <col min="2" max="2" width="69.88671875" style="108" customWidth="1"/>
    <col min="3" max="4" width="11.109375" style="107" bestFit="1" customWidth="1"/>
    <col min="5" max="16384" width="10.33203125" style="108"/>
  </cols>
  <sheetData>
    <row r="1" spans="1:6" ht="81" customHeight="1" x14ac:dyDescent="0.25">
      <c r="A1" s="108" t="s">
        <v>0</v>
      </c>
      <c r="C1" s="185"/>
    </row>
    <row r="2" spans="1:6" ht="9" customHeight="1" x14ac:dyDescent="0.25">
      <c r="C2" s="185"/>
    </row>
    <row r="3" spans="1:6" ht="9" customHeight="1" x14ac:dyDescent="0.25">
      <c r="C3" s="185"/>
    </row>
    <row r="4" spans="1:6" s="10" customFormat="1" ht="16.8" x14ac:dyDescent="0.4">
      <c r="A4" s="1038"/>
      <c r="B4" s="1038"/>
      <c r="C4" s="1038"/>
      <c r="D4" s="1038"/>
    </row>
    <row r="5" spans="1:6" s="10" customFormat="1" ht="16.8" x14ac:dyDescent="0.4">
      <c r="A5" s="57"/>
      <c r="C5" s="58"/>
      <c r="D5" s="58"/>
    </row>
    <row r="6" spans="1:6" s="10" customFormat="1" ht="16.8" x14ac:dyDescent="0.4">
      <c r="A6" s="57"/>
      <c r="C6" s="58"/>
      <c r="D6" s="58"/>
    </row>
    <row r="7" spans="1:6" s="10" customFormat="1" ht="19.2" x14ac:dyDescent="0.45">
      <c r="A7" s="227" t="s">
        <v>416</v>
      </c>
      <c r="B7" s="228"/>
      <c r="C7" s="229"/>
      <c r="D7" s="229"/>
    </row>
    <row r="8" spans="1:6" s="10" customFormat="1" ht="19.2" x14ac:dyDescent="0.45">
      <c r="A8" s="227" t="s">
        <v>1513</v>
      </c>
      <c r="B8" s="228"/>
      <c r="C8" s="229"/>
      <c r="D8" s="229"/>
    </row>
    <row r="9" spans="1:6" s="10" customFormat="1" ht="19.2" x14ac:dyDescent="0.45">
      <c r="A9" s="227" t="s">
        <v>1514</v>
      </c>
      <c r="B9" s="228"/>
      <c r="C9" s="229"/>
      <c r="D9" s="229"/>
    </row>
    <row r="10" spans="1:6" s="10" customFormat="1" ht="19.2" x14ac:dyDescent="0.45">
      <c r="A10" s="227" t="s">
        <v>1515</v>
      </c>
      <c r="B10" s="228"/>
      <c r="C10" s="230"/>
      <c r="D10" s="229"/>
    </row>
    <row r="11" spans="1:6" s="10" customFormat="1" ht="19.2" x14ac:dyDescent="0.45">
      <c r="A11" s="227" t="s">
        <v>1516</v>
      </c>
      <c r="B11" s="228"/>
      <c r="C11" s="230"/>
      <c r="D11" s="229"/>
    </row>
    <row r="12" spans="1:6" s="10" customFormat="1" ht="15" customHeight="1" x14ac:dyDescent="0.45">
      <c r="A12" s="227" t="s">
        <v>6</v>
      </c>
      <c r="B12" s="231"/>
      <c r="C12" s="232"/>
      <c r="D12" s="233"/>
      <c r="E12" s="188"/>
    </row>
    <row r="13" spans="1:6" s="10" customFormat="1" ht="15" customHeight="1" x14ac:dyDescent="0.45">
      <c r="A13" s="480" t="s">
        <v>1503</v>
      </c>
      <c r="B13" s="481"/>
      <c r="C13" s="232"/>
      <c r="D13" s="482"/>
      <c r="E13" s="189"/>
    </row>
    <row r="14" spans="1:6" s="10" customFormat="1" ht="16.8" x14ac:dyDescent="0.4">
      <c r="A14" s="262"/>
      <c r="B14" s="263"/>
      <c r="C14" s="264"/>
      <c r="D14" s="264"/>
      <c r="E14" s="190"/>
      <c r="F14" s="188"/>
    </row>
    <row r="15" spans="1:6" s="188" customFormat="1" ht="52.8" x14ac:dyDescent="0.25">
      <c r="A15" s="445">
        <v>1</v>
      </c>
      <c r="B15" s="446" t="s">
        <v>1511</v>
      </c>
      <c r="C15" s="447">
        <v>119000</v>
      </c>
      <c r="D15" s="448">
        <f>A15*C15</f>
        <v>119000</v>
      </c>
      <c r="E15" s="189"/>
      <c r="F15" s="108"/>
    </row>
    <row r="16" spans="1:6" x14ac:dyDescent="0.25">
      <c r="A16" s="636">
        <v>1</v>
      </c>
      <c r="B16" s="446" t="s">
        <v>1078</v>
      </c>
      <c r="C16" s="447">
        <v>1180</v>
      </c>
      <c r="D16" s="448"/>
      <c r="E16" s="189"/>
    </row>
    <row r="17" spans="1:5" s="191" customFormat="1" ht="15.75" customHeight="1" x14ac:dyDescent="0.25">
      <c r="A17" s="536"/>
      <c r="B17" s="450"/>
      <c r="C17" s="451" t="s">
        <v>188</v>
      </c>
      <c r="D17" s="452">
        <f>SUM(D15:D15)</f>
        <v>119000</v>
      </c>
      <c r="E17" s="189"/>
    </row>
    <row r="18" spans="1:5" x14ac:dyDescent="0.25">
      <c r="A18" s="453"/>
      <c r="B18" s="454"/>
      <c r="C18" s="455" t="s">
        <v>90</v>
      </c>
      <c r="D18" s="456">
        <f>D17*0.16</f>
        <v>19040</v>
      </c>
      <c r="E18" s="189"/>
    </row>
    <row r="19" spans="1:5" ht="13.8" thickBot="1" x14ac:dyDescent="0.3">
      <c r="A19" s="276"/>
      <c r="B19" s="385"/>
      <c r="C19" s="457" t="s">
        <v>40</v>
      </c>
      <c r="D19" s="458">
        <f>D17+D18</f>
        <v>138040</v>
      </c>
      <c r="E19" s="189"/>
    </row>
    <row r="20" spans="1:5" ht="13.8" thickBot="1" x14ac:dyDescent="0.3">
      <c r="A20" s="102"/>
      <c r="B20" s="459" t="s">
        <v>1512</v>
      </c>
      <c r="C20" s="460"/>
      <c r="D20" s="461"/>
      <c r="E20" s="189"/>
    </row>
    <row r="21" spans="1:5" ht="13.5" customHeight="1" x14ac:dyDescent="0.25">
      <c r="A21" s="106"/>
      <c r="B21" s="97" t="s">
        <v>11</v>
      </c>
      <c r="C21" s="462"/>
      <c r="D21" s="254"/>
      <c r="E21" s="189"/>
    </row>
    <row r="22" spans="1:5" ht="15" x14ac:dyDescent="0.25">
      <c r="A22" s="106"/>
      <c r="B22" s="123" t="s">
        <v>12</v>
      </c>
      <c r="D22" s="105"/>
    </row>
    <row r="23" spans="1:5" ht="15" x14ac:dyDescent="0.25">
      <c r="A23" s="106"/>
      <c r="B23" s="123" t="s">
        <v>13</v>
      </c>
      <c r="D23" s="105"/>
      <c r="E23" s="189"/>
    </row>
    <row r="24" spans="1:5" ht="15" x14ac:dyDescent="0.25">
      <c r="A24" s="106"/>
      <c r="B24" s="123" t="s">
        <v>14</v>
      </c>
      <c r="D24" s="105"/>
    </row>
    <row r="25" spans="1:5" ht="15" x14ac:dyDescent="0.25">
      <c r="A25" s="106"/>
      <c r="B25" s="103" t="s">
        <v>18</v>
      </c>
      <c r="C25" s="109"/>
      <c r="D25" s="110"/>
    </row>
    <row r="26" spans="1:5" ht="15" x14ac:dyDescent="0.25">
      <c r="A26" s="106"/>
      <c r="B26" s="296" t="s">
        <v>1079</v>
      </c>
      <c r="C26" s="109"/>
      <c r="D26" s="109"/>
    </row>
    <row r="27" spans="1:5" ht="15" x14ac:dyDescent="0.25">
      <c r="A27" s="106"/>
      <c r="B27" s="297" t="s">
        <v>20</v>
      </c>
      <c r="C27" s="109"/>
      <c r="D27" s="109"/>
    </row>
    <row r="28" spans="1:5" ht="13.8" x14ac:dyDescent="0.25">
      <c r="B28" s="103" t="s">
        <v>21</v>
      </c>
      <c r="D28" s="105"/>
    </row>
    <row r="29" spans="1:5" ht="13.5" customHeight="1" x14ac:dyDescent="0.25">
      <c r="A29" s="106"/>
      <c r="B29" s="122" t="s">
        <v>502</v>
      </c>
      <c r="C29" s="109"/>
      <c r="D29" s="110"/>
    </row>
    <row r="30" spans="1:5" ht="15" x14ac:dyDescent="0.25">
      <c r="A30" s="106"/>
      <c r="B30" s="123" t="s">
        <v>44</v>
      </c>
      <c r="C30" s="109"/>
      <c r="D30" s="110"/>
    </row>
    <row r="31" spans="1:5" ht="13.8" x14ac:dyDescent="0.25">
      <c r="A31" s="115" t="s">
        <v>0</v>
      </c>
      <c r="B31" s="298" t="s">
        <v>45</v>
      </c>
      <c r="C31" s="109"/>
    </row>
    <row r="32" spans="1:5" ht="50.4" x14ac:dyDescent="0.25">
      <c r="A32" s="222"/>
      <c r="B32" s="314" t="s">
        <v>169</v>
      </c>
      <c r="C32" s="220"/>
      <c r="D32" s="108"/>
    </row>
    <row r="33" spans="1:4" x14ac:dyDescent="0.25">
      <c r="A33" s="222"/>
      <c r="B33" s="181"/>
      <c r="C33" s="181"/>
      <c r="D33" s="108"/>
    </row>
    <row r="34" spans="1:4" ht="15.75" customHeight="1" x14ac:dyDescent="0.25">
      <c r="A34" s="222"/>
      <c r="B34" s="181"/>
      <c r="C34" s="181"/>
      <c r="D34" s="108"/>
    </row>
    <row r="35" spans="1:4" x14ac:dyDescent="0.25">
      <c r="A35" s="225"/>
      <c r="B35" s="223"/>
      <c r="C35" s="181"/>
      <c r="D35" s="108"/>
    </row>
    <row r="36" spans="1:4" ht="15" x14ac:dyDescent="0.35">
      <c r="A36" s="226"/>
      <c r="B36" s="224"/>
      <c r="C36" s="181"/>
      <c r="D36" s="181"/>
    </row>
    <row r="37" spans="1:4" x14ac:dyDescent="0.25">
      <c r="A37" s="108" t="s">
        <v>0</v>
      </c>
    </row>
    <row r="53" ht="17.25" customHeight="1" x14ac:dyDescent="0.25"/>
    <row r="57" ht="16.5" customHeight="1" x14ac:dyDescent="0.25"/>
    <row r="61" ht="15.75" customHeight="1" x14ac:dyDescent="0.25"/>
    <row r="62" ht="15" customHeight="1" x14ac:dyDescent="0.25"/>
  </sheetData>
  <mergeCells count="1">
    <mergeCell ref="A4:D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5414-C865-4CAE-ABC5-DAAE960215AE}">
  <sheetPr>
    <tabColor theme="4" tint="-0.249977111117893"/>
    <pageSetUpPr fitToPage="1"/>
  </sheetPr>
  <dimension ref="A1:G37"/>
  <sheetViews>
    <sheetView topLeftCell="A4" zoomScaleNormal="100" workbookViewId="0">
      <selection activeCell="B11" sqref="B11"/>
    </sheetView>
  </sheetViews>
  <sheetFormatPr baseColWidth="10" defaultColWidth="11.44140625" defaultRowHeight="13.2" x14ac:dyDescent="0.25"/>
  <cols>
    <col min="1" max="1" width="6" style="1" customWidth="1"/>
    <col min="2" max="2" width="71.664062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6.2" customHeight="1" x14ac:dyDescent="0.45">
      <c r="A7" s="227" t="s">
        <v>1517</v>
      </c>
      <c r="B7" s="228"/>
      <c r="C7" s="229"/>
      <c r="D7" s="229"/>
      <c r="E7" s="10"/>
      <c r="F7" s="10"/>
      <c r="G7" s="10"/>
    </row>
    <row r="8" spans="1:7" s="4" customFormat="1" ht="15.6" customHeight="1" x14ac:dyDescent="0.45">
      <c r="A8" s="227" t="s">
        <v>1518</v>
      </c>
      <c r="B8" s="228"/>
      <c r="C8" s="229"/>
      <c r="D8" s="229"/>
      <c r="E8" s="10"/>
      <c r="F8" s="10"/>
      <c r="G8" s="10"/>
    </row>
    <row r="9" spans="1:7" s="4" customFormat="1" ht="16.2" customHeight="1" x14ac:dyDescent="0.45">
      <c r="A9" s="227" t="s">
        <v>284</v>
      </c>
      <c r="B9" s="228"/>
      <c r="C9" s="229"/>
      <c r="D9" s="229"/>
      <c r="E9" s="10"/>
      <c r="F9" s="10"/>
      <c r="G9" s="10"/>
    </row>
    <row r="10" spans="1:7" s="4" customFormat="1" ht="17.399999999999999" customHeight="1" x14ac:dyDescent="0.45">
      <c r="A10" s="227" t="s">
        <v>561</v>
      </c>
      <c r="B10" s="228"/>
      <c r="C10" s="230"/>
      <c r="D10" s="229"/>
      <c r="E10" s="10"/>
      <c r="F10" s="10"/>
      <c r="G10" s="10"/>
    </row>
    <row r="11" spans="1:7" s="4" customFormat="1" ht="17.399999999999999" customHeight="1" x14ac:dyDescent="0.45">
      <c r="A11" s="227" t="s">
        <v>1519</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480" t="s">
        <v>1503</v>
      </c>
      <c r="B13" s="481"/>
      <c r="C13" s="232"/>
      <c r="D13" s="482"/>
      <c r="E13" s="17"/>
      <c r="F13" s="17"/>
    </row>
    <row r="14" spans="1:7" s="4" customFormat="1" ht="16.8" x14ac:dyDescent="0.4">
      <c r="A14" s="148"/>
      <c r="B14" s="149"/>
      <c r="C14" s="150"/>
      <c r="D14" s="150"/>
      <c r="E14" s="147"/>
      <c r="F14" s="1"/>
    </row>
    <row r="15" spans="1:7" s="17" customFormat="1" ht="30" x14ac:dyDescent="0.25">
      <c r="A15" s="422">
        <v>3</v>
      </c>
      <c r="B15" s="423" t="s">
        <v>423</v>
      </c>
      <c r="C15" s="424">
        <v>2400</v>
      </c>
      <c r="D15" s="425">
        <f t="shared" ref="D15" si="0">A15*C15</f>
        <v>7200</v>
      </c>
      <c r="E15" s="147"/>
      <c r="F15" s="26"/>
    </row>
    <row r="16" spans="1:7" ht="15.6" x14ac:dyDescent="0.25">
      <c r="A16" s="89"/>
      <c r="B16" s="90"/>
      <c r="C16" s="417" t="s">
        <v>38</v>
      </c>
      <c r="D16" s="418">
        <f>SUM(D15:D15)</f>
        <v>7200</v>
      </c>
      <c r="F16" s="26"/>
    </row>
    <row r="17" spans="1:6" s="26" customFormat="1" ht="15.6" x14ac:dyDescent="0.3">
      <c r="A17" s="92"/>
      <c r="B17" s="90"/>
      <c r="C17" s="93" t="s">
        <v>39</v>
      </c>
      <c r="D17" s="75">
        <f>D16*0.16</f>
        <v>1152</v>
      </c>
      <c r="E17" s="1"/>
    </row>
    <row r="18" spans="1:6" ht="16.2" thickBot="1" x14ac:dyDescent="0.35">
      <c r="A18" s="92"/>
      <c r="B18" s="90"/>
      <c r="C18" s="94" t="s">
        <v>40</v>
      </c>
      <c r="D18" s="95">
        <f>D16+D17</f>
        <v>8352</v>
      </c>
      <c r="F18" s="26"/>
    </row>
    <row r="19" spans="1:6" ht="16.2" thickBot="1" x14ac:dyDescent="0.3">
      <c r="A19" s="92"/>
      <c r="B19" s="1023" t="s">
        <v>426</v>
      </c>
      <c r="C19" s="1024"/>
      <c r="D19" s="1025"/>
      <c r="F19" s="26"/>
    </row>
    <row r="20" spans="1:6" ht="15" x14ac:dyDescent="0.25">
      <c r="A20" s="34"/>
      <c r="B20" s="35" t="s">
        <v>11</v>
      </c>
      <c r="C20" s="1"/>
      <c r="D20" s="1"/>
    </row>
    <row r="21" spans="1:6" ht="15" x14ac:dyDescent="0.25">
      <c r="A21" s="34"/>
      <c r="B21" s="408" t="s">
        <v>428</v>
      </c>
      <c r="C21" s="1"/>
      <c r="D21" s="1"/>
    </row>
    <row r="22" spans="1:6" ht="15" x14ac:dyDescent="0.25">
      <c r="A22" s="34"/>
      <c r="B22" s="131" t="s">
        <v>429</v>
      </c>
      <c r="C22" s="1"/>
      <c r="D22" s="1"/>
    </row>
    <row r="23" spans="1:6" ht="13.8" x14ac:dyDescent="0.25">
      <c r="B23" s="130" t="s">
        <v>431</v>
      </c>
      <c r="C23" s="1"/>
      <c r="D23" s="1"/>
    </row>
    <row r="24" spans="1:6" ht="15" x14ac:dyDescent="0.25">
      <c r="A24" s="34"/>
      <c r="B24" s="35" t="s">
        <v>15</v>
      </c>
      <c r="C24" s="37"/>
      <c r="D24" s="37"/>
    </row>
    <row r="25" spans="1:6" ht="27.6" x14ac:dyDescent="0.25">
      <c r="A25" s="34"/>
      <c r="B25" s="36" t="s">
        <v>17</v>
      </c>
      <c r="C25" s="38"/>
      <c r="D25" s="39"/>
    </row>
    <row r="26" spans="1:6" ht="15" x14ac:dyDescent="0.25">
      <c r="A26" s="34"/>
      <c r="B26" s="40" t="s">
        <v>18</v>
      </c>
      <c r="C26" s="38"/>
      <c r="D26" s="38"/>
    </row>
    <row r="27" spans="1:6" ht="15" x14ac:dyDescent="0.25">
      <c r="A27" s="34"/>
      <c r="B27" s="134" t="s">
        <v>19</v>
      </c>
      <c r="C27" s="38"/>
      <c r="D27" s="38"/>
    </row>
    <row r="28" spans="1:6" ht="13.8" x14ac:dyDescent="0.25">
      <c r="B28" s="135" t="s">
        <v>20</v>
      </c>
      <c r="D28" s="41"/>
    </row>
    <row r="29" spans="1:6" ht="15" x14ac:dyDescent="0.25">
      <c r="A29" s="34"/>
      <c r="B29" s="40" t="s">
        <v>21</v>
      </c>
      <c r="C29" s="38"/>
      <c r="D29" s="39"/>
    </row>
    <row r="30" spans="1:6" ht="15" x14ac:dyDescent="0.25">
      <c r="A30" s="34"/>
      <c r="B30" s="179" t="s">
        <v>194</v>
      </c>
      <c r="C30" s="38"/>
      <c r="D30" s="39"/>
    </row>
    <row r="31" spans="1:6" ht="13.8" x14ac:dyDescent="0.25">
      <c r="A31" s="42" t="s">
        <v>0</v>
      </c>
      <c r="B31" s="131" t="s">
        <v>22</v>
      </c>
      <c r="C31" s="38"/>
      <c r="D31" s="38"/>
    </row>
    <row r="32" spans="1:6" ht="50.4" x14ac:dyDescent="0.25">
      <c r="A32" s="43"/>
      <c r="B32" s="183" t="s">
        <v>23</v>
      </c>
      <c r="C32" s="45"/>
      <c r="D32" s="45"/>
    </row>
    <row r="33" spans="1:4" ht="16.8" x14ac:dyDescent="0.4">
      <c r="A33" s="46"/>
      <c r="B33" s="44"/>
      <c r="C33" s="47"/>
      <c r="D33" s="1"/>
    </row>
    <row r="34" spans="1:4" x14ac:dyDescent="0.25">
      <c r="A34" s="46"/>
      <c r="B34" s="47"/>
      <c r="C34" s="47"/>
      <c r="D34" s="1"/>
    </row>
    <row r="35" spans="1:4" x14ac:dyDescent="0.25">
      <c r="A35" s="48"/>
      <c r="B35" s="47"/>
      <c r="C35" s="47"/>
      <c r="D35" s="1"/>
    </row>
    <row r="36" spans="1:4" x14ac:dyDescent="0.25">
      <c r="A36" s="50" t="s">
        <v>0</v>
      </c>
      <c r="B36" s="49"/>
      <c r="C36" s="47"/>
      <c r="D36" s="47"/>
    </row>
    <row r="37" spans="1:4" ht="15" x14ac:dyDescent="0.35">
      <c r="A37" s="1" t="s">
        <v>0</v>
      </c>
      <c r="B37" s="51"/>
    </row>
  </sheetData>
  <mergeCells count="2">
    <mergeCell ref="A4:D4"/>
    <mergeCell ref="B19:D19"/>
  </mergeCells>
  <printOptions horizontalCentered="1"/>
  <pageMargins left="0.25" right="0.25" top="0.75" bottom="0.75" header="0.3" footer="0.3"/>
  <pageSetup scale="94" fitToWidth="0" orientation="portrait" r:id="rId1"/>
  <headerFooter alignWithMargins="0">
    <oddFooter>Página &amp;P de &amp;N</oddFooter>
  </headerFooter>
  <drawing r:id="rId2"/>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4090-31C8-425C-AFEA-7CE8E4DFCB4B}">
  <sheetPr>
    <tabColor theme="4" tint="-0.249977111117893"/>
    <pageSetUpPr fitToPage="1"/>
  </sheetPr>
  <dimension ref="A1:G35"/>
  <sheetViews>
    <sheetView topLeftCell="A4" zoomScaleNormal="100" workbookViewId="0">
      <selection activeCell="A22" sqref="A22:F24"/>
    </sheetView>
  </sheetViews>
  <sheetFormatPr baseColWidth="10" defaultColWidth="11.44140625" defaultRowHeight="13.2" x14ac:dyDescent="0.25"/>
  <cols>
    <col min="1" max="1" width="6" style="1" customWidth="1"/>
    <col min="2" max="2" width="69.88671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6.2" customHeight="1" x14ac:dyDescent="0.45">
      <c r="A7" s="227" t="s">
        <v>369</v>
      </c>
      <c r="B7" s="228"/>
      <c r="C7" s="229"/>
      <c r="D7" s="229"/>
      <c r="E7" s="10"/>
      <c r="F7" s="10"/>
      <c r="G7" s="10"/>
    </row>
    <row r="8" spans="1:7" s="4" customFormat="1" ht="15.6" customHeight="1" x14ac:dyDescent="0.45">
      <c r="A8" s="227" t="s">
        <v>1523</v>
      </c>
      <c r="B8" s="228"/>
      <c r="C8" s="229"/>
      <c r="D8" s="229"/>
      <c r="E8" s="10"/>
      <c r="F8" s="10"/>
      <c r="G8" s="10"/>
    </row>
    <row r="9" spans="1:7" s="4" customFormat="1" ht="16.2" customHeight="1" x14ac:dyDescent="0.45">
      <c r="A9" s="227" t="s">
        <v>284</v>
      </c>
      <c r="B9" s="228"/>
      <c r="C9" s="229"/>
      <c r="D9" s="229"/>
      <c r="E9" s="10"/>
      <c r="F9" s="10"/>
      <c r="G9" s="10"/>
    </row>
    <row r="10" spans="1:7" s="4" customFormat="1" ht="17.399999999999999" customHeight="1" x14ac:dyDescent="0.45">
      <c r="A10" s="227" t="s">
        <v>561</v>
      </c>
      <c r="B10" s="228"/>
      <c r="C10" s="230"/>
      <c r="D10" s="229"/>
      <c r="E10" s="10"/>
      <c r="F10" s="10"/>
      <c r="G10" s="10"/>
    </row>
    <row r="11" spans="1:7" s="4" customFormat="1" ht="17.399999999999999" customHeight="1" x14ac:dyDescent="0.45">
      <c r="A11" s="227" t="s">
        <v>1519</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480" t="s">
        <v>1503</v>
      </c>
      <c r="B13" s="481"/>
      <c r="C13" s="232"/>
      <c r="D13" s="482"/>
      <c r="E13" s="17"/>
      <c r="F13" s="17"/>
    </row>
    <row r="14" spans="1:7" s="4" customFormat="1" ht="16.8" x14ac:dyDescent="0.4">
      <c r="A14" s="148"/>
      <c r="B14" s="149"/>
      <c r="C14" s="150"/>
      <c r="D14" s="150"/>
      <c r="E14" s="147"/>
      <c r="F14" s="1"/>
    </row>
    <row r="15" spans="1:7" s="17" customFormat="1" ht="30" x14ac:dyDescent="0.25">
      <c r="A15" s="422">
        <v>1</v>
      </c>
      <c r="B15" s="423" t="s">
        <v>1520</v>
      </c>
      <c r="C15" s="424">
        <v>6800</v>
      </c>
      <c r="D15" s="425">
        <f t="shared" ref="D15" si="0">A15*C15</f>
        <v>6800</v>
      </c>
      <c r="E15" s="147"/>
      <c r="F15" s="26"/>
    </row>
    <row r="16" spans="1:7" ht="30" x14ac:dyDescent="0.25">
      <c r="A16" s="422">
        <v>1</v>
      </c>
      <c r="B16" s="423" t="s">
        <v>1521</v>
      </c>
      <c r="C16" s="424">
        <v>8000</v>
      </c>
      <c r="D16" s="425">
        <f t="shared" ref="D16" si="1">A16*C16</f>
        <v>8000</v>
      </c>
      <c r="E16" s="147"/>
      <c r="F16" s="26"/>
    </row>
    <row r="17" spans="1:6" s="26" customFormat="1" ht="15.6" x14ac:dyDescent="0.25">
      <c r="A17" s="89"/>
      <c r="B17" s="90"/>
      <c r="C17" s="417" t="s">
        <v>38</v>
      </c>
      <c r="D17" s="418">
        <f>SUM(D15:D16)</f>
        <v>14800</v>
      </c>
      <c r="E17" s="1"/>
    </row>
    <row r="18" spans="1:6" ht="15.6" x14ac:dyDescent="0.3">
      <c r="A18" s="92"/>
      <c r="B18" s="90"/>
      <c r="C18" s="93" t="s">
        <v>39</v>
      </c>
      <c r="D18" s="75">
        <f>D17*0.16</f>
        <v>2368</v>
      </c>
      <c r="F18" s="26"/>
    </row>
    <row r="19" spans="1:6" ht="16.2" thickBot="1" x14ac:dyDescent="0.35">
      <c r="A19" s="92"/>
      <c r="B19" s="90"/>
      <c r="C19" s="94" t="s">
        <v>40</v>
      </c>
      <c r="D19" s="95">
        <f>D17+D18</f>
        <v>17168</v>
      </c>
      <c r="F19" s="26"/>
    </row>
    <row r="20" spans="1:6" ht="16.2" thickBot="1" x14ac:dyDescent="0.3">
      <c r="A20" s="92"/>
      <c r="B20" s="1023" t="s">
        <v>1522</v>
      </c>
      <c r="C20" s="1024"/>
      <c r="D20" s="1025"/>
    </row>
    <row r="21" spans="1:6" ht="15" x14ac:dyDescent="0.25">
      <c r="A21" s="34"/>
      <c r="B21" s="35" t="s">
        <v>11</v>
      </c>
      <c r="C21" s="1"/>
      <c r="D21" s="1"/>
    </row>
    <row r="22" spans="1:6" ht="15" x14ac:dyDescent="0.25">
      <c r="A22" s="34"/>
      <c r="B22" s="35" t="s">
        <v>15</v>
      </c>
      <c r="C22" s="37"/>
      <c r="D22" s="37"/>
    </row>
    <row r="23" spans="1:6" ht="27.6" x14ac:dyDescent="0.25">
      <c r="A23" s="34"/>
      <c r="B23" s="36" t="s">
        <v>17</v>
      </c>
      <c r="C23" s="38"/>
      <c r="D23" s="39"/>
    </row>
    <row r="24" spans="1:6" ht="15" x14ac:dyDescent="0.25">
      <c r="A24" s="34"/>
      <c r="B24" s="40" t="s">
        <v>18</v>
      </c>
      <c r="C24" s="38"/>
      <c r="D24" s="38"/>
    </row>
    <row r="25" spans="1:6" ht="15" x14ac:dyDescent="0.25">
      <c r="A25" s="34"/>
      <c r="B25" s="134" t="s">
        <v>19</v>
      </c>
      <c r="C25" s="38"/>
      <c r="D25" s="38"/>
    </row>
    <row r="26" spans="1:6" ht="13.8" x14ac:dyDescent="0.25">
      <c r="B26" s="135" t="s">
        <v>20</v>
      </c>
      <c r="D26" s="41"/>
    </row>
    <row r="27" spans="1:6" ht="15" x14ac:dyDescent="0.25">
      <c r="A27" s="34"/>
      <c r="B27" s="40" t="s">
        <v>21</v>
      </c>
      <c r="C27" s="38"/>
      <c r="D27" s="39"/>
    </row>
    <row r="28" spans="1:6" ht="15" x14ac:dyDescent="0.25">
      <c r="A28" s="34"/>
      <c r="B28" s="179" t="s">
        <v>194</v>
      </c>
      <c r="C28" s="38"/>
      <c r="D28" s="39"/>
    </row>
    <row r="29" spans="1:6" ht="13.8" x14ac:dyDescent="0.25">
      <c r="A29" s="42" t="s">
        <v>0</v>
      </c>
      <c r="B29" s="131" t="s">
        <v>22</v>
      </c>
      <c r="C29" s="38"/>
      <c r="D29" s="38"/>
    </row>
    <row r="30" spans="1:6" ht="50.4" x14ac:dyDescent="0.25">
      <c r="A30" s="43"/>
      <c r="B30" s="183" t="s">
        <v>23</v>
      </c>
      <c r="C30" s="45"/>
      <c r="D30" s="45"/>
    </row>
    <row r="31" spans="1:6" ht="16.8" x14ac:dyDescent="0.4">
      <c r="A31" s="46"/>
      <c r="B31" s="44"/>
      <c r="C31" s="47"/>
      <c r="D31" s="1"/>
    </row>
    <row r="32" spans="1:6" x14ac:dyDescent="0.25">
      <c r="A32" s="46"/>
      <c r="B32" s="47"/>
      <c r="C32" s="47"/>
      <c r="D32" s="1"/>
    </row>
    <row r="33" spans="1:4" x14ac:dyDescent="0.25">
      <c r="A33" s="48"/>
      <c r="B33" s="47"/>
      <c r="C33" s="47"/>
      <c r="D33" s="1"/>
    </row>
    <row r="34" spans="1:4" x14ac:dyDescent="0.25">
      <c r="A34" s="50" t="s">
        <v>0</v>
      </c>
      <c r="B34" s="49"/>
      <c r="C34" s="47"/>
      <c r="D34" s="47"/>
    </row>
    <row r="35" spans="1:4" ht="15" x14ac:dyDescent="0.35">
      <c r="A35" s="1" t="s">
        <v>0</v>
      </c>
      <c r="B35" s="51"/>
    </row>
  </sheetData>
  <mergeCells count="2">
    <mergeCell ref="A4:D4"/>
    <mergeCell ref="B20:D20"/>
  </mergeCells>
  <printOptions horizontalCentered="1"/>
  <pageMargins left="0.25" right="0.25" top="0.75" bottom="0.75" header="0.3" footer="0.3"/>
  <pageSetup scale="95" fitToWidth="0" orientation="portrait" r:id="rId1"/>
  <headerFooter alignWithMargins="0">
    <oddFooter>Página &amp;P de &amp;N</oddFooter>
  </headerFooter>
  <drawing r:id="rId2"/>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60B5-2953-4FA2-B7D2-C202B3BB4A90}">
  <sheetPr>
    <pageSetUpPr fitToPage="1"/>
  </sheetPr>
  <dimension ref="A1:G69"/>
  <sheetViews>
    <sheetView topLeftCell="A8" zoomScaleNormal="100" workbookViewId="0">
      <selection activeCell="B23" sqref="B23"/>
    </sheetView>
  </sheetViews>
  <sheetFormatPr baseColWidth="10" defaultColWidth="11.44140625" defaultRowHeight="13.2" x14ac:dyDescent="0.25"/>
  <cols>
    <col min="1" max="1" width="6" style="52" customWidth="1"/>
    <col min="2" max="2" width="97.55468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1390</v>
      </c>
      <c r="B8" s="10"/>
      <c r="C8" s="58"/>
      <c r="D8" s="58"/>
    </row>
    <row r="9" spans="1:5" s="55" customFormat="1" ht="16.8" x14ac:dyDescent="0.4">
      <c r="A9" s="57" t="s">
        <v>1526</v>
      </c>
      <c r="B9" s="10"/>
      <c r="C9" s="58"/>
      <c r="D9" s="58"/>
    </row>
    <row r="10" spans="1:5" s="55" customFormat="1" ht="16.8" x14ac:dyDescent="0.4">
      <c r="A10" s="57" t="s">
        <v>284</v>
      </c>
      <c r="B10" s="10"/>
      <c r="C10" s="58"/>
      <c r="D10" s="58"/>
    </row>
    <row r="11" spans="1:5" s="55" customFormat="1" ht="16.8" x14ac:dyDescent="0.4">
      <c r="A11" s="57" t="s">
        <v>1527</v>
      </c>
      <c r="B11" s="10"/>
      <c r="C11" s="59"/>
      <c r="D11" s="58"/>
    </row>
    <row r="12" spans="1:5" s="55" customFormat="1" ht="15" customHeight="1" x14ac:dyDescent="0.4">
      <c r="A12" s="60" t="s">
        <v>1528</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73" t="s">
        <v>1524</v>
      </c>
      <c r="C16" s="74">
        <f>(2075.44*19)*1.2</f>
        <v>47320.031999999999</v>
      </c>
      <c r="D16" s="75">
        <f>A16*C16</f>
        <v>47320.031999999999</v>
      </c>
      <c r="E16" s="76"/>
    </row>
    <row r="17" spans="1:7" ht="15.6" x14ac:dyDescent="0.25">
      <c r="A17" s="72">
        <v>1</v>
      </c>
      <c r="B17" s="73" t="s">
        <v>1525</v>
      </c>
      <c r="C17" s="74">
        <f>(4704.42*19)*1.2</f>
        <v>107260.776</v>
      </c>
      <c r="D17" s="75">
        <f>C17*A17</f>
        <v>107260.776</v>
      </c>
      <c r="E17" s="76"/>
    </row>
    <row r="18" spans="1:7" ht="15.6" x14ac:dyDescent="0.25">
      <c r="A18" s="72"/>
      <c r="B18" s="75"/>
      <c r="C18" s="75"/>
      <c r="D18" s="75"/>
      <c r="E18" s="76"/>
    </row>
    <row r="19" spans="1:7" ht="15.6" x14ac:dyDescent="0.25">
      <c r="A19" s="89"/>
      <c r="B19" s="90"/>
      <c r="C19" s="304" t="s">
        <v>38</v>
      </c>
      <c r="D19" s="75">
        <f>SUM(D16:D17)</f>
        <v>154580.80799999999</v>
      </c>
      <c r="E19" s="76"/>
    </row>
    <row r="20" spans="1:7" ht="15.6" x14ac:dyDescent="0.3">
      <c r="A20" s="92"/>
      <c r="B20" s="90"/>
      <c r="C20" s="305" t="s">
        <v>39</v>
      </c>
      <c r="D20" s="75">
        <f>D19*0.16</f>
        <v>24732.92928</v>
      </c>
      <c r="E20" s="76"/>
    </row>
    <row r="21" spans="1:7" ht="16.2" thickBot="1" x14ac:dyDescent="0.35">
      <c r="A21" s="92"/>
      <c r="B21" s="90"/>
      <c r="C21" s="306" t="s">
        <v>40</v>
      </c>
      <c r="D21" s="95">
        <f>D19+D20</f>
        <v>179313.73728</v>
      </c>
      <c r="E21" s="76"/>
    </row>
    <row r="22" spans="1:7" ht="16.2" thickBot="1" x14ac:dyDescent="0.3">
      <c r="A22" s="92"/>
      <c r="B22" s="1023" t="s">
        <v>1530</v>
      </c>
      <c r="C22" s="1024"/>
      <c r="D22" s="1025"/>
      <c r="E22" s="76"/>
    </row>
    <row r="23" spans="1:7" ht="13.8" x14ac:dyDescent="0.25">
      <c r="B23" s="97" t="s">
        <v>9</v>
      </c>
      <c r="C23" s="98"/>
      <c r="D23" s="99"/>
    </row>
    <row r="24" spans="1:7" ht="92.4" x14ac:dyDescent="0.25">
      <c r="B24" s="812" t="s">
        <v>958</v>
      </c>
      <c r="C24" s="76"/>
      <c r="D24" s="96"/>
      <c r="E24" s="96"/>
    </row>
    <row r="25" spans="1:7" ht="18.75" customHeight="1" x14ac:dyDescent="0.25">
      <c r="A25" s="426"/>
      <c r="B25" s="103" t="s">
        <v>11</v>
      </c>
      <c r="C25" s="96"/>
      <c r="D25" s="96"/>
      <c r="E25" s="96"/>
    </row>
    <row r="26" spans="1:7" ht="15" x14ac:dyDescent="0.25">
      <c r="A26" s="427"/>
      <c r="B26" s="123" t="s">
        <v>12</v>
      </c>
      <c r="C26" s="52"/>
      <c r="D26" s="52"/>
    </row>
    <row r="27" spans="1:7" ht="15" x14ac:dyDescent="0.25">
      <c r="A27" s="427"/>
      <c r="B27" s="123" t="s">
        <v>13</v>
      </c>
      <c r="C27" s="52"/>
      <c r="D27" s="52"/>
    </row>
    <row r="28" spans="1:7" ht="15" x14ac:dyDescent="0.25">
      <c r="A28" s="427"/>
      <c r="B28" s="123" t="s">
        <v>14</v>
      </c>
      <c r="C28" s="52"/>
      <c r="D28" s="52"/>
    </row>
    <row r="29" spans="1:7" s="96" customFormat="1" ht="13.8" x14ac:dyDescent="0.25">
      <c r="A29" s="383"/>
      <c r="B29" s="103" t="s">
        <v>15</v>
      </c>
      <c r="C29" s="52"/>
      <c r="D29" s="52"/>
      <c r="E29" s="52"/>
      <c r="F29" s="52"/>
      <c r="G29" s="52"/>
    </row>
    <row r="30" spans="1:7" s="96" customFormat="1" ht="15.75" customHeight="1" x14ac:dyDescent="0.25">
      <c r="A30" s="383"/>
      <c r="B30" s="295" t="s">
        <v>42</v>
      </c>
      <c r="C30" s="104"/>
      <c r="D30" s="105"/>
      <c r="E30" s="52"/>
      <c r="F30" s="52"/>
    </row>
    <row r="31" spans="1:7" ht="41.4" x14ac:dyDescent="0.25">
      <c r="A31" s="390"/>
      <c r="B31" s="295" t="s">
        <v>43</v>
      </c>
      <c r="C31" s="104"/>
      <c r="D31" s="105"/>
      <c r="F31" s="96"/>
      <c r="G31" s="96"/>
    </row>
    <row r="32" spans="1:7" ht="13.5" customHeight="1" x14ac:dyDescent="0.25">
      <c r="A32" s="390"/>
      <c r="B32" s="103" t="s">
        <v>18</v>
      </c>
      <c r="C32" s="107"/>
      <c r="D32" s="105"/>
      <c r="F32" s="96"/>
    </row>
    <row r="33" spans="1:4" ht="13.5" customHeight="1" x14ac:dyDescent="0.25">
      <c r="A33" s="390"/>
      <c r="B33" s="313" t="s">
        <v>808</v>
      </c>
      <c r="C33" s="107"/>
      <c r="D33" s="105"/>
    </row>
    <row r="34" spans="1:4" ht="15" x14ac:dyDescent="0.25">
      <c r="A34" s="390"/>
      <c r="B34" s="297" t="s">
        <v>20</v>
      </c>
      <c r="C34" s="107"/>
      <c r="D34" s="105"/>
    </row>
    <row r="35" spans="1:4" ht="13.8" x14ac:dyDescent="0.25">
      <c r="A35" s="392"/>
      <c r="B35" s="103" t="s">
        <v>21</v>
      </c>
      <c r="C35" s="107"/>
      <c r="D35" s="105"/>
    </row>
    <row r="36" spans="1:4" ht="13.5" customHeight="1" x14ac:dyDescent="0.25">
      <c r="A36" s="390"/>
      <c r="B36" s="122" t="s">
        <v>262</v>
      </c>
      <c r="C36" s="107"/>
      <c r="D36" s="107"/>
    </row>
    <row r="37" spans="1:4" ht="13.5" customHeight="1" x14ac:dyDescent="0.25">
      <c r="A37" s="390"/>
      <c r="B37" s="123" t="s">
        <v>44</v>
      </c>
      <c r="C37" s="107"/>
      <c r="D37" s="107"/>
    </row>
    <row r="38" spans="1:4" ht="13.5" customHeight="1" x14ac:dyDescent="0.25">
      <c r="A38" s="390"/>
      <c r="B38" s="123" t="s">
        <v>45</v>
      </c>
      <c r="C38" s="109"/>
      <c r="D38" s="110"/>
    </row>
    <row r="39" spans="1:4" ht="13.5" customHeight="1" x14ac:dyDescent="0.25">
      <c r="A39" s="390"/>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59" fitToWidth="0" orientation="portrait" r:id="rId1"/>
  <drawing r:id="rId2"/>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A79A-D608-48BE-A670-9724B2E979C3}">
  <sheetPr>
    <tabColor theme="4" tint="-0.249977111117893"/>
    <pageSetUpPr fitToPage="1"/>
  </sheetPr>
  <dimension ref="A1:E62"/>
  <sheetViews>
    <sheetView topLeftCell="A11" zoomScaleNormal="100" workbookViewId="0">
      <selection activeCell="G23" sqref="G23"/>
    </sheetView>
  </sheetViews>
  <sheetFormatPr baseColWidth="10" defaultColWidth="11.44140625" defaultRowHeight="13.2" x14ac:dyDescent="0.25"/>
  <cols>
    <col min="1" max="1" width="6" style="52" customWidth="1"/>
    <col min="2" max="2" width="84"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1390</v>
      </c>
      <c r="B8" s="10"/>
      <c r="C8" s="58"/>
      <c r="D8" s="58"/>
      <c r="E8" s="10"/>
    </row>
    <row r="9" spans="1:5" s="55" customFormat="1" ht="16.8" x14ac:dyDescent="0.4">
      <c r="A9" s="57" t="s">
        <v>1526</v>
      </c>
      <c r="B9" s="10"/>
      <c r="C9" s="58"/>
      <c r="D9" s="58"/>
      <c r="E9" s="10"/>
    </row>
    <row r="10" spans="1:5" s="55" customFormat="1" ht="16.8" x14ac:dyDescent="0.4">
      <c r="A10" s="57" t="s">
        <v>284</v>
      </c>
      <c r="B10" s="10"/>
      <c r="C10" s="58"/>
      <c r="D10" s="58"/>
      <c r="E10" s="10"/>
    </row>
    <row r="11" spans="1:5" s="55" customFormat="1" ht="16.8" x14ac:dyDescent="0.4">
      <c r="A11" s="57" t="s">
        <v>1527</v>
      </c>
      <c r="B11" s="10"/>
      <c r="C11" s="59"/>
      <c r="D11" s="58"/>
      <c r="E11" s="10"/>
    </row>
    <row r="12" spans="1:5" s="55" customFormat="1" ht="15" customHeight="1" x14ac:dyDescent="0.4">
      <c r="A12" s="60" t="s">
        <v>1528</v>
      </c>
      <c r="B12" s="61"/>
      <c r="C12" s="14"/>
      <c r="D12" s="15"/>
    </row>
    <row r="13" spans="1:5" s="55" customFormat="1" ht="15" customHeight="1" x14ac:dyDescent="0.4">
      <c r="A13" s="1097" t="s">
        <v>73</v>
      </c>
      <c r="B13" s="1098"/>
      <c r="C13" s="1099"/>
      <c r="D13" s="1100"/>
    </row>
    <row r="14" spans="1:5" s="55" customFormat="1" ht="33" customHeight="1" x14ac:dyDescent="0.4">
      <c r="A14" s="430" t="s">
        <v>29</v>
      </c>
      <c r="B14" s="430" t="s">
        <v>30</v>
      </c>
      <c r="C14" s="431" t="s">
        <v>31</v>
      </c>
      <c r="D14" s="431" t="s">
        <v>32</v>
      </c>
      <c r="E14" s="71"/>
    </row>
    <row r="15" spans="1:5" s="71" customFormat="1" ht="13.8" x14ac:dyDescent="0.25">
      <c r="A15" s="432"/>
      <c r="B15" s="433"/>
      <c r="C15" s="434"/>
      <c r="D15" s="434"/>
      <c r="E15" s="52"/>
    </row>
    <row r="16" spans="1:5" ht="30" x14ac:dyDescent="0.25">
      <c r="A16" s="72">
        <v>1</v>
      </c>
      <c r="B16" s="624" t="s">
        <v>1289</v>
      </c>
      <c r="C16" s="665">
        <f>((169677)*1.3)</f>
        <v>220580.1</v>
      </c>
      <c r="D16" s="75">
        <f t="shared" ref="D16" si="0">A16*C16</f>
        <v>220580.1</v>
      </c>
      <c r="E16" s="309"/>
    </row>
    <row r="17" spans="1:5" s="96" customFormat="1" ht="30" x14ac:dyDescent="0.25">
      <c r="A17" s="72">
        <v>1</v>
      </c>
      <c r="B17" s="624" t="s">
        <v>1320</v>
      </c>
      <c r="C17" s="665">
        <f>129251*1.35</f>
        <v>174488.85</v>
      </c>
      <c r="D17" s="75">
        <f>A17*C17</f>
        <v>174488.85</v>
      </c>
      <c r="E17" s="683"/>
    </row>
    <row r="18" spans="1:5" ht="15.6" x14ac:dyDescent="0.3">
      <c r="A18" s="697"/>
      <c r="B18" s="698" t="s">
        <v>380</v>
      </c>
      <c r="C18" s="699" t="s">
        <v>38</v>
      </c>
      <c r="D18" s="696">
        <f>SUM(D16:D17)</f>
        <v>395068.95</v>
      </c>
    </row>
    <row r="19" spans="1:5" ht="15.6" x14ac:dyDescent="0.3">
      <c r="A19" s="101"/>
      <c r="B19" s="700" t="s">
        <v>1263</v>
      </c>
      <c r="C19" s="701" t="s">
        <v>90</v>
      </c>
      <c r="D19" s="30">
        <f>D18*0.16</f>
        <v>63211.032000000007</v>
      </c>
    </row>
    <row r="20" spans="1:5" ht="16.2" thickBot="1" x14ac:dyDescent="0.35">
      <c r="A20" s="101"/>
      <c r="B20" s="702"/>
      <c r="C20" s="701" t="s">
        <v>40</v>
      </c>
      <c r="D20" s="436">
        <f>D18+D19</f>
        <v>458279.98200000002</v>
      </c>
    </row>
    <row r="21" spans="1:5" ht="16.2" thickBot="1" x14ac:dyDescent="0.3">
      <c r="A21" s="101"/>
      <c r="B21" s="1101" t="s">
        <v>1321</v>
      </c>
      <c r="C21" s="1102"/>
      <c r="D21" s="1103"/>
    </row>
    <row r="22" spans="1:5" ht="13.5" customHeight="1" thickBot="1" x14ac:dyDescent="0.3">
      <c r="A22" s="102"/>
      <c r="B22" s="703" t="s">
        <v>9</v>
      </c>
      <c r="C22" s="104"/>
      <c r="D22" s="105"/>
    </row>
    <row r="23" spans="1:5" ht="92.4" customHeight="1" thickBot="1" x14ac:dyDescent="0.3">
      <c r="A23" s="383"/>
      <c r="B23" s="812" t="s">
        <v>958</v>
      </c>
      <c r="C23" s="52"/>
      <c r="D23" s="52"/>
    </row>
    <row r="24" spans="1:5" ht="15.6" thickBot="1" x14ac:dyDescent="0.3">
      <c r="A24" s="731"/>
      <c r="B24" s="705" t="s">
        <v>11</v>
      </c>
      <c r="C24" s="76"/>
      <c r="D24" s="52"/>
    </row>
    <row r="25" spans="1:5" ht="15" x14ac:dyDescent="0.25">
      <c r="A25" s="390"/>
      <c r="B25" s="123" t="s">
        <v>12</v>
      </c>
      <c r="C25" s="52"/>
      <c r="D25" s="52"/>
    </row>
    <row r="26" spans="1:5" ht="15" x14ac:dyDescent="0.25">
      <c r="A26" s="390"/>
      <c r="B26" s="123" t="s">
        <v>13</v>
      </c>
      <c r="C26" s="107"/>
      <c r="D26" s="105"/>
    </row>
    <row r="27" spans="1:5" ht="15.6" thickBot="1" x14ac:dyDescent="0.3">
      <c r="A27" s="390"/>
      <c r="B27" s="732" t="s">
        <v>14</v>
      </c>
      <c r="C27" s="107"/>
      <c r="D27" s="105"/>
    </row>
    <row r="28" spans="1:5" ht="14.4" thickBot="1" x14ac:dyDescent="0.3">
      <c r="A28" s="383"/>
      <c r="B28" s="705" t="s">
        <v>15</v>
      </c>
      <c r="C28" s="104"/>
      <c r="D28" s="107"/>
    </row>
    <row r="29" spans="1:5" ht="15" x14ac:dyDescent="0.25">
      <c r="A29" s="390"/>
      <c r="B29" s="295" t="s">
        <v>42</v>
      </c>
      <c r="C29" s="107"/>
      <c r="D29" s="107"/>
    </row>
    <row r="30" spans="1:5" ht="42" thickBot="1" x14ac:dyDescent="0.3">
      <c r="A30" s="390"/>
      <c r="B30" s="733" t="s">
        <v>43</v>
      </c>
      <c r="C30" s="109"/>
      <c r="D30" s="110"/>
    </row>
    <row r="31" spans="1:5" ht="15.6" thickBot="1" x14ac:dyDescent="0.3">
      <c r="A31" s="731"/>
      <c r="B31" s="705" t="s">
        <v>18</v>
      </c>
      <c r="C31" s="465"/>
      <c r="D31" s="110"/>
    </row>
    <row r="32" spans="1:5" ht="15" x14ac:dyDescent="0.25">
      <c r="A32" s="390"/>
      <c r="B32" s="123" t="s">
        <v>540</v>
      </c>
      <c r="C32" s="109"/>
      <c r="D32" s="109"/>
    </row>
    <row r="33" spans="1:4" ht="13.5" customHeight="1" thickBot="1" x14ac:dyDescent="0.3">
      <c r="A33" s="390"/>
      <c r="B33" s="734" t="s">
        <v>20</v>
      </c>
      <c r="C33" s="109"/>
      <c r="D33" s="109"/>
    </row>
    <row r="34" spans="1:4" ht="14.4" thickBot="1" x14ac:dyDescent="0.3">
      <c r="A34" s="383"/>
      <c r="B34" s="705" t="s">
        <v>21</v>
      </c>
      <c r="C34" s="104"/>
      <c r="D34" s="105"/>
    </row>
    <row r="35" spans="1:4" ht="15" x14ac:dyDescent="0.25">
      <c r="A35" s="390"/>
      <c r="B35" s="122" t="s">
        <v>1264</v>
      </c>
      <c r="C35" s="109"/>
      <c r="D35" s="110"/>
    </row>
    <row r="36" spans="1:4" ht="15" x14ac:dyDescent="0.25">
      <c r="A36" s="390"/>
      <c r="B36" s="123" t="s">
        <v>44</v>
      </c>
      <c r="C36" s="109"/>
      <c r="D36" s="110"/>
    </row>
    <row r="37" spans="1:4" ht="15.6" thickBot="1" x14ac:dyDescent="0.3">
      <c r="A37" s="390"/>
      <c r="B37" s="732" t="s">
        <v>45</v>
      </c>
      <c r="C37" s="109"/>
      <c r="D37" s="110"/>
    </row>
    <row r="38" spans="1:4" ht="51" thickBot="1" x14ac:dyDescent="0.3">
      <c r="A38" s="735" t="s">
        <v>0</v>
      </c>
      <c r="B38" s="736" t="s">
        <v>23</v>
      </c>
      <c r="C38" s="465"/>
      <c r="D38" s="109"/>
    </row>
    <row r="39" spans="1:4" ht="16.8" x14ac:dyDescent="0.4">
      <c r="A39" s="116"/>
      <c r="B39" s="710"/>
      <c r="C39" s="118"/>
      <c r="D39" s="118"/>
    </row>
    <row r="40" spans="1:4" x14ac:dyDescent="0.25">
      <c r="A40" s="117"/>
      <c r="B40" s="112"/>
      <c r="C40" s="112"/>
      <c r="D40" s="52"/>
    </row>
    <row r="41" spans="1:4" x14ac:dyDescent="0.25">
      <c r="A41" s="117"/>
      <c r="B41" s="112"/>
      <c r="C41" s="112"/>
      <c r="D41" s="52"/>
    </row>
    <row r="42" spans="1:4" x14ac:dyDescent="0.25">
      <c r="A42" s="119"/>
      <c r="B42" s="113"/>
      <c r="C42" s="112"/>
      <c r="D42" s="52"/>
    </row>
    <row r="43" spans="1:4" ht="15" x14ac:dyDescent="0.35">
      <c r="A43" s="120" t="s">
        <v>0</v>
      </c>
      <c r="B43" s="114"/>
      <c r="C43" s="112"/>
      <c r="D43" s="112"/>
    </row>
    <row r="44" spans="1:4" x14ac:dyDescent="0.25">
      <c r="A44" s="52" t="s">
        <v>0</v>
      </c>
    </row>
    <row r="53" ht="15.75" customHeight="1" x14ac:dyDescent="0.25"/>
    <row r="57" ht="16.5" customHeight="1" x14ac:dyDescent="0.25"/>
    <row r="61" ht="24" customHeight="1" x14ac:dyDescent="0.25"/>
    <row r="62" ht="24" customHeight="1" x14ac:dyDescent="0.25"/>
  </sheetData>
  <mergeCells count="3">
    <mergeCell ref="A4:D4"/>
    <mergeCell ref="A13:D13"/>
    <mergeCell ref="B21:D21"/>
  </mergeCells>
  <printOptions horizontalCentered="1"/>
  <pageMargins left="0.25" right="0.25" top="0.75" bottom="0.75" header="0.3" footer="0.3"/>
  <pageSetup scale="76" fitToHeight="0" orientation="portrait" verticalDpi="300" r:id="rId1"/>
  <headerFooter alignWithMargins="0">
    <oddFooter>Página &amp;P de &amp;N</oddFooter>
  </headerFooter>
  <drawing r:id="rId2"/>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CE05-2B15-43DC-923A-DF933A2FAA57}">
  <sheetPr>
    <tabColor theme="4" tint="-0.249977111117893"/>
    <pageSetUpPr fitToPage="1"/>
  </sheetPr>
  <dimension ref="A1:F70"/>
  <sheetViews>
    <sheetView topLeftCell="A12" zoomScale="115" zoomScaleNormal="115" workbookViewId="0">
      <selection activeCell="A7" sqref="A7:B11"/>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57" t="s">
        <v>1176</v>
      </c>
      <c r="B7" s="10"/>
      <c r="C7" s="9"/>
      <c r="D7" s="9"/>
    </row>
    <row r="8" spans="1:6" s="4" customFormat="1" ht="19.2" x14ac:dyDescent="0.45">
      <c r="A8" s="57" t="s">
        <v>1177</v>
      </c>
      <c r="B8" s="10"/>
      <c r="C8" s="9"/>
      <c r="D8" s="9"/>
    </row>
    <row r="9" spans="1:6" s="4" customFormat="1" ht="19.2" x14ac:dyDescent="0.45">
      <c r="A9" s="57" t="s">
        <v>284</v>
      </c>
      <c r="B9" s="10"/>
      <c r="C9" s="9"/>
      <c r="D9" s="9"/>
    </row>
    <row r="10" spans="1:6" s="4" customFormat="1" ht="19.2" x14ac:dyDescent="0.45">
      <c r="A10" s="57" t="s">
        <v>1178</v>
      </c>
      <c r="B10" s="10"/>
      <c r="C10" s="11"/>
      <c r="D10" s="9"/>
    </row>
    <row r="11" spans="1:6" s="4" customFormat="1" ht="19.2" x14ac:dyDescent="0.45">
      <c r="A11" s="60" t="s">
        <v>1207</v>
      </c>
      <c r="B11" s="61"/>
      <c r="C11" s="11"/>
      <c r="D11" s="9"/>
    </row>
    <row r="12" spans="1:6" s="4" customFormat="1" ht="15" customHeight="1" x14ac:dyDescent="0.4">
      <c r="A12" s="1031" t="s">
        <v>73</v>
      </c>
      <c r="B12" s="1032"/>
      <c r="C12" s="1033"/>
      <c r="D12" s="1034"/>
    </row>
    <row r="13" spans="1:6" s="4" customFormat="1" ht="15" customHeight="1" x14ac:dyDescent="0.4">
      <c r="A13" s="145" t="s">
        <v>29</v>
      </c>
      <c r="B13" s="145" t="s">
        <v>30</v>
      </c>
      <c r="C13" s="146" t="s">
        <v>31</v>
      </c>
      <c r="D13" s="146" t="s">
        <v>32</v>
      </c>
    </row>
    <row r="14" spans="1:6" s="4" customFormat="1" ht="11.25" customHeight="1" x14ac:dyDescent="0.4">
      <c r="A14" s="148"/>
      <c r="B14" s="149"/>
      <c r="C14" s="150"/>
      <c r="D14" s="150"/>
      <c r="E14" s="17"/>
      <c r="F14" s="17"/>
    </row>
    <row r="15" spans="1:6" s="17" customFormat="1" ht="13.8" x14ac:dyDescent="0.25">
      <c r="A15" s="151">
        <v>1</v>
      </c>
      <c r="B15" s="152" t="s">
        <v>1215</v>
      </c>
      <c r="C15" s="153">
        <f>(178920)*(1.3)</f>
        <v>232596</v>
      </c>
      <c r="D15" s="154">
        <f t="shared" ref="D15:D43" si="0">A15*C15</f>
        <v>232596</v>
      </c>
      <c r="E15" s="147"/>
      <c r="F15" s="1"/>
    </row>
    <row r="16" spans="1:6" x14ac:dyDescent="0.25">
      <c r="A16" s="155"/>
      <c r="B16" s="156" t="s">
        <v>206</v>
      </c>
      <c r="C16" s="153"/>
      <c r="D16" s="154"/>
      <c r="E16" s="25"/>
      <c r="F16" s="26"/>
    </row>
    <row r="17" spans="1:5" s="26" customFormat="1" ht="16.5" customHeight="1" x14ac:dyDescent="0.25">
      <c r="A17" s="155">
        <v>1</v>
      </c>
      <c r="B17" s="156" t="s">
        <v>207</v>
      </c>
      <c r="C17" s="153">
        <f>(152974)*(1.3)</f>
        <v>198866.2</v>
      </c>
      <c r="D17" s="154">
        <f t="shared" si="0"/>
        <v>198866.2</v>
      </c>
      <c r="E17" s="25"/>
    </row>
    <row r="18" spans="1:5" ht="13.5" customHeight="1" x14ac:dyDescent="0.25">
      <c r="A18" s="157">
        <v>2</v>
      </c>
      <c r="B18" s="158" t="s">
        <v>35</v>
      </c>
      <c r="C18" s="159">
        <f>(5150)*(1.7)</f>
        <v>8755</v>
      </c>
      <c r="D18" s="154">
        <f t="shared" si="0"/>
        <v>17510</v>
      </c>
      <c r="E18" s="147"/>
    </row>
    <row r="19" spans="1:5" ht="13.5" customHeight="1" x14ac:dyDescent="0.25">
      <c r="A19" s="157">
        <v>25</v>
      </c>
      <c r="B19" s="158" t="s">
        <v>209</v>
      </c>
      <c r="C19" s="160">
        <f>(5640)*(1.3)</f>
        <v>7332</v>
      </c>
      <c r="D19" s="161">
        <f t="shared" si="0"/>
        <v>183300</v>
      </c>
      <c r="E19" s="147"/>
    </row>
    <row r="20" spans="1:5" ht="13.5" customHeight="1" x14ac:dyDescent="0.25">
      <c r="A20" s="157">
        <v>170</v>
      </c>
      <c r="B20" s="158" t="s">
        <v>1218</v>
      </c>
      <c r="C20" s="160">
        <f>1250*1.25</f>
        <v>1562.5</v>
      </c>
      <c r="D20" s="161">
        <f t="shared" si="0"/>
        <v>265625</v>
      </c>
      <c r="E20" s="147"/>
    </row>
    <row r="21" spans="1:5" ht="13.5" customHeight="1" x14ac:dyDescent="0.25">
      <c r="A21" s="157">
        <v>150</v>
      </c>
      <c r="B21" s="158" t="s">
        <v>81</v>
      </c>
      <c r="C21" s="160">
        <v>100</v>
      </c>
      <c r="D21" s="161">
        <f t="shared" si="0"/>
        <v>15000</v>
      </c>
      <c r="E21" s="147"/>
    </row>
    <row r="22" spans="1:5" ht="13.5" customHeight="1" x14ac:dyDescent="0.25">
      <c r="A22" s="157"/>
      <c r="B22" s="158" t="s">
        <v>82</v>
      </c>
      <c r="C22" s="160"/>
      <c r="D22" s="161"/>
      <c r="E22" s="147"/>
    </row>
    <row r="23" spans="1:5" x14ac:dyDescent="0.25">
      <c r="A23" s="157">
        <v>1</v>
      </c>
      <c r="B23" s="158" t="s">
        <v>83</v>
      </c>
      <c r="C23" s="160">
        <v>5871</v>
      </c>
      <c r="D23" s="161">
        <f t="shared" si="0"/>
        <v>5871</v>
      </c>
      <c r="E23" s="147"/>
    </row>
    <row r="24" spans="1:5" x14ac:dyDescent="0.25">
      <c r="A24" s="157"/>
      <c r="B24" s="158" t="s">
        <v>84</v>
      </c>
      <c r="C24" s="160"/>
      <c r="D24" s="161"/>
      <c r="E24" s="147"/>
    </row>
    <row r="25" spans="1:5" x14ac:dyDescent="0.25">
      <c r="A25" s="157">
        <v>1.5</v>
      </c>
      <c r="B25" s="158" t="s">
        <v>85</v>
      </c>
      <c r="C25" s="160">
        <v>2671</v>
      </c>
      <c r="D25" s="161">
        <f t="shared" si="0"/>
        <v>4006.5</v>
      </c>
      <c r="E25" s="147"/>
    </row>
    <row r="26" spans="1:5" x14ac:dyDescent="0.25">
      <c r="A26" s="157">
        <v>150</v>
      </c>
      <c r="B26" s="158" t="s">
        <v>34</v>
      </c>
      <c r="C26" s="160">
        <v>16.12</v>
      </c>
      <c r="D26" s="161">
        <f>A26*C26</f>
        <v>2418</v>
      </c>
      <c r="E26" s="147"/>
    </row>
    <row r="27" spans="1:5" x14ac:dyDescent="0.25">
      <c r="A27" s="157">
        <v>1</v>
      </c>
      <c r="B27" s="158" t="s">
        <v>1216</v>
      </c>
      <c r="C27" s="159">
        <f>(5421*21)*1.3</f>
        <v>147993.30000000002</v>
      </c>
      <c r="D27" s="161">
        <f t="shared" si="0"/>
        <v>147993.30000000002</v>
      </c>
      <c r="E27" s="147"/>
    </row>
    <row r="28" spans="1:5" ht="13.5" customHeight="1" x14ac:dyDescent="0.25">
      <c r="A28" s="157">
        <v>1</v>
      </c>
      <c r="B28" s="158" t="s">
        <v>211</v>
      </c>
      <c r="C28" s="159">
        <v>29087</v>
      </c>
      <c r="D28" s="161">
        <f t="shared" si="0"/>
        <v>29087</v>
      </c>
      <c r="E28" s="147"/>
    </row>
    <row r="29" spans="1:5" ht="13.5" customHeight="1" x14ac:dyDescent="0.25">
      <c r="A29" s="162">
        <v>1</v>
      </c>
      <c r="B29" s="163" t="s">
        <v>212</v>
      </c>
      <c r="C29" s="184">
        <v>10912</v>
      </c>
      <c r="D29" s="165">
        <f t="shared" si="0"/>
        <v>10912</v>
      </c>
      <c r="E29" s="147"/>
    </row>
    <row r="30" spans="1:5" ht="52.8" x14ac:dyDescent="0.25">
      <c r="A30" s="157">
        <v>1</v>
      </c>
      <c r="B30" s="158" t="s">
        <v>103</v>
      </c>
      <c r="C30" s="159">
        <f>(20969+3400)*1.32</f>
        <v>32167.08</v>
      </c>
      <c r="D30" s="161">
        <f t="shared" si="0"/>
        <v>32167.08</v>
      </c>
      <c r="E30" s="147"/>
    </row>
    <row r="31" spans="1:5" x14ac:dyDescent="0.25">
      <c r="A31" s="157">
        <v>1</v>
      </c>
      <c r="B31" s="158" t="s">
        <v>1217</v>
      </c>
      <c r="C31" s="160">
        <f>6700*1.4</f>
        <v>9380</v>
      </c>
      <c r="D31" s="161">
        <f t="shared" si="0"/>
        <v>9380</v>
      </c>
      <c r="E31" s="147"/>
    </row>
    <row r="32" spans="1:5" x14ac:dyDescent="0.25">
      <c r="A32" s="157">
        <v>2</v>
      </c>
      <c r="B32" s="158" t="s">
        <v>214</v>
      </c>
      <c r="C32" s="160">
        <f>2700*1.4</f>
        <v>3779.9999999999995</v>
      </c>
      <c r="D32" s="161">
        <f t="shared" si="0"/>
        <v>7559.9999999999991</v>
      </c>
      <c r="E32" s="147"/>
    </row>
    <row r="33" spans="1:5" x14ac:dyDescent="0.25">
      <c r="A33" s="157">
        <v>1</v>
      </c>
      <c r="B33" s="158" t="s">
        <v>105</v>
      </c>
      <c r="C33" s="160">
        <v>1543</v>
      </c>
      <c r="D33" s="161">
        <f t="shared" si="0"/>
        <v>1543</v>
      </c>
      <c r="E33" s="147"/>
    </row>
    <row r="34" spans="1:5" x14ac:dyDescent="0.25">
      <c r="A34" s="157">
        <v>1</v>
      </c>
      <c r="B34" s="158" t="s">
        <v>215</v>
      </c>
      <c r="C34" s="160">
        <f>5775.57*1.4</f>
        <v>8085.7979999999989</v>
      </c>
      <c r="D34" s="161">
        <f t="shared" si="0"/>
        <v>8085.7979999999989</v>
      </c>
      <c r="E34" s="147"/>
    </row>
    <row r="35" spans="1:5" x14ac:dyDescent="0.25">
      <c r="A35" s="157">
        <v>1</v>
      </c>
      <c r="B35" s="158" t="s">
        <v>216</v>
      </c>
      <c r="C35" s="160">
        <f>3100*1.4</f>
        <v>4340</v>
      </c>
      <c r="D35" s="161">
        <f t="shared" si="0"/>
        <v>4340</v>
      </c>
      <c r="E35" s="147"/>
    </row>
    <row r="36" spans="1:5" x14ac:dyDescent="0.25">
      <c r="A36" s="157">
        <v>1</v>
      </c>
      <c r="B36" s="158" t="s">
        <v>217</v>
      </c>
      <c r="C36" s="160">
        <f>4010*1.4</f>
        <v>5614</v>
      </c>
      <c r="D36" s="161">
        <f t="shared" si="0"/>
        <v>5614</v>
      </c>
      <c r="E36" s="147"/>
    </row>
    <row r="37" spans="1:5" x14ac:dyDescent="0.25">
      <c r="A37" s="157">
        <v>1</v>
      </c>
      <c r="B37" s="158" t="s">
        <v>108</v>
      </c>
      <c r="C37" s="160">
        <f>2467*1.4</f>
        <v>3453.7999999999997</v>
      </c>
      <c r="D37" s="161">
        <f t="shared" si="0"/>
        <v>3453.7999999999997</v>
      </c>
      <c r="E37" s="147"/>
    </row>
    <row r="38" spans="1:5" x14ac:dyDescent="0.25">
      <c r="A38" s="157">
        <v>8</v>
      </c>
      <c r="B38" s="158" t="s">
        <v>218</v>
      </c>
      <c r="C38" s="160">
        <f>27.41*1.4</f>
        <v>38.373999999999995</v>
      </c>
      <c r="D38" s="161">
        <f t="shared" si="0"/>
        <v>306.99199999999996</v>
      </c>
      <c r="E38" s="147"/>
    </row>
    <row r="39" spans="1:5" x14ac:dyDescent="0.25">
      <c r="A39" s="157">
        <v>1</v>
      </c>
      <c r="B39" s="158" t="s">
        <v>219</v>
      </c>
      <c r="C39" s="160">
        <f>23.97*1.39</f>
        <v>33.318299999999994</v>
      </c>
      <c r="D39" s="161">
        <f t="shared" si="0"/>
        <v>33.318299999999994</v>
      </c>
      <c r="E39" s="147"/>
    </row>
    <row r="40" spans="1:5" ht="26.4" x14ac:dyDescent="0.25">
      <c r="A40" s="157">
        <v>1</v>
      </c>
      <c r="B40" s="158" t="s">
        <v>112</v>
      </c>
      <c r="C40" s="160">
        <v>32091</v>
      </c>
      <c r="D40" s="161">
        <f t="shared" si="0"/>
        <v>32091</v>
      </c>
      <c r="E40" s="147"/>
    </row>
    <row r="41" spans="1:5" x14ac:dyDescent="0.25">
      <c r="A41" s="157">
        <v>56</v>
      </c>
      <c r="B41" s="158" t="s">
        <v>113</v>
      </c>
      <c r="C41" s="160">
        <f>56</f>
        <v>56</v>
      </c>
      <c r="D41" s="161">
        <f t="shared" si="0"/>
        <v>3136</v>
      </c>
      <c r="E41" s="147"/>
    </row>
    <row r="42" spans="1:5" x14ac:dyDescent="0.25">
      <c r="A42" s="157">
        <v>6</v>
      </c>
      <c r="B42" s="158" t="s">
        <v>114</v>
      </c>
      <c r="C42" s="160">
        <f>14.8*1.5</f>
        <v>22.200000000000003</v>
      </c>
      <c r="D42" s="161">
        <f t="shared" si="0"/>
        <v>133.20000000000002</v>
      </c>
      <c r="E42" s="147"/>
    </row>
    <row r="43" spans="1:5" x14ac:dyDescent="0.25">
      <c r="A43" s="157">
        <v>1</v>
      </c>
      <c r="B43" s="158" t="s">
        <v>88</v>
      </c>
      <c r="C43" s="160">
        <v>3500</v>
      </c>
      <c r="D43" s="161">
        <f t="shared" si="0"/>
        <v>3500</v>
      </c>
      <c r="E43" s="147"/>
    </row>
    <row r="44" spans="1:5" x14ac:dyDescent="0.25">
      <c r="A44" s="157"/>
      <c r="B44" s="158" t="s">
        <v>89</v>
      </c>
      <c r="C44" s="160"/>
      <c r="D44" s="161"/>
      <c r="E44" s="147"/>
    </row>
    <row r="45" spans="1:5" ht="13.5" customHeight="1" x14ac:dyDescent="0.25">
      <c r="A45" s="32"/>
      <c r="B45" s="677" t="s">
        <v>1220</v>
      </c>
      <c r="C45" s="167" t="s">
        <v>38</v>
      </c>
      <c r="D45" s="168">
        <f>SUM(D15:D44)</f>
        <v>1224529.1883</v>
      </c>
      <c r="E45" s="147"/>
    </row>
    <row r="46" spans="1:5" x14ac:dyDescent="0.25">
      <c r="A46" s="33"/>
      <c r="B46" s="33"/>
      <c r="C46" s="167" t="s">
        <v>90</v>
      </c>
      <c r="D46" s="168">
        <f>D45*0.16</f>
        <v>195924.670128</v>
      </c>
      <c r="E46" s="147"/>
    </row>
    <row r="47" spans="1:5" ht="13.8" thickBot="1" x14ac:dyDescent="0.3">
      <c r="A47" s="33"/>
      <c r="B47" s="170"/>
      <c r="C47" s="171" t="s">
        <v>40</v>
      </c>
      <c r="D47" s="172">
        <f>D45+D46</f>
        <v>1420453.858428</v>
      </c>
      <c r="E47" s="147"/>
    </row>
    <row r="48" spans="1:5" ht="13.8" thickBot="1" x14ac:dyDescent="0.3">
      <c r="A48" s="33"/>
      <c r="B48" s="1035" t="s">
        <v>1219</v>
      </c>
      <c r="C48" s="1036"/>
      <c r="D48" s="1037"/>
      <c r="E48" s="147"/>
    </row>
    <row r="49" spans="1:5" ht="13.8" x14ac:dyDescent="0.25">
      <c r="A49" s="33"/>
      <c r="B49" s="173" t="s">
        <v>9</v>
      </c>
      <c r="C49" s="174"/>
      <c r="D49" s="175"/>
      <c r="E49" s="147"/>
    </row>
    <row r="50" spans="1:5" ht="17.399999999999999" x14ac:dyDescent="0.25">
      <c r="A50" s="176"/>
      <c r="B50" s="177" t="s">
        <v>10</v>
      </c>
      <c r="C50" s="169"/>
      <c r="D50" s="41"/>
      <c r="E50" s="169"/>
    </row>
    <row r="51" spans="1:5" ht="15" x14ac:dyDescent="0.25">
      <c r="A51" s="178"/>
      <c r="B51" s="40" t="s">
        <v>11</v>
      </c>
      <c r="D51" s="41"/>
    </row>
    <row r="52" spans="1:5" ht="15" x14ac:dyDescent="0.25">
      <c r="A52" s="178"/>
      <c r="B52" s="131" t="s">
        <v>12</v>
      </c>
      <c r="D52" s="41"/>
    </row>
    <row r="53" spans="1:5" ht="15.75" customHeight="1" x14ac:dyDescent="0.25">
      <c r="A53" s="178"/>
      <c r="B53" s="131" t="s">
        <v>13</v>
      </c>
      <c r="D53" s="41"/>
    </row>
    <row r="54" spans="1:5" ht="15" x14ac:dyDescent="0.25">
      <c r="A54" s="178"/>
      <c r="B54" s="131" t="s">
        <v>14</v>
      </c>
      <c r="D54" s="41"/>
    </row>
    <row r="55" spans="1:5" ht="13.8" x14ac:dyDescent="0.25">
      <c r="A55" s="129"/>
      <c r="B55" s="40" t="s">
        <v>15</v>
      </c>
    </row>
    <row r="56" spans="1:5" ht="15" x14ac:dyDescent="0.25">
      <c r="A56" s="178"/>
      <c r="B56" s="36" t="s">
        <v>42</v>
      </c>
    </row>
    <row r="57" spans="1:5" ht="27.6" x14ac:dyDescent="0.25">
      <c r="A57" s="178"/>
      <c r="B57" s="36" t="s">
        <v>43</v>
      </c>
      <c r="C57" s="38"/>
      <c r="D57" s="39"/>
    </row>
    <row r="58" spans="1:5" ht="16.5" customHeight="1" x14ac:dyDescent="0.25">
      <c r="A58" s="178"/>
      <c r="B58" s="40" t="s">
        <v>18</v>
      </c>
      <c r="C58" s="38"/>
      <c r="D58" s="39"/>
    </row>
    <row r="59" spans="1:5" ht="15" x14ac:dyDescent="0.25">
      <c r="A59" s="178"/>
      <c r="B59" s="134" t="s">
        <v>221</v>
      </c>
      <c r="C59" s="38"/>
      <c r="D59" s="38"/>
    </row>
    <row r="60" spans="1:5" ht="15" x14ac:dyDescent="0.25">
      <c r="A60" s="178"/>
      <c r="B60" s="135" t="s">
        <v>20</v>
      </c>
      <c r="C60" s="38"/>
      <c r="D60" s="38"/>
    </row>
    <row r="61" spans="1:5" ht="13.8" x14ac:dyDescent="0.25">
      <c r="A61" s="129"/>
      <c r="B61" s="40" t="s">
        <v>21</v>
      </c>
      <c r="D61" s="41"/>
    </row>
    <row r="62" spans="1:5" ht="15" x14ac:dyDescent="0.25">
      <c r="A62" s="178"/>
      <c r="B62" s="179" t="s">
        <v>222</v>
      </c>
      <c r="C62" s="38"/>
      <c r="D62" s="39"/>
    </row>
    <row r="63" spans="1:5" ht="15" customHeight="1" x14ac:dyDescent="0.25">
      <c r="A63" s="178"/>
      <c r="B63" s="131" t="s">
        <v>44</v>
      </c>
      <c r="C63" s="38"/>
      <c r="D63" s="39"/>
    </row>
    <row r="64" spans="1:5" ht="33.6" x14ac:dyDescent="0.25">
      <c r="A64" s="182" t="s">
        <v>0</v>
      </c>
      <c r="B64" s="183" t="s">
        <v>23</v>
      </c>
      <c r="C64" s="38"/>
      <c r="D64" s="38"/>
    </row>
    <row r="65" spans="1:4" ht="16.8" x14ac:dyDescent="0.4">
      <c r="A65" s="43"/>
      <c r="B65" s="44"/>
      <c r="C65" s="45"/>
      <c r="D65" s="45"/>
    </row>
    <row r="66" spans="1:4" x14ac:dyDescent="0.25">
      <c r="A66" s="46"/>
      <c r="B66" s="47"/>
      <c r="C66" s="47"/>
      <c r="D66" s="1"/>
    </row>
    <row r="67" spans="1:4" x14ac:dyDescent="0.25">
      <c r="A67" s="46"/>
      <c r="B67" s="47"/>
      <c r="C67" s="47"/>
      <c r="D67" s="1"/>
    </row>
    <row r="68" spans="1:4" x14ac:dyDescent="0.25">
      <c r="A68" s="48"/>
      <c r="B68" s="49"/>
      <c r="C68" s="47"/>
      <c r="D68" s="1"/>
    </row>
    <row r="69" spans="1:4" ht="15" x14ac:dyDescent="0.35">
      <c r="A69" s="50" t="s">
        <v>0</v>
      </c>
      <c r="B69" s="51"/>
      <c r="C69" s="47"/>
      <c r="D69" s="47"/>
    </row>
    <row r="70" spans="1:4" x14ac:dyDescent="0.25">
      <c r="A70" s="1" t="s">
        <v>0</v>
      </c>
    </row>
  </sheetData>
  <mergeCells count="3">
    <mergeCell ref="A4:D4"/>
    <mergeCell ref="A12:D12"/>
    <mergeCell ref="B48:D48"/>
  </mergeCells>
  <printOptions horizontalCentered="1"/>
  <pageMargins left="0.25" right="0.25" top="0.75" bottom="0.75" header="0.3" footer="0.3"/>
  <pageSetup paperSize="9" scale="60" fitToWidth="0" orientation="portrait" r:id="rId1"/>
  <headerFooter alignWithMargins="0">
    <oddFooter>Página &amp;P de &amp;N</oddFooter>
  </headerFooter>
  <drawing r:id="rId2"/>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2340-D07E-4529-8A61-1AA33430DAB6}">
  <sheetPr>
    <tabColor theme="4" tint="-0.249977111117893"/>
    <pageSetUpPr fitToPage="1"/>
  </sheetPr>
  <dimension ref="A1:G64"/>
  <sheetViews>
    <sheetView zoomScaleNormal="100" workbookViewId="0">
      <selection activeCell="B10" sqref="B10"/>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57" t="s">
        <v>1176</v>
      </c>
      <c r="C8" s="229"/>
      <c r="D8" s="229"/>
    </row>
    <row r="9" spans="1:7" s="10" customFormat="1" ht="19.2" x14ac:dyDescent="0.45">
      <c r="A9" s="57" t="s">
        <v>1177</v>
      </c>
      <c r="C9" s="229"/>
      <c r="D9" s="229"/>
    </row>
    <row r="10" spans="1:7" s="10" customFormat="1" ht="19.2" x14ac:dyDescent="0.45">
      <c r="A10" s="57" t="s">
        <v>284</v>
      </c>
      <c r="C10" s="229"/>
      <c r="D10" s="229"/>
    </row>
    <row r="11" spans="1:7" s="10" customFormat="1" ht="19.2" x14ac:dyDescent="0.45">
      <c r="A11" s="57" t="s">
        <v>1178</v>
      </c>
      <c r="C11" s="230"/>
      <c r="D11" s="229"/>
    </row>
    <row r="12" spans="1:7" s="10" customFormat="1" ht="15" customHeight="1" x14ac:dyDescent="0.45">
      <c r="A12" s="60" t="s">
        <v>1207</v>
      </c>
      <c r="B12" s="61"/>
      <c r="C12" s="230"/>
      <c r="D12" s="229"/>
    </row>
    <row r="13" spans="1:7" s="10" customFormat="1" ht="15" customHeight="1" x14ac:dyDescent="0.4">
      <c r="A13" s="1040" t="s">
        <v>150</v>
      </c>
      <c r="B13" s="1041"/>
      <c r="C13" s="1042"/>
      <c r="D13" s="1043"/>
      <c r="E13" s="108"/>
    </row>
    <row r="14" spans="1:7" s="10" customFormat="1" ht="15" customHeight="1" x14ac:dyDescent="0.4">
      <c r="A14" s="235"/>
      <c r="B14" s="236"/>
      <c r="C14" s="237"/>
      <c r="D14" s="237"/>
      <c r="E14" s="190"/>
      <c r="F14" s="188"/>
      <c r="G14" s="188"/>
    </row>
    <row r="15" spans="1:7" s="188" customFormat="1" ht="39.6" x14ac:dyDescent="0.25">
      <c r="A15" s="238">
        <v>1</v>
      </c>
      <c r="B15" s="300" t="s">
        <v>229</v>
      </c>
      <c r="C15" s="240">
        <f>((302000+22173)*1)+10000+30000</f>
        <v>364173</v>
      </c>
      <c r="D15" s="241">
        <f t="shared" ref="D15:D21" si="0">A15*C15</f>
        <v>364173</v>
      </c>
      <c r="E15" s="190"/>
      <c r="F15" s="108"/>
      <c r="G15" s="108"/>
    </row>
    <row r="16" spans="1:7" ht="66" x14ac:dyDescent="0.25">
      <c r="A16" s="238">
        <v>9</v>
      </c>
      <c r="B16" s="300" t="s">
        <v>152</v>
      </c>
      <c r="C16" s="240">
        <f>(20759*1.15)+10000+1666.66+4000</f>
        <v>39539.51</v>
      </c>
      <c r="D16" s="241">
        <f t="shared" si="0"/>
        <v>355855.59</v>
      </c>
      <c r="E16" s="189"/>
      <c r="F16" s="191"/>
      <c r="G16" s="191"/>
    </row>
    <row r="17" spans="1:7" s="191" customFormat="1" ht="39.6" x14ac:dyDescent="0.25">
      <c r="A17" s="238">
        <v>1</v>
      </c>
      <c r="B17" s="300" t="s">
        <v>230</v>
      </c>
      <c r="C17" s="240">
        <f>(78989*1.2)+30000+2000+45000</f>
        <v>171786.8</v>
      </c>
      <c r="D17" s="241">
        <f t="shared" si="0"/>
        <v>171786.8</v>
      </c>
      <c r="E17" s="189"/>
      <c r="F17" s="108"/>
      <c r="G17" s="108"/>
    </row>
    <row r="18" spans="1:7" x14ac:dyDescent="0.25">
      <c r="A18" s="238">
        <v>1</v>
      </c>
      <c r="B18" s="301" t="s">
        <v>155</v>
      </c>
      <c r="C18" s="240">
        <v>24754</v>
      </c>
      <c r="D18" s="241">
        <f t="shared" si="0"/>
        <v>24754</v>
      </c>
      <c r="E18" s="189"/>
    </row>
    <row r="19" spans="1:7" x14ac:dyDescent="0.25">
      <c r="A19" s="238">
        <v>1</v>
      </c>
      <c r="B19" s="301" t="s">
        <v>231</v>
      </c>
      <c r="C19" s="240">
        <v>3500</v>
      </c>
      <c r="D19" s="241">
        <f t="shared" si="0"/>
        <v>3500</v>
      </c>
      <c r="E19" s="189"/>
    </row>
    <row r="20" spans="1:7" ht="13.5" customHeight="1" x14ac:dyDescent="0.25">
      <c r="A20" s="238">
        <v>1</v>
      </c>
      <c r="B20" s="301" t="s">
        <v>232</v>
      </c>
      <c r="C20" s="240">
        <v>12000</v>
      </c>
      <c r="D20" s="241">
        <f t="shared" si="0"/>
        <v>12000</v>
      </c>
      <c r="E20" s="189"/>
    </row>
    <row r="21" spans="1:7" ht="13.5" customHeight="1" x14ac:dyDescent="0.25">
      <c r="A21" s="238">
        <v>1</v>
      </c>
      <c r="B21" s="301" t="s">
        <v>233</v>
      </c>
      <c r="C21" s="240">
        <v>11000</v>
      </c>
      <c r="D21" s="241">
        <f t="shared" si="0"/>
        <v>11000</v>
      </c>
      <c r="E21" s="189"/>
    </row>
    <row r="22" spans="1:7" ht="13.5" customHeight="1" x14ac:dyDescent="0.25">
      <c r="A22" s="238"/>
      <c r="B22" s="302" t="s">
        <v>159</v>
      </c>
      <c r="C22" s="240"/>
      <c r="D22" s="241"/>
      <c r="E22" s="189"/>
    </row>
    <row r="23" spans="1:7" ht="13.5" customHeight="1" x14ac:dyDescent="0.25">
      <c r="A23" s="244"/>
      <c r="B23" s="245"/>
      <c r="C23" s="246"/>
      <c r="D23" s="247"/>
      <c r="E23" s="189"/>
    </row>
    <row r="24" spans="1:7" ht="13.5" customHeight="1" x14ac:dyDescent="0.25">
      <c r="A24" s="248"/>
      <c r="B24" s="678" t="s">
        <v>1222</v>
      </c>
      <c r="C24" s="249" t="s">
        <v>160</v>
      </c>
      <c r="D24" s="247">
        <f>SUM(D14:D23)</f>
        <v>943069.39000000013</v>
      </c>
      <c r="E24" s="189"/>
    </row>
    <row r="25" spans="1:7" x14ac:dyDescent="0.25">
      <c r="A25" s="250"/>
      <c r="B25" s="250"/>
      <c r="C25" s="249" t="s">
        <v>161</v>
      </c>
      <c r="D25" s="247">
        <f>D24*0.16</f>
        <v>150891.10240000003</v>
      </c>
      <c r="E25" s="189"/>
    </row>
    <row r="26" spans="1:7" ht="13.8" thickBot="1" x14ac:dyDescent="0.3">
      <c r="A26" s="250"/>
      <c r="B26" s="250"/>
      <c r="C26" s="251" t="s">
        <v>162</v>
      </c>
      <c r="D26" s="252">
        <f>D24+D25</f>
        <v>1093960.4924000001</v>
      </c>
      <c r="E26" s="189"/>
    </row>
    <row r="27" spans="1:7" ht="13.8" thickBot="1" x14ac:dyDescent="0.3">
      <c r="A27" s="102"/>
      <c r="B27" s="1094" t="s">
        <v>1221</v>
      </c>
      <c r="C27" s="1095"/>
      <c r="D27" s="1096"/>
    </row>
    <row r="28" spans="1:7" x14ac:dyDescent="0.25">
      <c r="A28" s="102"/>
      <c r="B28" s="201"/>
      <c r="C28" s="253"/>
      <c r="D28" s="254"/>
    </row>
    <row r="29" spans="1:7" ht="13.8" x14ac:dyDescent="0.25">
      <c r="A29" s="102"/>
      <c r="B29" s="100" t="s">
        <v>9</v>
      </c>
      <c r="C29" s="104"/>
      <c r="D29" s="105"/>
    </row>
    <row r="30" spans="1:7" ht="17.399999999999999" x14ac:dyDescent="0.25">
      <c r="A30" s="383"/>
      <c r="B30" s="387" t="s">
        <v>10</v>
      </c>
      <c r="C30" s="104"/>
      <c r="D30" s="105"/>
    </row>
    <row r="31" spans="1:7" ht="15" x14ac:dyDescent="0.25">
      <c r="A31" s="390"/>
      <c r="B31" s="103" t="s">
        <v>11</v>
      </c>
      <c r="D31" s="105"/>
    </row>
    <row r="32" spans="1:7" ht="13.5" customHeight="1" x14ac:dyDescent="0.25">
      <c r="A32" s="390"/>
      <c r="B32" s="123" t="s">
        <v>235</v>
      </c>
      <c r="D32" s="105"/>
    </row>
    <row r="33" spans="1:5" ht="17.25" customHeight="1" x14ac:dyDescent="0.25">
      <c r="A33" s="390"/>
      <c r="B33" s="123" t="s">
        <v>13</v>
      </c>
      <c r="D33" s="105"/>
    </row>
    <row r="34" spans="1:5" ht="15" x14ac:dyDescent="0.25">
      <c r="A34" s="390"/>
      <c r="B34" s="123" t="s">
        <v>14</v>
      </c>
      <c r="D34" s="105"/>
    </row>
    <row r="35" spans="1:5" ht="13.5" customHeight="1" x14ac:dyDescent="0.25">
      <c r="A35" s="392"/>
      <c r="B35" s="103" t="s">
        <v>15</v>
      </c>
    </row>
    <row r="36" spans="1:5" ht="15" x14ac:dyDescent="0.25">
      <c r="A36" s="390"/>
      <c r="B36" s="295" t="s">
        <v>42</v>
      </c>
      <c r="E36" s="189"/>
    </row>
    <row r="37" spans="1:5" ht="41.4" x14ac:dyDescent="0.25">
      <c r="A37" s="390"/>
      <c r="B37" s="295" t="s">
        <v>165</v>
      </c>
      <c r="C37" s="109"/>
      <c r="D37" s="110"/>
      <c r="E37" s="189"/>
    </row>
    <row r="38" spans="1:5" ht="15" x14ac:dyDescent="0.25">
      <c r="A38" s="390"/>
      <c r="B38" s="103" t="s">
        <v>18</v>
      </c>
      <c r="C38" s="109"/>
      <c r="D38" s="110"/>
    </row>
    <row r="39" spans="1:5" ht="27.6" x14ac:dyDescent="0.25">
      <c r="A39" s="390"/>
      <c r="B39" s="297" t="s">
        <v>166</v>
      </c>
      <c r="C39" s="109"/>
      <c r="D39" s="109"/>
    </row>
    <row r="40" spans="1:5" ht="15" x14ac:dyDescent="0.25">
      <c r="A40" s="390"/>
      <c r="B40" s="564" t="s">
        <v>167</v>
      </c>
      <c r="C40" s="109"/>
      <c r="D40" s="109"/>
    </row>
    <row r="41" spans="1:5" ht="15" x14ac:dyDescent="0.25">
      <c r="A41" s="390"/>
      <c r="B41" s="297" t="s">
        <v>20</v>
      </c>
      <c r="C41" s="109"/>
      <c r="D41" s="109"/>
    </row>
    <row r="42" spans="1:5" ht="13.8" x14ac:dyDescent="0.25">
      <c r="A42" s="392"/>
      <c r="B42" s="103" t="s">
        <v>21</v>
      </c>
      <c r="D42" s="105"/>
    </row>
    <row r="43" spans="1:5" ht="15" x14ac:dyDescent="0.25">
      <c r="A43" s="390"/>
      <c r="B43" s="123" t="s">
        <v>168</v>
      </c>
      <c r="C43" s="109"/>
      <c r="D43" s="110"/>
    </row>
    <row r="44" spans="1:5" ht="15" x14ac:dyDescent="0.25">
      <c r="A44" s="390"/>
      <c r="B44" s="123" t="s">
        <v>44</v>
      </c>
      <c r="C44" s="109"/>
      <c r="D44" s="110"/>
    </row>
    <row r="45" spans="1:5" ht="13.8" x14ac:dyDescent="0.25">
      <c r="A45" s="564" t="s">
        <v>0</v>
      </c>
      <c r="B45" s="123" t="s">
        <v>45</v>
      </c>
      <c r="C45" s="109"/>
    </row>
    <row r="46" spans="1:5" ht="50.4" x14ac:dyDescent="0.25">
      <c r="A46" s="565"/>
      <c r="B46" s="314" t="s">
        <v>169</v>
      </c>
      <c r="C46" s="220"/>
      <c r="D46" s="108"/>
    </row>
    <row r="47" spans="1:5" x14ac:dyDescent="0.25">
      <c r="A47" s="222"/>
      <c r="B47" s="181"/>
      <c r="C47" s="181"/>
      <c r="D47" s="108"/>
    </row>
    <row r="48" spans="1:5" x14ac:dyDescent="0.25">
      <c r="A48" s="222"/>
      <c r="B48" s="181"/>
      <c r="C48" s="181"/>
      <c r="D48" s="108"/>
    </row>
    <row r="49" spans="1:4" x14ac:dyDescent="0.25">
      <c r="A49" s="225"/>
      <c r="B49" s="223"/>
      <c r="C49" s="181"/>
      <c r="D49" s="108"/>
    </row>
    <row r="50" spans="1:4" ht="15" x14ac:dyDescent="0.35">
      <c r="A50" s="226" t="s">
        <v>0</v>
      </c>
      <c r="B50" s="224"/>
      <c r="C50" s="181"/>
      <c r="D50" s="181"/>
    </row>
    <row r="51" spans="1:4" x14ac:dyDescent="0.25">
      <c r="A51" s="108" t="s">
        <v>0</v>
      </c>
    </row>
    <row r="55" spans="1:4" ht="12.75" customHeight="1" x14ac:dyDescent="0.25"/>
    <row r="59" spans="1:4" ht="16.5" customHeight="1" x14ac:dyDescent="0.25"/>
    <row r="63" spans="1:4" ht="15.75" customHeight="1" x14ac:dyDescent="0.25"/>
    <row r="64" spans="1:4" ht="15" customHeight="1" x14ac:dyDescent="0.25"/>
  </sheetData>
  <mergeCells count="3">
    <mergeCell ref="A4:D4"/>
    <mergeCell ref="A13:D13"/>
    <mergeCell ref="B27:D27"/>
  </mergeCells>
  <printOptions horizontalCentered="1"/>
  <pageMargins left="0.59055118110236227" right="0.59055118110236227" top="0.19685039370078741" bottom="0.19685039370078741" header="0.19685039370078741" footer="0.19685039370078741"/>
  <pageSetup paperSize="9" scale="65" fitToWidth="0" orientation="portrait" r:id="rId1"/>
  <headerFooter alignWithMargins="0">
    <oddFooter>Página &amp;P de &amp;N</oddFooter>
  </headerFooter>
  <drawing r:id="rId2"/>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B814-6330-4799-A315-CC60876A6ED6}">
  <sheetPr>
    <tabColor theme="4" tint="-0.249977111117893"/>
    <pageSetUpPr fitToPage="1"/>
  </sheetPr>
  <dimension ref="A1:G62"/>
  <sheetViews>
    <sheetView topLeftCell="A10" zoomScaleNormal="100" workbookViewId="0">
      <selection activeCell="A18" sqref="A18:D18"/>
    </sheetView>
  </sheetViews>
  <sheetFormatPr baseColWidth="10" defaultColWidth="10.33203125" defaultRowHeight="13.2" x14ac:dyDescent="0.25"/>
  <cols>
    <col min="1" max="1" width="5.44140625" style="108" customWidth="1"/>
    <col min="2" max="2" width="87.21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1535</v>
      </c>
      <c r="C7" s="58"/>
      <c r="D7" s="58"/>
    </row>
    <row r="8" spans="1:7" s="10" customFormat="1" ht="16.8" x14ac:dyDescent="0.4">
      <c r="A8" s="57" t="s">
        <v>1536</v>
      </c>
      <c r="C8" s="58"/>
      <c r="D8" s="58"/>
    </row>
    <row r="9" spans="1:7" s="10" customFormat="1" ht="16.8" x14ac:dyDescent="0.4">
      <c r="A9" s="57" t="s">
        <v>284</v>
      </c>
      <c r="C9" s="58"/>
      <c r="D9" s="58"/>
    </row>
    <row r="10" spans="1:7" s="10" customFormat="1" ht="16.8" x14ac:dyDescent="0.4">
      <c r="A10" s="57" t="s">
        <v>315</v>
      </c>
      <c r="C10" s="59"/>
      <c r="D10" s="58"/>
    </row>
    <row r="11" spans="1:7" s="10" customFormat="1" ht="16.8" x14ac:dyDescent="0.4">
      <c r="A11" s="60" t="s">
        <v>1537</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1431</v>
      </c>
      <c r="C15" s="625">
        <f>(135*110)</f>
        <v>14850</v>
      </c>
      <c r="D15" s="75">
        <f t="shared" ref="D15:D23" si="0">A15*C15</f>
        <v>14850</v>
      </c>
      <c r="E15" s="190"/>
      <c r="G15" s="10"/>
    </row>
    <row r="16" spans="1:7" ht="45" x14ac:dyDescent="0.4">
      <c r="A16" s="72">
        <v>1</v>
      </c>
      <c r="B16" s="73" t="s">
        <v>1411</v>
      </c>
      <c r="C16" s="428">
        <f>5500</f>
        <v>5500</v>
      </c>
      <c r="D16" s="75">
        <f t="shared" si="0"/>
        <v>5500</v>
      </c>
      <c r="E16" s="190"/>
      <c r="F16" s="188"/>
      <c r="G16" s="10"/>
    </row>
    <row r="17" spans="1:7" s="191" customFormat="1" ht="45" x14ac:dyDescent="0.4">
      <c r="A17" s="72">
        <v>1</v>
      </c>
      <c r="B17" s="73" t="s">
        <v>915</v>
      </c>
      <c r="C17" s="428">
        <v>54000</v>
      </c>
      <c r="D17" s="75">
        <f t="shared" si="0"/>
        <v>54000</v>
      </c>
      <c r="E17" s="190"/>
      <c r="F17" s="188"/>
      <c r="G17" s="10"/>
    </row>
    <row r="18" spans="1:7" ht="16.8" x14ac:dyDescent="0.4">
      <c r="A18" s="72">
        <v>2</v>
      </c>
      <c r="B18" s="73" t="s">
        <v>1415</v>
      </c>
      <c r="C18" s="428">
        <f>(222*19.5)*1.5</f>
        <v>6493.5</v>
      </c>
      <c r="D18" s="75">
        <f t="shared" si="0"/>
        <v>12987</v>
      </c>
      <c r="E18" s="190"/>
      <c r="F18" s="188"/>
      <c r="G18" s="10"/>
    </row>
    <row r="19" spans="1:7" ht="15.6" x14ac:dyDescent="0.25">
      <c r="A19" s="72">
        <v>2</v>
      </c>
      <c r="B19" s="73" t="s">
        <v>269</v>
      </c>
      <c r="C19" s="428">
        <f>5664/2</f>
        <v>2832</v>
      </c>
      <c r="D19" s="75">
        <f t="shared" si="0"/>
        <v>5664</v>
      </c>
      <c r="E19" s="189"/>
      <c r="G19" s="191"/>
    </row>
    <row r="20" spans="1:7" ht="15.6" x14ac:dyDescent="0.25">
      <c r="A20" s="571">
        <v>4</v>
      </c>
      <c r="B20" s="572" t="s">
        <v>270</v>
      </c>
      <c r="C20" s="626">
        <v>320</v>
      </c>
      <c r="D20" s="75">
        <f t="shared" si="0"/>
        <v>1280</v>
      </c>
      <c r="E20" s="189"/>
    </row>
    <row r="21" spans="1:7" ht="45" x14ac:dyDescent="0.25">
      <c r="A21" s="72">
        <v>1</v>
      </c>
      <c r="B21" s="624" t="s">
        <v>1532</v>
      </c>
      <c r="C21" s="625">
        <v>14850</v>
      </c>
      <c r="D21" s="75">
        <f t="shared" si="0"/>
        <v>14850</v>
      </c>
    </row>
    <row r="22" spans="1:7" ht="30" x14ac:dyDescent="0.25">
      <c r="A22" s="72">
        <v>1</v>
      </c>
      <c r="B22" s="624" t="s">
        <v>1533</v>
      </c>
      <c r="C22" s="625">
        <v>4971</v>
      </c>
      <c r="D22" s="75">
        <f t="shared" si="0"/>
        <v>4971</v>
      </c>
    </row>
    <row r="23" spans="1:7" ht="16.2" thickBot="1" x14ac:dyDescent="0.3">
      <c r="A23" s="72">
        <v>1</v>
      </c>
      <c r="B23" s="672" t="s">
        <v>1531</v>
      </c>
      <c r="C23" s="625">
        <v>2689</v>
      </c>
      <c r="D23" s="75">
        <f t="shared" si="0"/>
        <v>2689</v>
      </c>
    </row>
    <row r="24" spans="1:7" x14ac:dyDescent="0.25">
      <c r="A24" s="667"/>
      <c r="B24" s="674"/>
      <c r="C24" s="669"/>
      <c r="D24" s="213"/>
    </row>
    <row r="25" spans="1:7" ht="15.6" x14ac:dyDescent="0.25">
      <c r="A25" s="668"/>
      <c r="B25" s="675"/>
      <c r="C25" s="670" t="s">
        <v>188</v>
      </c>
      <c r="D25" s="630">
        <f>SUM(D15:D23)</f>
        <v>116791</v>
      </c>
    </row>
    <row r="26" spans="1:7" ht="16.2" thickBot="1" x14ac:dyDescent="0.35">
      <c r="A26" s="453"/>
      <c r="B26" s="676"/>
      <c r="C26" s="671" t="s">
        <v>90</v>
      </c>
      <c r="D26" s="632">
        <f>D25*0.16</f>
        <v>18686.560000000001</v>
      </c>
    </row>
    <row r="27" spans="1:7" ht="16.2" thickBot="1" x14ac:dyDescent="0.35">
      <c r="A27" s="276"/>
      <c r="B27" s="673"/>
      <c r="C27" s="633" t="s">
        <v>40</v>
      </c>
      <c r="D27" s="634">
        <f>D25+D26</f>
        <v>135477.56</v>
      </c>
    </row>
    <row r="28" spans="1:7" ht="16.2" thickBot="1" x14ac:dyDescent="0.3">
      <c r="A28" s="102"/>
      <c r="B28" s="635" t="s">
        <v>1534</v>
      </c>
      <c r="C28" s="553"/>
      <c r="D28" s="461"/>
    </row>
    <row r="29" spans="1:7" ht="13.8" x14ac:dyDescent="0.25">
      <c r="B29" s="103" t="s">
        <v>15</v>
      </c>
      <c r="C29" s="189"/>
      <c r="D29" s="666"/>
    </row>
    <row r="30" spans="1:7" ht="15" x14ac:dyDescent="0.25">
      <c r="A30" s="106"/>
      <c r="B30" s="295" t="s">
        <v>42</v>
      </c>
    </row>
    <row r="31" spans="1:7" ht="41.4" x14ac:dyDescent="0.25">
      <c r="A31" s="106"/>
      <c r="B31" s="295" t="s">
        <v>43</v>
      </c>
      <c r="C31" s="109"/>
      <c r="D31" s="110"/>
    </row>
    <row r="32" spans="1:7" ht="15" x14ac:dyDescent="0.25">
      <c r="A32" s="106"/>
      <c r="B32" s="103" t="s">
        <v>18</v>
      </c>
      <c r="C32" s="109"/>
      <c r="D32" s="110"/>
    </row>
    <row r="33" spans="1:4" ht="15" x14ac:dyDescent="0.25">
      <c r="A33" s="106"/>
      <c r="B33" s="296" t="s">
        <v>1368</v>
      </c>
      <c r="C33" s="109"/>
      <c r="D33" s="109"/>
    </row>
    <row r="34" spans="1:4" ht="15" x14ac:dyDescent="0.25">
      <c r="A34" s="106"/>
      <c r="B34" s="297" t="s">
        <v>20</v>
      </c>
      <c r="C34" s="109"/>
      <c r="D34" s="109"/>
    </row>
    <row r="35" spans="1:4" ht="13.8" x14ac:dyDescent="0.25">
      <c r="B35" s="103" t="s">
        <v>21</v>
      </c>
      <c r="D35" s="105"/>
    </row>
    <row r="36" spans="1:4" ht="15" x14ac:dyDescent="0.25">
      <c r="A36" s="106"/>
      <c r="B36" s="122" t="s">
        <v>502</v>
      </c>
      <c r="C36" s="109"/>
      <c r="D36" s="110"/>
    </row>
    <row r="37" spans="1:4" ht="15" x14ac:dyDescent="0.25">
      <c r="A37" s="106"/>
      <c r="B37" s="123" t="s">
        <v>44</v>
      </c>
      <c r="C37" s="109"/>
      <c r="D37" s="110"/>
    </row>
    <row r="38" spans="1:4" ht="13.8" x14ac:dyDescent="0.25">
      <c r="A38" s="115" t="s">
        <v>0</v>
      </c>
      <c r="B38" s="298" t="s">
        <v>45</v>
      </c>
      <c r="C38" s="109"/>
    </row>
    <row r="39" spans="1:4" ht="50.4" x14ac:dyDescent="0.25">
      <c r="A39" s="222"/>
      <c r="B39" s="314" t="s">
        <v>169</v>
      </c>
      <c r="C39" s="220"/>
      <c r="D39" s="108"/>
    </row>
    <row r="40" spans="1:4" x14ac:dyDescent="0.25">
      <c r="A40" s="222"/>
      <c r="B40" s="181"/>
      <c r="C40" s="181"/>
      <c r="D40" s="108"/>
    </row>
    <row r="41" spans="1:4" x14ac:dyDescent="0.25">
      <c r="A41" s="222"/>
      <c r="B41" s="181"/>
      <c r="C41" s="181"/>
      <c r="D41" s="108"/>
    </row>
    <row r="42" spans="1:4" x14ac:dyDescent="0.25">
      <c r="A42" s="225"/>
      <c r="B42" s="223"/>
      <c r="C42" s="181"/>
      <c r="D42" s="108"/>
    </row>
    <row r="43" spans="1:4" ht="15" x14ac:dyDescent="0.35">
      <c r="A43" s="226"/>
      <c r="B43" s="224"/>
      <c r="C43" s="181"/>
      <c r="D43" s="181"/>
    </row>
    <row r="44" spans="1:4" x14ac:dyDescent="0.25">
      <c r="A44"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5" fitToWidth="0" orientation="portrait" r:id="rId1"/>
  <headerFooter alignWithMargins="0">
    <oddFooter>Página &amp;P de &amp;N</oddFooter>
  </headerFooter>
  <drawing r:id="rId2"/>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DE78-B121-4A69-80CC-6CF4DC0F8422}">
  <sheetPr>
    <tabColor theme="4" tint="-0.249977111117893"/>
    <pageSetUpPr fitToPage="1"/>
  </sheetPr>
  <dimension ref="A1:H62"/>
  <sheetViews>
    <sheetView topLeftCell="A6" zoomScaleNormal="100" workbookViewId="0">
      <selection activeCell="A12" sqref="A12:D12"/>
    </sheetView>
  </sheetViews>
  <sheetFormatPr baseColWidth="10" defaultColWidth="10.33203125" defaultRowHeight="13.2" x14ac:dyDescent="0.25"/>
  <cols>
    <col min="1" max="1" width="5.44140625" style="108" customWidth="1"/>
    <col min="2" max="2" width="77.1093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1535</v>
      </c>
      <c r="C7" s="58"/>
      <c r="D7" s="58"/>
    </row>
    <row r="8" spans="1:7" s="10" customFormat="1" ht="16.8" x14ac:dyDescent="0.4">
      <c r="A8" s="57" t="s">
        <v>1536</v>
      </c>
      <c r="C8" s="58"/>
      <c r="D8" s="58"/>
    </row>
    <row r="9" spans="1:7" s="10" customFormat="1" ht="16.8" x14ac:dyDescent="0.4">
      <c r="A9" s="57" t="s">
        <v>284</v>
      </c>
      <c r="C9" s="58"/>
      <c r="D9" s="58"/>
    </row>
    <row r="10" spans="1:7" s="10" customFormat="1" ht="16.8" x14ac:dyDescent="0.4">
      <c r="A10" s="57" t="s">
        <v>315</v>
      </c>
      <c r="C10" s="59"/>
      <c r="D10" s="58"/>
    </row>
    <row r="11" spans="1:7" s="10" customFormat="1" ht="16.8" x14ac:dyDescent="0.4">
      <c r="A11" s="60" t="s">
        <v>1579</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73" t="s">
        <v>1411</v>
      </c>
      <c r="C15" s="428">
        <f>5500</f>
        <v>5500</v>
      </c>
      <c r="D15" s="75">
        <f t="shared" ref="D15:D19" si="0">A15*C15</f>
        <v>5500</v>
      </c>
      <c r="E15" s="190"/>
      <c r="G15" s="10"/>
    </row>
    <row r="16" spans="1:7" ht="60" x14ac:dyDescent="0.4">
      <c r="A16" s="72">
        <v>1</v>
      </c>
      <c r="B16" s="73" t="s">
        <v>915</v>
      </c>
      <c r="C16" s="428">
        <v>54000</v>
      </c>
      <c r="D16" s="75">
        <f t="shared" si="0"/>
        <v>54000</v>
      </c>
      <c r="E16" s="190"/>
      <c r="F16" s="188"/>
      <c r="G16" s="10"/>
    </row>
    <row r="17" spans="1:8" s="191" customFormat="1" ht="16.8" x14ac:dyDescent="0.4">
      <c r="A17" s="72">
        <v>2</v>
      </c>
      <c r="B17" s="73" t="s">
        <v>1415</v>
      </c>
      <c r="C17" s="428">
        <f>(222*19.5)*1.2</f>
        <v>5194.8</v>
      </c>
      <c r="D17" s="75">
        <f t="shared" si="0"/>
        <v>10389.6</v>
      </c>
      <c r="E17" s="190"/>
      <c r="F17" s="188"/>
      <c r="G17" s="10"/>
      <c r="H17" s="108"/>
    </row>
    <row r="18" spans="1:8" ht="15.6" x14ac:dyDescent="0.25">
      <c r="A18" s="72">
        <v>2</v>
      </c>
      <c r="B18" s="73" t="s">
        <v>269</v>
      </c>
      <c r="C18" s="428">
        <f>5664/2</f>
        <v>2832</v>
      </c>
      <c r="D18" s="75">
        <f t="shared" si="0"/>
        <v>5664</v>
      </c>
      <c r="E18" s="189"/>
      <c r="F18" s="188"/>
      <c r="G18" s="191"/>
    </row>
    <row r="19" spans="1:8" ht="16.2" thickBot="1" x14ac:dyDescent="0.3">
      <c r="A19" s="571">
        <v>4</v>
      </c>
      <c r="B19" s="572" t="s">
        <v>270</v>
      </c>
      <c r="C19" s="626">
        <v>320</v>
      </c>
      <c r="D19" s="75">
        <f t="shared" si="0"/>
        <v>1280</v>
      </c>
      <c r="E19" s="189"/>
    </row>
    <row r="20" spans="1:8" x14ac:dyDescent="0.25">
      <c r="A20" s="667"/>
      <c r="B20" s="674"/>
      <c r="C20" s="669"/>
      <c r="D20" s="213"/>
    </row>
    <row r="21" spans="1:8" ht="15.6" x14ac:dyDescent="0.25">
      <c r="A21" s="668"/>
      <c r="B21" s="675"/>
      <c r="C21" s="670" t="s">
        <v>188</v>
      </c>
      <c r="D21" s="630">
        <f>SUM(D15:D19)</f>
        <v>76833.600000000006</v>
      </c>
    </row>
    <row r="22" spans="1:8" ht="16.2" thickBot="1" x14ac:dyDescent="0.35">
      <c r="A22" s="453"/>
      <c r="B22" s="676"/>
      <c r="C22" s="671" t="s">
        <v>90</v>
      </c>
      <c r="D22" s="632">
        <f>D21*0.16</f>
        <v>12293.376000000002</v>
      </c>
    </row>
    <row r="23" spans="1:8" ht="16.2" thickBot="1" x14ac:dyDescent="0.35">
      <c r="A23" s="276"/>
      <c r="B23" s="673"/>
      <c r="C23" s="633" t="s">
        <v>40</v>
      </c>
      <c r="D23" s="634">
        <f>D21+D22</f>
        <v>89126.97600000001</v>
      </c>
    </row>
    <row r="24" spans="1:8" ht="16.2" thickBot="1" x14ac:dyDescent="0.3">
      <c r="A24" s="102"/>
      <c r="B24" s="635" t="s">
        <v>1581</v>
      </c>
      <c r="C24" s="553"/>
      <c r="D24" s="461"/>
    </row>
    <row r="25" spans="1:8" ht="13.8" x14ac:dyDescent="0.25">
      <c r="B25" s="103" t="s">
        <v>15</v>
      </c>
      <c r="C25" s="189"/>
      <c r="D25" s="666"/>
    </row>
    <row r="26" spans="1:8" ht="27.6" x14ac:dyDescent="0.25">
      <c r="A26" s="106"/>
      <c r="B26" s="295" t="s">
        <v>42</v>
      </c>
    </row>
    <row r="27" spans="1:8" ht="41.4" x14ac:dyDescent="0.25">
      <c r="A27" s="106"/>
      <c r="B27" s="295" t="s">
        <v>43</v>
      </c>
      <c r="C27" s="109"/>
      <c r="D27" s="110"/>
    </row>
    <row r="28" spans="1:8" ht="15" x14ac:dyDescent="0.25">
      <c r="A28" s="106"/>
      <c r="B28" s="103" t="s">
        <v>18</v>
      </c>
      <c r="C28" s="109"/>
      <c r="D28" s="110"/>
    </row>
    <row r="29" spans="1:8" ht="15" x14ac:dyDescent="0.25">
      <c r="A29" s="106"/>
      <c r="B29" s="296" t="s">
        <v>1368</v>
      </c>
      <c r="C29" s="109"/>
      <c r="D29" s="109"/>
    </row>
    <row r="30" spans="1:8" ht="15" x14ac:dyDescent="0.25">
      <c r="A30" s="106"/>
      <c r="B30" s="297" t="s">
        <v>20</v>
      </c>
      <c r="C30" s="109"/>
      <c r="D30" s="109"/>
    </row>
    <row r="31" spans="1:8" ht="13.8" x14ac:dyDescent="0.25">
      <c r="B31" s="103" t="s">
        <v>21</v>
      </c>
      <c r="D31" s="105"/>
    </row>
    <row r="32" spans="1:8" ht="15" x14ac:dyDescent="0.25">
      <c r="A32" s="106"/>
      <c r="B32" s="122" t="s">
        <v>502</v>
      </c>
      <c r="C32" s="109"/>
      <c r="D32" s="110"/>
    </row>
    <row r="33" spans="1:4" ht="15" x14ac:dyDescent="0.25">
      <c r="A33" s="106"/>
      <c r="B33" s="123" t="s">
        <v>44</v>
      </c>
      <c r="C33" s="109"/>
      <c r="D33" s="110"/>
    </row>
    <row r="34" spans="1:4" ht="13.8" x14ac:dyDescent="0.25">
      <c r="A34" s="115" t="s">
        <v>0</v>
      </c>
      <c r="B34" s="298" t="s">
        <v>45</v>
      </c>
      <c r="C34" s="109"/>
    </row>
    <row r="35" spans="1:4" ht="50.4" x14ac:dyDescent="0.25">
      <c r="A35" s="222"/>
      <c r="B35" s="314" t="s">
        <v>169</v>
      </c>
      <c r="C35" s="220"/>
      <c r="D35" s="108"/>
    </row>
    <row r="36" spans="1:4" x14ac:dyDescent="0.25">
      <c r="A36" s="222"/>
      <c r="B36" s="181"/>
      <c r="C36" s="181"/>
      <c r="D36" s="108"/>
    </row>
    <row r="37" spans="1:4" x14ac:dyDescent="0.25">
      <c r="A37" s="222"/>
      <c r="B37" s="181"/>
      <c r="C37" s="181"/>
      <c r="D37" s="108"/>
    </row>
    <row r="38" spans="1:4" x14ac:dyDescent="0.25">
      <c r="A38" s="225"/>
      <c r="B38" s="223"/>
      <c r="C38" s="181"/>
      <c r="D38" s="108"/>
    </row>
    <row r="39" spans="1:4" ht="15" x14ac:dyDescent="0.35">
      <c r="A39" s="226"/>
      <c r="B39" s="224"/>
      <c r="C39" s="181"/>
      <c r="D39" s="181"/>
    </row>
    <row r="40" spans="1:4" x14ac:dyDescent="0.25">
      <c r="A40"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5" fitToWidth="0" orientation="portrait" r:id="rId1"/>
  <headerFooter alignWithMargins="0">
    <oddFooter>Página &amp;P de &amp;N</oddFooter>
  </headerFooter>
  <drawing r:id="rId2"/>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F273-ABF8-4A2C-B174-D17AB3866686}">
  <sheetPr>
    <tabColor theme="4" tint="-0.249977111117893"/>
    <pageSetUpPr fitToPage="1"/>
  </sheetPr>
  <dimension ref="A1:H62"/>
  <sheetViews>
    <sheetView topLeftCell="A9" zoomScaleNormal="100" workbookViewId="0">
      <selection activeCell="B30" sqref="B30"/>
    </sheetView>
  </sheetViews>
  <sheetFormatPr baseColWidth="10" defaultColWidth="10.33203125" defaultRowHeight="13.2" x14ac:dyDescent="0.25"/>
  <cols>
    <col min="1" max="1" width="5.44140625" style="108" customWidth="1"/>
    <col min="2" max="2" width="72.1093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236</v>
      </c>
      <c r="C7" s="58"/>
      <c r="D7" s="58"/>
    </row>
    <row r="8" spans="1:7" s="10" customFormat="1" ht="16.8" x14ac:dyDescent="0.4">
      <c r="A8" s="57" t="s">
        <v>1435</v>
      </c>
      <c r="C8" s="58"/>
      <c r="D8" s="58"/>
    </row>
    <row r="9" spans="1:7" s="10" customFormat="1" ht="16.8" x14ac:dyDescent="0.4">
      <c r="A9" s="57" t="s">
        <v>284</v>
      </c>
      <c r="C9" s="58"/>
      <c r="D9" s="58"/>
    </row>
    <row r="10" spans="1:7" s="10" customFormat="1" ht="16.8" x14ac:dyDescent="0.4">
      <c r="A10" s="57" t="s">
        <v>1010</v>
      </c>
      <c r="C10" s="59"/>
      <c r="D10" s="58"/>
    </row>
    <row r="11" spans="1:7" s="10" customFormat="1" ht="16.8" x14ac:dyDescent="0.4">
      <c r="A11" s="60" t="s">
        <v>1539</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30" x14ac:dyDescent="0.4">
      <c r="A15" s="72">
        <v>1</v>
      </c>
      <c r="B15" s="73" t="s">
        <v>1540</v>
      </c>
      <c r="C15" s="428">
        <f>2877+6500</f>
        <v>9377</v>
      </c>
      <c r="D15" s="75">
        <f t="shared" ref="D15:D16" si="0">A15*C15</f>
        <v>9377</v>
      </c>
      <c r="E15" s="190"/>
      <c r="G15" s="10"/>
    </row>
    <row r="16" spans="1:7" ht="30" x14ac:dyDescent="0.4">
      <c r="A16" s="72">
        <v>1</v>
      </c>
      <c r="B16" s="73" t="s">
        <v>1541</v>
      </c>
      <c r="C16" s="428">
        <v>14000</v>
      </c>
      <c r="D16" s="75">
        <f t="shared" si="0"/>
        <v>14000</v>
      </c>
      <c r="E16" s="190"/>
      <c r="F16" s="188"/>
      <c r="G16" s="10"/>
    </row>
    <row r="17" spans="1:8" s="191" customFormat="1" ht="30.6" thickBot="1" x14ac:dyDescent="0.45">
      <c r="A17" s="72">
        <v>1</v>
      </c>
      <c r="B17" s="73" t="s">
        <v>1542</v>
      </c>
      <c r="C17" s="428" t="s">
        <v>1543</v>
      </c>
      <c r="D17" s="75"/>
      <c r="E17" s="189"/>
      <c r="F17" s="188"/>
      <c r="G17" s="10"/>
      <c r="H17" s="108"/>
    </row>
    <row r="18" spans="1:8" x14ac:dyDescent="0.25">
      <c r="A18" s="667"/>
      <c r="B18" s="674"/>
      <c r="C18" s="669"/>
      <c r="D18" s="213"/>
      <c r="G18" s="191"/>
    </row>
    <row r="19" spans="1:8" ht="15.6" x14ac:dyDescent="0.25">
      <c r="A19" s="668"/>
      <c r="B19" s="675"/>
      <c r="C19" s="670" t="s">
        <v>188</v>
      </c>
      <c r="D19" s="630">
        <f>SUM(D15:D17)</f>
        <v>23377</v>
      </c>
    </row>
    <row r="20" spans="1:8" ht="16.2" thickBot="1" x14ac:dyDescent="0.35">
      <c r="A20" s="453"/>
      <c r="B20" s="676"/>
      <c r="C20" s="671" t="s">
        <v>90</v>
      </c>
      <c r="D20" s="632">
        <f>D19*0.16</f>
        <v>3740.32</v>
      </c>
    </row>
    <row r="21" spans="1:8" ht="16.2" thickBot="1" x14ac:dyDescent="0.35">
      <c r="A21" s="276"/>
      <c r="B21" s="673"/>
      <c r="C21" s="633" t="s">
        <v>40</v>
      </c>
      <c r="D21" s="634">
        <f>D19+D20</f>
        <v>27117.32</v>
      </c>
    </row>
    <row r="22" spans="1:8" ht="16.2" thickBot="1" x14ac:dyDescent="0.3">
      <c r="A22" s="102"/>
      <c r="B22" s="635" t="s">
        <v>1538</v>
      </c>
      <c r="C22" s="553"/>
      <c r="D22" s="461"/>
    </row>
    <row r="23" spans="1:8" ht="13.8" x14ac:dyDescent="0.25">
      <c r="B23" s="103" t="s">
        <v>15</v>
      </c>
      <c r="C23" s="189"/>
      <c r="D23" s="666"/>
    </row>
    <row r="24" spans="1:8" ht="27.6" x14ac:dyDescent="0.25">
      <c r="A24" s="106"/>
      <c r="B24" s="295" t="s">
        <v>42</v>
      </c>
    </row>
    <row r="25" spans="1:8" ht="41.4" x14ac:dyDescent="0.25">
      <c r="A25" s="106"/>
      <c r="B25" s="295" t="s">
        <v>43</v>
      </c>
      <c r="C25" s="109"/>
      <c r="D25" s="110"/>
    </row>
    <row r="26" spans="1:8" ht="15" x14ac:dyDescent="0.25">
      <c r="A26" s="106"/>
      <c r="B26" s="103" t="s">
        <v>18</v>
      </c>
      <c r="C26" s="109"/>
      <c r="D26" s="110"/>
    </row>
    <row r="27" spans="1:8" ht="15" x14ac:dyDescent="0.25">
      <c r="A27" s="106"/>
      <c r="B27" s="296" t="s">
        <v>1544</v>
      </c>
      <c r="C27" s="109"/>
      <c r="D27" s="109"/>
    </row>
    <row r="28" spans="1:8" ht="15" x14ac:dyDescent="0.25">
      <c r="A28" s="106"/>
      <c r="B28" s="297" t="s">
        <v>20</v>
      </c>
      <c r="C28" s="109"/>
      <c r="D28" s="109"/>
    </row>
    <row r="29" spans="1:8" ht="13.8" x14ac:dyDescent="0.25">
      <c r="B29" s="103" t="s">
        <v>21</v>
      </c>
      <c r="D29" s="105"/>
    </row>
    <row r="30" spans="1:8" ht="15" x14ac:dyDescent="0.25">
      <c r="A30" s="106"/>
      <c r="B30" s="122" t="s">
        <v>502</v>
      </c>
      <c r="C30" s="109"/>
      <c r="D30" s="110"/>
    </row>
    <row r="31" spans="1:8" ht="15" x14ac:dyDescent="0.25">
      <c r="A31" s="106"/>
      <c r="B31" s="123" t="s">
        <v>44</v>
      </c>
      <c r="C31" s="109"/>
      <c r="D31" s="110"/>
    </row>
    <row r="32" spans="1:8" ht="13.8" x14ac:dyDescent="0.25">
      <c r="A32" s="115" t="s">
        <v>0</v>
      </c>
      <c r="B32" s="298" t="s">
        <v>45</v>
      </c>
      <c r="C32" s="109"/>
    </row>
    <row r="33" spans="1:4" ht="50.4" x14ac:dyDescent="0.25">
      <c r="A33" s="222"/>
      <c r="B33" s="314" t="s">
        <v>169</v>
      </c>
      <c r="C33" s="220"/>
      <c r="D33" s="108"/>
    </row>
    <row r="34" spans="1:4" x14ac:dyDescent="0.25">
      <c r="A34" s="222"/>
      <c r="B34" s="181"/>
      <c r="C34" s="181"/>
      <c r="D34" s="108"/>
    </row>
    <row r="35" spans="1:4" x14ac:dyDescent="0.25">
      <c r="A35" s="222"/>
      <c r="B35" s="181"/>
      <c r="C35" s="181"/>
      <c r="D35" s="108"/>
    </row>
    <row r="36" spans="1:4" x14ac:dyDescent="0.25">
      <c r="A36" s="225"/>
      <c r="B36" s="223"/>
      <c r="C36" s="181"/>
      <c r="D36" s="108"/>
    </row>
    <row r="37" spans="1:4" ht="15" x14ac:dyDescent="0.35">
      <c r="A37" s="226"/>
      <c r="B37" s="224"/>
      <c r="C37" s="181"/>
      <c r="D37" s="181"/>
    </row>
    <row r="38" spans="1:4" x14ac:dyDescent="0.25">
      <c r="A38"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92" fitToWidth="0" orientation="portrait" r:id="rId1"/>
  <headerFooter alignWithMargins="0">
    <oddFooter>Página &amp;P de &amp;N</oddFooter>
  </headerFooter>
  <drawing r:id="rId2"/>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B236-58D7-426A-B66B-2C72E0CB4615}">
  <sheetPr>
    <tabColor theme="4" tint="-0.249977111117893"/>
  </sheetPr>
  <dimension ref="A1:I55"/>
  <sheetViews>
    <sheetView zoomScaleNormal="100" workbookViewId="0">
      <selection activeCell="A9" sqref="A9"/>
    </sheetView>
  </sheetViews>
  <sheetFormatPr baseColWidth="10" defaultColWidth="11.44140625" defaultRowHeight="13.2" x14ac:dyDescent="0.25"/>
  <cols>
    <col min="1" max="1" width="6.44140625" style="108" customWidth="1"/>
    <col min="2" max="2" width="68.8867187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1504</v>
      </c>
      <c r="C4" s="58"/>
      <c r="D4" s="58"/>
    </row>
    <row r="5" spans="1:9" s="10" customFormat="1" ht="16.8" x14ac:dyDescent="0.4">
      <c r="A5" s="57" t="s">
        <v>1500</v>
      </c>
      <c r="C5" s="58"/>
      <c r="D5" s="58"/>
    </row>
    <row r="6" spans="1:9" s="10" customFormat="1" ht="16.8" x14ac:dyDescent="0.4">
      <c r="A6" s="57" t="s">
        <v>1501</v>
      </c>
      <c r="C6" s="59"/>
      <c r="D6" s="58"/>
    </row>
    <row r="7" spans="1:9" s="10" customFormat="1" ht="16.8" x14ac:dyDescent="0.4">
      <c r="A7" s="57" t="s">
        <v>1502</v>
      </c>
      <c r="C7" s="59"/>
      <c r="D7" s="58"/>
    </row>
    <row r="8" spans="1:9" s="10" customFormat="1" ht="16.8" x14ac:dyDescent="0.4">
      <c r="A8" s="57" t="s">
        <v>6</v>
      </c>
      <c r="B8" s="61"/>
      <c r="C8" s="62"/>
      <c r="D8" s="63"/>
    </row>
    <row r="9" spans="1:9" s="10" customFormat="1" ht="16.8" x14ac:dyDescent="0.4">
      <c r="A9" s="257" t="s">
        <v>1548</v>
      </c>
      <c r="B9" s="258"/>
      <c r="C9" s="62"/>
      <c r="D9" s="259"/>
    </row>
    <row r="10" spans="1:9" s="10" customFormat="1" ht="26.4" x14ac:dyDescent="0.4">
      <c r="A10" s="145" t="s">
        <v>29</v>
      </c>
      <c r="B10" s="145" t="s">
        <v>175</v>
      </c>
      <c r="C10" s="146" t="s">
        <v>31</v>
      </c>
      <c r="D10" s="146" t="s">
        <v>32</v>
      </c>
      <c r="E10" s="189"/>
    </row>
    <row r="11" spans="1:9" s="10" customFormat="1" ht="9" customHeight="1" x14ac:dyDescent="0.4">
      <c r="A11" s="148"/>
      <c r="B11" s="149"/>
      <c r="C11" s="150"/>
      <c r="D11" s="150"/>
      <c r="E11" s="190"/>
      <c r="F11" s="108"/>
    </row>
    <row r="12" spans="1:9" s="10" customFormat="1" ht="15" customHeight="1" x14ac:dyDescent="0.4">
      <c r="A12" s="799">
        <v>1</v>
      </c>
      <c r="B12" s="800" t="s">
        <v>1490</v>
      </c>
      <c r="C12" s="184">
        <f>10000+6000+19000</f>
        <v>35000</v>
      </c>
      <c r="D12" s="165">
        <f>A12*C12</f>
        <v>35000</v>
      </c>
      <c r="E12" s="190"/>
      <c r="F12" s="191"/>
    </row>
    <row r="13" spans="1:9" s="10" customFormat="1" ht="16.8" x14ac:dyDescent="0.4">
      <c r="A13" s="801"/>
      <c r="B13" s="802" t="s">
        <v>1491</v>
      </c>
      <c r="C13" s="184"/>
      <c r="D13" s="165"/>
      <c r="E13" s="190"/>
      <c r="F13" s="191"/>
      <c r="G13" s="188"/>
      <c r="H13" s="188"/>
      <c r="I13" s="188"/>
    </row>
    <row r="14" spans="1:9" s="10" customFormat="1" ht="16.8" x14ac:dyDescent="0.4">
      <c r="A14" s="801">
        <v>1</v>
      </c>
      <c r="B14" s="802" t="s">
        <v>1492</v>
      </c>
      <c r="C14" s="184">
        <f>3580</f>
        <v>3580</v>
      </c>
      <c r="D14" s="165">
        <f t="shared" ref="D14" si="0">A14*C14</f>
        <v>3580</v>
      </c>
      <c r="E14" s="190"/>
      <c r="F14" s="191"/>
      <c r="G14" s="108"/>
      <c r="H14" s="108"/>
      <c r="I14" s="108"/>
    </row>
    <row r="15" spans="1:9" s="188" customFormat="1" ht="14.4" x14ac:dyDescent="0.3">
      <c r="A15" s="801"/>
      <c r="B15" s="802" t="s">
        <v>1493</v>
      </c>
      <c r="C15" s="184"/>
      <c r="D15" s="165"/>
      <c r="E15" s="189"/>
      <c r="F15" s="276"/>
      <c r="G15" s="191"/>
      <c r="H15" s="191"/>
      <c r="I15" s="191"/>
    </row>
    <row r="16" spans="1:9" ht="14.4" x14ac:dyDescent="0.25">
      <c r="A16" s="799">
        <v>1</v>
      </c>
      <c r="B16" s="800" t="s">
        <v>1490</v>
      </c>
      <c r="C16" s="184">
        <f>10000+6000+19000</f>
        <v>35000</v>
      </c>
      <c r="D16" s="165">
        <f>A16*C16</f>
        <v>35000</v>
      </c>
      <c r="E16" s="189"/>
    </row>
    <row r="17" spans="1:6" s="191" customFormat="1" ht="15.75" customHeight="1" x14ac:dyDescent="0.3">
      <c r="A17" s="801"/>
      <c r="B17" s="802" t="s">
        <v>1491</v>
      </c>
      <c r="C17" s="184"/>
      <c r="D17" s="165"/>
      <c r="E17" s="189"/>
      <c r="F17" s="108"/>
    </row>
    <row r="18" spans="1:6" ht="14.4" x14ac:dyDescent="0.3">
      <c r="A18" s="801">
        <v>1</v>
      </c>
      <c r="B18" s="802" t="s">
        <v>1494</v>
      </c>
      <c r="C18" s="184">
        <f>2980</f>
        <v>2980</v>
      </c>
      <c r="D18" s="165">
        <f t="shared" ref="D18" si="1">A18*C18</f>
        <v>2980</v>
      </c>
      <c r="E18" s="189"/>
    </row>
    <row r="19" spans="1:6" x14ac:dyDescent="0.25">
      <c r="A19" s="286"/>
      <c r="B19" s="286"/>
      <c r="C19" s="810" t="s">
        <v>188</v>
      </c>
      <c r="D19" s="811">
        <f>SUM(D12:D18)</f>
        <v>76560</v>
      </c>
      <c r="E19" s="189"/>
    </row>
    <row r="20" spans="1:6" x14ac:dyDescent="0.25">
      <c r="A20" s="102"/>
      <c r="B20" s="383" t="s">
        <v>993</v>
      </c>
      <c r="C20" s="804" t="s">
        <v>90</v>
      </c>
      <c r="D20" s="805">
        <f>D19*0.16</f>
        <v>12249.6</v>
      </c>
      <c r="E20" s="189"/>
    </row>
    <row r="21" spans="1:6" x14ac:dyDescent="0.25">
      <c r="A21" s="102"/>
      <c r="B21" s="385" t="s">
        <v>381</v>
      </c>
      <c r="C21" s="806" t="s">
        <v>40</v>
      </c>
      <c r="D21" s="807">
        <f>D19+D20</f>
        <v>88809.600000000006</v>
      </c>
      <c r="E21" s="803"/>
    </row>
    <row r="22" spans="1:6" x14ac:dyDescent="0.25">
      <c r="A22" s="276"/>
      <c r="B22" s="1120" t="s">
        <v>1545</v>
      </c>
      <c r="C22" s="1120"/>
      <c r="D22" s="1120"/>
      <c r="E22" s="803"/>
    </row>
    <row r="23" spans="1:6" ht="17.399999999999999" x14ac:dyDescent="0.25">
      <c r="A23" s="383"/>
      <c r="B23" s="713" t="s">
        <v>10</v>
      </c>
      <c r="C23" s="808"/>
      <c r="D23" s="809"/>
      <c r="E23" s="803"/>
    </row>
    <row r="24" spans="1:6" ht="15" x14ac:dyDescent="0.25">
      <c r="A24" s="390"/>
      <c r="B24" s="103" t="s">
        <v>11</v>
      </c>
      <c r="C24" s="388"/>
      <c r="D24" s="389"/>
      <c r="E24" s="392"/>
    </row>
    <row r="25" spans="1:6" ht="15" x14ac:dyDescent="0.25">
      <c r="A25" s="390"/>
      <c r="B25" s="123" t="s">
        <v>13</v>
      </c>
      <c r="C25" s="391"/>
      <c r="D25" s="389"/>
      <c r="E25" s="392"/>
    </row>
    <row r="26" spans="1:6" ht="13.8" x14ac:dyDescent="0.25">
      <c r="A26" s="392"/>
      <c r="B26" s="103" t="s">
        <v>15</v>
      </c>
      <c r="C26" s="391"/>
      <c r="D26" s="391"/>
      <c r="E26" s="392"/>
    </row>
    <row r="27" spans="1:6" ht="27.6" x14ac:dyDescent="0.25">
      <c r="A27" s="390"/>
      <c r="B27" s="295" t="s">
        <v>192</v>
      </c>
      <c r="C27" s="393"/>
      <c r="D27" s="394"/>
      <c r="E27" s="392"/>
    </row>
    <row r="28" spans="1:6" ht="41.4" x14ac:dyDescent="0.25">
      <c r="A28" s="390"/>
      <c r="B28" s="295" t="s">
        <v>43</v>
      </c>
      <c r="C28" s="393"/>
      <c r="D28" s="394"/>
      <c r="E28" s="392"/>
    </row>
    <row r="29" spans="1:6" ht="15" x14ac:dyDescent="0.25">
      <c r="A29" s="390"/>
      <c r="B29" s="103" t="s">
        <v>18</v>
      </c>
      <c r="C29" s="393"/>
      <c r="D29" s="391"/>
      <c r="E29" s="392"/>
    </row>
    <row r="30" spans="1:6" ht="15" x14ac:dyDescent="0.25">
      <c r="A30" s="390"/>
      <c r="B30" s="313" t="s">
        <v>1547</v>
      </c>
      <c r="C30" s="393"/>
      <c r="D30" s="391"/>
      <c r="E30" s="392"/>
    </row>
    <row r="31" spans="1:6" ht="15" x14ac:dyDescent="0.25">
      <c r="A31" s="390"/>
      <c r="B31" s="297" t="s">
        <v>20</v>
      </c>
      <c r="C31" s="393"/>
      <c r="D31" s="392"/>
      <c r="E31" s="392"/>
    </row>
    <row r="32" spans="1:6" ht="13.8" x14ac:dyDescent="0.25">
      <c r="A32" s="392"/>
      <c r="B32" s="103" t="s">
        <v>21</v>
      </c>
      <c r="C32" s="393"/>
      <c r="D32" s="392"/>
      <c r="E32" s="392"/>
    </row>
    <row r="33" spans="1:5" ht="15" x14ac:dyDescent="0.25">
      <c r="A33" s="390"/>
      <c r="B33" s="122" t="s">
        <v>1546</v>
      </c>
      <c r="C33" s="395"/>
      <c r="D33" s="392"/>
      <c r="E33" s="392"/>
    </row>
    <row r="34" spans="1:5" ht="13.5" customHeight="1" x14ac:dyDescent="0.25">
      <c r="A34" s="390"/>
      <c r="B34" s="123" t="s">
        <v>44</v>
      </c>
      <c r="C34" s="395"/>
      <c r="D34" s="395"/>
    </row>
    <row r="35" spans="1:5" ht="15.75" customHeight="1" x14ac:dyDescent="0.25">
      <c r="A35" s="390"/>
      <c r="B35" s="123" t="s">
        <v>45</v>
      </c>
      <c r="C35" s="391"/>
      <c r="D35" s="395"/>
    </row>
    <row r="36" spans="1:5" ht="13.5" customHeight="1" x14ac:dyDescent="0.25"/>
    <row r="37" spans="1:5" ht="12" customHeight="1" x14ac:dyDescent="0.25"/>
    <row r="38" spans="1:5" ht="11.25" customHeight="1" x14ac:dyDescent="0.25"/>
    <row r="41" spans="1:5" ht="14.25" customHeight="1" x14ac:dyDescent="0.25"/>
    <row r="43" spans="1:5" ht="16.5" customHeight="1" x14ac:dyDescent="0.25"/>
    <row r="46" spans="1:5" ht="12.75" customHeight="1" x14ac:dyDescent="0.25"/>
    <row r="47" spans="1:5" ht="13.5" customHeight="1" x14ac:dyDescent="0.25"/>
    <row r="50" ht="16.5" customHeight="1" x14ac:dyDescent="0.25"/>
    <row r="54" ht="24" customHeight="1" x14ac:dyDescent="0.25"/>
    <row r="55" ht="24" customHeight="1" x14ac:dyDescent="0.25"/>
  </sheetData>
  <mergeCells count="1">
    <mergeCell ref="B22:D22"/>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9854-F248-41FC-87F1-439272629111}">
  <sheetPr>
    <pageSetUpPr fitToPage="1"/>
  </sheetPr>
  <dimension ref="A1:F69"/>
  <sheetViews>
    <sheetView topLeftCell="A11" zoomScale="96" zoomScaleNormal="130" workbookViewId="0">
      <selection activeCell="B31" sqref="B31"/>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1500</v>
      </c>
      <c r="B9" s="10"/>
      <c r="C9" s="58"/>
      <c r="D9" s="58"/>
    </row>
    <row r="10" spans="1:5" s="55" customFormat="1" ht="16.8" x14ac:dyDescent="0.4">
      <c r="A10" s="57" t="s">
        <v>1501</v>
      </c>
      <c r="B10" s="10"/>
      <c r="C10" s="58"/>
      <c r="D10" s="58"/>
    </row>
    <row r="11" spans="1:5" s="55" customFormat="1" ht="16.8" x14ac:dyDescent="0.4">
      <c r="A11" s="57" t="s">
        <v>1502</v>
      </c>
      <c r="B11" s="10"/>
      <c r="C11" s="59"/>
      <c r="D11" s="58"/>
    </row>
    <row r="12" spans="1:5" s="55" customFormat="1" ht="15" customHeight="1" x14ac:dyDescent="0.4">
      <c r="A12" s="257" t="s">
        <v>1554</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624" t="s">
        <v>1549</v>
      </c>
      <c r="C16" s="780">
        <f>40842*1.35</f>
        <v>55136.700000000004</v>
      </c>
      <c r="D16" s="817">
        <f t="shared" ref="D16" si="0">A16*C16</f>
        <v>55136.700000000004</v>
      </c>
      <c r="E16" s="76"/>
    </row>
    <row r="17" spans="1:6" ht="15.6" x14ac:dyDescent="0.25">
      <c r="A17" s="72">
        <v>1</v>
      </c>
      <c r="B17" s="624" t="s">
        <v>1550</v>
      </c>
      <c r="C17" s="780">
        <f>21849*1.35</f>
        <v>29496.15</v>
      </c>
      <c r="D17" s="817">
        <f>A17*C17</f>
        <v>29496.15</v>
      </c>
      <c r="E17" s="76"/>
    </row>
    <row r="18" spans="1:6" ht="33.75" customHeight="1" x14ac:dyDescent="0.25">
      <c r="A18" s="77">
        <v>1</v>
      </c>
      <c r="B18" s="81" t="s">
        <v>612</v>
      </c>
      <c r="C18" s="818">
        <f>(625.11*20.56)*1.3+(4500)</f>
        <v>21207.94008</v>
      </c>
      <c r="D18" s="819">
        <f t="shared" ref="D18:D19" si="1">A18*C18</f>
        <v>21207.94008</v>
      </c>
      <c r="E18" s="76"/>
    </row>
    <row r="19" spans="1:6" ht="15.6" x14ac:dyDescent="0.25">
      <c r="A19" s="77">
        <v>1</v>
      </c>
      <c r="B19" s="81" t="s">
        <v>1049</v>
      </c>
      <c r="C19" s="818">
        <v>6400</v>
      </c>
      <c r="D19" s="819">
        <f t="shared" si="1"/>
        <v>6400</v>
      </c>
      <c r="E19" s="76"/>
    </row>
    <row r="20" spans="1:6" ht="15.6" x14ac:dyDescent="0.25">
      <c r="A20" s="72">
        <v>150</v>
      </c>
      <c r="B20" s="624" t="s">
        <v>1416</v>
      </c>
      <c r="C20" s="625">
        <f>680*1.3</f>
        <v>884</v>
      </c>
      <c r="D20" s="817">
        <f t="shared" ref="D20" si="2">A20*C20</f>
        <v>132600</v>
      </c>
    </row>
    <row r="21" spans="1:6" ht="15.6" x14ac:dyDescent="0.25">
      <c r="A21" s="72"/>
      <c r="B21" s="75"/>
      <c r="C21" s="75"/>
      <c r="D21" s="75"/>
    </row>
    <row r="22" spans="1:6" ht="15.6" x14ac:dyDescent="0.25">
      <c r="A22" s="89"/>
      <c r="B22" s="90"/>
      <c r="C22" s="91" t="s">
        <v>38</v>
      </c>
      <c r="D22" s="75">
        <f>SUM(D16:D20)</f>
        <v>244840.79008000001</v>
      </c>
    </row>
    <row r="23" spans="1:6" ht="15.6" x14ac:dyDescent="0.3">
      <c r="A23" s="92"/>
      <c r="B23" s="90"/>
      <c r="C23" s="93" t="s">
        <v>39</v>
      </c>
      <c r="D23" s="75">
        <f>D22*0.16</f>
        <v>39174.526412800005</v>
      </c>
    </row>
    <row r="24" spans="1:6" ht="16.2" thickBot="1" x14ac:dyDescent="0.35">
      <c r="A24" s="92"/>
      <c r="B24" s="90"/>
      <c r="C24" s="94" t="s">
        <v>40</v>
      </c>
      <c r="D24" s="95">
        <f>D22+D23</f>
        <v>284015.31649280002</v>
      </c>
    </row>
    <row r="25" spans="1:6" ht="16.2" thickBot="1" x14ac:dyDescent="0.3">
      <c r="A25" s="92"/>
      <c r="B25" s="1023" t="s">
        <v>1555</v>
      </c>
      <c r="C25" s="1024"/>
      <c r="D25" s="1025"/>
    </row>
    <row r="26" spans="1:6" ht="18.75" customHeight="1" x14ac:dyDescent="0.25">
      <c r="B26" s="370" t="s">
        <v>9</v>
      </c>
      <c r="C26" s="98"/>
      <c r="D26" s="99"/>
      <c r="E26" s="96"/>
    </row>
    <row r="27" spans="1:6" ht="34.799999999999997" x14ac:dyDescent="0.25">
      <c r="B27" s="124" t="s">
        <v>484</v>
      </c>
      <c r="C27" s="76"/>
      <c r="D27" s="96"/>
      <c r="E27" s="96"/>
    </row>
    <row r="28" spans="1:6" ht="15.75" customHeight="1" x14ac:dyDescent="0.25">
      <c r="A28" s="96"/>
      <c r="B28" s="103" t="s">
        <v>11</v>
      </c>
      <c r="C28" s="96"/>
      <c r="D28" s="96"/>
      <c r="F28" s="96"/>
    </row>
    <row r="29" spans="1:6" s="96" customFormat="1" ht="15" x14ac:dyDescent="0.25">
      <c r="A29" s="101"/>
      <c r="B29" s="123" t="s">
        <v>12</v>
      </c>
      <c r="C29" s="52"/>
      <c r="D29" s="52"/>
      <c r="E29" s="52"/>
    </row>
    <row r="30" spans="1:6" s="96" customFormat="1" ht="15.75" customHeight="1" x14ac:dyDescent="0.25">
      <c r="A30" s="101"/>
      <c r="B30" s="123" t="s">
        <v>13</v>
      </c>
      <c r="C30" s="52"/>
      <c r="D30" s="52"/>
      <c r="E30" s="52"/>
      <c r="F30" s="52"/>
    </row>
    <row r="31" spans="1:6" ht="13.5" customHeight="1" x14ac:dyDescent="0.25">
      <c r="A31" s="101"/>
      <c r="B31" s="123" t="s">
        <v>14</v>
      </c>
      <c r="C31" s="52"/>
      <c r="D31" s="52"/>
    </row>
    <row r="32" spans="1:6" ht="13.8" x14ac:dyDescent="0.25">
      <c r="A32" s="102"/>
      <c r="B32" s="103" t="s">
        <v>15</v>
      </c>
      <c r="C32" s="52"/>
      <c r="D32" s="52"/>
    </row>
    <row r="33" spans="1:4" ht="13.5" customHeight="1" x14ac:dyDescent="0.25">
      <c r="A33" s="102"/>
      <c r="B33" s="295" t="s">
        <v>42</v>
      </c>
      <c r="C33" s="104"/>
      <c r="D33" s="105"/>
    </row>
    <row r="34" spans="1:4" ht="27.6" x14ac:dyDescent="0.25">
      <c r="A34" s="106"/>
      <c r="B34" s="295" t="s">
        <v>43</v>
      </c>
      <c r="C34" s="104"/>
      <c r="D34" s="105"/>
    </row>
    <row r="35" spans="1:4" ht="15" x14ac:dyDescent="0.25">
      <c r="A35" s="106"/>
      <c r="B35" s="103" t="s">
        <v>18</v>
      </c>
      <c r="C35" s="107"/>
      <c r="D35" s="105"/>
    </row>
    <row r="36" spans="1:4" ht="13.5" customHeight="1" x14ac:dyDescent="0.25">
      <c r="A36" s="106"/>
      <c r="B36" s="313" t="s">
        <v>410</v>
      </c>
      <c r="C36" s="107"/>
      <c r="D36" s="105"/>
    </row>
    <row r="37" spans="1:4" ht="13.5" customHeight="1" x14ac:dyDescent="0.25">
      <c r="A37" s="106"/>
      <c r="B37" s="297" t="s">
        <v>20</v>
      </c>
      <c r="C37" s="107"/>
      <c r="D37" s="105"/>
    </row>
    <row r="38" spans="1:4" ht="13.5" customHeight="1" x14ac:dyDescent="0.25">
      <c r="A38" s="108"/>
      <c r="B38" s="103" t="s">
        <v>21</v>
      </c>
      <c r="C38" s="107"/>
      <c r="D38" s="105"/>
    </row>
    <row r="39" spans="1:4" ht="13.5" customHeight="1" x14ac:dyDescent="0.25">
      <c r="A39" s="106"/>
      <c r="B39" s="122" t="s">
        <v>1375</v>
      </c>
      <c r="C39" s="107"/>
      <c r="D39" s="107"/>
    </row>
    <row r="40" spans="1:4" ht="13.5" customHeight="1" x14ac:dyDescent="0.25">
      <c r="A40" s="106"/>
      <c r="B40" s="123" t="s">
        <v>44</v>
      </c>
      <c r="C40" s="107"/>
      <c r="D40" s="107"/>
    </row>
    <row r="41" spans="1:4" ht="15" x14ac:dyDescent="0.25">
      <c r="A41" s="106"/>
      <c r="B41" s="123" t="s">
        <v>45</v>
      </c>
      <c r="C41" s="109"/>
      <c r="D41" s="110"/>
    </row>
    <row r="42" spans="1:4" ht="33.6" x14ac:dyDescent="0.25">
      <c r="A42" s="106"/>
      <c r="B42" s="314" t="s">
        <v>23</v>
      </c>
      <c r="C42" s="109"/>
      <c r="D42" s="110"/>
    </row>
    <row r="43" spans="1:4" ht="16.8" x14ac:dyDescent="0.4">
      <c r="A43" s="106"/>
      <c r="B43" s="111"/>
      <c r="C43" s="109"/>
      <c r="D43" s="109"/>
    </row>
    <row r="44" spans="1:4" ht="13.8" x14ac:dyDescent="0.25">
      <c r="A44" s="108"/>
      <c r="B44" s="112"/>
      <c r="C44" s="109"/>
      <c r="D44" s="109"/>
    </row>
    <row r="45" spans="1:4" ht="15" x14ac:dyDescent="0.25">
      <c r="A45" s="106"/>
      <c r="B45" s="112"/>
      <c r="C45" s="107"/>
      <c r="D45" s="105"/>
    </row>
    <row r="46" spans="1:4" ht="15" x14ac:dyDescent="0.25">
      <c r="A46" s="106"/>
      <c r="B46" s="113"/>
      <c r="C46" s="109"/>
      <c r="D46" s="110"/>
    </row>
    <row r="47" spans="1:4" ht="16.2" x14ac:dyDescent="0.35">
      <c r="A47" s="106"/>
      <c r="B47" s="114"/>
      <c r="C47" s="109"/>
      <c r="D47" s="110"/>
    </row>
    <row r="48" spans="1:4" ht="13.8" x14ac:dyDescent="0.25">
      <c r="A48" s="115" t="s">
        <v>0</v>
      </c>
      <c r="C48" s="109"/>
      <c r="D48" s="110"/>
    </row>
    <row r="49" spans="1:4" ht="13.8" x14ac:dyDescent="0.25">
      <c r="A49" s="116"/>
      <c r="C49" s="109"/>
      <c r="D49" s="109"/>
    </row>
    <row r="50" spans="1:4" ht="13.8" x14ac:dyDescent="0.25">
      <c r="A50" s="117"/>
      <c r="C50" s="118"/>
      <c r="D50" s="118"/>
    </row>
    <row r="51" spans="1:4" x14ac:dyDescent="0.25">
      <c r="A51" s="117"/>
      <c r="C51" s="112"/>
      <c r="D51" s="52"/>
    </row>
    <row r="52" spans="1:4" x14ac:dyDescent="0.25">
      <c r="A52" s="119"/>
      <c r="C52" s="112"/>
      <c r="D52" s="52"/>
    </row>
    <row r="53" spans="1:4" x14ac:dyDescent="0.25">
      <c r="A53" s="120" t="s">
        <v>0</v>
      </c>
      <c r="C53" s="112"/>
      <c r="D53" s="52"/>
    </row>
    <row r="54" spans="1:4" x14ac:dyDescent="0.25">
      <c r="A54" s="52" t="s">
        <v>0</v>
      </c>
      <c r="C54" s="112"/>
      <c r="D54"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5:D25"/>
  </mergeCells>
  <pageMargins left="0.25" right="0.25" top="0.75" bottom="0.75" header="0.3" footer="0.3"/>
  <pageSetup scale="59" orientation="portrait" r:id="rId1"/>
  <drawing r:id="rId2"/>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F453-3EE3-4322-8FEF-789BA4422D30}">
  <sheetPr>
    <pageSetUpPr fitToPage="1"/>
  </sheetPr>
  <dimension ref="A1:F69"/>
  <sheetViews>
    <sheetView topLeftCell="A11" zoomScale="96" zoomScaleNormal="130" workbookViewId="0">
      <selection activeCell="B23" sqref="B2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1500</v>
      </c>
      <c r="B9" s="10"/>
      <c r="C9" s="58"/>
      <c r="D9" s="58"/>
    </row>
    <row r="10" spans="1:5" s="55" customFormat="1" ht="16.8" x14ac:dyDescent="0.4">
      <c r="A10" s="57" t="s">
        <v>1501</v>
      </c>
      <c r="B10" s="10"/>
      <c r="C10" s="58"/>
      <c r="D10" s="58"/>
    </row>
    <row r="11" spans="1:5" s="55" customFormat="1" ht="16.8" x14ac:dyDescent="0.4">
      <c r="A11" s="57" t="s">
        <v>1502</v>
      </c>
      <c r="B11" s="10"/>
      <c r="C11" s="59"/>
      <c r="D11" s="58"/>
    </row>
    <row r="12" spans="1:5" s="55" customFormat="1" ht="15" customHeight="1" x14ac:dyDescent="0.4">
      <c r="A12" s="257" t="s">
        <v>1554</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624" t="s">
        <v>1549</v>
      </c>
      <c r="C16" s="780">
        <f>40842*1.35</f>
        <v>55136.700000000004</v>
      </c>
      <c r="D16" s="817">
        <f t="shared" ref="D16" si="0">A16*C16</f>
        <v>55136.700000000004</v>
      </c>
      <c r="E16" s="76"/>
    </row>
    <row r="17" spans="1:6" ht="15.6" x14ac:dyDescent="0.25">
      <c r="A17" s="72">
        <v>1</v>
      </c>
      <c r="B17" s="624" t="s">
        <v>1550</v>
      </c>
      <c r="C17" s="780">
        <f>21849*1.35</f>
        <v>29496.15</v>
      </c>
      <c r="D17" s="817">
        <f>A17*C17</f>
        <v>29496.15</v>
      </c>
      <c r="E17" s="76"/>
    </row>
    <row r="18" spans="1:6" ht="15.6" x14ac:dyDescent="0.25">
      <c r="A18" s="72"/>
      <c r="B18" s="75"/>
      <c r="C18" s="75"/>
      <c r="D18" s="75"/>
      <c r="E18" s="76"/>
    </row>
    <row r="19" spans="1:6" ht="15.6" x14ac:dyDescent="0.25">
      <c r="A19" s="89"/>
      <c r="B19" s="90"/>
      <c r="C19" s="91" t="s">
        <v>38</v>
      </c>
      <c r="D19" s="75">
        <f>SUM(D16:D17)</f>
        <v>84632.85</v>
      </c>
      <c r="E19" s="76"/>
    </row>
    <row r="20" spans="1:6" ht="15.6" x14ac:dyDescent="0.3">
      <c r="A20" s="92"/>
      <c r="B20" s="90"/>
      <c r="C20" s="93" t="s">
        <v>39</v>
      </c>
      <c r="D20" s="75">
        <f>D19*0.16</f>
        <v>13541.256000000001</v>
      </c>
    </row>
    <row r="21" spans="1:6" ht="16.2" thickBot="1" x14ac:dyDescent="0.35">
      <c r="A21" s="92"/>
      <c r="B21" s="90"/>
      <c r="C21" s="94" t="s">
        <v>40</v>
      </c>
      <c r="D21" s="95">
        <f>D19+D20</f>
        <v>98174.106</v>
      </c>
    </row>
    <row r="22" spans="1:6" ht="16.2" thickBot="1" x14ac:dyDescent="0.3">
      <c r="A22" s="92"/>
      <c r="B22" s="1023" t="s">
        <v>1556</v>
      </c>
      <c r="C22" s="1024"/>
      <c r="D22" s="1025"/>
    </row>
    <row r="23" spans="1:6" ht="13.8" x14ac:dyDescent="0.25">
      <c r="B23" s="370" t="s">
        <v>9</v>
      </c>
      <c r="C23" s="98"/>
      <c r="D23" s="99"/>
    </row>
    <row r="24" spans="1:6" ht="34.799999999999997" x14ac:dyDescent="0.25">
      <c r="B24" s="124" t="s">
        <v>484</v>
      </c>
      <c r="C24" s="76"/>
      <c r="D24" s="96"/>
    </row>
    <row r="25" spans="1:6" ht="13.8" x14ac:dyDescent="0.25">
      <c r="A25" s="96"/>
      <c r="B25" s="103" t="s">
        <v>11</v>
      </c>
      <c r="C25" s="96"/>
      <c r="D25" s="96"/>
    </row>
    <row r="26" spans="1:6" ht="18.75" customHeight="1" x14ac:dyDescent="0.25">
      <c r="A26" s="101"/>
      <c r="B26" s="123" t="s">
        <v>12</v>
      </c>
      <c r="C26" s="52"/>
      <c r="D26" s="52"/>
      <c r="E26" s="96"/>
    </row>
    <row r="27" spans="1:6" ht="15" x14ac:dyDescent="0.25">
      <c r="A27" s="101"/>
      <c r="B27" s="123" t="s">
        <v>13</v>
      </c>
      <c r="C27" s="52"/>
      <c r="D27" s="52"/>
      <c r="E27" s="96"/>
    </row>
    <row r="28" spans="1:6" ht="15.75" customHeight="1" x14ac:dyDescent="0.25">
      <c r="A28" s="101"/>
      <c r="B28" s="123" t="s">
        <v>14</v>
      </c>
      <c r="C28" s="52"/>
      <c r="D28" s="52"/>
      <c r="F28" s="96"/>
    </row>
    <row r="29" spans="1:6" s="96" customFormat="1" ht="13.8" x14ac:dyDescent="0.25">
      <c r="A29" s="102"/>
      <c r="B29" s="103" t="s">
        <v>15</v>
      </c>
      <c r="C29" s="52"/>
      <c r="D29" s="52"/>
      <c r="E29" s="52"/>
    </row>
    <row r="30" spans="1:6" s="96" customFormat="1" ht="15.75" customHeight="1" x14ac:dyDescent="0.25">
      <c r="A30" s="102"/>
      <c r="B30" s="295" t="s">
        <v>42</v>
      </c>
      <c r="C30" s="104"/>
      <c r="D30" s="105"/>
      <c r="E30" s="52"/>
      <c r="F30" s="52"/>
    </row>
    <row r="31" spans="1:6" ht="13.5" customHeight="1" x14ac:dyDescent="0.25">
      <c r="A31" s="106"/>
      <c r="B31" s="295" t="s">
        <v>43</v>
      </c>
      <c r="C31" s="104"/>
      <c r="D31" s="105"/>
    </row>
    <row r="32" spans="1:6" ht="15" x14ac:dyDescent="0.25">
      <c r="A32" s="106"/>
      <c r="B32" s="103" t="s">
        <v>18</v>
      </c>
      <c r="C32" s="107"/>
      <c r="D32" s="105"/>
    </row>
    <row r="33" spans="1:4" ht="13.5" customHeight="1" x14ac:dyDescent="0.25">
      <c r="A33" s="106"/>
      <c r="B33" s="313" t="s">
        <v>410</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1375</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0" orientation="portrait" r:id="rId1"/>
  <drawing r:id="rId2"/>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5B3A-43BF-48D9-9132-0FF85CC7BB5A}">
  <sheetPr>
    <pageSetUpPr fitToPage="1"/>
  </sheetPr>
  <dimension ref="A1:F69"/>
  <sheetViews>
    <sheetView topLeftCell="A9" zoomScale="96" zoomScaleNormal="130" workbookViewId="0">
      <selection activeCell="B21" sqref="B21:B2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1500</v>
      </c>
      <c r="B9" s="10"/>
      <c r="C9" s="58"/>
      <c r="D9" s="58"/>
    </row>
    <row r="10" spans="1:5" s="55" customFormat="1" ht="16.8" x14ac:dyDescent="0.4">
      <c r="A10" s="57" t="s">
        <v>1501</v>
      </c>
      <c r="B10" s="10"/>
      <c r="C10" s="58"/>
      <c r="D10" s="58"/>
    </row>
    <row r="11" spans="1:5" s="55" customFormat="1" ht="16.8" x14ac:dyDescent="0.4">
      <c r="A11" s="57" t="s">
        <v>1502</v>
      </c>
      <c r="B11" s="10"/>
      <c r="C11" s="59"/>
      <c r="D11" s="58"/>
    </row>
    <row r="12" spans="1:5" s="55" customFormat="1" ht="15" customHeight="1" x14ac:dyDescent="0.4">
      <c r="A12" s="257" t="s">
        <v>1557</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15.6" x14ac:dyDescent="0.25">
      <c r="A16" s="72">
        <v>1</v>
      </c>
      <c r="B16" s="624" t="s">
        <v>1549</v>
      </c>
      <c r="C16" s="780">
        <f>40842*1.35</f>
        <v>55136.700000000004</v>
      </c>
      <c r="D16" s="817">
        <f t="shared" ref="D16" si="0">A16*C16</f>
        <v>55136.700000000004</v>
      </c>
      <c r="E16" s="76"/>
    </row>
    <row r="17" spans="1:6" ht="15.6" x14ac:dyDescent="0.25">
      <c r="A17" s="72">
        <v>1</v>
      </c>
      <c r="B17" s="624" t="s">
        <v>1550</v>
      </c>
      <c r="C17" s="780">
        <f>21849*1.35</f>
        <v>29496.15</v>
      </c>
      <c r="D17" s="817">
        <f>A17*C17</f>
        <v>29496.15</v>
      </c>
      <c r="E17" s="76"/>
    </row>
    <row r="18" spans="1:6" ht="33.75" customHeight="1" x14ac:dyDescent="0.25">
      <c r="A18" s="77">
        <v>1</v>
      </c>
      <c r="B18" s="81" t="s">
        <v>612</v>
      </c>
      <c r="C18" s="818">
        <f>(625.11*20.56)*1.3+(4500)</f>
        <v>21207.94008</v>
      </c>
      <c r="D18" s="819">
        <f t="shared" ref="D18:D19" si="1">A18*C18</f>
        <v>21207.94008</v>
      </c>
      <c r="E18" s="76"/>
    </row>
    <row r="19" spans="1:6" ht="15.6" x14ac:dyDescent="0.25">
      <c r="A19" s="77">
        <v>1</v>
      </c>
      <c r="B19" s="81" t="s">
        <v>1049</v>
      </c>
      <c r="C19" s="818">
        <v>6400</v>
      </c>
      <c r="D19" s="819">
        <f t="shared" si="1"/>
        <v>6400</v>
      </c>
      <c r="E19" s="76"/>
    </row>
    <row r="20" spans="1:6" ht="15.6" x14ac:dyDescent="0.25">
      <c r="A20" s="72"/>
      <c r="B20" s="75"/>
      <c r="C20" s="75"/>
      <c r="D20" s="75"/>
      <c r="E20" s="96"/>
    </row>
    <row r="21" spans="1:6" ht="15.6" x14ac:dyDescent="0.25">
      <c r="A21" s="89"/>
      <c r="B21" s="820" t="s">
        <v>1558</v>
      </c>
      <c r="C21" s="91" t="s">
        <v>38</v>
      </c>
      <c r="D21" s="75">
        <f>SUM(D16:D19)</f>
        <v>112240.79008000001</v>
      </c>
      <c r="E21" s="96"/>
    </row>
    <row r="22" spans="1:6" ht="15.6" x14ac:dyDescent="0.3">
      <c r="A22" s="92"/>
      <c r="B22" s="820" t="s">
        <v>1559</v>
      </c>
      <c r="C22" s="93" t="s">
        <v>39</v>
      </c>
      <c r="D22" s="75">
        <f>D21*0.16</f>
        <v>17958.526412800002</v>
      </c>
    </row>
    <row r="23" spans="1:6" ht="16.2" thickBot="1" x14ac:dyDescent="0.35">
      <c r="A23" s="92"/>
      <c r="B23" s="820" t="s">
        <v>1560</v>
      </c>
      <c r="C23" s="94" t="s">
        <v>40</v>
      </c>
      <c r="D23" s="95">
        <f>D21+D22</f>
        <v>130199.3164928</v>
      </c>
    </row>
    <row r="24" spans="1:6" ht="16.2" thickBot="1" x14ac:dyDescent="0.3">
      <c r="A24" s="92"/>
      <c r="B24" s="1023" t="s">
        <v>1561</v>
      </c>
      <c r="C24" s="1024"/>
      <c r="D24" s="1025"/>
    </row>
    <row r="25" spans="1:6" ht="13.8" x14ac:dyDescent="0.25">
      <c r="B25" s="370" t="s">
        <v>9</v>
      </c>
      <c r="C25" s="98"/>
      <c r="D25" s="99"/>
    </row>
    <row r="26" spans="1:6" ht="34.799999999999997" x14ac:dyDescent="0.25">
      <c r="B26" s="124" t="s">
        <v>484</v>
      </c>
      <c r="C26" s="76"/>
      <c r="D26" s="96"/>
    </row>
    <row r="27" spans="1:6" ht="13.8" x14ac:dyDescent="0.25">
      <c r="A27" s="96"/>
      <c r="B27" s="103" t="s">
        <v>11</v>
      </c>
      <c r="C27" s="96"/>
      <c r="D27" s="96"/>
    </row>
    <row r="28" spans="1:6" ht="15.75" customHeight="1" x14ac:dyDescent="0.25">
      <c r="A28" s="101"/>
      <c r="B28" s="123" t="s">
        <v>12</v>
      </c>
      <c r="C28" s="52"/>
      <c r="D28" s="52"/>
      <c r="F28" s="96"/>
    </row>
    <row r="29" spans="1:6" s="96" customFormat="1" ht="15" x14ac:dyDescent="0.25">
      <c r="A29" s="101"/>
      <c r="B29" s="123" t="s">
        <v>13</v>
      </c>
      <c r="C29" s="52"/>
      <c r="D29" s="52"/>
      <c r="E29" s="52"/>
    </row>
    <row r="30" spans="1:6" s="96" customFormat="1" ht="15.75" customHeight="1" x14ac:dyDescent="0.25">
      <c r="A30" s="101"/>
      <c r="B30" s="123" t="s">
        <v>14</v>
      </c>
      <c r="C30" s="52"/>
      <c r="D30" s="52"/>
      <c r="E30" s="52"/>
      <c r="F30" s="52"/>
    </row>
    <row r="31" spans="1:6" ht="13.5" customHeight="1" x14ac:dyDescent="0.25">
      <c r="A31" s="102"/>
      <c r="B31" s="103" t="s">
        <v>15</v>
      </c>
      <c r="C31" s="52"/>
      <c r="D31" s="52"/>
    </row>
    <row r="32" spans="1:6" ht="13.8" x14ac:dyDescent="0.25">
      <c r="A32" s="102"/>
      <c r="B32" s="295" t="s">
        <v>42</v>
      </c>
      <c r="C32" s="104"/>
      <c r="D32" s="105"/>
    </row>
    <row r="33" spans="1:4" ht="13.5" customHeight="1" x14ac:dyDescent="0.25">
      <c r="A33" s="106"/>
      <c r="B33" s="295" t="s">
        <v>43</v>
      </c>
      <c r="C33" s="104"/>
      <c r="D33" s="105"/>
    </row>
    <row r="34" spans="1:4" ht="15" x14ac:dyDescent="0.25">
      <c r="A34" s="106"/>
      <c r="B34" s="103" t="s">
        <v>18</v>
      </c>
      <c r="C34" s="107"/>
      <c r="D34" s="105"/>
    </row>
    <row r="35" spans="1:4" ht="15" x14ac:dyDescent="0.25">
      <c r="A35" s="106"/>
      <c r="B35" s="313" t="s">
        <v>656</v>
      </c>
      <c r="C35" s="107"/>
      <c r="D35" s="105"/>
    </row>
    <row r="36" spans="1:4" ht="13.5" customHeight="1" x14ac:dyDescent="0.25">
      <c r="A36" s="106"/>
      <c r="B36" s="297" t="s">
        <v>20</v>
      </c>
      <c r="C36" s="107"/>
      <c r="D36" s="105"/>
    </row>
    <row r="37" spans="1:4" ht="13.5" customHeight="1" x14ac:dyDescent="0.25">
      <c r="A37" s="108"/>
      <c r="B37" s="103" t="s">
        <v>21</v>
      </c>
      <c r="C37" s="107"/>
      <c r="D37" s="105"/>
    </row>
    <row r="38" spans="1:4" ht="13.5" customHeight="1" x14ac:dyDescent="0.25">
      <c r="A38" s="106"/>
      <c r="B38" s="122" t="s">
        <v>1562</v>
      </c>
      <c r="C38" s="107"/>
      <c r="D38" s="107"/>
    </row>
    <row r="39" spans="1:4" ht="13.5" customHeight="1" x14ac:dyDescent="0.25">
      <c r="A39" s="106"/>
      <c r="B39" s="123" t="s">
        <v>44</v>
      </c>
      <c r="C39" s="107"/>
      <c r="D39" s="107"/>
    </row>
    <row r="40" spans="1:4" ht="13.5" customHeight="1" x14ac:dyDescent="0.25">
      <c r="A40" s="106"/>
      <c r="B40" s="123" t="s">
        <v>45</v>
      </c>
      <c r="C40" s="109"/>
      <c r="D40" s="110"/>
    </row>
    <row r="41" spans="1:4" ht="33.6" x14ac:dyDescent="0.25">
      <c r="A41" s="106"/>
      <c r="B41" s="314" t="s">
        <v>23</v>
      </c>
      <c r="C41" s="109"/>
      <c r="D41" s="110"/>
    </row>
    <row r="42" spans="1:4" ht="16.8" x14ac:dyDescent="0.4">
      <c r="A42" s="106"/>
      <c r="B42" s="111"/>
      <c r="C42" s="109"/>
      <c r="D42" s="109"/>
    </row>
    <row r="43" spans="1:4" ht="13.8" x14ac:dyDescent="0.25">
      <c r="A43" s="108"/>
      <c r="B43" s="112"/>
      <c r="C43" s="109"/>
      <c r="D43" s="109"/>
    </row>
    <row r="44" spans="1:4" ht="15" x14ac:dyDescent="0.25">
      <c r="A44" s="106"/>
      <c r="B44" s="112"/>
      <c r="C44" s="107"/>
      <c r="D44" s="105"/>
    </row>
    <row r="45" spans="1:4" ht="15" x14ac:dyDescent="0.25">
      <c r="A45" s="106"/>
      <c r="B45" s="113"/>
      <c r="C45" s="109"/>
      <c r="D45" s="110"/>
    </row>
    <row r="46" spans="1:4" ht="16.2" x14ac:dyDescent="0.35">
      <c r="A46" s="106"/>
      <c r="B46" s="114"/>
      <c r="C46" s="109"/>
      <c r="D46" s="110"/>
    </row>
    <row r="47" spans="1:4" ht="13.8" x14ac:dyDescent="0.25">
      <c r="A47" s="115" t="s">
        <v>0</v>
      </c>
      <c r="C47" s="109"/>
      <c r="D47" s="110"/>
    </row>
    <row r="48" spans="1:4" ht="13.8" x14ac:dyDescent="0.25">
      <c r="A48" s="116"/>
      <c r="C48" s="109"/>
      <c r="D48" s="109"/>
    </row>
    <row r="49" spans="1:4" ht="13.8" x14ac:dyDescent="0.25">
      <c r="A49" s="117"/>
      <c r="C49" s="118"/>
      <c r="D49" s="118"/>
    </row>
    <row r="50" spans="1:4" x14ac:dyDescent="0.25">
      <c r="A50" s="117"/>
      <c r="C50" s="112"/>
      <c r="D50" s="52"/>
    </row>
    <row r="51" spans="1:4" x14ac:dyDescent="0.25">
      <c r="A51" s="119"/>
      <c r="C51" s="112"/>
      <c r="D51" s="52"/>
    </row>
    <row r="52" spans="1:4" x14ac:dyDescent="0.25">
      <c r="A52" s="120" t="s">
        <v>0</v>
      </c>
      <c r="C52" s="112"/>
      <c r="D52" s="52"/>
    </row>
    <row r="53" spans="1:4" x14ac:dyDescent="0.25">
      <c r="A53" s="52" t="s">
        <v>0</v>
      </c>
      <c r="C53" s="112"/>
      <c r="D53"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4:D24"/>
  </mergeCells>
  <pageMargins left="0.25" right="0.25" top="0.75" bottom="0.75" header="0.3" footer="0.3"/>
  <pageSetup scale="60" orientation="portrait" r:id="rId1"/>
  <drawing r:id="rId2"/>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3437-DB6B-49A0-BF61-1879F51FA0FC}">
  <sheetPr>
    <pageSetUpPr fitToPage="1"/>
  </sheetPr>
  <dimension ref="A1:F69"/>
  <sheetViews>
    <sheetView topLeftCell="A2" zoomScale="96" zoomScaleNormal="130" workbookViewId="0">
      <selection activeCell="C21" sqref="C21"/>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1500</v>
      </c>
      <c r="B9" s="10"/>
      <c r="C9" s="58"/>
      <c r="D9" s="58"/>
    </row>
    <row r="10" spans="1:5" s="55" customFormat="1" ht="16.8" x14ac:dyDescent="0.4">
      <c r="A10" s="57" t="s">
        <v>1501</v>
      </c>
      <c r="B10" s="10"/>
      <c r="C10" s="58"/>
      <c r="D10" s="58"/>
    </row>
    <row r="11" spans="1:5" s="55" customFormat="1" ht="16.8" x14ac:dyDescent="0.4">
      <c r="A11" s="57" t="s">
        <v>1502</v>
      </c>
      <c r="B11" s="10"/>
      <c r="C11" s="59"/>
      <c r="D11" s="58"/>
    </row>
    <row r="12" spans="1:5" s="55" customFormat="1" ht="15" customHeight="1" x14ac:dyDescent="0.4">
      <c r="A12" s="257" t="s">
        <v>1557</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33</v>
      </c>
      <c r="C16" s="816">
        <v>4600</v>
      </c>
      <c r="D16" s="817">
        <f>A16*C16</f>
        <v>4600</v>
      </c>
      <c r="E16" s="76"/>
    </row>
    <row r="17" spans="1:6" ht="15.6" x14ac:dyDescent="0.25">
      <c r="A17" s="72">
        <v>1</v>
      </c>
      <c r="B17" s="624" t="s">
        <v>1551</v>
      </c>
      <c r="C17" s="625">
        <f>(575.5*19.3)*1.35</f>
        <v>14994.6525</v>
      </c>
      <c r="D17" s="788">
        <f t="shared" ref="D17:D21" si="0">A17*C17</f>
        <v>14994.6525</v>
      </c>
      <c r="E17" s="76"/>
    </row>
    <row r="18" spans="1:6" ht="15.6" x14ac:dyDescent="0.25">
      <c r="A18" s="72">
        <v>1</v>
      </c>
      <c r="B18" s="624" t="s">
        <v>1552</v>
      </c>
      <c r="C18" s="625">
        <f>(6500)*1.35</f>
        <v>8775</v>
      </c>
      <c r="D18" s="788">
        <f t="shared" si="0"/>
        <v>8775</v>
      </c>
      <c r="E18" s="76"/>
    </row>
    <row r="19" spans="1:6" ht="15.6" x14ac:dyDescent="0.25">
      <c r="A19" s="72">
        <v>4</v>
      </c>
      <c r="B19" s="624" t="s">
        <v>1553</v>
      </c>
      <c r="C19" s="625">
        <f>4200*1.33</f>
        <v>5586</v>
      </c>
      <c r="D19" s="788">
        <f t="shared" si="0"/>
        <v>22344</v>
      </c>
      <c r="E19" s="76"/>
    </row>
    <row r="20" spans="1:6" ht="15.6" x14ac:dyDescent="0.25">
      <c r="A20" s="72">
        <v>1</v>
      </c>
      <c r="B20" s="73" t="s">
        <v>1565</v>
      </c>
      <c r="C20" s="816">
        <f>65000*1.28</f>
        <v>83200</v>
      </c>
      <c r="D20" s="788">
        <f t="shared" si="0"/>
        <v>83200</v>
      </c>
      <c r="E20" s="76"/>
    </row>
    <row r="21" spans="1:6" ht="15.6" x14ac:dyDescent="0.25">
      <c r="A21" s="72">
        <v>150</v>
      </c>
      <c r="B21" s="624" t="s">
        <v>1416</v>
      </c>
      <c r="C21" s="625">
        <f>680*1.3</f>
        <v>884</v>
      </c>
      <c r="D21" s="817">
        <f t="shared" si="0"/>
        <v>132600</v>
      </c>
    </row>
    <row r="22" spans="1:6" ht="15.6" x14ac:dyDescent="0.25">
      <c r="A22" s="72"/>
      <c r="B22" s="75"/>
      <c r="C22" s="75"/>
      <c r="D22" s="75"/>
      <c r="E22" s="96"/>
    </row>
    <row r="23" spans="1:6" ht="15.6" x14ac:dyDescent="0.25">
      <c r="A23" s="89"/>
      <c r="B23" s="820" t="s">
        <v>1564</v>
      </c>
      <c r="C23" s="91" t="s">
        <v>38</v>
      </c>
      <c r="D23" s="75">
        <f>SUM(D16:D21)</f>
        <v>266513.65249999997</v>
      </c>
      <c r="E23" s="96"/>
    </row>
    <row r="24" spans="1:6" ht="15.6" x14ac:dyDescent="0.3">
      <c r="A24" s="92"/>
      <c r="B24" s="820" t="s">
        <v>1559</v>
      </c>
      <c r="C24" s="93" t="s">
        <v>39</v>
      </c>
      <c r="D24" s="75">
        <f>D23*0.16</f>
        <v>42642.184399999998</v>
      </c>
      <c r="F24" s="96"/>
    </row>
    <row r="25" spans="1:6" ht="16.2" thickBot="1" x14ac:dyDescent="0.35">
      <c r="A25" s="92"/>
      <c r="B25" s="820" t="s">
        <v>1560</v>
      </c>
      <c r="C25" s="94" t="s">
        <v>40</v>
      </c>
      <c r="D25" s="95">
        <f>D23+D24</f>
        <v>309155.83689999999</v>
      </c>
      <c r="F25" s="96"/>
    </row>
    <row r="26" spans="1:6" ht="18.75" customHeight="1" thickBot="1" x14ac:dyDescent="0.3">
      <c r="A26" s="92"/>
      <c r="B26" s="1023" t="s">
        <v>1563</v>
      </c>
      <c r="C26" s="1024"/>
      <c r="D26" s="1025"/>
    </row>
    <row r="27" spans="1:6" ht="13.8" x14ac:dyDescent="0.25">
      <c r="B27" s="370" t="s">
        <v>9</v>
      </c>
      <c r="C27" s="98"/>
      <c r="D27" s="99"/>
    </row>
    <row r="28" spans="1:6" ht="15.75" customHeight="1" x14ac:dyDescent="0.25">
      <c r="B28" s="124" t="s">
        <v>484</v>
      </c>
      <c r="C28" s="76"/>
      <c r="D28" s="96"/>
    </row>
    <row r="29" spans="1:6" s="96" customFormat="1" ht="13.8" x14ac:dyDescent="0.25">
      <c r="B29" s="103" t="s">
        <v>11</v>
      </c>
      <c r="E29" s="52"/>
      <c r="F29" s="52"/>
    </row>
    <row r="30" spans="1:6" s="96" customFormat="1" ht="15.75" customHeight="1" x14ac:dyDescent="0.25">
      <c r="A30" s="101"/>
      <c r="B30" s="123" t="s">
        <v>12</v>
      </c>
      <c r="C30" s="52"/>
      <c r="D30" s="52"/>
      <c r="E30" s="52"/>
      <c r="F30" s="52"/>
    </row>
    <row r="31" spans="1:6" ht="13.5" customHeight="1" x14ac:dyDescent="0.25">
      <c r="A31" s="101"/>
      <c r="B31" s="123" t="s">
        <v>13</v>
      </c>
      <c r="C31" s="52"/>
      <c r="D31" s="52"/>
    </row>
    <row r="32" spans="1:6" ht="15" x14ac:dyDescent="0.25">
      <c r="A32" s="101"/>
      <c r="B32" s="123" t="s">
        <v>14</v>
      </c>
      <c r="C32" s="52"/>
      <c r="D32" s="52"/>
    </row>
    <row r="33" spans="1:4" ht="13.5" customHeight="1" x14ac:dyDescent="0.25">
      <c r="A33" s="102"/>
      <c r="B33" s="103" t="s">
        <v>15</v>
      </c>
      <c r="C33" s="52"/>
      <c r="D33" s="52"/>
    </row>
    <row r="34" spans="1:4" ht="13.8" x14ac:dyDescent="0.25">
      <c r="A34" s="102"/>
      <c r="B34" s="295" t="s">
        <v>42</v>
      </c>
      <c r="C34" s="104"/>
      <c r="D34" s="105"/>
    </row>
    <row r="35" spans="1:4" ht="27.6" x14ac:dyDescent="0.25">
      <c r="A35" s="106"/>
      <c r="B35" s="295" t="s">
        <v>43</v>
      </c>
      <c r="C35" s="104"/>
      <c r="D35" s="105"/>
    </row>
    <row r="36" spans="1:4" ht="13.5" customHeight="1" x14ac:dyDescent="0.25">
      <c r="A36" s="106"/>
      <c r="B36" s="103" t="s">
        <v>18</v>
      </c>
      <c r="C36" s="107"/>
      <c r="D36" s="105"/>
    </row>
    <row r="37" spans="1:4" ht="13.5" customHeight="1" x14ac:dyDescent="0.25">
      <c r="A37" s="106"/>
      <c r="B37" s="313" t="s">
        <v>656</v>
      </c>
      <c r="C37" s="107"/>
      <c r="D37" s="105"/>
    </row>
    <row r="38" spans="1:4" ht="13.5" customHeight="1" x14ac:dyDescent="0.25">
      <c r="A38" s="106"/>
      <c r="B38" s="297" t="s">
        <v>20</v>
      </c>
      <c r="C38" s="107"/>
      <c r="D38" s="105"/>
    </row>
    <row r="39" spans="1:4" ht="13.5" customHeight="1" x14ac:dyDescent="0.25">
      <c r="A39" s="108"/>
      <c r="B39" s="103" t="s">
        <v>21</v>
      </c>
      <c r="C39" s="107"/>
      <c r="D39" s="105"/>
    </row>
    <row r="40" spans="1:4" ht="13.5" customHeight="1" x14ac:dyDescent="0.25">
      <c r="A40" s="106"/>
      <c r="B40" s="122" t="s">
        <v>502</v>
      </c>
      <c r="C40" s="107"/>
      <c r="D40" s="107"/>
    </row>
    <row r="41" spans="1:4" ht="15" x14ac:dyDescent="0.25">
      <c r="A41" s="106"/>
      <c r="B41" s="123" t="s">
        <v>44</v>
      </c>
      <c r="C41" s="107"/>
      <c r="D41" s="107"/>
    </row>
    <row r="42" spans="1:4" ht="15" x14ac:dyDescent="0.25">
      <c r="A42" s="106"/>
      <c r="B42" s="123" t="s">
        <v>45</v>
      </c>
      <c r="C42" s="109"/>
      <c r="D42" s="110"/>
    </row>
    <row r="43" spans="1:4" ht="33.6" x14ac:dyDescent="0.25">
      <c r="A43" s="106"/>
      <c r="B43" s="314" t="s">
        <v>23</v>
      </c>
      <c r="C43" s="109"/>
      <c r="D43" s="110"/>
    </row>
    <row r="44" spans="1:4" ht="16.8" x14ac:dyDescent="0.4">
      <c r="A44" s="106"/>
      <c r="B44" s="111"/>
      <c r="C44" s="109"/>
      <c r="D44" s="109"/>
    </row>
    <row r="45" spans="1:4" ht="13.8" x14ac:dyDescent="0.25">
      <c r="A45" s="108"/>
      <c r="B45" s="112"/>
      <c r="C45" s="109"/>
      <c r="D45" s="109"/>
    </row>
    <row r="46" spans="1:4" ht="15" x14ac:dyDescent="0.25">
      <c r="A46" s="106"/>
      <c r="B46" s="112"/>
      <c r="C46" s="107"/>
      <c r="D46" s="105"/>
    </row>
    <row r="47" spans="1:4" ht="15" x14ac:dyDescent="0.25">
      <c r="A47" s="106"/>
      <c r="B47" s="113"/>
      <c r="C47" s="109"/>
      <c r="D47" s="110"/>
    </row>
    <row r="48" spans="1:4" ht="16.2" x14ac:dyDescent="0.35">
      <c r="A48" s="106"/>
      <c r="B48" s="114"/>
      <c r="C48" s="109"/>
      <c r="D48" s="110"/>
    </row>
    <row r="49" spans="1:4" ht="13.8" x14ac:dyDescent="0.25">
      <c r="A49" s="115" t="s">
        <v>0</v>
      </c>
      <c r="C49" s="109"/>
      <c r="D49" s="110"/>
    </row>
    <row r="50" spans="1:4" ht="13.8" x14ac:dyDescent="0.25">
      <c r="A50" s="116"/>
      <c r="C50" s="109"/>
      <c r="D50" s="109"/>
    </row>
    <row r="51" spans="1:4" ht="13.8" x14ac:dyDescent="0.25">
      <c r="A51" s="117"/>
      <c r="C51" s="118"/>
      <c r="D51" s="118"/>
    </row>
    <row r="52" spans="1:4" x14ac:dyDescent="0.25">
      <c r="A52" s="117"/>
      <c r="C52" s="112"/>
      <c r="D52" s="52"/>
    </row>
    <row r="53" spans="1:4" x14ac:dyDescent="0.25">
      <c r="A53" s="119"/>
      <c r="C53" s="112"/>
      <c r="D53" s="52"/>
    </row>
    <row r="54" spans="1:4" x14ac:dyDescent="0.25">
      <c r="A54" s="120" t="s">
        <v>0</v>
      </c>
      <c r="C54" s="112"/>
      <c r="D54" s="52"/>
    </row>
    <row r="55" spans="1:4" x14ac:dyDescent="0.25">
      <c r="A55" s="52" t="s">
        <v>0</v>
      </c>
      <c r="C55" s="112"/>
      <c r="D55"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6:D26"/>
  </mergeCells>
  <pageMargins left="0.25" right="0.25" top="0.75" bottom="0.75" header="0.3" footer="0.3"/>
  <pageSetup scale="60" orientation="portrait" r:id="rId1"/>
  <drawing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0DB6-7521-4CE5-B895-3B81260039D6}">
  <sheetPr>
    <tabColor theme="4" tint="-0.249977111117893"/>
    <pageSetUpPr fitToPage="1"/>
  </sheetPr>
  <dimension ref="A1:G41"/>
  <sheetViews>
    <sheetView topLeftCell="A2" zoomScaleNormal="100" workbookViewId="0">
      <selection activeCell="A12" sqref="A12"/>
    </sheetView>
  </sheetViews>
  <sheetFormatPr baseColWidth="10" defaultColWidth="11.44140625" defaultRowHeight="13.2" x14ac:dyDescent="0.25"/>
  <cols>
    <col min="1" max="1" width="6" style="1" customWidth="1"/>
    <col min="2" max="2" width="71.6640625" style="1" customWidth="1"/>
    <col min="3" max="3" width="13.88671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6.2" customHeight="1" x14ac:dyDescent="0.45">
      <c r="A7" s="57" t="s">
        <v>803</v>
      </c>
      <c r="B7" s="10"/>
      <c r="C7" s="229"/>
      <c r="D7" s="229"/>
      <c r="E7" s="10"/>
      <c r="F7" s="10"/>
      <c r="G7" s="10"/>
    </row>
    <row r="8" spans="1:7" s="4" customFormat="1" ht="15.6" customHeight="1" x14ac:dyDescent="0.45">
      <c r="A8" s="57" t="s">
        <v>1361</v>
      </c>
      <c r="B8" s="10"/>
      <c r="C8" s="229"/>
      <c r="D8" s="229"/>
      <c r="E8" s="10"/>
      <c r="F8" s="10"/>
      <c r="G8" s="10"/>
    </row>
    <row r="9" spans="1:7" s="4" customFormat="1" ht="16.2" customHeight="1" x14ac:dyDescent="0.45">
      <c r="A9" s="57" t="s">
        <v>1362</v>
      </c>
      <c r="B9" s="10"/>
      <c r="C9" s="229"/>
      <c r="D9" s="229"/>
      <c r="E9" s="10"/>
      <c r="F9" s="10"/>
      <c r="G9" s="10"/>
    </row>
    <row r="10" spans="1:7" s="4" customFormat="1" ht="17.399999999999999" customHeight="1" x14ac:dyDescent="0.45">
      <c r="A10" s="57" t="s">
        <v>1576</v>
      </c>
      <c r="B10" s="10"/>
      <c r="C10" s="230"/>
      <c r="D10" s="229"/>
      <c r="E10" s="10"/>
      <c r="F10" s="10"/>
      <c r="G10" s="10"/>
    </row>
    <row r="11" spans="1:7" s="4" customFormat="1" ht="17.399999999999999" customHeight="1" x14ac:dyDescent="0.45">
      <c r="A11" s="60" t="s">
        <v>1577</v>
      </c>
      <c r="B11" s="61"/>
      <c r="C11" s="230"/>
      <c r="D11" s="229"/>
      <c r="E11" s="10"/>
      <c r="F11" s="10"/>
      <c r="G11" s="10"/>
    </row>
    <row r="12" spans="1:7" s="4" customFormat="1" ht="16.8" x14ac:dyDescent="0.4">
      <c r="A12" s="148"/>
      <c r="B12" s="149"/>
      <c r="C12" s="150"/>
      <c r="D12" s="150"/>
      <c r="E12" s="147"/>
      <c r="G12" s="10"/>
    </row>
    <row r="13" spans="1:7" s="4" customFormat="1" ht="16.8" x14ac:dyDescent="0.4">
      <c r="A13" s="823">
        <v>1</v>
      </c>
      <c r="B13" s="826" t="s">
        <v>1570</v>
      </c>
      <c r="C13" s="822">
        <v>0</v>
      </c>
      <c r="D13" s="425">
        <f t="shared" ref="D13:D18" si="0">A13*C13</f>
        <v>0</v>
      </c>
      <c r="E13" s="147"/>
      <c r="F13" s="17"/>
    </row>
    <row r="14" spans="1:7" s="4" customFormat="1" ht="16.8" x14ac:dyDescent="0.4">
      <c r="A14" s="823"/>
      <c r="B14" s="826" t="s">
        <v>1569</v>
      </c>
      <c r="C14" s="825"/>
      <c r="D14" s="425"/>
      <c r="E14" s="147"/>
      <c r="F14" s="1"/>
    </row>
    <row r="15" spans="1:7" s="17" customFormat="1" ht="30" x14ac:dyDescent="0.25">
      <c r="A15" s="422">
        <v>1</v>
      </c>
      <c r="B15" s="824" t="s">
        <v>1575</v>
      </c>
      <c r="C15" s="822">
        <v>60000</v>
      </c>
      <c r="D15" s="425">
        <f t="shared" si="0"/>
        <v>60000</v>
      </c>
      <c r="E15" s="147"/>
      <c r="F15" s="26"/>
    </row>
    <row r="16" spans="1:7" ht="15.6" x14ac:dyDescent="0.3">
      <c r="A16" s="823">
        <v>1</v>
      </c>
      <c r="B16" s="826" t="s">
        <v>1571</v>
      </c>
      <c r="C16" s="822">
        <v>0</v>
      </c>
      <c r="D16" s="425">
        <f t="shared" si="0"/>
        <v>0</v>
      </c>
      <c r="E16" s="147"/>
      <c r="F16" s="26"/>
    </row>
    <row r="17" spans="1:6" s="26" customFormat="1" ht="15.6" x14ac:dyDescent="0.3">
      <c r="A17" s="823"/>
      <c r="B17" s="826" t="s">
        <v>1569</v>
      </c>
      <c r="C17" s="825"/>
      <c r="D17" s="425"/>
      <c r="E17" s="147"/>
    </row>
    <row r="18" spans="1:6" ht="15.6" x14ac:dyDescent="0.25">
      <c r="A18" s="422">
        <v>1</v>
      </c>
      <c r="B18" s="827" t="s">
        <v>1572</v>
      </c>
      <c r="C18" s="822">
        <v>2300</v>
      </c>
      <c r="D18" s="425">
        <f t="shared" si="0"/>
        <v>2300</v>
      </c>
      <c r="E18" s="147"/>
      <c r="F18" s="26"/>
    </row>
    <row r="19" spans="1:6" ht="15.6" x14ac:dyDescent="0.25">
      <c r="A19" s="89"/>
      <c r="B19" s="821" t="s">
        <v>1566</v>
      </c>
      <c r="C19" s="417" t="s">
        <v>38</v>
      </c>
      <c r="D19" s="418">
        <f>SUM(D13:D18)</f>
        <v>62300</v>
      </c>
      <c r="F19" s="26"/>
    </row>
    <row r="20" spans="1:6" ht="15.6" x14ac:dyDescent="0.3">
      <c r="A20" s="92"/>
      <c r="B20" s="821" t="s">
        <v>1567</v>
      </c>
      <c r="C20" s="93" t="s">
        <v>39</v>
      </c>
      <c r="D20" s="75">
        <f>D19*0.16</f>
        <v>9968</v>
      </c>
    </row>
    <row r="21" spans="1:6" ht="16.2" thickBot="1" x14ac:dyDescent="0.35">
      <c r="A21" s="92"/>
      <c r="B21" s="821" t="s">
        <v>1568</v>
      </c>
      <c r="C21" s="94" t="s">
        <v>40</v>
      </c>
      <c r="D21" s="95">
        <f>D19+D20</f>
        <v>72268</v>
      </c>
    </row>
    <row r="22" spans="1:6" ht="16.2" thickBot="1" x14ac:dyDescent="0.3">
      <c r="A22" s="92"/>
      <c r="B22" s="1023" t="s">
        <v>1573</v>
      </c>
      <c r="C22" s="1024"/>
      <c r="D22" s="1025"/>
    </row>
    <row r="23" spans="1:6" ht="15" x14ac:dyDescent="0.25">
      <c r="A23" s="34"/>
      <c r="B23" s="35" t="s">
        <v>11</v>
      </c>
      <c r="C23" s="1"/>
      <c r="D23" s="1"/>
    </row>
    <row r="24" spans="1:6" ht="15" x14ac:dyDescent="0.25">
      <c r="A24" s="34"/>
      <c r="B24" s="408" t="s">
        <v>428</v>
      </c>
      <c r="C24" s="1"/>
      <c r="D24" s="1"/>
    </row>
    <row r="25" spans="1:6" ht="15" x14ac:dyDescent="0.25">
      <c r="A25" s="34"/>
      <c r="B25" s="131" t="s">
        <v>429</v>
      </c>
      <c r="C25" s="1"/>
      <c r="D25" s="1"/>
    </row>
    <row r="26" spans="1:6" ht="13.8" x14ac:dyDescent="0.25">
      <c r="B26" s="130" t="s">
        <v>431</v>
      </c>
      <c r="C26" s="1"/>
      <c r="D26" s="1"/>
    </row>
    <row r="27" spans="1:6" ht="15" x14ac:dyDescent="0.25">
      <c r="A27" s="34"/>
      <c r="B27" s="35" t="s">
        <v>15</v>
      </c>
      <c r="C27" s="37"/>
      <c r="D27" s="37"/>
    </row>
    <row r="28" spans="1:6" ht="27.6" x14ac:dyDescent="0.25">
      <c r="A28" s="34"/>
      <c r="B28" s="36" t="s">
        <v>17</v>
      </c>
      <c r="C28" s="38"/>
      <c r="D28" s="39"/>
    </row>
    <row r="29" spans="1:6" ht="15" x14ac:dyDescent="0.25">
      <c r="A29" s="34"/>
      <c r="B29" s="40" t="s">
        <v>18</v>
      </c>
      <c r="C29" s="38"/>
      <c r="D29" s="38"/>
    </row>
    <row r="30" spans="1:6" ht="15" x14ac:dyDescent="0.25">
      <c r="A30" s="34"/>
      <c r="B30" s="134" t="s">
        <v>19</v>
      </c>
      <c r="C30" s="38"/>
      <c r="D30" s="38"/>
    </row>
    <row r="31" spans="1:6" ht="13.8" x14ac:dyDescent="0.25">
      <c r="B31" s="135" t="s">
        <v>20</v>
      </c>
      <c r="D31" s="41"/>
    </row>
    <row r="32" spans="1:6" ht="15" x14ac:dyDescent="0.25">
      <c r="A32" s="34"/>
      <c r="B32" s="40" t="s">
        <v>21</v>
      </c>
      <c r="C32" s="38"/>
      <c r="D32" s="39"/>
    </row>
    <row r="33" spans="1:4" ht="15" x14ac:dyDescent="0.25">
      <c r="A33" s="34"/>
      <c r="B33" s="179" t="s">
        <v>1574</v>
      </c>
      <c r="C33" s="38"/>
      <c r="D33" s="39"/>
    </row>
    <row r="34" spans="1:4" ht="13.8" x14ac:dyDescent="0.25">
      <c r="A34" s="42" t="s">
        <v>0</v>
      </c>
      <c r="B34" s="123" t="s">
        <v>44</v>
      </c>
      <c r="C34" s="38"/>
      <c r="D34" s="38"/>
    </row>
    <row r="35" spans="1:4" ht="13.8" x14ac:dyDescent="0.25">
      <c r="A35" s="43"/>
      <c r="B35" s="123" t="s">
        <v>45</v>
      </c>
      <c r="C35" s="45"/>
      <c r="D35" s="45"/>
    </row>
    <row r="36" spans="1:4" ht="50.4" x14ac:dyDescent="0.25">
      <c r="A36" s="46"/>
      <c r="B36" s="183" t="s">
        <v>23</v>
      </c>
      <c r="C36" s="47"/>
      <c r="D36" s="1"/>
    </row>
    <row r="37" spans="1:4" ht="16.8" x14ac:dyDescent="0.4">
      <c r="A37" s="48"/>
      <c r="B37" s="44"/>
      <c r="C37" s="47"/>
      <c r="D37" s="1"/>
    </row>
    <row r="38" spans="1:4" x14ac:dyDescent="0.25">
      <c r="A38" s="50" t="s">
        <v>0</v>
      </c>
      <c r="B38" s="47"/>
      <c r="C38" s="47"/>
      <c r="D38" s="1"/>
    </row>
    <row r="39" spans="1:4" x14ac:dyDescent="0.25">
      <c r="A39" s="1" t="s">
        <v>0</v>
      </c>
      <c r="B39" s="47"/>
      <c r="D39" s="47"/>
    </row>
    <row r="40" spans="1:4" x14ac:dyDescent="0.25">
      <c r="B40" s="49"/>
    </row>
    <row r="41" spans="1:4" ht="15" x14ac:dyDescent="0.35">
      <c r="B41" s="51"/>
    </row>
  </sheetData>
  <mergeCells count="2">
    <mergeCell ref="A4:D4"/>
    <mergeCell ref="B22:D22"/>
  </mergeCells>
  <printOptions horizontalCentered="1"/>
  <pageMargins left="0.25" right="0.25" top="0.75" bottom="0.75" header="0.3" footer="0.3"/>
  <pageSetup scale="86" fitToWidth="0" orientation="portrait" r:id="rId1"/>
  <headerFooter alignWithMargins="0">
    <oddFooter>Página &amp;P de &amp;N</oddFooter>
  </headerFooter>
  <drawing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6DBA-9048-4507-8D25-A61006F1345E}">
  <sheetPr>
    <tabColor theme="4" tint="-0.249977111117893"/>
    <pageSetUpPr fitToPage="1"/>
  </sheetPr>
  <dimension ref="A1:G62"/>
  <sheetViews>
    <sheetView topLeftCell="A4" zoomScaleNormal="100" workbookViewId="0">
      <selection activeCell="C21" sqref="C21"/>
    </sheetView>
  </sheetViews>
  <sheetFormatPr baseColWidth="10" defaultColWidth="10.33203125" defaultRowHeight="13.2" x14ac:dyDescent="0.25"/>
  <cols>
    <col min="1" max="1" width="5.44140625" style="108" customWidth="1"/>
    <col min="2" max="2" width="76.5546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1418</v>
      </c>
      <c r="C7" s="58"/>
      <c r="D7" s="58"/>
    </row>
    <row r="8" spans="1:7" s="10" customFormat="1" ht="16.8" x14ac:dyDescent="0.4">
      <c r="A8" s="57" t="s">
        <v>1419</v>
      </c>
      <c r="C8" s="58"/>
      <c r="D8" s="58"/>
    </row>
    <row r="9" spans="1:7" s="10" customFormat="1" ht="16.8" x14ac:dyDescent="0.4">
      <c r="A9" s="57" t="s">
        <v>1392</v>
      </c>
      <c r="C9" s="58"/>
      <c r="D9" s="58"/>
    </row>
    <row r="10" spans="1:7" s="10" customFormat="1" ht="16.8" x14ac:dyDescent="0.4">
      <c r="A10" s="57" t="s">
        <v>1420</v>
      </c>
      <c r="C10" s="59"/>
      <c r="D10" s="58"/>
    </row>
    <row r="11" spans="1:7" s="10" customFormat="1" ht="16.8" x14ac:dyDescent="0.4">
      <c r="A11" s="60" t="s">
        <v>1579</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1410</v>
      </c>
      <c r="C15" s="625">
        <f>220*100</f>
        <v>22000</v>
      </c>
      <c r="D15" s="75">
        <f t="shared" ref="D15:D18" si="0">A15*C15</f>
        <v>22000</v>
      </c>
      <c r="E15" s="190"/>
      <c r="G15" s="10"/>
    </row>
    <row r="16" spans="1:7" ht="15.6" x14ac:dyDescent="0.25">
      <c r="A16" s="72">
        <v>1</v>
      </c>
      <c r="B16" s="624" t="s">
        <v>745</v>
      </c>
      <c r="C16" s="625">
        <v>4380</v>
      </c>
      <c r="D16" s="75">
        <f>A16*C16</f>
        <v>4380</v>
      </c>
    </row>
    <row r="17" spans="1:7" s="191" customFormat="1" ht="30" x14ac:dyDescent="0.25">
      <c r="A17" s="72">
        <v>1</v>
      </c>
      <c r="B17" s="672" t="s">
        <v>751</v>
      </c>
      <c r="C17" s="625">
        <v>2380</v>
      </c>
      <c r="D17" s="75">
        <f>A17*C17</f>
        <v>2380</v>
      </c>
      <c r="E17" s="108"/>
      <c r="F17" s="108"/>
      <c r="G17" s="108"/>
    </row>
    <row r="18" spans="1:7" ht="45.6" thickBot="1" x14ac:dyDescent="0.3">
      <c r="A18" s="72">
        <v>1</v>
      </c>
      <c r="B18" s="624" t="s">
        <v>750</v>
      </c>
      <c r="C18" s="625">
        <v>22000</v>
      </c>
      <c r="D18" s="75">
        <f t="shared" si="0"/>
        <v>22000</v>
      </c>
    </row>
    <row r="19" spans="1:7" x14ac:dyDescent="0.25">
      <c r="A19" s="667"/>
      <c r="B19" s="674"/>
      <c r="C19" s="669"/>
      <c r="D19" s="213"/>
    </row>
    <row r="20" spans="1:7" ht="15.6" x14ac:dyDescent="0.25">
      <c r="A20" s="668"/>
      <c r="B20" s="675"/>
      <c r="C20" s="670" t="s">
        <v>188</v>
      </c>
      <c r="D20" s="630">
        <f>SUM(D15:D18)</f>
        <v>50760</v>
      </c>
    </row>
    <row r="21" spans="1:7" ht="16.2" thickBot="1" x14ac:dyDescent="0.35">
      <c r="A21" s="453"/>
      <c r="B21" s="676"/>
      <c r="C21" s="671" t="s">
        <v>90</v>
      </c>
      <c r="D21" s="632">
        <f>D20*0.16</f>
        <v>8121.6</v>
      </c>
    </row>
    <row r="22" spans="1:7" ht="16.2" thickBot="1" x14ac:dyDescent="0.35">
      <c r="A22" s="276"/>
      <c r="B22" s="673"/>
      <c r="C22" s="633" t="s">
        <v>40</v>
      </c>
      <c r="D22" s="634">
        <f>D20+D21</f>
        <v>58881.599999999999</v>
      </c>
    </row>
    <row r="23" spans="1:7" ht="16.2" thickBot="1" x14ac:dyDescent="0.3">
      <c r="A23" s="102"/>
      <c r="B23" s="635" t="s">
        <v>1578</v>
      </c>
      <c r="C23" s="553"/>
      <c r="D23" s="461"/>
    </row>
    <row r="24" spans="1:7" ht="13.8" x14ac:dyDescent="0.25">
      <c r="B24" s="103" t="s">
        <v>15</v>
      </c>
      <c r="C24" s="189"/>
      <c r="D24" s="666"/>
    </row>
    <row r="25" spans="1:7" ht="27.6" x14ac:dyDescent="0.25">
      <c r="A25" s="106"/>
      <c r="B25" s="295" t="s">
        <v>42</v>
      </c>
    </row>
    <row r="26" spans="1:7" ht="41.4" x14ac:dyDescent="0.25">
      <c r="A26" s="106"/>
      <c r="B26" s="295" t="s">
        <v>43</v>
      </c>
      <c r="C26" s="109"/>
      <c r="D26" s="110"/>
    </row>
    <row r="27" spans="1:7" ht="15" x14ac:dyDescent="0.25">
      <c r="A27" s="106"/>
      <c r="B27" s="103" t="s">
        <v>18</v>
      </c>
      <c r="C27" s="109"/>
      <c r="D27" s="110"/>
    </row>
    <row r="28" spans="1:7" ht="15" x14ac:dyDescent="0.25">
      <c r="A28" s="106"/>
      <c r="B28" s="296" t="s">
        <v>1580</v>
      </c>
      <c r="C28" s="109"/>
      <c r="D28" s="109"/>
    </row>
    <row r="29" spans="1:7" ht="15" x14ac:dyDescent="0.25">
      <c r="A29" s="106"/>
      <c r="B29" s="297" t="s">
        <v>20</v>
      </c>
      <c r="C29" s="109"/>
      <c r="D29" s="109"/>
    </row>
    <row r="30" spans="1:7" ht="13.8" x14ac:dyDescent="0.25">
      <c r="B30" s="103" t="s">
        <v>21</v>
      </c>
      <c r="D30" s="105"/>
    </row>
    <row r="31" spans="1:7" ht="15" x14ac:dyDescent="0.25">
      <c r="A31" s="106"/>
      <c r="B31" s="122" t="s">
        <v>502</v>
      </c>
      <c r="C31" s="109"/>
      <c r="D31" s="110"/>
    </row>
    <row r="32" spans="1:7" ht="15" x14ac:dyDescent="0.25">
      <c r="A32" s="106"/>
      <c r="B32" s="123" t="s">
        <v>44</v>
      </c>
      <c r="C32" s="109"/>
      <c r="D32" s="110"/>
    </row>
    <row r="33" spans="1:4" ht="13.8" x14ac:dyDescent="0.25">
      <c r="A33" s="115" t="s">
        <v>0</v>
      </c>
      <c r="B33" s="298" t="s">
        <v>45</v>
      </c>
      <c r="C33" s="109"/>
    </row>
    <row r="34" spans="1:4" ht="50.4" x14ac:dyDescent="0.25">
      <c r="A34" s="222"/>
      <c r="B34" s="314" t="s">
        <v>169</v>
      </c>
      <c r="C34" s="220"/>
      <c r="D34" s="108"/>
    </row>
    <row r="35" spans="1:4" x14ac:dyDescent="0.25">
      <c r="A35" s="222"/>
      <c r="B35" s="181"/>
      <c r="C35" s="181"/>
      <c r="D35" s="108"/>
    </row>
    <row r="36" spans="1:4" x14ac:dyDescent="0.25">
      <c r="A36" s="222"/>
      <c r="B36" s="181"/>
      <c r="C36" s="181"/>
      <c r="D36" s="108"/>
    </row>
    <row r="37" spans="1:4" x14ac:dyDescent="0.25">
      <c r="A37" s="225"/>
      <c r="B37" s="223"/>
      <c r="C37" s="181"/>
      <c r="D37" s="108"/>
    </row>
    <row r="38" spans="1:4" ht="15" x14ac:dyDescent="0.35">
      <c r="A38" s="226"/>
      <c r="B38" s="224"/>
      <c r="C38" s="181"/>
      <c r="D38" s="181"/>
    </row>
    <row r="39" spans="1:4" x14ac:dyDescent="0.25">
      <c r="A39"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6" fitToWidth="0" orientation="portrait" r:id="rId1"/>
  <headerFooter alignWithMargins="0">
    <oddFooter>Página &amp;P de &amp;N</oddFooter>
  </headerFooter>
  <drawing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DCA2-D20C-4AF6-AC6E-6E31053012DE}">
  <sheetPr>
    <tabColor theme="4" tint="-0.249977111117893"/>
    <pageSetUpPr fitToPage="1"/>
  </sheetPr>
  <dimension ref="A1:G62"/>
  <sheetViews>
    <sheetView topLeftCell="A13" zoomScaleNormal="100" workbookViewId="0">
      <selection activeCell="C15" sqref="C15"/>
    </sheetView>
  </sheetViews>
  <sheetFormatPr baseColWidth="10" defaultColWidth="10.33203125" defaultRowHeight="13.2" x14ac:dyDescent="0.25"/>
  <cols>
    <col min="1" max="1" width="5.44140625" style="108" customWidth="1"/>
    <col min="2" max="2" width="76.5546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1584</v>
      </c>
      <c r="C8" s="58"/>
      <c r="D8" s="58"/>
    </row>
    <row r="9" spans="1:7" s="10" customFormat="1" ht="16.8" x14ac:dyDescent="0.4">
      <c r="A9" s="57" t="s">
        <v>1585</v>
      </c>
      <c r="C9" s="58"/>
      <c r="D9" s="58"/>
    </row>
    <row r="10" spans="1:7" s="10" customFormat="1" ht="16.8" x14ac:dyDescent="0.4">
      <c r="A10" s="57" t="s">
        <v>1576</v>
      </c>
      <c r="C10" s="59"/>
      <c r="D10" s="58"/>
    </row>
    <row r="11" spans="1:7" s="10" customFormat="1" ht="16.8" x14ac:dyDescent="0.4">
      <c r="A11" s="60" t="s">
        <v>1586</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1410</v>
      </c>
      <c r="C15" s="625">
        <f>270*110</f>
        <v>29700</v>
      </c>
      <c r="D15" s="75">
        <f t="shared" ref="D15:D18" si="0">A15*C15</f>
        <v>29700</v>
      </c>
      <c r="E15" s="190"/>
      <c r="G15" s="10"/>
    </row>
    <row r="16" spans="1:7" ht="15.6" x14ac:dyDescent="0.25">
      <c r="A16" s="72">
        <v>2</v>
      </c>
      <c r="B16" s="624" t="s">
        <v>745</v>
      </c>
      <c r="C16" s="625">
        <v>4380</v>
      </c>
      <c r="D16" s="75">
        <f>A16*C16</f>
        <v>8760</v>
      </c>
    </row>
    <row r="17" spans="1:7" s="191" customFormat="1" ht="30" x14ac:dyDescent="0.25">
      <c r="A17" s="72">
        <v>2</v>
      </c>
      <c r="B17" s="672" t="s">
        <v>751</v>
      </c>
      <c r="C17" s="625">
        <v>2380</v>
      </c>
      <c r="D17" s="75">
        <f>A17*C17</f>
        <v>4760</v>
      </c>
      <c r="E17" s="108"/>
      <c r="F17" s="108"/>
      <c r="G17" s="108"/>
    </row>
    <row r="18" spans="1:7" ht="45.6" thickBot="1" x14ac:dyDescent="0.3">
      <c r="A18" s="72">
        <v>1</v>
      </c>
      <c r="B18" s="624" t="s">
        <v>750</v>
      </c>
      <c r="C18" s="625">
        <f>270*110</f>
        <v>29700</v>
      </c>
      <c r="D18" s="75">
        <f t="shared" si="0"/>
        <v>29700</v>
      </c>
    </row>
    <row r="19" spans="1:7" x14ac:dyDescent="0.25">
      <c r="A19" s="667"/>
      <c r="B19" s="674"/>
      <c r="C19" s="669"/>
      <c r="D19" s="213"/>
    </row>
    <row r="20" spans="1:7" ht="15.6" x14ac:dyDescent="0.25">
      <c r="A20" s="668"/>
      <c r="B20" s="675"/>
      <c r="C20" s="670" t="s">
        <v>188</v>
      </c>
      <c r="D20" s="630">
        <f>SUM(D15:D18)</f>
        <v>72920</v>
      </c>
    </row>
    <row r="21" spans="1:7" ht="16.2" thickBot="1" x14ac:dyDescent="0.35">
      <c r="A21" s="453"/>
      <c r="B21" s="676"/>
      <c r="C21" s="671" t="s">
        <v>90</v>
      </c>
      <c r="D21" s="632">
        <f>D20*0.16</f>
        <v>11667.2</v>
      </c>
    </row>
    <row r="22" spans="1:7" ht="16.2" thickBot="1" x14ac:dyDescent="0.35">
      <c r="A22" s="276"/>
      <c r="B22" s="673"/>
      <c r="C22" s="633" t="s">
        <v>40</v>
      </c>
      <c r="D22" s="634">
        <f>D20+D21</f>
        <v>84587.199999999997</v>
      </c>
    </row>
    <row r="23" spans="1:7" ht="16.2" thickBot="1" x14ac:dyDescent="0.3">
      <c r="A23" s="102"/>
      <c r="B23" s="635" t="s">
        <v>1582</v>
      </c>
      <c r="C23" s="553"/>
      <c r="D23" s="461"/>
    </row>
    <row r="24" spans="1:7" ht="13.8" x14ac:dyDescent="0.25">
      <c r="B24" s="103" t="s">
        <v>15</v>
      </c>
      <c r="C24" s="189"/>
      <c r="D24" s="666"/>
    </row>
    <row r="25" spans="1:7" ht="27.6" x14ac:dyDescent="0.25">
      <c r="A25" s="106"/>
      <c r="B25" s="295" t="s">
        <v>42</v>
      </c>
    </row>
    <row r="26" spans="1:7" ht="41.4" x14ac:dyDescent="0.25">
      <c r="A26" s="106"/>
      <c r="B26" s="295" t="s">
        <v>43</v>
      </c>
      <c r="C26" s="109"/>
      <c r="D26" s="110"/>
    </row>
    <row r="27" spans="1:7" ht="15" x14ac:dyDescent="0.25">
      <c r="A27" s="106"/>
      <c r="B27" s="103" t="s">
        <v>18</v>
      </c>
      <c r="C27" s="109"/>
      <c r="D27" s="110"/>
    </row>
    <row r="28" spans="1:7" ht="15" x14ac:dyDescent="0.25">
      <c r="A28" s="106"/>
      <c r="B28" s="296" t="s">
        <v>1583</v>
      </c>
      <c r="C28" s="109"/>
      <c r="D28" s="109"/>
    </row>
    <row r="29" spans="1:7" ht="15" x14ac:dyDescent="0.25">
      <c r="A29" s="106"/>
      <c r="B29" s="297" t="s">
        <v>20</v>
      </c>
      <c r="C29" s="109"/>
      <c r="D29" s="109"/>
    </row>
    <row r="30" spans="1:7" ht="13.8" x14ac:dyDescent="0.25">
      <c r="B30" s="103" t="s">
        <v>21</v>
      </c>
      <c r="D30" s="105"/>
    </row>
    <row r="31" spans="1:7" ht="15" x14ac:dyDescent="0.25">
      <c r="A31" s="106"/>
      <c r="B31" s="122" t="s">
        <v>502</v>
      </c>
      <c r="C31" s="109"/>
      <c r="D31" s="110"/>
    </row>
    <row r="32" spans="1:7" ht="15" x14ac:dyDescent="0.25">
      <c r="A32" s="106"/>
      <c r="B32" s="123" t="s">
        <v>44</v>
      </c>
      <c r="C32" s="109"/>
      <c r="D32" s="110"/>
    </row>
    <row r="33" spans="1:4" ht="13.8" x14ac:dyDescent="0.25">
      <c r="A33" s="115" t="s">
        <v>0</v>
      </c>
      <c r="B33" s="298" t="s">
        <v>45</v>
      </c>
      <c r="C33" s="109"/>
    </row>
    <row r="34" spans="1:4" ht="50.4" x14ac:dyDescent="0.25">
      <c r="A34" s="222"/>
      <c r="B34" s="314" t="s">
        <v>169</v>
      </c>
      <c r="C34" s="220"/>
      <c r="D34" s="108"/>
    </row>
    <row r="35" spans="1:4" x14ac:dyDescent="0.25">
      <c r="A35" s="222"/>
      <c r="B35" s="181"/>
      <c r="C35" s="181"/>
      <c r="D35" s="108"/>
    </row>
    <row r="36" spans="1:4" x14ac:dyDescent="0.25">
      <c r="A36" s="222"/>
      <c r="B36" s="181"/>
      <c r="C36" s="181"/>
      <c r="D36" s="108"/>
    </row>
    <row r="37" spans="1:4" x14ac:dyDescent="0.25">
      <c r="A37" s="225"/>
      <c r="B37" s="223"/>
      <c r="C37" s="181"/>
      <c r="D37" s="108"/>
    </row>
    <row r="38" spans="1:4" ht="15" x14ac:dyDescent="0.35">
      <c r="A38" s="226"/>
      <c r="B38" s="224"/>
      <c r="C38" s="181"/>
      <c r="D38" s="181"/>
    </row>
    <row r="39" spans="1:4" x14ac:dyDescent="0.25">
      <c r="A39"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6" fitToWidth="0" orientation="portrait" r:id="rId1"/>
  <headerFooter alignWithMargins="0">
    <oddFooter>Página &amp;P de &amp;N</oddFooter>
  </headerFooter>
  <drawing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C8B4-A824-4F2F-96C7-B35B52798D82}">
  <sheetPr>
    <tabColor theme="4" tint="-0.249977111117893"/>
    <pageSetUpPr fitToPage="1"/>
  </sheetPr>
  <dimension ref="A1:G62"/>
  <sheetViews>
    <sheetView topLeftCell="A18" zoomScaleNormal="100" workbookViewId="0">
      <selection activeCell="B31" sqref="B31:B33"/>
    </sheetView>
  </sheetViews>
  <sheetFormatPr baseColWidth="10" defaultColWidth="10.33203125" defaultRowHeight="13.2" x14ac:dyDescent="0.25"/>
  <cols>
    <col min="1" max="1" width="5.44140625" style="108" customWidth="1"/>
    <col min="2" max="2" width="76.5546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1584</v>
      </c>
      <c r="C8" s="58"/>
      <c r="D8" s="58"/>
    </row>
    <row r="9" spans="1:7" s="10" customFormat="1" ht="16.8" x14ac:dyDescent="0.4">
      <c r="A9" s="57" t="s">
        <v>1585</v>
      </c>
      <c r="C9" s="58"/>
      <c r="D9" s="58"/>
    </row>
    <row r="10" spans="1:7" s="10" customFormat="1" ht="16.8" x14ac:dyDescent="0.4">
      <c r="A10" s="57" t="s">
        <v>1576</v>
      </c>
      <c r="C10" s="59"/>
      <c r="D10" s="58"/>
    </row>
    <row r="11" spans="1:7" s="10" customFormat="1" ht="16.8" x14ac:dyDescent="0.4">
      <c r="A11" s="60" t="s">
        <v>1586</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1410</v>
      </c>
      <c r="C15" s="625">
        <f>270*100</f>
        <v>27000</v>
      </c>
      <c r="D15" s="75">
        <f t="shared" ref="D15:D18" si="0">A15*C15</f>
        <v>27000</v>
      </c>
      <c r="E15" s="190"/>
      <c r="G15" s="10"/>
    </row>
    <row r="16" spans="1:7" ht="15.6" x14ac:dyDescent="0.25">
      <c r="A16" s="72">
        <v>2</v>
      </c>
      <c r="B16" s="624" t="s">
        <v>745</v>
      </c>
      <c r="C16" s="625">
        <v>4179</v>
      </c>
      <c r="D16" s="75">
        <f>A16*C16</f>
        <v>8358</v>
      </c>
    </row>
    <row r="17" spans="1:7" s="191" customFormat="1" ht="30" x14ac:dyDescent="0.25">
      <c r="A17" s="72">
        <v>2</v>
      </c>
      <c r="B17" s="672" t="s">
        <v>751</v>
      </c>
      <c r="C17" s="625">
        <f>1870*1.15</f>
        <v>2150.5</v>
      </c>
      <c r="D17" s="75">
        <f>A17*C17</f>
        <v>4301</v>
      </c>
      <c r="E17" s="108"/>
      <c r="F17" s="108"/>
      <c r="G17" s="108"/>
    </row>
    <row r="18" spans="1:7" ht="45.6" thickBot="1" x14ac:dyDescent="0.3">
      <c r="A18" s="72">
        <v>1</v>
      </c>
      <c r="B18" s="624" t="s">
        <v>750</v>
      </c>
      <c r="C18" s="625">
        <f>270*100</f>
        <v>27000</v>
      </c>
      <c r="D18" s="75">
        <f t="shared" si="0"/>
        <v>27000</v>
      </c>
    </row>
    <row r="19" spans="1:7" x14ac:dyDescent="0.25">
      <c r="A19" s="667"/>
      <c r="B19" s="674"/>
      <c r="C19" s="669"/>
      <c r="D19" s="213"/>
    </row>
    <row r="20" spans="1:7" ht="15.6" x14ac:dyDescent="0.25">
      <c r="A20" s="668"/>
      <c r="B20" s="675"/>
      <c r="C20" s="670" t="s">
        <v>188</v>
      </c>
      <c r="D20" s="630">
        <f>SUM(D15:D18)</f>
        <v>66659</v>
      </c>
    </row>
    <row r="21" spans="1:7" ht="16.2" thickBot="1" x14ac:dyDescent="0.35">
      <c r="A21" s="453"/>
      <c r="B21" s="676"/>
      <c r="C21" s="671" t="s">
        <v>90</v>
      </c>
      <c r="D21" s="632">
        <f>D20*0.16</f>
        <v>10665.44</v>
      </c>
    </row>
    <row r="22" spans="1:7" ht="16.2" thickBot="1" x14ac:dyDescent="0.35">
      <c r="A22" s="276"/>
      <c r="B22" s="673"/>
      <c r="C22" s="633" t="s">
        <v>40</v>
      </c>
      <c r="D22" s="634">
        <f>D20+D21</f>
        <v>77324.44</v>
      </c>
    </row>
    <row r="23" spans="1:7" ht="16.2" thickBot="1" x14ac:dyDescent="0.3">
      <c r="A23" s="102"/>
      <c r="B23" s="635" t="s">
        <v>1587</v>
      </c>
      <c r="C23" s="553"/>
      <c r="D23" s="461"/>
    </row>
    <row r="24" spans="1:7" ht="13.8" x14ac:dyDescent="0.25">
      <c r="B24" s="103" t="s">
        <v>15</v>
      </c>
      <c r="C24" s="189"/>
      <c r="D24" s="666"/>
    </row>
    <row r="25" spans="1:7" ht="27.6" x14ac:dyDescent="0.25">
      <c r="A25" s="106"/>
      <c r="B25" s="295" t="s">
        <v>42</v>
      </c>
    </row>
    <row r="26" spans="1:7" ht="41.4" x14ac:dyDescent="0.25">
      <c r="A26" s="106"/>
      <c r="B26" s="295" t="s">
        <v>43</v>
      </c>
      <c r="C26" s="109"/>
      <c r="D26" s="110"/>
    </row>
    <row r="27" spans="1:7" ht="15" x14ac:dyDescent="0.25">
      <c r="A27" s="106"/>
      <c r="B27" s="103" t="s">
        <v>18</v>
      </c>
      <c r="C27" s="109"/>
      <c r="D27" s="110"/>
    </row>
    <row r="28" spans="1:7" ht="15" x14ac:dyDescent="0.25">
      <c r="A28" s="106"/>
      <c r="B28" s="296" t="s">
        <v>1588</v>
      </c>
      <c r="C28" s="109"/>
      <c r="D28" s="109"/>
    </row>
    <row r="29" spans="1:7" ht="15" x14ac:dyDescent="0.25">
      <c r="A29" s="106"/>
      <c r="B29" s="297" t="s">
        <v>20</v>
      </c>
      <c r="C29" s="109"/>
      <c r="D29" s="109"/>
    </row>
    <row r="30" spans="1:7" ht="13.8" x14ac:dyDescent="0.25">
      <c r="B30" s="103" t="s">
        <v>21</v>
      </c>
      <c r="D30" s="105"/>
    </row>
    <row r="31" spans="1:7" ht="15" x14ac:dyDescent="0.25">
      <c r="A31" s="106"/>
      <c r="B31" s="122" t="s">
        <v>502</v>
      </c>
      <c r="C31" s="109"/>
      <c r="D31" s="110"/>
    </row>
    <row r="32" spans="1:7" ht="15" x14ac:dyDescent="0.25">
      <c r="A32" s="106"/>
      <c r="B32" s="123" t="s">
        <v>44</v>
      </c>
      <c r="C32" s="109"/>
      <c r="D32" s="110"/>
    </row>
    <row r="33" spans="1:4" ht="13.8" x14ac:dyDescent="0.25">
      <c r="A33" s="115" t="s">
        <v>0</v>
      </c>
      <c r="B33" s="298" t="s">
        <v>45</v>
      </c>
      <c r="C33" s="109"/>
    </row>
    <row r="34" spans="1:4" ht="50.4" x14ac:dyDescent="0.25">
      <c r="A34" s="222"/>
      <c r="B34" s="314" t="s">
        <v>169</v>
      </c>
      <c r="C34" s="220"/>
      <c r="D34" s="108"/>
    </row>
    <row r="35" spans="1:4" x14ac:dyDescent="0.25">
      <c r="A35" s="222"/>
      <c r="B35" s="181"/>
      <c r="C35" s="181"/>
      <c r="D35" s="108"/>
    </row>
    <row r="36" spans="1:4" x14ac:dyDescent="0.25">
      <c r="A36" s="222"/>
      <c r="B36" s="181"/>
      <c r="C36" s="181"/>
      <c r="D36" s="108"/>
    </row>
    <row r="37" spans="1:4" x14ac:dyDescent="0.25">
      <c r="A37" s="225"/>
      <c r="B37" s="223"/>
      <c r="C37" s="181"/>
      <c r="D37" s="108"/>
    </row>
    <row r="38" spans="1:4" ht="15" x14ac:dyDescent="0.35">
      <c r="A38" s="226"/>
      <c r="B38" s="224"/>
      <c r="C38" s="181"/>
      <c r="D38" s="181"/>
    </row>
    <row r="39" spans="1:4" x14ac:dyDescent="0.25">
      <c r="A39"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6" fitToWidth="0" orientation="portrait" r:id="rId1"/>
  <headerFooter alignWithMargins="0">
    <oddFooter>Página &amp;P de &amp;N</oddFooter>
  </headerFooter>
  <drawing r:id="rId2"/>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D2D6-06B9-4919-8D73-5F765F9605D9}">
  <sheetPr>
    <pageSetUpPr fitToPage="1"/>
  </sheetPr>
  <dimension ref="A1:L340"/>
  <sheetViews>
    <sheetView zoomScale="115" zoomScaleNormal="115" workbookViewId="0">
      <selection activeCell="A6" sqref="A6:C11"/>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6" width="15.44140625" bestFit="1" customWidth="1"/>
    <col min="7" max="7" width="14.44140625" customWidth="1"/>
    <col min="8" max="8" width="14.109375" customWidth="1"/>
    <col min="9" max="9" width="8.5546875" customWidth="1"/>
    <col min="10" max="10" width="90.5546875" bestFit="1" customWidth="1"/>
    <col min="11" max="11" width="14.21875" bestFit="1" customWidth="1"/>
  </cols>
  <sheetData>
    <row r="1" spans="1:12" s="316" customFormat="1" x14ac:dyDescent="0.3">
      <c r="A1"/>
      <c r="B1" s="315"/>
      <c r="C1"/>
      <c r="D1"/>
      <c r="E1"/>
      <c r="F1"/>
    </row>
    <row r="5" spans="1:12" x14ac:dyDescent="0.3">
      <c r="E5" s="316"/>
      <c r="F5" s="316"/>
    </row>
    <row r="6" spans="1:12" ht="16.8" x14ac:dyDescent="0.4">
      <c r="A6" s="57" t="s">
        <v>282</v>
      </c>
      <c r="B6" s="10"/>
      <c r="C6" s="58"/>
      <c r="D6" s="58"/>
      <c r="E6" s="10"/>
    </row>
    <row r="7" spans="1:12" ht="16.8" x14ac:dyDescent="0.4">
      <c r="A7" s="57" t="s">
        <v>283</v>
      </c>
      <c r="B7" s="10"/>
      <c r="C7" s="58"/>
      <c r="D7" s="58"/>
      <c r="E7" s="10"/>
    </row>
    <row r="8" spans="1:12" ht="16.8" x14ac:dyDescent="0.4">
      <c r="A8" s="57" t="s">
        <v>284</v>
      </c>
      <c r="B8" s="10"/>
      <c r="C8" s="58"/>
      <c r="D8" s="58"/>
      <c r="E8" s="10"/>
    </row>
    <row r="9" spans="1:12" ht="16.8" x14ac:dyDescent="0.4">
      <c r="A9" s="57" t="s">
        <v>285</v>
      </c>
      <c r="B9" s="10"/>
      <c r="C9" s="59"/>
      <c r="D9" s="58"/>
      <c r="E9" s="10"/>
    </row>
    <row r="10" spans="1:12" ht="16.8" x14ac:dyDescent="0.4">
      <c r="A10" s="57" t="s">
        <v>286</v>
      </c>
      <c r="B10" s="10"/>
      <c r="C10" s="59"/>
      <c r="D10" s="58"/>
      <c r="E10" s="10"/>
    </row>
    <row r="11" spans="1:12" ht="16.8" x14ac:dyDescent="0.4">
      <c r="A11" s="57" t="s">
        <v>6</v>
      </c>
      <c r="B11" s="61"/>
      <c r="C11" s="62"/>
      <c r="D11" s="63"/>
      <c r="E11" s="10"/>
      <c r="G11" s="317"/>
    </row>
    <row r="12" spans="1:12" s="317" customFormat="1" ht="16.8" x14ac:dyDescent="0.4">
      <c r="A12" s="60" t="s">
        <v>576</v>
      </c>
      <c r="B12" s="61"/>
      <c r="C12" s="62"/>
      <c r="D12" s="63"/>
      <c r="E12" s="10"/>
      <c r="F12"/>
      <c r="G12"/>
    </row>
    <row r="13" spans="1:12" x14ac:dyDescent="0.3">
      <c r="A13" s="318" t="s">
        <v>852</v>
      </c>
      <c r="B13" s="319" t="s">
        <v>288</v>
      </c>
      <c r="C13" s="320" t="s">
        <v>289</v>
      </c>
      <c r="D13" s="321" t="s">
        <v>290</v>
      </c>
      <c r="E13" s="322" t="s">
        <v>291</v>
      </c>
      <c r="H13" s="318" t="s">
        <v>287</v>
      </c>
      <c r="I13" s="319" t="s">
        <v>288</v>
      </c>
      <c r="J13" s="320" t="s">
        <v>289</v>
      </c>
      <c r="K13" s="321" t="s">
        <v>290</v>
      </c>
      <c r="L13" s="322" t="s">
        <v>291</v>
      </c>
    </row>
    <row r="14" spans="1:12" x14ac:dyDescent="0.3">
      <c r="A14" s="1086" t="s">
        <v>292</v>
      </c>
      <c r="B14" s="1119" t="s">
        <v>293</v>
      </c>
      <c r="C14" s="497"/>
      <c r="D14" s="498"/>
      <c r="E14" s="499"/>
      <c r="H14" s="1086" t="s">
        <v>292</v>
      </c>
      <c r="I14" s="1119" t="s">
        <v>293</v>
      </c>
      <c r="J14" s="497"/>
      <c r="K14" s="498"/>
      <c r="L14" s="499"/>
    </row>
    <row r="15" spans="1:12" x14ac:dyDescent="0.3">
      <c r="A15" s="1086"/>
      <c r="B15" s="1119"/>
      <c r="C15" s="324" t="s">
        <v>294</v>
      </c>
      <c r="D15" s="325">
        <f>(233493+118004)*1.3</f>
        <v>456946.10000000003</v>
      </c>
      <c r="E15" s="317" t="s">
        <v>295</v>
      </c>
      <c r="H15" s="1086"/>
      <c r="I15" s="1119"/>
      <c r="J15" s="324" t="s">
        <v>294</v>
      </c>
      <c r="K15" s="325">
        <f>(233493+118004)</f>
        <v>351497</v>
      </c>
      <c r="L15" s="317" t="s">
        <v>295</v>
      </c>
    </row>
    <row r="16" spans="1:12" x14ac:dyDescent="0.3">
      <c r="A16" s="1086"/>
      <c r="B16" s="1119"/>
      <c r="C16" s="324" t="s">
        <v>296</v>
      </c>
      <c r="D16" s="325">
        <f>(10200*4*1.25)</f>
        <v>51000</v>
      </c>
      <c r="E16" s="317" t="s">
        <v>295</v>
      </c>
      <c r="F16" s="317"/>
      <c r="H16" s="1086"/>
      <c r="I16" s="1119"/>
      <c r="J16" s="324" t="s">
        <v>296</v>
      </c>
      <c r="K16" s="325">
        <f>(10200*4*1.05)</f>
        <v>42840</v>
      </c>
      <c r="L16" s="317" t="s">
        <v>295</v>
      </c>
    </row>
    <row r="17" spans="1:12" ht="13.2" customHeight="1" x14ac:dyDescent="0.3">
      <c r="A17" s="1086"/>
      <c r="B17" s="1119"/>
      <c r="C17" s="324" t="s">
        <v>297</v>
      </c>
      <c r="D17" s="325">
        <f>(60*1115)*1.3</f>
        <v>86970</v>
      </c>
      <c r="E17" s="317" t="s">
        <v>295</v>
      </c>
      <c r="H17" s="1086"/>
      <c r="I17" s="1119"/>
      <c r="J17" s="324" t="s">
        <v>297</v>
      </c>
      <c r="K17" s="325">
        <f>(60*1115)*1.05</f>
        <v>70245</v>
      </c>
      <c r="L17" s="317" t="s">
        <v>295</v>
      </c>
    </row>
    <row r="18" spans="1:12" ht="55.2" x14ac:dyDescent="0.3">
      <c r="A18" s="1086"/>
      <c r="B18" s="1119"/>
      <c r="C18" s="324" t="s">
        <v>298</v>
      </c>
      <c r="D18" s="325">
        <f>(26500*2)+12000</f>
        <v>65000</v>
      </c>
      <c r="E18" s="317" t="s">
        <v>299</v>
      </c>
      <c r="H18" s="1086"/>
      <c r="I18" s="1119"/>
      <c r="J18" s="324" t="s">
        <v>298</v>
      </c>
      <c r="K18" s="325">
        <v>20000</v>
      </c>
      <c r="L18" s="317" t="s">
        <v>299</v>
      </c>
    </row>
    <row r="19" spans="1:12" x14ac:dyDescent="0.3">
      <c r="A19" s="1086"/>
      <c r="B19" s="1119" t="s">
        <v>302</v>
      </c>
      <c r="C19" s="324" t="s">
        <v>726</v>
      </c>
      <c r="D19" s="325">
        <v>25000</v>
      </c>
      <c r="E19" s="317" t="s">
        <v>727</v>
      </c>
      <c r="H19" s="1086"/>
      <c r="I19" s="1119" t="s">
        <v>302</v>
      </c>
      <c r="J19" s="324" t="s">
        <v>726</v>
      </c>
      <c r="K19" s="325">
        <v>25000</v>
      </c>
      <c r="L19" s="317" t="s">
        <v>727</v>
      </c>
    </row>
    <row r="20" spans="1:12" x14ac:dyDescent="0.3">
      <c r="A20" s="1086"/>
      <c r="B20" s="1119"/>
      <c r="C20" s="324" t="s">
        <v>300</v>
      </c>
      <c r="D20" s="325">
        <f>180000+25000</f>
        <v>205000</v>
      </c>
      <c r="E20" s="317" t="s">
        <v>577</v>
      </c>
      <c r="H20" s="1086"/>
      <c r="I20" s="1119"/>
      <c r="J20" s="324" t="s">
        <v>300</v>
      </c>
      <c r="K20" s="325">
        <v>60000</v>
      </c>
      <c r="L20" s="317" t="s">
        <v>577</v>
      </c>
    </row>
    <row r="21" spans="1:12" x14ac:dyDescent="0.3">
      <c r="A21" s="1086"/>
      <c r="B21" s="1119"/>
      <c r="C21" s="324" t="s">
        <v>303</v>
      </c>
      <c r="D21" s="325">
        <f>60000*1.25</f>
        <v>75000</v>
      </c>
      <c r="E21" s="317" t="s">
        <v>304</v>
      </c>
      <c r="H21" s="1086"/>
      <c r="I21" s="1119"/>
      <c r="J21" s="324" t="s">
        <v>303</v>
      </c>
      <c r="K21" s="325">
        <v>50000</v>
      </c>
      <c r="L21" s="317" t="s">
        <v>304</v>
      </c>
    </row>
    <row r="22" spans="1:12" ht="27.6" x14ac:dyDescent="0.3">
      <c r="A22" s="1086"/>
      <c r="B22" s="1119"/>
      <c r="C22" s="324" t="s">
        <v>305</v>
      </c>
      <c r="D22" s="325">
        <f>(70000+28000)*1.25</f>
        <v>122500</v>
      </c>
      <c r="E22" s="317" t="s">
        <v>306</v>
      </c>
      <c r="H22" s="1086"/>
      <c r="I22" s="1119"/>
      <c r="J22" s="324" t="s">
        <v>305</v>
      </c>
      <c r="K22" s="325">
        <f>(70000+25000)</f>
        <v>95000</v>
      </c>
      <c r="L22" s="317" t="s">
        <v>306</v>
      </c>
    </row>
    <row r="23" spans="1:12" ht="41.4" x14ac:dyDescent="0.3">
      <c r="A23" s="1086"/>
      <c r="B23" s="323" t="s">
        <v>310</v>
      </c>
      <c r="C23" s="324" t="s">
        <v>307</v>
      </c>
      <c r="D23" s="325">
        <v>16524</v>
      </c>
      <c r="E23" s="317" t="s">
        <v>309</v>
      </c>
      <c r="H23" s="1086"/>
      <c r="I23" s="323" t="s">
        <v>310</v>
      </c>
      <c r="J23" s="324" t="s">
        <v>307</v>
      </c>
      <c r="K23" s="325">
        <v>8000</v>
      </c>
      <c r="L23" s="317" t="s">
        <v>309</v>
      </c>
    </row>
    <row r="24" spans="1:12" x14ac:dyDescent="0.3">
      <c r="A24" s="1086"/>
      <c r="B24" s="326" t="s">
        <v>312</v>
      </c>
      <c r="C24" s="324" t="s">
        <v>308</v>
      </c>
      <c r="D24" s="325">
        <f>(8500*2)*1.2</f>
        <v>20400</v>
      </c>
      <c r="E24" s="317" t="s">
        <v>309</v>
      </c>
      <c r="H24" s="1121"/>
      <c r="I24" s="326" t="s">
        <v>312</v>
      </c>
      <c r="J24" s="324" t="s">
        <v>308</v>
      </c>
      <c r="K24" s="325">
        <f>(8500*2)</f>
        <v>17000</v>
      </c>
      <c r="L24" s="317" t="s">
        <v>309</v>
      </c>
    </row>
    <row r="25" spans="1:12" x14ac:dyDescent="0.3">
      <c r="A25" s="337"/>
      <c r="B25" s="326" t="s">
        <v>721</v>
      </c>
      <c r="C25" s="324" t="s">
        <v>311</v>
      </c>
      <c r="D25" s="325">
        <f>((3595.44*20.5)+(3400))*1.3</f>
        <v>100238.47600000001</v>
      </c>
      <c r="E25" s="317" t="s">
        <v>306</v>
      </c>
      <c r="H25" s="337"/>
      <c r="I25" s="326" t="s">
        <v>721</v>
      </c>
      <c r="J25" s="324" t="s">
        <v>311</v>
      </c>
      <c r="K25" s="325">
        <f>((3595.44*20.5)+(3400))*1.05</f>
        <v>80961.846000000005</v>
      </c>
      <c r="L25" s="317" t="s">
        <v>306</v>
      </c>
    </row>
    <row r="26" spans="1:12" x14ac:dyDescent="0.3">
      <c r="A26" s="329"/>
      <c r="B26" s="330"/>
      <c r="C26" s="324" t="s">
        <v>722</v>
      </c>
      <c r="D26" s="325">
        <f>114830.6</f>
        <v>114830.6</v>
      </c>
      <c r="E26" s="317"/>
      <c r="F26" s="513"/>
      <c r="G26" s="514" t="s">
        <v>691</v>
      </c>
      <c r="H26" s="511"/>
      <c r="I26" s="330"/>
      <c r="J26" s="324" t="s">
        <v>722</v>
      </c>
      <c r="K26" s="325">
        <f>114830.6</f>
        <v>114830.6</v>
      </c>
      <c r="L26" s="317"/>
    </row>
    <row r="27" spans="1:12" x14ac:dyDescent="0.3">
      <c r="A27" s="329"/>
      <c r="B27" s="330"/>
      <c r="C27" s="327" t="s">
        <v>313</v>
      </c>
      <c r="D27" s="328" t="s">
        <v>314</v>
      </c>
      <c r="E27" s="317"/>
      <c r="F27" s="515">
        <f>SUM(D28+D75+D116)</f>
        <v>2120615.7560000001</v>
      </c>
      <c r="G27" s="513"/>
      <c r="H27" s="512"/>
      <c r="I27" s="330" t="s">
        <v>260</v>
      </c>
      <c r="J27" s="327" t="s">
        <v>313</v>
      </c>
      <c r="K27" s="328" t="s">
        <v>314</v>
      </c>
      <c r="L27" s="317"/>
    </row>
    <row r="28" spans="1:12" x14ac:dyDescent="0.3">
      <c r="A28" s="332"/>
      <c r="B28" s="330" t="s">
        <v>260</v>
      </c>
      <c r="C28" s="486" t="s">
        <v>38</v>
      </c>
      <c r="D28" s="331">
        <f>SUM(D15:D26)</f>
        <v>1339409.1760000002</v>
      </c>
      <c r="E28" s="317"/>
      <c r="F28" s="515">
        <f>SUM(D29+D76+D117)</f>
        <v>688995.71096000005</v>
      </c>
      <c r="G28" s="513"/>
      <c r="H28" s="512"/>
      <c r="I28" s="330"/>
      <c r="J28" s="486" t="s">
        <v>38</v>
      </c>
      <c r="K28" s="331">
        <f>SUM(K15:K25)</f>
        <v>820543.84600000002</v>
      </c>
      <c r="L28" s="317"/>
    </row>
    <row r="29" spans="1:12" x14ac:dyDescent="0.3">
      <c r="A29" s="332"/>
      <c r="B29" s="330"/>
      <c r="C29" s="487" t="s">
        <v>39</v>
      </c>
      <c r="D29" s="331">
        <f>D28*0.16</f>
        <v>214305.46816000005</v>
      </c>
      <c r="E29" s="317"/>
      <c r="F29" s="515">
        <f>SUM(D30+D77+D119)</f>
        <v>2840194.7569600004</v>
      </c>
      <c r="G29" s="515">
        <f>F29*0.4</f>
        <v>1136077.9027840002</v>
      </c>
      <c r="H29" s="512"/>
      <c r="I29" s="330"/>
      <c r="J29" s="487" t="s">
        <v>39</v>
      </c>
      <c r="K29" s="331">
        <f>K28*0.16</f>
        <v>131287.01536000002</v>
      </c>
      <c r="L29" s="317"/>
    </row>
    <row r="30" spans="1:12" ht="15" thickBot="1" x14ac:dyDescent="0.35">
      <c r="A30" s="332"/>
      <c r="B30" s="330"/>
      <c r="C30" s="488" t="s">
        <v>40</v>
      </c>
      <c r="D30" s="333">
        <f>D28+D29</f>
        <v>1553714.6441600001</v>
      </c>
      <c r="E30" s="317"/>
      <c r="H30" s="334"/>
      <c r="I30" s="330"/>
      <c r="J30" s="488" t="s">
        <v>40</v>
      </c>
      <c r="K30" s="506">
        <f>K28+K29</f>
        <v>951830.86135999998</v>
      </c>
      <c r="L30" s="507">
        <f>D30-K30</f>
        <v>601883.78280000016</v>
      </c>
    </row>
    <row r="31" spans="1:12" x14ac:dyDescent="0.3">
      <c r="A31" s="334"/>
      <c r="B31" s="368" t="s">
        <v>646</v>
      </c>
      <c r="C31" s="335"/>
      <c r="D31" s="336"/>
      <c r="E31" s="317"/>
      <c r="F31" s="516" t="s">
        <v>692</v>
      </c>
      <c r="G31" s="517">
        <f>L30+L77+L119</f>
        <v>845979.20160000015</v>
      </c>
      <c r="H31" s="337"/>
      <c r="I31" s="368" t="s">
        <v>646</v>
      </c>
      <c r="J31" s="335"/>
      <c r="K31" s="336"/>
      <c r="L31" s="317"/>
    </row>
    <row r="32" spans="1:12" x14ac:dyDescent="0.3">
      <c r="A32" s="337"/>
      <c r="B32" s="96"/>
      <c r="C32" s="103" t="s">
        <v>11</v>
      </c>
      <c r="D32" s="76"/>
      <c r="E32" s="307"/>
      <c r="H32" s="337"/>
      <c r="I32" s="96"/>
      <c r="J32" s="103" t="s">
        <v>11</v>
      </c>
      <c r="K32" s="76"/>
      <c r="L32" s="96"/>
    </row>
    <row r="33" spans="1:12" ht="15.6" x14ac:dyDescent="0.3">
      <c r="A33" s="337"/>
      <c r="B33" s="101"/>
      <c r="C33" s="123" t="s">
        <v>12</v>
      </c>
      <c r="D33" s="52"/>
      <c r="E33" s="52"/>
      <c r="F33" s="519" t="s">
        <v>693</v>
      </c>
      <c r="G33" s="519"/>
      <c r="H33" s="337"/>
      <c r="I33" s="101"/>
      <c r="J33" s="123" t="s">
        <v>12</v>
      </c>
      <c r="K33" s="52"/>
      <c r="L33" s="52"/>
    </row>
    <row r="34" spans="1:12" ht="15.6" x14ac:dyDescent="0.3">
      <c r="A34" s="337"/>
      <c r="B34" s="101"/>
      <c r="C34" s="123" t="s">
        <v>13</v>
      </c>
      <c r="D34" s="52"/>
      <c r="E34" s="92"/>
      <c r="F34" s="519" t="s">
        <v>697</v>
      </c>
      <c r="G34" s="520">
        <f>10400*10</f>
        <v>104000</v>
      </c>
      <c r="H34" s="337"/>
      <c r="I34" s="101"/>
      <c r="J34" s="123" t="s">
        <v>13</v>
      </c>
      <c r="K34" s="52"/>
      <c r="L34" s="52"/>
    </row>
    <row r="35" spans="1:12" ht="15.6" x14ac:dyDescent="0.3">
      <c r="A35" s="337"/>
      <c r="B35" s="101"/>
      <c r="C35" s="123" t="s">
        <v>14</v>
      </c>
      <c r="D35" s="52"/>
      <c r="E35" s="92"/>
      <c r="F35" s="519" t="s">
        <v>698</v>
      </c>
      <c r="G35" s="520">
        <f>5800*10</f>
        <v>58000</v>
      </c>
      <c r="H35" s="337"/>
      <c r="I35" s="101"/>
      <c r="J35" s="123" t="s">
        <v>14</v>
      </c>
      <c r="K35" s="52"/>
      <c r="L35" s="52"/>
    </row>
    <row r="36" spans="1:12" x14ac:dyDescent="0.3">
      <c r="A36" s="337"/>
      <c r="B36" s="102"/>
      <c r="C36" s="103" t="s">
        <v>15</v>
      </c>
      <c r="D36" s="52"/>
      <c r="E36" s="92"/>
      <c r="F36" s="519" t="s">
        <v>694</v>
      </c>
      <c r="G36" s="520">
        <f>5409.08*20.5</f>
        <v>110886.14</v>
      </c>
      <c r="H36" s="337"/>
      <c r="I36" s="102"/>
      <c r="J36" s="103" t="s">
        <v>15</v>
      </c>
      <c r="K36" s="52"/>
      <c r="L36" s="52"/>
    </row>
    <row r="37" spans="1:12" x14ac:dyDescent="0.3">
      <c r="A37" s="337"/>
      <c r="B37" s="102"/>
      <c r="C37" s="489" t="s">
        <v>42</v>
      </c>
      <c r="D37" s="104"/>
      <c r="E37" s="518"/>
      <c r="F37" s="519" t="s">
        <v>695</v>
      </c>
      <c r="G37" s="520">
        <v>155744</v>
      </c>
      <c r="H37" s="337"/>
      <c r="I37" s="102"/>
      <c r="J37" s="489" t="s">
        <v>42</v>
      </c>
      <c r="K37" s="104"/>
      <c r="L37" s="105"/>
    </row>
    <row r="38" spans="1:12" ht="20.399999999999999" x14ac:dyDescent="0.3">
      <c r="A38" s="337"/>
      <c r="B38" s="106"/>
      <c r="C38" s="489" t="s">
        <v>43</v>
      </c>
      <c r="D38" s="104"/>
      <c r="E38" s="518"/>
      <c r="F38" s="519" t="s">
        <v>696</v>
      </c>
      <c r="G38" s="520">
        <v>185000</v>
      </c>
      <c r="H38" s="337"/>
      <c r="I38" s="106"/>
      <c r="J38" s="489" t="s">
        <v>43</v>
      </c>
      <c r="K38" s="104"/>
      <c r="L38" s="105"/>
    </row>
    <row r="39" spans="1:12" ht="15.6" x14ac:dyDescent="0.3">
      <c r="A39" s="337"/>
      <c r="B39" s="106"/>
      <c r="C39" s="103" t="s">
        <v>18</v>
      </c>
      <c r="D39" s="107"/>
      <c r="E39" s="518"/>
      <c r="F39" s="519" t="s">
        <v>699</v>
      </c>
      <c r="G39" s="520">
        <f>SUM(G34:G38)</f>
        <v>613630.14</v>
      </c>
      <c r="H39" s="337"/>
      <c r="I39" s="106"/>
      <c r="J39" s="103" t="s">
        <v>18</v>
      </c>
      <c r="K39" s="107"/>
      <c r="L39" s="105"/>
    </row>
    <row r="40" spans="1:12" ht="15.6" x14ac:dyDescent="0.3">
      <c r="A40" s="337"/>
      <c r="B40" s="106"/>
      <c r="C40" s="313" t="s">
        <v>584</v>
      </c>
      <c r="D40" s="107"/>
      <c r="E40" s="518"/>
      <c r="F40" s="316"/>
      <c r="G40" s="509"/>
      <c r="H40" s="337"/>
      <c r="I40" s="106"/>
      <c r="J40" s="313" t="s">
        <v>584</v>
      </c>
      <c r="K40" s="107"/>
      <c r="L40" s="105"/>
    </row>
    <row r="41" spans="1:12" ht="15.6" x14ac:dyDescent="0.3">
      <c r="A41" s="337"/>
      <c r="B41" s="106"/>
      <c r="C41" s="297" t="s">
        <v>20</v>
      </c>
      <c r="D41" s="107"/>
      <c r="E41" s="105"/>
      <c r="F41" s="521" t="s">
        <v>706</v>
      </c>
      <c r="G41" s="522">
        <f>G31-G39</f>
        <v>232349.06160000013</v>
      </c>
      <c r="H41" s="337"/>
      <c r="I41" s="106"/>
      <c r="J41" s="297" t="s">
        <v>20</v>
      </c>
      <c r="K41" s="107"/>
      <c r="L41" s="105"/>
    </row>
    <row r="42" spans="1:12" x14ac:dyDescent="0.3">
      <c r="A42" s="337"/>
      <c r="B42" s="108"/>
      <c r="C42" s="103" t="s">
        <v>21</v>
      </c>
      <c r="D42" s="107"/>
      <c r="E42" s="105"/>
      <c r="G42" s="510"/>
      <c r="H42" s="337"/>
      <c r="I42" s="108"/>
      <c r="J42" s="103" t="s">
        <v>21</v>
      </c>
      <c r="K42" s="107"/>
      <c r="L42" s="105"/>
    </row>
    <row r="43" spans="1:12" ht="15.6" x14ac:dyDescent="0.3">
      <c r="A43" s="337"/>
      <c r="B43" s="106"/>
      <c r="C43" s="122" t="s">
        <v>262</v>
      </c>
      <c r="D43" s="107"/>
      <c r="E43" s="107"/>
      <c r="F43" s="523" t="s">
        <v>707</v>
      </c>
      <c r="G43" s="526"/>
      <c r="H43" s="528" t="s">
        <v>713</v>
      </c>
      <c r="I43" s="106"/>
      <c r="J43" s="122" t="s">
        <v>262</v>
      </c>
      <c r="K43" s="107"/>
      <c r="L43" s="107"/>
    </row>
    <row r="44" spans="1:12" ht="15.6" x14ac:dyDescent="0.3">
      <c r="A44" s="337"/>
      <c r="B44" s="106"/>
      <c r="C44" s="123" t="s">
        <v>44</v>
      </c>
      <c r="D44" s="107"/>
      <c r="E44" s="107"/>
      <c r="F44" s="528" t="s">
        <v>708</v>
      </c>
      <c r="G44" s="576">
        <f>K22+K68</f>
        <v>190000</v>
      </c>
      <c r="H44" s="529"/>
      <c r="I44" s="527"/>
      <c r="J44" s="123" t="s">
        <v>44</v>
      </c>
      <c r="K44" s="107"/>
      <c r="L44" s="107"/>
    </row>
    <row r="45" spans="1:12" ht="15.6" x14ac:dyDescent="0.3">
      <c r="A45" s="337"/>
      <c r="B45" s="106"/>
      <c r="C45" s="123" t="s">
        <v>45</v>
      </c>
      <c r="D45" s="109"/>
      <c r="E45" s="110"/>
      <c r="F45" s="528" t="s">
        <v>709</v>
      </c>
      <c r="G45" s="576">
        <f>K16+K17</f>
        <v>113085</v>
      </c>
      <c r="H45" s="529"/>
      <c r="I45" s="527"/>
      <c r="J45" s="123" t="s">
        <v>45</v>
      </c>
      <c r="K45" s="109"/>
      <c r="L45" s="110"/>
    </row>
    <row r="46" spans="1:12" ht="50.4" x14ac:dyDescent="0.3">
      <c r="A46" s="337"/>
      <c r="B46" s="106"/>
      <c r="C46" s="314" t="s">
        <v>23</v>
      </c>
      <c r="D46" s="109"/>
      <c r="E46" s="110"/>
      <c r="F46" s="528" t="s">
        <v>694</v>
      </c>
      <c r="G46" s="576">
        <f>5409.08*20.5</f>
        <v>110886.14</v>
      </c>
      <c r="H46" s="529">
        <v>110886.14</v>
      </c>
      <c r="I46" s="527"/>
      <c r="J46" s="314" t="s">
        <v>23</v>
      </c>
      <c r="K46" s="109"/>
      <c r="L46" s="110"/>
    </row>
    <row r="47" spans="1:12" ht="16.8" x14ac:dyDescent="0.3">
      <c r="A47" s="337"/>
      <c r="B47" s="361"/>
      <c r="C47" s="362"/>
      <c r="D47" s="363"/>
      <c r="E47" s="364"/>
      <c r="F47" s="528" t="s">
        <v>695</v>
      </c>
      <c r="G47" s="576">
        <v>155744</v>
      </c>
      <c r="H47" s="529"/>
      <c r="I47" s="361"/>
      <c r="J47" s="362"/>
      <c r="K47" s="363"/>
      <c r="L47" s="364"/>
    </row>
    <row r="48" spans="1:12" ht="16.8" x14ac:dyDescent="0.3">
      <c r="A48" s="337"/>
      <c r="B48" s="361"/>
      <c r="C48" s="362"/>
      <c r="D48" s="363"/>
      <c r="E48" s="364"/>
      <c r="F48" s="528" t="s">
        <v>696</v>
      </c>
      <c r="G48" s="576">
        <v>185000</v>
      </c>
      <c r="H48" s="529">
        <v>185000</v>
      </c>
      <c r="I48" s="361"/>
      <c r="J48" s="362"/>
      <c r="K48" s="363"/>
      <c r="L48" s="364"/>
    </row>
    <row r="49" spans="1:12" ht="16.8" x14ac:dyDescent="0.3">
      <c r="A49" s="337"/>
      <c r="B49" s="361"/>
      <c r="C49" s="362"/>
      <c r="D49" s="363"/>
      <c r="E49" s="110"/>
      <c r="F49" s="528" t="s">
        <v>710</v>
      </c>
      <c r="G49" s="576">
        <f>K25+K72</f>
        <v>150650.24599999998</v>
      </c>
      <c r="H49" s="529">
        <v>150650.25</v>
      </c>
      <c r="I49" s="361"/>
      <c r="J49" s="362"/>
      <c r="K49" s="363"/>
      <c r="L49" s="110"/>
    </row>
    <row r="50" spans="1:12" ht="16.8" x14ac:dyDescent="0.3">
      <c r="A50" s="337"/>
      <c r="B50" s="361"/>
      <c r="C50" s="362"/>
      <c r="D50" s="363"/>
      <c r="E50" s="364"/>
      <c r="F50" s="528" t="s">
        <v>711</v>
      </c>
      <c r="G50" s="576">
        <v>65000</v>
      </c>
      <c r="H50" s="529">
        <v>65000</v>
      </c>
      <c r="I50" s="361"/>
      <c r="J50" s="362"/>
      <c r="K50" s="363"/>
      <c r="L50" s="364"/>
    </row>
    <row r="51" spans="1:12" ht="16.8" x14ac:dyDescent="0.3">
      <c r="A51" s="337"/>
      <c r="B51" s="361"/>
      <c r="C51" s="362"/>
      <c r="D51" s="363"/>
      <c r="E51" s="364"/>
      <c r="F51" s="528" t="s">
        <v>853</v>
      </c>
      <c r="G51" s="576">
        <v>38000</v>
      </c>
      <c r="H51" s="529">
        <v>38000</v>
      </c>
      <c r="I51" s="361"/>
      <c r="J51" s="362"/>
      <c r="K51" s="363"/>
      <c r="L51" s="364"/>
    </row>
    <row r="52" spans="1:12" ht="16.8" x14ac:dyDescent="0.3">
      <c r="A52" s="337"/>
      <c r="B52" s="361"/>
      <c r="C52" s="362"/>
      <c r="D52" s="363"/>
      <c r="E52" s="364"/>
      <c r="F52" s="528"/>
      <c r="G52" s="576"/>
      <c r="H52" s="577"/>
      <c r="I52" s="361"/>
      <c r="J52" s="362"/>
      <c r="K52" s="363"/>
      <c r="L52" s="364"/>
    </row>
    <row r="53" spans="1:12" x14ac:dyDescent="0.3">
      <c r="E53" s="364"/>
      <c r="F53" s="528" t="s">
        <v>712</v>
      </c>
      <c r="G53" s="576">
        <v>50000</v>
      </c>
      <c r="H53" s="577"/>
      <c r="I53" s="315"/>
      <c r="L53" s="364"/>
    </row>
    <row r="54" spans="1:12" x14ac:dyDescent="0.3">
      <c r="F54" s="524" t="s">
        <v>699</v>
      </c>
      <c r="G54" s="525">
        <f>SUM(G44:G53)</f>
        <v>1058365.3859999999</v>
      </c>
      <c r="H54" s="530">
        <f>SUM(H44:H53)</f>
        <v>549536.39</v>
      </c>
      <c r="I54" s="315"/>
    </row>
    <row r="55" spans="1:12" x14ac:dyDescent="0.3">
      <c r="F55" s="316"/>
      <c r="I55" s="315"/>
    </row>
    <row r="56" spans="1:12" x14ac:dyDescent="0.3">
      <c r="I56" s="315"/>
    </row>
    <row r="57" spans="1:12" ht="16.8" x14ac:dyDescent="0.4">
      <c r="H57" s="57" t="s">
        <v>348</v>
      </c>
      <c r="I57" s="315"/>
    </row>
    <row r="58" spans="1:12" ht="16.8" x14ac:dyDescent="0.4">
      <c r="A58" s="57" t="s">
        <v>348</v>
      </c>
      <c r="B58" s="10"/>
      <c r="C58" s="58"/>
      <c r="D58" s="58"/>
      <c r="E58" s="316"/>
      <c r="H58" s="57" t="s">
        <v>284</v>
      </c>
      <c r="I58" s="10"/>
      <c r="J58" s="58"/>
      <c r="K58" s="58"/>
      <c r="L58" s="316"/>
    </row>
    <row r="59" spans="1:12" ht="16.8" x14ac:dyDescent="0.4">
      <c r="A59" s="57" t="s">
        <v>284</v>
      </c>
      <c r="B59" s="10"/>
      <c r="C59" s="58"/>
      <c r="D59" s="58"/>
      <c r="E59" s="316"/>
      <c r="H59" s="57" t="s">
        <v>353</v>
      </c>
      <c r="I59" s="10"/>
      <c r="J59" s="58"/>
      <c r="K59" s="58"/>
      <c r="L59" s="316"/>
    </row>
    <row r="60" spans="1:12" ht="16.8" x14ac:dyDescent="0.4">
      <c r="A60" s="57" t="s">
        <v>353</v>
      </c>
      <c r="B60" s="10"/>
      <c r="C60" s="59"/>
      <c r="D60" s="58"/>
      <c r="E60" s="316"/>
      <c r="H60" s="57" t="s">
        <v>286</v>
      </c>
      <c r="I60" s="10"/>
      <c r="J60" s="59"/>
      <c r="K60" s="58"/>
      <c r="L60" s="316"/>
    </row>
    <row r="61" spans="1:12" ht="16.8" x14ac:dyDescent="0.4">
      <c r="A61" s="57" t="s">
        <v>286</v>
      </c>
      <c r="B61" s="10"/>
      <c r="C61" s="59"/>
      <c r="D61" s="58"/>
      <c r="E61" s="316"/>
      <c r="H61" s="57" t="s">
        <v>6</v>
      </c>
      <c r="I61" s="10"/>
      <c r="J61" s="59"/>
      <c r="K61" s="58"/>
      <c r="L61" s="316"/>
    </row>
    <row r="62" spans="1:12" ht="16.8" x14ac:dyDescent="0.4">
      <c r="A62" s="57" t="s">
        <v>6</v>
      </c>
      <c r="B62" s="61"/>
      <c r="C62" s="62"/>
      <c r="D62" s="63"/>
      <c r="E62" s="316"/>
      <c r="H62" s="60" t="s">
        <v>583</v>
      </c>
      <c r="I62" s="61"/>
      <c r="J62" s="62"/>
      <c r="K62" s="63"/>
      <c r="L62" s="316"/>
    </row>
    <row r="63" spans="1:12" ht="16.8" x14ac:dyDescent="0.4">
      <c r="A63" s="60" t="s">
        <v>583</v>
      </c>
      <c r="B63" s="61"/>
      <c r="C63" s="62"/>
      <c r="D63" s="63"/>
      <c r="E63" s="316"/>
      <c r="H63" s="365" t="s">
        <v>287</v>
      </c>
      <c r="I63" s="61"/>
      <c r="J63" s="62"/>
      <c r="K63" s="63"/>
      <c r="L63" s="316"/>
    </row>
    <row r="64" spans="1:12" x14ac:dyDescent="0.3">
      <c r="A64" s="365" t="s">
        <v>287</v>
      </c>
      <c r="B64" s="366" t="s">
        <v>288</v>
      </c>
      <c r="C64" s="367" t="s">
        <v>289</v>
      </c>
      <c r="D64" s="321" t="s">
        <v>290</v>
      </c>
      <c r="E64" s="322" t="s">
        <v>291</v>
      </c>
      <c r="H64" s="1086" t="s">
        <v>354</v>
      </c>
      <c r="I64" s="366" t="s">
        <v>288</v>
      </c>
      <c r="J64" s="367" t="s">
        <v>289</v>
      </c>
      <c r="K64" s="321" t="s">
        <v>290</v>
      </c>
      <c r="L64" s="322" t="s">
        <v>291</v>
      </c>
    </row>
    <row r="65" spans="1:12" ht="41.4" x14ac:dyDescent="0.3">
      <c r="A65" s="1086" t="s">
        <v>354</v>
      </c>
      <c r="B65" s="1087" t="s">
        <v>302</v>
      </c>
      <c r="C65" s="324" t="s">
        <v>355</v>
      </c>
      <c r="D65" s="328">
        <f>(204*100*2)+(3100+4100)</f>
        <v>48000</v>
      </c>
      <c r="E65" s="343" t="s">
        <v>343</v>
      </c>
      <c r="H65" s="1086"/>
      <c r="I65" s="1087" t="s">
        <v>302</v>
      </c>
      <c r="J65" s="324" t="s">
        <v>355</v>
      </c>
      <c r="K65" s="328">
        <v>20000</v>
      </c>
      <c r="L65" s="343" t="s">
        <v>343</v>
      </c>
    </row>
    <row r="66" spans="1:12" x14ac:dyDescent="0.3">
      <c r="A66" s="1086"/>
      <c r="B66" s="1087"/>
      <c r="C66" s="324" t="s">
        <v>356</v>
      </c>
      <c r="D66" s="328">
        <f>60000*1.25</f>
        <v>75000</v>
      </c>
      <c r="E66" s="343" t="s">
        <v>320</v>
      </c>
      <c r="H66" s="1086"/>
      <c r="I66" s="1087"/>
      <c r="J66" s="324" t="s">
        <v>356</v>
      </c>
      <c r="K66" s="328">
        <v>50000</v>
      </c>
      <c r="L66" s="343" t="s">
        <v>320</v>
      </c>
    </row>
    <row r="67" spans="1:12" x14ac:dyDescent="0.3">
      <c r="A67" s="1086"/>
      <c r="B67" s="1087"/>
      <c r="C67" s="324" t="s">
        <v>726</v>
      </c>
      <c r="D67" s="328">
        <v>25000</v>
      </c>
      <c r="E67" s="317" t="s">
        <v>727</v>
      </c>
      <c r="H67" s="1086"/>
      <c r="I67" s="1087"/>
      <c r="J67" s="324" t="s">
        <v>726</v>
      </c>
      <c r="K67" s="328">
        <v>25000</v>
      </c>
      <c r="L67" s="317" t="s">
        <v>727</v>
      </c>
    </row>
    <row r="68" spans="1:12" ht="27.6" x14ac:dyDescent="0.3">
      <c r="A68" s="1086"/>
      <c r="B68" s="1087"/>
      <c r="C68" s="324" t="s">
        <v>305</v>
      </c>
      <c r="D68" s="328">
        <f>(70000+28000)*1.25</f>
        <v>122500</v>
      </c>
      <c r="E68" s="343" t="s">
        <v>306</v>
      </c>
      <c r="H68" s="1086"/>
      <c r="I68" s="1087"/>
      <c r="J68" s="324" t="s">
        <v>305</v>
      </c>
      <c r="K68" s="328">
        <f>(70000+25000)</f>
        <v>95000</v>
      </c>
      <c r="L68" s="343" t="s">
        <v>306</v>
      </c>
    </row>
    <row r="69" spans="1:12" ht="41.4" x14ac:dyDescent="0.3">
      <c r="A69" s="1086"/>
      <c r="B69" s="1087"/>
      <c r="C69" s="324" t="s">
        <v>321</v>
      </c>
      <c r="D69" s="328">
        <f>((2*5230)+(1*6210))*1.3</f>
        <v>21671</v>
      </c>
      <c r="E69" s="343" t="s">
        <v>309</v>
      </c>
      <c r="H69" s="1086"/>
      <c r="I69" s="1087"/>
      <c r="J69" s="324" t="s">
        <v>321</v>
      </c>
      <c r="K69" s="328">
        <f>((2*5230)+(1*6210))</f>
        <v>16670</v>
      </c>
      <c r="L69" s="343" t="s">
        <v>309</v>
      </c>
    </row>
    <row r="70" spans="1:12" x14ac:dyDescent="0.3">
      <c r="A70" s="1086"/>
      <c r="B70" s="347" t="s">
        <v>322</v>
      </c>
      <c r="C70" s="324" t="s">
        <v>308</v>
      </c>
      <c r="D70" s="328">
        <f>(8400*2)*1.2</f>
        <v>20160</v>
      </c>
      <c r="E70" s="343" t="s">
        <v>301</v>
      </c>
      <c r="H70" s="1086"/>
      <c r="I70" s="347" t="s">
        <v>322</v>
      </c>
      <c r="J70" s="324" t="s">
        <v>308</v>
      </c>
      <c r="K70" s="328">
        <f>(8400*2)</f>
        <v>16800</v>
      </c>
      <c r="L70" s="343" t="s">
        <v>301</v>
      </c>
    </row>
    <row r="71" spans="1:12" x14ac:dyDescent="0.3">
      <c r="A71" s="1086"/>
      <c r="B71" s="347" t="s">
        <v>310</v>
      </c>
      <c r="C71" s="324" t="s">
        <v>323</v>
      </c>
      <c r="D71" s="328">
        <v>180000</v>
      </c>
      <c r="E71" s="343" t="s">
        <v>577</v>
      </c>
      <c r="H71" s="1086"/>
      <c r="I71" s="347" t="s">
        <v>310</v>
      </c>
      <c r="J71" s="324" t="s">
        <v>323</v>
      </c>
      <c r="K71" s="328">
        <v>60000</v>
      </c>
      <c r="L71" s="343" t="s">
        <v>577</v>
      </c>
    </row>
    <row r="72" spans="1:12" x14ac:dyDescent="0.3">
      <c r="A72" s="1086"/>
      <c r="B72" s="326" t="s">
        <v>312</v>
      </c>
      <c r="C72" s="324" t="s">
        <v>311</v>
      </c>
      <c r="D72" s="328">
        <f>((3184.8*20.5)+(4400))*1.3</f>
        <v>90594.92</v>
      </c>
      <c r="E72" s="343" t="s">
        <v>306</v>
      </c>
      <c r="H72" s="337"/>
      <c r="I72" s="326" t="s">
        <v>312</v>
      </c>
      <c r="J72" s="324" t="s">
        <v>311</v>
      </c>
      <c r="K72" s="328">
        <f>((3184.8*20.5)+(4400))</f>
        <v>69688.399999999994</v>
      </c>
      <c r="L72" s="343" t="s">
        <v>306</v>
      </c>
    </row>
    <row r="73" spans="1:12" x14ac:dyDescent="0.3">
      <c r="A73" s="337"/>
      <c r="B73" s="326" t="s">
        <v>721</v>
      </c>
      <c r="C73" s="327" t="s">
        <v>357</v>
      </c>
      <c r="D73" s="371" t="s">
        <v>314</v>
      </c>
      <c r="E73" s="317"/>
      <c r="H73" s="337"/>
      <c r="I73" s="326" t="s">
        <v>721</v>
      </c>
      <c r="J73" s="327" t="s">
        <v>357</v>
      </c>
      <c r="K73" s="371" t="s">
        <v>314</v>
      </c>
      <c r="L73" s="317"/>
    </row>
    <row r="74" spans="1:12" x14ac:dyDescent="0.3">
      <c r="A74" s="337"/>
      <c r="B74" s="351"/>
      <c r="C74" s="324" t="s">
        <v>724</v>
      </c>
      <c r="D74" s="325">
        <v>172245.91</v>
      </c>
      <c r="E74" s="317"/>
      <c r="H74" s="337"/>
      <c r="I74" s="351"/>
      <c r="J74" s="324" t="s">
        <v>722</v>
      </c>
      <c r="K74" s="325"/>
      <c r="L74" s="317"/>
    </row>
    <row r="75" spans="1:12" x14ac:dyDescent="0.3">
      <c r="A75" s="337"/>
      <c r="B75" s="351"/>
      <c r="C75" s="352"/>
      <c r="D75" s="350">
        <f>SUM(D65:D74)</f>
        <v>755171.83000000007</v>
      </c>
      <c r="E75" s="317"/>
      <c r="H75" s="337"/>
      <c r="I75" s="351"/>
      <c r="J75" s="352"/>
      <c r="K75" s="350">
        <f>SUM(K65:K74)</f>
        <v>353158.40000000002</v>
      </c>
      <c r="L75" s="317"/>
    </row>
    <row r="76" spans="1:12" x14ac:dyDescent="0.3">
      <c r="A76" s="337"/>
      <c r="B76" s="351"/>
      <c r="C76" s="352"/>
      <c r="D76" s="350">
        <f>D75*0.16</f>
        <v>120827.49280000001</v>
      </c>
      <c r="E76" s="317"/>
      <c r="H76" s="334"/>
      <c r="I76" s="351"/>
      <c r="J76" s="352"/>
      <c r="K76" s="350">
        <f>K75*0.16</f>
        <v>56505.344000000005</v>
      </c>
      <c r="L76" s="317"/>
    </row>
    <row r="77" spans="1:12" ht="15" thickBot="1" x14ac:dyDescent="0.35">
      <c r="A77" s="334"/>
      <c r="B77" s="351"/>
      <c r="C77" s="352"/>
      <c r="D77" s="353">
        <f>D75+D76</f>
        <v>875999.32280000008</v>
      </c>
      <c r="E77" s="317"/>
      <c r="H77" s="337"/>
      <c r="I77" s="351"/>
      <c r="J77" s="352"/>
      <c r="K77" s="508">
        <f>K75+K76</f>
        <v>409663.74400000001</v>
      </c>
      <c r="L77" s="507">
        <f>D77-K77</f>
        <v>466335.57880000008</v>
      </c>
    </row>
    <row r="78" spans="1:12" x14ac:dyDescent="0.3">
      <c r="A78" s="337"/>
      <c r="B78" s="368" t="s">
        <v>596</v>
      </c>
      <c r="C78" s="335"/>
      <c r="D78" s="336"/>
      <c r="E78" s="317"/>
      <c r="H78" s="337"/>
      <c r="I78" s="368" t="s">
        <v>596</v>
      </c>
      <c r="J78" s="335"/>
      <c r="K78" s="336"/>
      <c r="L78" s="317"/>
    </row>
    <row r="79" spans="1:12" x14ac:dyDescent="0.3">
      <c r="A79" s="337"/>
      <c r="B79" s="351"/>
      <c r="C79" s="352"/>
      <c r="D79" s="52"/>
      <c r="E79" s="52"/>
      <c r="H79" s="337"/>
      <c r="I79" s="351"/>
      <c r="J79" s="352"/>
      <c r="K79" s="52"/>
      <c r="L79" s="52"/>
    </row>
    <row r="80" spans="1:12" x14ac:dyDescent="0.3">
      <c r="A80" s="337"/>
      <c r="B80" s="96"/>
      <c r="C80" s="103" t="s">
        <v>11</v>
      </c>
      <c r="D80" s="52"/>
      <c r="E80" s="52"/>
      <c r="H80" s="337"/>
      <c r="I80" s="96"/>
      <c r="J80" s="103" t="s">
        <v>11</v>
      </c>
      <c r="K80" s="52"/>
      <c r="L80" s="52"/>
    </row>
    <row r="81" spans="1:12" ht="15.6" x14ac:dyDescent="0.3">
      <c r="A81" s="337"/>
      <c r="B81" s="101"/>
      <c r="C81" s="123" t="s">
        <v>12</v>
      </c>
      <c r="D81" s="52"/>
      <c r="E81" s="52"/>
      <c r="H81" s="337"/>
      <c r="I81" s="101"/>
      <c r="J81" s="123" t="s">
        <v>12</v>
      </c>
      <c r="K81" s="52"/>
      <c r="L81" s="52"/>
    </row>
    <row r="82" spans="1:12" ht="15.6" x14ac:dyDescent="0.3">
      <c r="A82" s="337"/>
      <c r="B82" s="101"/>
      <c r="C82" s="123" t="s">
        <v>13</v>
      </c>
      <c r="D82" s="52"/>
      <c r="E82" s="52"/>
      <c r="H82" s="337"/>
      <c r="I82" s="101"/>
      <c r="J82" s="123" t="s">
        <v>13</v>
      </c>
      <c r="K82" s="52"/>
      <c r="L82" s="52"/>
    </row>
    <row r="83" spans="1:12" ht="15.6" x14ac:dyDescent="0.3">
      <c r="A83" s="337"/>
      <c r="B83" s="101"/>
      <c r="C83" s="123" t="s">
        <v>14</v>
      </c>
      <c r="D83" s="104"/>
      <c r="E83" s="105"/>
      <c r="H83" s="337"/>
      <c r="I83" s="101"/>
      <c r="J83" s="123" t="s">
        <v>14</v>
      </c>
      <c r="K83" s="104"/>
      <c r="L83" s="105"/>
    </row>
    <row r="84" spans="1:12" x14ac:dyDescent="0.3">
      <c r="A84" s="337"/>
      <c r="B84" s="102"/>
      <c r="C84" s="103" t="s">
        <v>15</v>
      </c>
      <c r="D84" s="104"/>
      <c r="E84" s="105"/>
      <c r="H84" s="337"/>
      <c r="I84" s="102"/>
      <c r="J84" s="103" t="s">
        <v>15</v>
      </c>
      <c r="K84" s="104"/>
      <c r="L84" s="105"/>
    </row>
    <row r="85" spans="1:12" ht="27.6" x14ac:dyDescent="0.3">
      <c r="A85" s="337"/>
      <c r="B85" s="102"/>
      <c r="C85" s="295" t="s">
        <v>42</v>
      </c>
      <c r="D85" s="107"/>
      <c r="E85" s="105"/>
      <c r="H85" s="337"/>
      <c r="I85" s="102"/>
      <c r="J85" s="295" t="s">
        <v>42</v>
      </c>
      <c r="K85" s="107"/>
      <c r="L85" s="105"/>
    </row>
    <row r="86" spans="1:12" ht="41.4" x14ac:dyDescent="0.3">
      <c r="A86" s="337"/>
      <c r="B86" s="106"/>
      <c r="C86" s="295" t="s">
        <v>43</v>
      </c>
      <c r="D86" s="107"/>
      <c r="E86" s="105"/>
      <c r="H86" s="337"/>
      <c r="I86" s="106"/>
      <c r="J86" s="295" t="s">
        <v>43</v>
      </c>
      <c r="K86" s="107"/>
      <c r="L86" s="105"/>
    </row>
    <row r="87" spans="1:12" ht="15.6" x14ac:dyDescent="0.3">
      <c r="A87" s="337"/>
      <c r="B87" s="106"/>
      <c r="C87" s="103" t="s">
        <v>18</v>
      </c>
      <c r="D87" s="107"/>
      <c r="E87" s="105"/>
      <c r="H87" s="337"/>
      <c r="I87" s="106"/>
      <c r="J87" s="103" t="s">
        <v>18</v>
      </c>
      <c r="K87" s="107"/>
      <c r="L87" s="105"/>
    </row>
    <row r="88" spans="1:12" ht="15.6" x14ac:dyDescent="0.3">
      <c r="A88" s="337"/>
      <c r="B88" s="106"/>
      <c r="C88" s="313" t="s">
        <v>590</v>
      </c>
      <c r="D88" s="107"/>
      <c r="E88" s="105"/>
      <c r="H88" s="337"/>
      <c r="I88" s="106"/>
      <c r="J88" s="313" t="s">
        <v>590</v>
      </c>
      <c r="K88" s="107"/>
      <c r="L88" s="105"/>
    </row>
    <row r="89" spans="1:12" ht="15.6" x14ac:dyDescent="0.3">
      <c r="A89" s="337"/>
      <c r="B89" s="106"/>
      <c r="C89" s="297" t="s">
        <v>20</v>
      </c>
      <c r="D89" s="107"/>
      <c r="E89" s="107"/>
      <c r="H89" s="337"/>
      <c r="I89" s="106"/>
      <c r="J89" s="297" t="s">
        <v>20</v>
      </c>
      <c r="K89" s="107"/>
      <c r="L89" s="107"/>
    </row>
    <row r="90" spans="1:12" x14ac:dyDescent="0.3">
      <c r="A90" s="337"/>
      <c r="B90" s="108"/>
      <c r="C90" s="103" t="s">
        <v>21</v>
      </c>
      <c r="D90" s="107"/>
      <c r="E90" s="107"/>
      <c r="H90" s="337"/>
      <c r="I90" s="108"/>
      <c r="J90" s="103" t="s">
        <v>21</v>
      </c>
      <c r="K90" s="107"/>
      <c r="L90" s="107"/>
    </row>
    <row r="91" spans="1:12" ht="15.6" x14ac:dyDescent="0.3">
      <c r="A91" s="337"/>
      <c r="B91" s="106"/>
      <c r="C91" s="122" t="s">
        <v>262</v>
      </c>
      <c r="D91" s="109"/>
      <c r="E91" s="110"/>
      <c r="H91" s="337"/>
      <c r="I91" s="106"/>
      <c r="J91" s="122" t="s">
        <v>262</v>
      </c>
      <c r="K91" s="109"/>
      <c r="L91" s="110"/>
    </row>
    <row r="92" spans="1:12" ht="15.6" x14ac:dyDescent="0.3">
      <c r="A92" s="337"/>
      <c r="B92" s="106"/>
      <c r="C92" s="123" t="s">
        <v>44</v>
      </c>
      <c r="D92" s="363"/>
      <c r="E92" s="364"/>
      <c r="H92" s="337"/>
      <c r="I92" s="106"/>
      <c r="J92" s="123" t="s">
        <v>44</v>
      </c>
      <c r="K92" s="363"/>
      <c r="L92" s="364"/>
    </row>
    <row r="93" spans="1:12" ht="15.6" x14ac:dyDescent="0.3">
      <c r="A93" s="337"/>
      <c r="B93" s="106"/>
      <c r="C93" s="123" t="s">
        <v>45</v>
      </c>
      <c r="D93" s="363"/>
      <c r="E93" s="364"/>
      <c r="H93" s="337"/>
      <c r="I93" s="106"/>
      <c r="J93" s="123" t="s">
        <v>45</v>
      </c>
      <c r="K93" s="363"/>
      <c r="L93" s="364"/>
    </row>
    <row r="94" spans="1:12" ht="50.4" x14ac:dyDescent="0.3">
      <c r="A94" s="337"/>
      <c r="B94" s="106"/>
      <c r="C94" s="314" t="s">
        <v>23</v>
      </c>
      <c r="D94" s="363"/>
      <c r="E94" s="364"/>
      <c r="H94" s="337"/>
      <c r="I94" s="106"/>
      <c r="J94" s="314" t="s">
        <v>23</v>
      </c>
      <c r="K94" s="363"/>
      <c r="L94" s="364"/>
    </row>
    <row r="95" spans="1:12" ht="16.8" x14ac:dyDescent="0.3">
      <c r="A95" s="337"/>
      <c r="B95" s="361"/>
      <c r="C95" s="362"/>
      <c r="D95" s="363"/>
      <c r="E95" s="364"/>
      <c r="I95" s="361"/>
      <c r="J95" s="362"/>
      <c r="K95" s="363"/>
      <c r="L95" s="364"/>
    </row>
    <row r="96" spans="1:12" ht="16.8" x14ac:dyDescent="0.3">
      <c r="B96" s="361"/>
      <c r="C96" s="362"/>
      <c r="I96" s="361"/>
      <c r="J96" s="362"/>
    </row>
    <row r="97" spans="1:12" x14ac:dyDescent="0.3">
      <c r="I97" s="315"/>
    </row>
    <row r="98" spans="1:12" ht="16.8" x14ac:dyDescent="0.4">
      <c r="D98" s="58"/>
      <c r="E98" s="316"/>
      <c r="I98" s="315"/>
      <c r="K98" s="58"/>
      <c r="L98" s="316"/>
    </row>
    <row r="99" spans="1:12" ht="16.8" x14ac:dyDescent="0.4">
      <c r="D99" s="58"/>
      <c r="E99" s="316"/>
      <c r="I99" s="315"/>
      <c r="K99" s="58"/>
      <c r="L99" s="316"/>
    </row>
    <row r="100" spans="1:12" ht="16.8" x14ac:dyDescent="0.4">
      <c r="D100" s="58"/>
      <c r="E100" s="316"/>
      <c r="H100" s="57" t="s">
        <v>348</v>
      </c>
      <c r="I100" s="315"/>
      <c r="K100" s="58"/>
      <c r="L100" s="316"/>
    </row>
    <row r="101" spans="1:12" ht="16.8" x14ac:dyDescent="0.4">
      <c r="A101" s="57" t="s">
        <v>348</v>
      </c>
      <c r="D101" s="58"/>
      <c r="E101" s="316"/>
      <c r="H101" s="57" t="s">
        <v>284</v>
      </c>
      <c r="I101" s="315"/>
      <c r="K101" s="58"/>
      <c r="L101" s="316"/>
    </row>
    <row r="102" spans="1:12" ht="16.8" x14ac:dyDescent="0.4">
      <c r="A102" s="57" t="s">
        <v>284</v>
      </c>
      <c r="B102" s="10"/>
      <c r="C102" s="58"/>
      <c r="D102" s="58"/>
      <c r="E102" s="316"/>
      <c r="H102" s="57" t="s">
        <v>593</v>
      </c>
      <c r="I102" s="10"/>
      <c r="J102" s="58"/>
      <c r="K102" s="58"/>
      <c r="L102" s="316"/>
    </row>
    <row r="103" spans="1:12" ht="20.25" customHeight="1" x14ac:dyDescent="0.4">
      <c r="A103" s="57" t="s">
        <v>593</v>
      </c>
      <c r="B103" s="10"/>
      <c r="C103" s="58"/>
      <c r="D103" s="58"/>
      <c r="E103" s="316"/>
      <c r="H103" s="57" t="s">
        <v>286</v>
      </c>
      <c r="I103" s="10"/>
      <c r="J103" s="58"/>
      <c r="K103" s="58"/>
      <c r="L103" s="316"/>
    </row>
    <row r="104" spans="1:12" ht="16.8" x14ac:dyDescent="0.4">
      <c r="A104" s="57" t="s">
        <v>286</v>
      </c>
      <c r="B104" s="10"/>
      <c r="C104" s="59"/>
      <c r="D104" s="58"/>
      <c r="E104" s="316"/>
      <c r="H104" s="57" t="s">
        <v>6</v>
      </c>
      <c r="I104" s="10"/>
      <c r="J104" s="59"/>
      <c r="K104" s="58"/>
      <c r="L104" s="316"/>
    </row>
    <row r="105" spans="1:12" ht="16.8" x14ac:dyDescent="0.4">
      <c r="A105" s="57" t="s">
        <v>6</v>
      </c>
      <c r="B105" s="10"/>
      <c r="C105" s="59"/>
      <c r="D105" s="58"/>
      <c r="E105" s="316"/>
      <c r="H105" s="60" t="s">
        <v>583</v>
      </c>
      <c r="I105" s="10"/>
      <c r="J105" s="59"/>
      <c r="K105" s="58"/>
      <c r="L105" s="316"/>
    </row>
    <row r="106" spans="1:12" ht="16.8" x14ac:dyDescent="0.4">
      <c r="A106" s="60" t="s">
        <v>583</v>
      </c>
      <c r="B106" s="61"/>
      <c r="C106" s="62"/>
      <c r="D106" s="63"/>
      <c r="E106" s="316"/>
      <c r="H106" s="534"/>
      <c r="I106" s="61"/>
      <c r="J106" s="62"/>
      <c r="K106" s="63"/>
      <c r="L106" s="316"/>
    </row>
    <row r="107" spans="1:12" ht="16.8" x14ac:dyDescent="0.4">
      <c r="A107" s="365" t="s">
        <v>287</v>
      </c>
      <c r="B107" s="366" t="s">
        <v>288</v>
      </c>
      <c r="C107" s="367" t="s">
        <v>289</v>
      </c>
      <c r="D107" s="321" t="s">
        <v>290</v>
      </c>
      <c r="E107" s="322" t="s">
        <v>291</v>
      </c>
      <c r="H107" s="534"/>
      <c r="I107" s="61"/>
      <c r="J107" s="62"/>
      <c r="K107" s="63"/>
    </row>
    <row r="108" spans="1:12" ht="41.4" customHeight="1" x14ac:dyDescent="0.3">
      <c r="A108" s="1086" t="s">
        <v>349</v>
      </c>
      <c r="B108" s="1087" t="s">
        <v>302</v>
      </c>
      <c r="C108" s="324" t="s">
        <v>342</v>
      </c>
      <c r="D108" s="328">
        <f>(230*60*2)+(3100+2300)</f>
        <v>33000</v>
      </c>
      <c r="E108" s="343" t="s">
        <v>343</v>
      </c>
      <c r="H108" s="365" t="s">
        <v>287</v>
      </c>
      <c r="I108" s="366" t="s">
        <v>288</v>
      </c>
      <c r="J108" s="367" t="s">
        <v>289</v>
      </c>
      <c r="K108" s="321" t="s">
        <v>290</v>
      </c>
      <c r="L108" s="322" t="s">
        <v>291</v>
      </c>
    </row>
    <row r="109" spans="1:12" ht="41.4" x14ac:dyDescent="0.3">
      <c r="A109" s="1086"/>
      <c r="B109" s="1087"/>
      <c r="C109" s="324" t="s">
        <v>726</v>
      </c>
      <c r="D109" s="328">
        <v>25000</v>
      </c>
      <c r="E109" s="317" t="s">
        <v>727</v>
      </c>
      <c r="H109" s="1086" t="s">
        <v>349</v>
      </c>
      <c r="I109" s="1087" t="s">
        <v>302</v>
      </c>
      <c r="J109" s="324" t="s">
        <v>342</v>
      </c>
      <c r="K109" s="328">
        <v>20000</v>
      </c>
      <c r="L109" s="343" t="s">
        <v>343</v>
      </c>
    </row>
    <row r="110" spans="1:12" x14ac:dyDescent="0.3">
      <c r="A110" s="1086"/>
      <c r="B110" s="1087"/>
      <c r="C110" s="324" t="s">
        <v>350</v>
      </c>
      <c r="D110" s="328">
        <f>50000*1.25</f>
        <v>62500</v>
      </c>
      <c r="E110" s="343" t="s">
        <v>320</v>
      </c>
      <c r="H110" s="1086"/>
      <c r="I110" s="1087"/>
      <c r="J110" s="324" t="s">
        <v>726</v>
      </c>
      <c r="K110" s="328">
        <v>25000</v>
      </c>
      <c r="L110" s="317" t="s">
        <v>727</v>
      </c>
    </row>
    <row r="111" spans="1:12" ht="41.4" x14ac:dyDescent="0.3">
      <c r="A111" s="1086"/>
      <c r="B111" s="1087"/>
      <c r="C111" s="324" t="s">
        <v>351</v>
      </c>
      <c r="D111" s="328">
        <f>((4*5230)+(4*6210))*1.3</f>
        <v>59488</v>
      </c>
      <c r="E111" s="343" t="s">
        <v>346</v>
      </c>
      <c r="H111" s="1086"/>
      <c r="I111" s="1087"/>
      <c r="J111" s="324" t="s">
        <v>350</v>
      </c>
      <c r="K111" s="328">
        <v>50000</v>
      </c>
      <c r="L111" s="343" t="s">
        <v>320</v>
      </c>
    </row>
    <row r="112" spans="1:12" ht="27.6" x14ac:dyDescent="0.3">
      <c r="A112" s="1086"/>
      <c r="B112" s="347" t="s">
        <v>322</v>
      </c>
      <c r="C112" s="324" t="s">
        <v>308</v>
      </c>
      <c r="D112" s="328">
        <f>(8900*2)*1.2</f>
        <v>21360</v>
      </c>
      <c r="E112" s="343" t="s">
        <v>309</v>
      </c>
      <c r="H112" s="1086"/>
      <c r="I112" s="1087"/>
      <c r="J112" s="324" t="s">
        <v>351</v>
      </c>
      <c r="K112" s="328">
        <f>((4*5230)+(4*6210))</f>
        <v>45760</v>
      </c>
      <c r="L112" s="343" t="s">
        <v>346</v>
      </c>
    </row>
    <row r="113" spans="1:12" x14ac:dyDescent="0.3">
      <c r="A113" s="1086"/>
      <c r="B113" s="326" t="s">
        <v>312</v>
      </c>
      <c r="C113" s="324" t="s">
        <v>323</v>
      </c>
      <c r="D113" s="328">
        <f>64000+(48*950)</f>
        <v>109600</v>
      </c>
      <c r="E113" s="343" t="s">
        <v>578</v>
      </c>
      <c r="H113" s="1086"/>
      <c r="I113" s="347" t="s">
        <v>322</v>
      </c>
      <c r="J113" s="324" t="s">
        <v>308</v>
      </c>
      <c r="K113" s="328">
        <f>(8900*2)</f>
        <v>17800</v>
      </c>
      <c r="L113" s="343" t="s">
        <v>309</v>
      </c>
    </row>
    <row r="114" spans="1:12" x14ac:dyDescent="0.3">
      <c r="A114" s="337"/>
      <c r="B114" s="326" t="s">
        <v>721</v>
      </c>
      <c r="C114" s="575" t="s">
        <v>837</v>
      </c>
      <c r="D114" s="328">
        <v>12500</v>
      </c>
      <c r="E114" s="343"/>
      <c r="H114" s="1086"/>
      <c r="I114" s="326" t="s">
        <v>312</v>
      </c>
      <c r="J114" s="324" t="s">
        <v>323</v>
      </c>
      <c r="K114" s="328">
        <f>64000</f>
        <v>64000</v>
      </c>
      <c r="L114" s="343" t="s">
        <v>578</v>
      </c>
    </row>
    <row r="115" spans="1:12" ht="27.6" x14ac:dyDescent="0.3">
      <c r="A115" s="337"/>
      <c r="B115" s="348"/>
      <c r="C115" s="575" t="s">
        <v>838</v>
      </c>
      <c r="D115" s="328">
        <v>4380</v>
      </c>
      <c r="E115" s="317"/>
      <c r="H115" s="337"/>
      <c r="I115" s="326" t="s">
        <v>721</v>
      </c>
      <c r="J115" s="327" t="s">
        <v>352</v>
      </c>
      <c r="K115" s="328" t="s">
        <v>314</v>
      </c>
      <c r="L115" s="343"/>
    </row>
    <row r="116" spans="1:12" x14ac:dyDescent="0.3">
      <c r="A116" s="344"/>
      <c r="B116" s="348"/>
      <c r="C116" s="324" t="s">
        <v>725</v>
      </c>
      <c r="D116" s="328">
        <v>26034.75</v>
      </c>
      <c r="E116" s="317"/>
      <c r="H116" s="344"/>
      <c r="I116" s="348"/>
      <c r="J116" s="324" t="s">
        <v>723</v>
      </c>
      <c r="K116" s="325">
        <f>(290*20.5)*3</f>
        <v>17835</v>
      </c>
      <c r="L116" s="317"/>
    </row>
    <row r="117" spans="1:12" x14ac:dyDescent="0.3">
      <c r="A117" s="344"/>
      <c r="B117" s="351"/>
      <c r="C117" s="349"/>
      <c r="D117" s="350">
        <f>SUM(D107:D116)</f>
        <v>353862.75</v>
      </c>
      <c r="E117" s="343"/>
      <c r="H117" s="337"/>
      <c r="I117" s="351"/>
      <c r="J117" s="349"/>
      <c r="K117" s="350">
        <f>SUM(K108:K116)</f>
        <v>240395</v>
      </c>
      <c r="L117" s="343"/>
    </row>
    <row r="118" spans="1:12" x14ac:dyDescent="0.3">
      <c r="A118" s="337"/>
      <c r="B118" s="351"/>
      <c r="C118" s="352"/>
      <c r="D118" s="350">
        <f>D117*0.16</f>
        <v>56618.04</v>
      </c>
      <c r="E118" s="317"/>
      <c r="H118" s="337"/>
      <c r="I118" s="351"/>
      <c r="J118" s="352"/>
      <c r="K118" s="350">
        <f>K117*0.16</f>
        <v>38463.200000000004</v>
      </c>
      <c r="L118" s="317"/>
    </row>
    <row r="119" spans="1:12" ht="15" thickBot="1" x14ac:dyDescent="0.35">
      <c r="A119" s="337"/>
      <c r="B119" s="351"/>
      <c r="C119" s="352"/>
      <c r="D119" s="353">
        <f>D117+D118</f>
        <v>410480.79</v>
      </c>
      <c r="E119" s="317"/>
      <c r="H119" s="334"/>
      <c r="I119" s="351"/>
      <c r="J119" s="352"/>
      <c r="K119" s="353">
        <f>K117+K118</f>
        <v>278858.2</v>
      </c>
      <c r="L119" s="505">
        <f>D118-K119</f>
        <v>-222240.16</v>
      </c>
    </row>
    <row r="120" spans="1:12" ht="15" thickBot="1" x14ac:dyDescent="0.35">
      <c r="A120" s="334"/>
      <c r="B120" s="357" t="s">
        <v>844</v>
      </c>
      <c r="C120" s="358"/>
      <c r="D120" s="359"/>
      <c r="E120" s="360"/>
      <c r="I120" s="357" t="s">
        <v>594</v>
      </c>
      <c r="J120" s="358"/>
      <c r="K120" s="359"/>
      <c r="L120" s="360"/>
    </row>
    <row r="121" spans="1:12" ht="15.6" x14ac:dyDescent="0.3">
      <c r="A121" s="337"/>
      <c r="B121" s="101"/>
      <c r="C121" s="123" t="s">
        <v>12</v>
      </c>
      <c r="D121" s="52"/>
      <c r="E121" s="52"/>
    </row>
    <row r="122" spans="1:12" ht="15.6" x14ac:dyDescent="0.3">
      <c r="A122" s="337"/>
      <c r="B122" s="101"/>
      <c r="C122" s="123" t="s">
        <v>13</v>
      </c>
      <c r="D122" s="104"/>
      <c r="E122" s="52"/>
    </row>
    <row r="123" spans="1:12" ht="15.6" x14ac:dyDescent="0.3">
      <c r="A123" s="337"/>
      <c r="B123" s="101"/>
      <c r="C123" s="123" t="s">
        <v>14</v>
      </c>
      <c r="D123" s="104"/>
      <c r="E123" s="105"/>
    </row>
    <row r="124" spans="1:12" x14ac:dyDescent="0.3">
      <c r="A124" s="337"/>
      <c r="B124" s="102"/>
      <c r="C124" s="103" t="s">
        <v>15</v>
      </c>
      <c r="D124" s="107"/>
      <c r="E124" s="105"/>
    </row>
    <row r="125" spans="1:12" x14ac:dyDescent="0.3">
      <c r="A125" s="490"/>
      <c r="B125" s="491"/>
      <c r="C125" s="489" t="s">
        <v>42</v>
      </c>
      <c r="D125" s="107"/>
      <c r="E125" s="105"/>
    </row>
    <row r="126" spans="1:12" ht="20.399999999999999" x14ac:dyDescent="0.3">
      <c r="A126" s="490"/>
      <c r="B126" s="492"/>
      <c r="C126" s="489" t="s">
        <v>43</v>
      </c>
      <c r="D126" s="107"/>
      <c r="E126" s="105"/>
    </row>
    <row r="127" spans="1:12" ht="15.6" x14ac:dyDescent="0.3">
      <c r="A127" s="337"/>
      <c r="B127" s="106"/>
      <c r="C127" s="103" t="s">
        <v>18</v>
      </c>
      <c r="D127" s="107"/>
      <c r="E127" s="105"/>
    </row>
    <row r="128" spans="1:12" ht="15.6" x14ac:dyDescent="0.3">
      <c r="A128" s="337"/>
      <c r="B128" s="106"/>
      <c r="C128" s="313" t="s">
        <v>592</v>
      </c>
      <c r="D128" s="107"/>
      <c r="E128" s="105"/>
    </row>
    <row r="129" spans="1:5" ht="15.6" x14ac:dyDescent="0.3">
      <c r="A129" s="337"/>
      <c r="B129" s="106"/>
      <c r="C129" s="297" t="s">
        <v>20</v>
      </c>
      <c r="D129" s="107"/>
      <c r="E129" s="107"/>
    </row>
    <row r="130" spans="1:5" x14ac:dyDescent="0.3">
      <c r="A130" s="337"/>
      <c r="B130" s="108"/>
      <c r="C130" s="103" t="s">
        <v>21</v>
      </c>
      <c r="D130" s="109"/>
      <c r="E130" s="107"/>
    </row>
    <row r="131" spans="1:5" ht="15.6" x14ac:dyDescent="0.3">
      <c r="A131" s="337"/>
      <c r="B131" s="106"/>
      <c r="C131" s="122" t="s">
        <v>262</v>
      </c>
      <c r="E131" s="110"/>
    </row>
    <row r="132" spans="1:5" ht="15.6" x14ac:dyDescent="0.3">
      <c r="A132" s="337"/>
      <c r="B132" s="106"/>
      <c r="C132" s="123" t="s">
        <v>44</v>
      </c>
    </row>
    <row r="133" spans="1:5" ht="15.6" x14ac:dyDescent="0.3">
      <c r="A133" s="337"/>
      <c r="B133" s="106"/>
      <c r="C133" s="123" t="s">
        <v>45</v>
      </c>
    </row>
    <row r="134" spans="1:5" ht="50.4" x14ac:dyDescent="0.3">
      <c r="A134" s="337"/>
      <c r="B134" s="106"/>
      <c r="C134" s="314" t="s">
        <v>23</v>
      </c>
    </row>
    <row r="340" ht="18.75" customHeight="1" x14ac:dyDescent="0.3"/>
  </sheetData>
  <mergeCells count="14">
    <mergeCell ref="H109:H114"/>
    <mergeCell ref="I109:I112"/>
    <mergeCell ref="H14:H24"/>
    <mergeCell ref="I14:I18"/>
    <mergeCell ref="I19:I22"/>
    <mergeCell ref="H64:H71"/>
    <mergeCell ref="I65:I69"/>
    <mergeCell ref="A108:A113"/>
    <mergeCell ref="B108:B111"/>
    <mergeCell ref="A65:A72"/>
    <mergeCell ref="B65:B69"/>
    <mergeCell ref="A14:A24"/>
    <mergeCell ref="B14:B18"/>
    <mergeCell ref="B19:B22"/>
  </mergeCells>
  <pageMargins left="0.25" right="0.25" top="0.75" bottom="0.75" header="0.3" footer="0.3"/>
  <pageSetup scale="74" fitToHeight="0" orientation="portrait" r:id="rId1"/>
  <drawing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2A32D-16CF-482D-857F-AE5BAB719BAF}">
  <sheetPr>
    <pageSetUpPr fitToPage="1"/>
  </sheetPr>
  <dimension ref="A1:F340"/>
  <sheetViews>
    <sheetView topLeftCell="A5" zoomScale="115" zoomScaleNormal="115" workbookViewId="0">
      <selection activeCell="C317" sqref="C317"/>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6" width="15.44140625" bestFit="1" customWidth="1"/>
    <col min="7" max="7" width="12.5546875" bestFit="1" customWidth="1"/>
    <col min="8" max="8" width="9.21875" customWidth="1"/>
    <col min="9" max="9" width="8.5546875" customWidth="1"/>
    <col min="10" max="10" width="90.5546875" bestFit="1" customWidth="1"/>
    <col min="11" max="11" width="14.21875" bestFit="1" customWidth="1"/>
  </cols>
  <sheetData>
    <row r="1" spans="1:6" s="316" customFormat="1" x14ac:dyDescent="0.3">
      <c r="A1"/>
      <c r="B1" s="315"/>
      <c r="C1"/>
      <c r="D1"/>
      <c r="E1"/>
      <c r="F1"/>
    </row>
    <row r="5" spans="1:6" x14ac:dyDescent="0.3">
      <c r="E5" s="316"/>
      <c r="F5" s="316"/>
    </row>
    <row r="6" spans="1:6" ht="16.8" x14ac:dyDescent="0.4">
      <c r="A6" s="57" t="s">
        <v>282</v>
      </c>
      <c r="B6" s="10"/>
      <c r="C6" s="58"/>
      <c r="D6" s="58"/>
      <c r="E6" s="10"/>
    </row>
    <row r="7" spans="1:6" ht="16.8" x14ac:dyDescent="0.4">
      <c r="A7" s="57" t="s">
        <v>285</v>
      </c>
      <c r="B7" s="10"/>
      <c r="C7" s="59"/>
      <c r="D7" s="58"/>
      <c r="E7" s="10"/>
    </row>
    <row r="8" spans="1:6" ht="16.8" x14ac:dyDescent="0.4">
      <c r="A8" s="57" t="s">
        <v>286</v>
      </c>
      <c r="B8" s="10"/>
      <c r="C8" s="59"/>
      <c r="D8" s="58"/>
      <c r="E8" s="10"/>
    </row>
    <row r="9" spans="1:6" x14ac:dyDescent="0.3">
      <c r="A9" s="318" t="s">
        <v>287</v>
      </c>
      <c r="B9" s="319" t="s">
        <v>288</v>
      </c>
      <c r="C9" s="320" t="s">
        <v>289</v>
      </c>
      <c r="D9" s="322" t="s">
        <v>291</v>
      </c>
    </row>
    <row r="10" spans="1:6" x14ac:dyDescent="0.3">
      <c r="A10" s="1086" t="s">
        <v>292</v>
      </c>
      <c r="B10" s="1119" t="s">
        <v>293</v>
      </c>
      <c r="C10" s="497"/>
      <c r="D10" s="499"/>
    </row>
    <row r="11" spans="1:6" x14ac:dyDescent="0.3">
      <c r="A11" s="1086"/>
      <c r="B11" s="1119"/>
      <c r="C11" s="324" t="s">
        <v>294</v>
      </c>
      <c r="D11" s="317" t="s">
        <v>295</v>
      </c>
    </row>
    <row r="12" spans="1:6" s="317" customFormat="1" x14ac:dyDescent="0.3">
      <c r="A12" s="1086"/>
      <c r="B12" s="1119"/>
      <c r="C12" s="324" t="s">
        <v>296</v>
      </c>
      <c r="D12" s="317" t="s">
        <v>295</v>
      </c>
      <c r="F12"/>
    </row>
    <row r="13" spans="1:6" x14ac:dyDescent="0.3">
      <c r="A13" s="1086"/>
      <c r="B13" s="1119"/>
      <c r="C13" s="324" t="s">
        <v>297</v>
      </c>
      <c r="D13" s="317" t="s">
        <v>295</v>
      </c>
    </row>
    <row r="14" spans="1:6" ht="55.2" x14ac:dyDescent="0.3">
      <c r="A14" s="1086"/>
      <c r="B14" s="1119"/>
      <c r="C14" s="324" t="s">
        <v>298</v>
      </c>
      <c r="D14" s="317" t="s">
        <v>299</v>
      </c>
    </row>
    <row r="15" spans="1:6" x14ac:dyDescent="0.3">
      <c r="A15" s="1086"/>
      <c r="B15" s="1119" t="s">
        <v>302</v>
      </c>
      <c r="C15" s="324" t="s">
        <v>300</v>
      </c>
      <c r="D15" s="317" t="s">
        <v>577</v>
      </c>
    </row>
    <row r="16" spans="1:6" x14ac:dyDescent="0.3">
      <c r="A16" s="1086"/>
      <c r="B16" s="1119"/>
      <c r="C16" s="324" t="s">
        <v>303</v>
      </c>
      <c r="D16" s="317" t="s">
        <v>304</v>
      </c>
    </row>
    <row r="17" spans="1:4" ht="13.2" customHeight="1" x14ac:dyDescent="0.3">
      <c r="A17" s="1086"/>
      <c r="B17" s="1119"/>
      <c r="C17" s="324" t="s">
        <v>305</v>
      </c>
      <c r="D17" s="317" t="s">
        <v>306</v>
      </c>
    </row>
    <row r="18" spans="1:4" ht="41.4" x14ac:dyDescent="0.3">
      <c r="A18" s="1086"/>
      <c r="B18" s="1119"/>
      <c r="C18" s="324" t="s">
        <v>307</v>
      </c>
      <c r="D18" s="317" t="s">
        <v>309</v>
      </c>
    </row>
    <row r="19" spans="1:4" x14ac:dyDescent="0.3">
      <c r="A19" s="1086"/>
      <c r="B19" s="323" t="s">
        <v>310</v>
      </c>
      <c r="C19" s="324" t="s">
        <v>308</v>
      </c>
      <c r="D19" s="317" t="s">
        <v>309</v>
      </c>
    </row>
    <row r="20" spans="1:4" x14ac:dyDescent="0.3">
      <c r="A20" s="1086"/>
      <c r="B20" s="326" t="s">
        <v>312</v>
      </c>
      <c r="C20" s="324" t="s">
        <v>311</v>
      </c>
      <c r="D20" s="317" t="s">
        <v>306</v>
      </c>
    </row>
    <row r="21" spans="1:4" x14ac:dyDescent="0.3">
      <c r="A21" s="329"/>
      <c r="B21" s="330"/>
      <c r="C21" s="327" t="s">
        <v>313</v>
      </c>
      <c r="D21" s="317"/>
    </row>
    <row r="25" spans="1:4" ht="16.8" x14ac:dyDescent="0.4">
      <c r="A25" s="57" t="s">
        <v>353</v>
      </c>
      <c r="B25" s="10"/>
      <c r="C25" s="59"/>
      <c r="D25" s="58"/>
    </row>
    <row r="26" spans="1:4" ht="16.8" x14ac:dyDescent="0.4">
      <c r="A26" s="57" t="s">
        <v>286</v>
      </c>
      <c r="B26" s="10"/>
      <c r="C26" s="59"/>
      <c r="D26" s="58"/>
    </row>
    <row r="27" spans="1:4" x14ac:dyDescent="0.3">
      <c r="A27" s="365" t="s">
        <v>287</v>
      </c>
      <c r="B27" s="366" t="s">
        <v>288</v>
      </c>
      <c r="C27" s="367" t="s">
        <v>289</v>
      </c>
      <c r="D27" s="322" t="s">
        <v>291</v>
      </c>
    </row>
    <row r="28" spans="1:4" ht="41.4" x14ac:dyDescent="0.3">
      <c r="A28" s="1086" t="s">
        <v>354</v>
      </c>
      <c r="B28" s="1087" t="s">
        <v>302</v>
      </c>
      <c r="C28" s="324" t="s">
        <v>355</v>
      </c>
      <c r="D28" s="343" t="s">
        <v>343</v>
      </c>
    </row>
    <row r="29" spans="1:4" x14ac:dyDescent="0.3">
      <c r="A29" s="1086"/>
      <c r="B29" s="1087"/>
      <c r="C29" s="324" t="s">
        <v>356</v>
      </c>
      <c r="D29" s="343" t="s">
        <v>320</v>
      </c>
    </row>
    <row r="30" spans="1:4" ht="27.6" x14ac:dyDescent="0.3">
      <c r="A30" s="1086"/>
      <c r="B30" s="1087"/>
      <c r="C30" s="324" t="s">
        <v>305</v>
      </c>
      <c r="D30" s="343" t="s">
        <v>306</v>
      </c>
    </row>
    <row r="31" spans="1:4" ht="41.4" x14ac:dyDescent="0.3">
      <c r="A31" s="1086"/>
      <c r="B31" s="1087"/>
      <c r="C31" s="324" t="s">
        <v>321</v>
      </c>
      <c r="D31" s="343" t="s">
        <v>309</v>
      </c>
    </row>
    <row r="32" spans="1:4" x14ac:dyDescent="0.3">
      <c r="A32" s="1086"/>
      <c r="B32" s="1087"/>
      <c r="C32" s="324" t="s">
        <v>308</v>
      </c>
      <c r="D32" s="343" t="s">
        <v>301</v>
      </c>
    </row>
    <row r="33" spans="1:5" x14ac:dyDescent="0.3">
      <c r="A33" s="1086"/>
      <c r="B33" s="347" t="s">
        <v>322</v>
      </c>
      <c r="C33" s="324" t="s">
        <v>323</v>
      </c>
      <c r="D33" s="343" t="s">
        <v>577</v>
      </c>
    </row>
    <row r="34" spans="1:5" x14ac:dyDescent="0.3">
      <c r="A34" s="1086"/>
      <c r="B34" s="347" t="s">
        <v>310</v>
      </c>
      <c r="C34" s="324" t="s">
        <v>311</v>
      </c>
      <c r="D34" s="343" t="s">
        <v>306</v>
      </c>
    </row>
    <row r="35" spans="1:5" x14ac:dyDescent="0.3">
      <c r="A35" s="1086"/>
      <c r="B35" s="326" t="s">
        <v>312</v>
      </c>
      <c r="C35" s="327" t="s">
        <v>357</v>
      </c>
      <c r="D35" s="317"/>
    </row>
    <row r="36" spans="1:5" x14ac:dyDescent="0.3">
      <c r="A36" s="337"/>
      <c r="B36" s="351"/>
      <c r="C36" s="352"/>
      <c r="D36" s="317"/>
    </row>
    <row r="37" spans="1:5" x14ac:dyDescent="0.3">
      <c r="A37" s="337"/>
      <c r="B37" s="351"/>
      <c r="C37" s="352"/>
      <c r="D37" s="317"/>
    </row>
    <row r="38" spans="1:5" x14ac:dyDescent="0.3">
      <c r="A38" s="337"/>
      <c r="B38" s="351"/>
      <c r="C38" s="352"/>
      <c r="D38" s="317"/>
    </row>
    <row r="39" spans="1:5" x14ac:dyDescent="0.3">
      <c r="A39" s="337"/>
      <c r="B39" s="351"/>
      <c r="C39" s="352"/>
      <c r="D39" s="317"/>
    </row>
    <row r="40" spans="1:5" x14ac:dyDescent="0.3">
      <c r="A40" s="337"/>
      <c r="B40" s="351"/>
      <c r="C40" s="352"/>
      <c r="D40" s="317"/>
    </row>
    <row r="41" spans="1:5" x14ac:dyDescent="0.3">
      <c r="A41" s="337"/>
      <c r="B41" s="351"/>
      <c r="C41" s="352"/>
      <c r="D41" s="317"/>
    </row>
    <row r="42" spans="1:5" x14ac:dyDescent="0.3">
      <c r="A42" s="337"/>
      <c r="B42" s="351"/>
      <c r="C42" s="352"/>
      <c r="D42" s="317"/>
    </row>
    <row r="43" spans="1:5" x14ac:dyDescent="0.3">
      <c r="A43" s="337"/>
      <c r="B43" s="351"/>
      <c r="C43" s="352"/>
      <c r="D43" s="317"/>
    </row>
    <row r="44" spans="1:5" x14ac:dyDescent="0.3">
      <c r="A44" s="337"/>
      <c r="B44" s="351"/>
      <c r="C44" s="352"/>
      <c r="D44" s="317"/>
    </row>
    <row r="45" spans="1:5" ht="16.8" x14ac:dyDescent="0.3">
      <c r="A45" s="337"/>
      <c r="B45" s="361"/>
      <c r="C45" s="362"/>
      <c r="D45" s="363"/>
      <c r="E45" s="364"/>
    </row>
    <row r="46" spans="1:5" ht="16.8" x14ac:dyDescent="0.3">
      <c r="A46" s="337"/>
      <c r="B46" s="361"/>
      <c r="C46" s="362"/>
    </row>
    <row r="48" spans="1:5" ht="16.8" x14ac:dyDescent="0.4">
      <c r="D48" s="58"/>
      <c r="E48" s="316"/>
    </row>
    <row r="49" spans="1:5" ht="16.8" x14ac:dyDescent="0.4">
      <c r="D49" s="58"/>
      <c r="E49" s="316"/>
    </row>
    <row r="50" spans="1:5" ht="16.8" x14ac:dyDescent="0.4">
      <c r="D50" s="58"/>
      <c r="E50" s="316"/>
    </row>
    <row r="51" spans="1:5" ht="16.8" x14ac:dyDescent="0.4">
      <c r="D51" s="58"/>
      <c r="E51" s="316"/>
    </row>
    <row r="52" spans="1:5" ht="16.8" x14ac:dyDescent="0.4">
      <c r="A52" s="57" t="s">
        <v>348</v>
      </c>
      <c r="B52" s="10"/>
      <c r="C52" s="58"/>
      <c r="D52" s="58"/>
      <c r="E52" s="316"/>
    </row>
    <row r="53" spans="1:5" ht="16.8" x14ac:dyDescent="0.4">
      <c r="A53" s="57" t="s">
        <v>284</v>
      </c>
      <c r="B53" s="10"/>
      <c r="C53" s="58"/>
      <c r="D53" s="58"/>
      <c r="E53" s="316"/>
    </row>
    <row r="54" spans="1:5" ht="16.8" x14ac:dyDescent="0.4">
      <c r="A54" s="57" t="s">
        <v>593</v>
      </c>
      <c r="B54" s="10"/>
      <c r="C54" s="59"/>
      <c r="D54" s="58"/>
      <c r="E54" s="316"/>
    </row>
    <row r="55" spans="1:5" ht="16.8" x14ac:dyDescent="0.4">
      <c r="A55" s="57" t="s">
        <v>286</v>
      </c>
      <c r="B55" s="10"/>
      <c r="C55" s="59"/>
      <c r="D55" s="58"/>
      <c r="E55" s="316"/>
    </row>
    <row r="56" spans="1:5" ht="16.8" x14ac:dyDescent="0.4">
      <c r="A56" s="57" t="s">
        <v>6</v>
      </c>
      <c r="B56" s="61"/>
      <c r="C56" s="62"/>
      <c r="D56" s="63"/>
      <c r="E56" s="316"/>
    </row>
    <row r="57" spans="1:5" ht="16.8" x14ac:dyDescent="0.4">
      <c r="A57" s="60" t="s">
        <v>583</v>
      </c>
      <c r="B57" s="61"/>
      <c r="C57" s="62"/>
      <c r="D57" s="63"/>
    </row>
    <row r="58" spans="1:5" x14ac:dyDescent="0.3">
      <c r="A58" s="365" t="s">
        <v>287</v>
      </c>
      <c r="B58" s="366" t="s">
        <v>288</v>
      </c>
      <c r="C58" s="367" t="s">
        <v>289</v>
      </c>
      <c r="D58" s="321" t="s">
        <v>290</v>
      </c>
      <c r="E58" s="322" t="s">
        <v>291</v>
      </c>
    </row>
    <row r="59" spans="1:5" ht="41.4" customHeight="1" x14ac:dyDescent="0.3">
      <c r="A59" s="1086" t="s">
        <v>349</v>
      </c>
      <c r="B59" s="1087" t="s">
        <v>302</v>
      </c>
      <c r="C59" s="324" t="s">
        <v>342</v>
      </c>
      <c r="D59" s="328">
        <f>(230*60*2)+(3100+2300)</f>
        <v>33000</v>
      </c>
      <c r="E59" s="343" t="s">
        <v>343</v>
      </c>
    </row>
    <row r="60" spans="1:5" x14ac:dyDescent="0.3">
      <c r="A60" s="1086"/>
      <c r="B60" s="1087"/>
      <c r="C60" s="324" t="s">
        <v>726</v>
      </c>
      <c r="D60" s="328">
        <v>25000</v>
      </c>
      <c r="E60" s="317" t="s">
        <v>727</v>
      </c>
    </row>
    <row r="61" spans="1:5" x14ac:dyDescent="0.3">
      <c r="A61" s="1086"/>
      <c r="B61" s="1087"/>
      <c r="C61" s="324" t="s">
        <v>350</v>
      </c>
      <c r="D61" s="328">
        <f>50000*1.25</f>
        <v>62500</v>
      </c>
      <c r="E61" s="343" t="s">
        <v>320</v>
      </c>
    </row>
    <row r="62" spans="1:5" ht="41.4" x14ac:dyDescent="0.3">
      <c r="A62" s="1086"/>
      <c r="B62" s="1087"/>
      <c r="C62" s="324" t="s">
        <v>351</v>
      </c>
      <c r="D62" s="328">
        <f>((4*5230)+(4*6210))*1.3</f>
        <v>59488</v>
      </c>
      <c r="E62" s="343" t="s">
        <v>346</v>
      </c>
    </row>
    <row r="63" spans="1:5" x14ac:dyDescent="0.3">
      <c r="A63" s="1086"/>
      <c r="B63" s="347" t="s">
        <v>322</v>
      </c>
      <c r="C63" s="324" t="s">
        <v>308</v>
      </c>
      <c r="D63" s="328">
        <f>(8900*2)*1.2</f>
        <v>21360</v>
      </c>
      <c r="E63" s="343" t="s">
        <v>309</v>
      </c>
    </row>
    <row r="64" spans="1:5" x14ac:dyDescent="0.3">
      <c r="A64" s="1086"/>
      <c r="B64" s="326" t="s">
        <v>312</v>
      </c>
      <c r="C64" s="324" t="s">
        <v>323</v>
      </c>
      <c r="D64" s="328">
        <f>64000+(48*950)</f>
        <v>109600</v>
      </c>
      <c r="E64" s="343" t="s">
        <v>578</v>
      </c>
    </row>
    <row r="65" spans="1:5" ht="27.6" x14ac:dyDescent="0.3">
      <c r="A65" s="337"/>
      <c r="B65" s="326" t="s">
        <v>721</v>
      </c>
      <c r="C65" s="327" t="s">
        <v>352</v>
      </c>
      <c r="D65" s="328" t="s">
        <v>314</v>
      </c>
      <c r="E65" s="343"/>
    </row>
    <row r="66" spans="1:5" x14ac:dyDescent="0.3">
      <c r="A66" s="344"/>
      <c r="B66" s="348"/>
      <c r="C66" s="324" t="s">
        <v>725</v>
      </c>
      <c r="D66" s="328">
        <v>26034.75</v>
      </c>
      <c r="E66" s="317"/>
    </row>
    <row r="67" spans="1:5" x14ac:dyDescent="0.3">
      <c r="A67" s="344"/>
      <c r="B67" s="351"/>
      <c r="C67" s="349"/>
      <c r="D67" s="350">
        <f>SUM(D58:D66)</f>
        <v>336982.75</v>
      </c>
      <c r="E67" s="343"/>
    </row>
    <row r="68" spans="1:5" x14ac:dyDescent="0.3">
      <c r="A68" s="337"/>
      <c r="B68" s="351"/>
      <c r="C68" s="352"/>
      <c r="D68" s="350">
        <f>D67*0.16</f>
        <v>53917.24</v>
      </c>
      <c r="E68" s="317"/>
    </row>
    <row r="69" spans="1:5" ht="15" thickBot="1" x14ac:dyDescent="0.35">
      <c r="A69" s="337"/>
      <c r="B69" s="351"/>
      <c r="C69" s="352"/>
      <c r="D69" s="353">
        <f>D67+D68</f>
        <v>390899.99</v>
      </c>
      <c r="E69" s="317"/>
    </row>
    <row r="70" spans="1:5" ht="15" thickBot="1" x14ac:dyDescent="0.35">
      <c r="A70" s="334"/>
      <c r="B70" s="357" t="s">
        <v>594</v>
      </c>
      <c r="C70" s="358"/>
      <c r="D70" s="359"/>
      <c r="E70" s="360"/>
    </row>
    <row r="71" spans="1:5" x14ac:dyDescent="0.3">
      <c r="A71" s="337"/>
      <c r="B71" s="369"/>
      <c r="C71" s="370" t="s">
        <v>11</v>
      </c>
      <c r="E71" s="317"/>
    </row>
    <row r="72" spans="1:5" ht="15.6" x14ac:dyDescent="0.3">
      <c r="A72" s="337"/>
      <c r="B72" s="101"/>
      <c r="C72" s="123" t="s">
        <v>12</v>
      </c>
      <c r="D72" s="52"/>
      <c r="E72" s="52"/>
    </row>
    <row r="73" spans="1:5" ht="15.6" x14ac:dyDescent="0.3">
      <c r="A73" s="337"/>
      <c r="B73" s="101"/>
      <c r="C73" s="123" t="s">
        <v>13</v>
      </c>
      <c r="D73" s="104"/>
      <c r="E73" s="52"/>
    </row>
    <row r="74" spans="1:5" ht="15.6" x14ac:dyDescent="0.3">
      <c r="A74" s="337"/>
      <c r="B74" s="101"/>
      <c r="C74" s="123" t="s">
        <v>14</v>
      </c>
      <c r="D74" s="104"/>
      <c r="E74" s="105"/>
    </row>
    <row r="75" spans="1:5" x14ac:dyDescent="0.3">
      <c r="A75" s="337"/>
      <c r="B75" s="102"/>
      <c r="C75" s="103" t="s">
        <v>15</v>
      </c>
      <c r="D75" s="107"/>
      <c r="E75" s="105"/>
    </row>
    <row r="76" spans="1:5" x14ac:dyDescent="0.3">
      <c r="A76" s="490"/>
      <c r="B76" s="491"/>
      <c r="C76" s="489" t="s">
        <v>42</v>
      </c>
      <c r="D76" s="107"/>
      <c r="E76" s="105"/>
    </row>
    <row r="77" spans="1:5" ht="20.399999999999999" x14ac:dyDescent="0.3">
      <c r="A77" s="490"/>
      <c r="B77" s="492"/>
      <c r="C77" s="489" t="s">
        <v>43</v>
      </c>
      <c r="D77" s="107"/>
      <c r="E77" s="105"/>
    </row>
    <row r="78" spans="1:5" ht="15.6" x14ac:dyDescent="0.3">
      <c r="A78" s="337"/>
      <c r="B78" s="106"/>
      <c r="C78" s="103" t="s">
        <v>18</v>
      </c>
      <c r="D78" s="107"/>
      <c r="E78" s="105"/>
    </row>
    <row r="79" spans="1:5" ht="15.6" x14ac:dyDescent="0.3">
      <c r="A79" s="337"/>
      <c r="B79" s="106"/>
      <c r="C79" s="313" t="s">
        <v>592</v>
      </c>
      <c r="D79" s="107"/>
      <c r="E79" s="105"/>
    </row>
    <row r="80" spans="1:5" ht="15.6" x14ac:dyDescent="0.3">
      <c r="A80" s="337"/>
      <c r="B80" s="106"/>
      <c r="C80" s="297" t="s">
        <v>20</v>
      </c>
      <c r="D80" s="107"/>
      <c r="E80" s="107"/>
    </row>
    <row r="81" spans="1:5" x14ac:dyDescent="0.3">
      <c r="A81" s="337"/>
      <c r="B81" s="108"/>
      <c r="C81" s="103" t="s">
        <v>21</v>
      </c>
      <c r="D81" s="109"/>
      <c r="E81" s="107"/>
    </row>
    <row r="82" spans="1:5" ht="15.6" x14ac:dyDescent="0.3">
      <c r="A82" s="337"/>
      <c r="B82" s="106"/>
      <c r="C82" s="122" t="s">
        <v>262</v>
      </c>
      <c r="E82" s="110"/>
    </row>
    <row r="83" spans="1:5" ht="15.6" x14ac:dyDescent="0.3">
      <c r="A83" s="337"/>
      <c r="B83" s="106"/>
      <c r="C83" s="123" t="s">
        <v>44</v>
      </c>
    </row>
    <row r="84" spans="1:5" ht="15.6" x14ac:dyDescent="0.3">
      <c r="A84" s="337"/>
      <c r="B84" s="106"/>
      <c r="C84" s="123" t="s">
        <v>45</v>
      </c>
    </row>
    <row r="85" spans="1:5" ht="50.4" x14ac:dyDescent="0.3">
      <c r="A85" s="337"/>
      <c r="B85" s="106"/>
      <c r="C85" s="314" t="s">
        <v>23</v>
      </c>
    </row>
    <row r="103" ht="20.25" customHeight="1" x14ac:dyDescent="0.3"/>
    <row r="340" ht="18.75" customHeight="1" x14ac:dyDescent="0.3"/>
  </sheetData>
  <mergeCells count="7">
    <mergeCell ref="A28:A35"/>
    <mergeCell ref="B28:B32"/>
    <mergeCell ref="A59:A64"/>
    <mergeCell ref="B59:B62"/>
    <mergeCell ref="A10:A20"/>
    <mergeCell ref="B10:B14"/>
    <mergeCell ref="B15:B18"/>
  </mergeCells>
  <pageMargins left="0.25" right="0.25" top="0.75" bottom="0.75" header="0.3" footer="0.3"/>
  <pageSetup scale="81" fitToHeight="0" orientation="portrait" r:id="rId1"/>
  <drawing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2051-9D58-422E-B441-3356DBAA3438}">
  <sheetPr>
    <pageSetUpPr fitToPage="1"/>
  </sheetPr>
  <dimension ref="A1:G340"/>
  <sheetViews>
    <sheetView topLeftCell="A4" workbookViewId="0">
      <selection activeCell="C317" sqref="C317"/>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6" width="12.6640625" bestFit="1" customWidth="1"/>
    <col min="7" max="7" width="11.5546875" customWidth="1"/>
  </cols>
  <sheetData>
    <row r="1" spans="1:7" s="316" customFormat="1" x14ac:dyDescent="0.3">
      <c r="A1"/>
      <c r="B1" s="315"/>
      <c r="C1"/>
      <c r="D1"/>
      <c r="E1"/>
      <c r="F1"/>
    </row>
    <row r="5" spans="1:7" x14ac:dyDescent="0.3">
      <c r="E5" s="316"/>
      <c r="F5" s="316"/>
    </row>
    <row r="6" spans="1:7" ht="16.8" x14ac:dyDescent="0.4">
      <c r="A6" s="57" t="s">
        <v>282</v>
      </c>
      <c r="B6" s="10"/>
      <c r="C6" s="58"/>
      <c r="D6" s="58"/>
      <c r="E6" s="10"/>
    </row>
    <row r="7" spans="1:7" ht="16.8" x14ac:dyDescent="0.4">
      <c r="A7" s="57" t="s">
        <v>283</v>
      </c>
      <c r="B7" s="10"/>
      <c r="C7" s="58"/>
      <c r="D7" s="58"/>
      <c r="E7" s="10"/>
    </row>
    <row r="8" spans="1:7" ht="16.8" x14ac:dyDescent="0.4">
      <c r="A8" s="57" t="s">
        <v>284</v>
      </c>
      <c r="B8" s="10"/>
      <c r="C8" s="58"/>
      <c r="D8" s="58"/>
      <c r="E8" s="10"/>
    </row>
    <row r="9" spans="1:7" ht="16.8" x14ac:dyDescent="0.4">
      <c r="A9" s="57" t="s">
        <v>285</v>
      </c>
      <c r="B9" s="10"/>
      <c r="C9" s="59"/>
      <c r="D9" s="58"/>
      <c r="E9" s="10"/>
    </row>
    <row r="10" spans="1:7" ht="16.8" x14ac:dyDescent="0.4">
      <c r="A10" s="57" t="s">
        <v>286</v>
      </c>
      <c r="B10" s="10"/>
      <c r="C10" s="59"/>
      <c r="D10" s="58"/>
      <c r="E10" s="10"/>
    </row>
    <row r="11" spans="1:7" ht="16.8" x14ac:dyDescent="0.4">
      <c r="A11" s="57" t="s">
        <v>6</v>
      </c>
      <c r="B11" s="61"/>
      <c r="C11" s="62"/>
      <c r="D11" s="63"/>
      <c r="E11" s="10"/>
      <c r="G11" s="317"/>
    </row>
    <row r="12" spans="1:7" s="317" customFormat="1" ht="16.8" x14ac:dyDescent="0.4">
      <c r="A12" s="60" t="s">
        <v>576</v>
      </c>
      <c r="B12" s="61"/>
      <c r="C12" s="62"/>
      <c r="D12" s="63"/>
      <c r="E12" s="10"/>
      <c r="F12"/>
      <c r="G12"/>
    </row>
    <row r="13" spans="1:7" x14ac:dyDescent="0.3">
      <c r="A13" s="318" t="s">
        <v>287</v>
      </c>
      <c r="B13" s="319" t="s">
        <v>288</v>
      </c>
      <c r="C13" s="320" t="s">
        <v>289</v>
      </c>
      <c r="D13" s="321" t="s">
        <v>290</v>
      </c>
      <c r="E13" s="322" t="s">
        <v>291</v>
      </c>
    </row>
    <row r="14" spans="1:7" x14ac:dyDescent="0.3">
      <c r="A14" s="1086" t="s">
        <v>292</v>
      </c>
      <c r="B14" s="1119" t="s">
        <v>293</v>
      </c>
      <c r="C14" s="497"/>
      <c r="D14" s="498"/>
      <c r="E14" s="499"/>
    </row>
    <row r="15" spans="1:7" x14ac:dyDescent="0.3">
      <c r="A15" s="1086"/>
      <c r="B15" s="1119"/>
      <c r="C15" s="324" t="s">
        <v>296</v>
      </c>
      <c r="D15" s="325">
        <f>(10200*4*1.25)</f>
        <v>51000</v>
      </c>
      <c r="E15" s="317" t="s">
        <v>295</v>
      </c>
      <c r="F15" s="317"/>
    </row>
    <row r="16" spans="1:7" x14ac:dyDescent="0.3">
      <c r="A16" s="1086"/>
      <c r="B16" s="1119"/>
      <c r="C16" s="324" t="s">
        <v>297</v>
      </c>
      <c r="D16" s="325">
        <f>(60*1115)*1.3</f>
        <v>86970</v>
      </c>
      <c r="E16" s="317" t="s">
        <v>295</v>
      </c>
    </row>
    <row r="17" spans="1:7" ht="55.2" x14ac:dyDescent="0.3">
      <c r="A17" s="1086"/>
      <c r="B17" s="1119"/>
      <c r="C17" s="324" t="s">
        <v>298</v>
      </c>
      <c r="D17" s="325">
        <f>(26500*2)+12000</f>
        <v>65000</v>
      </c>
      <c r="E17" s="317" t="s">
        <v>299</v>
      </c>
    </row>
    <row r="18" spans="1:7" x14ac:dyDescent="0.3">
      <c r="A18" s="1086"/>
      <c r="B18" s="1119"/>
      <c r="C18" s="324" t="s">
        <v>300</v>
      </c>
      <c r="D18" s="325">
        <f>180000+25000</f>
        <v>205000</v>
      </c>
      <c r="E18" s="317" t="s">
        <v>577</v>
      </c>
    </row>
    <row r="19" spans="1:7" x14ac:dyDescent="0.3">
      <c r="A19" s="1086"/>
      <c r="B19" s="1119" t="s">
        <v>302</v>
      </c>
      <c r="C19" s="324" t="s">
        <v>303</v>
      </c>
      <c r="D19" s="325">
        <f>60000*1.25</f>
        <v>75000</v>
      </c>
      <c r="E19" s="317" t="s">
        <v>304</v>
      </c>
    </row>
    <row r="20" spans="1:7" ht="27.6" x14ac:dyDescent="0.3">
      <c r="A20" s="1086"/>
      <c r="B20" s="1119"/>
      <c r="C20" s="324" t="s">
        <v>305</v>
      </c>
      <c r="D20" s="325">
        <f>(70000+28000)*1.25</f>
        <v>122500</v>
      </c>
      <c r="E20" s="317" t="s">
        <v>306</v>
      </c>
    </row>
    <row r="21" spans="1:7" ht="41.4" x14ac:dyDescent="0.3">
      <c r="A21" s="1086"/>
      <c r="B21" s="1119"/>
      <c r="C21" s="324" t="s">
        <v>307</v>
      </c>
      <c r="D21" s="325">
        <v>16524</v>
      </c>
      <c r="E21" s="317" t="s">
        <v>309</v>
      </c>
    </row>
    <row r="22" spans="1:7" x14ac:dyDescent="0.3">
      <c r="A22" s="1086"/>
      <c r="B22" s="1119"/>
      <c r="C22" s="324" t="s">
        <v>308</v>
      </c>
      <c r="D22" s="325">
        <f>(8500*2)*1.2</f>
        <v>20400</v>
      </c>
      <c r="E22" s="317" t="s">
        <v>309</v>
      </c>
    </row>
    <row r="23" spans="1:7" x14ac:dyDescent="0.3">
      <c r="A23" s="1086"/>
      <c r="B23" s="323" t="s">
        <v>310</v>
      </c>
      <c r="C23" s="324" t="s">
        <v>311</v>
      </c>
      <c r="D23" s="325">
        <f>((3595.44*20.5)+(3400))*1.3</f>
        <v>100238.47600000001</v>
      </c>
      <c r="E23" s="317" t="s">
        <v>306</v>
      </c>
    </row>
    <row r="24" spans="1:7" x14ac:dyDescent="0.3">
      <c r="A24" s="1086"/>
      <c r="B24" s="326" t="s">
        <v>312</v>
      </c>
      <c r="C24" s="327" t="s">
        <v>313</v>
      </c>
      <c r="D24" s="328" t="s">
        <v>314</v>
      </c>
      <c r="E24" s="317"/>
    </row>
    <row r="25" spans="1:7" x14ac:dyDescent="0.3">
      <c r="A25" s="329"/>
      <c r="B25" s="330"/>
      <c r="C25" s="486" t="s">
        <v>38</v>
      </c>
      <c r="D25" s="331">
        <f>SUM(D15:D23)</f>
        <v>742632.47600000002</v>
      </c>
      <c r="E25" s="317"/>
    </row>
    <row r="26" spans="1:7" x14ac:dyDescent="0.3">
      <c r="A26" s="332"/>
      <c r="B26" s="330" t="s">
        <v>260</v>
      </c>
      <c r="C26" s="487" t="s">
        <v>39</v>
      </c>
      <c r="D26" s="331">
        <f>D25*0.16</f>
        <v>118821.19616000001</v>
      </c>
      <c r="E26" s="317"/>
    </row>
    <row r="27" spans="1:7" ht="15" thickBot="1" x14ac:dyDescent="0.35">
      <c r="A27" s="332"/>
      <c r="B27" s="330"/>
      <c r="C27" s="488" t="s">
        <v>40</v>
      </c>
      <c r="D27" s="333">
        <f>D25+D26</f>
        <v>861453.67216000007</v>
      </c>
      <c r="E27" s="317"/>
      <c r="F27" s="500"/>
      <c r="G27" s="500"/>
    </row>
    <row r="28" spans="1:7" x14ac:dyDescent="0.3">
      <c r="A28" s="334"/>
      <c r="B28" s="368" t="s">
        <v>646</v>
      </c>
      <c r="C28" s="335"/>
      <c r="D28" s="336"/>
      <c r="E28" s="317"/>
    </row>
    <row r="29" spans="1:7" x14ac:dyDescent="0.3">
      <c r="A29" s="337"/>
      <c r="B29" s="96"/>
      <c r="C29" s="103" t="s">
        <v>11</v>
      </c>
      <c r="D29" s="76"/>
      <c r="E29" s="96"/>
    </row>
    <row r="30" spans="1:7" ht="15.6" x14ac:dyDescent="0.3">
      <c r="A30" s="337"/>
      <c r="B30" s="101"/>
      <c r="C30" s="123" t="s">
        <v>12</v>
      </c>
      <c r="D30" s="52"/>
      <c r="E30" s="52"/>
    </row>
    <row r="31" spans="1:7" ht="15.6" x14ac:dyDescent="0.3">
      <c r="A31" s="337"/>
      <c r="B31" s="101"/>
      <c r="C31" s="123" t="s">
        <v>13</v>
      </c>
      <c r="D31" s="52"/>
      <c r="E31" s="52"/>
    </row>
    <row r="32" spans="1:7" ht="15.6" x14ac:dyDescent="0.3">
      <c r="A32" s="337"/>
      <c r="B32" s="101"/>
      <c r="C32" s="123" t="s">
        <v>14</v>
      </c>
      <c r="D32" s="52"/>
      <c r="E32" s="52"/>
    </row>
    <row r="33" spans="1:6" x14ac:dyDescent="0.3">
      <c r="A33" s="337"/>
      <c r="B33" s="102"/>
      <c r="C33" s="103" t="s">
        <v>15</v>
      </c>
      <c r="D33" s="52"/>
      <c r="E33" s="52"/>
    </row>
    <row r="34" spans="1:6" x14ac:dyDescent="0.3">
      <c r="A34" s="337"/>
      <c r="B34" s="102"/>
      <c r="C34" s="489" t="s">
        <v>42</v>
      </c>
      <c r="D34" s="104"/>
      <c r="E34" s="105"/>
    </row>
    <row r="35" spans="1:6" ht="20.399999999999999" x14ac:dyDescent="0.3">
      <c r="A35" s="337"/>
      <c r="B35" s="106"/>
      <c r="C35" s="489" t="s">
        <v>43</v>
      </c>
      <c r="D35" s="104"/>
      <c r="E35" s="105"/>
    </row>
    <row r="36" spans="1:6" ht="15.6" x14ac:dyDescent="0.3">
      <c r="A36" s="337"/>
      <c r="B36" s="106"/>
      <c r="C36" s="103" t="s">
        <v>18</v>
      </c>
      <c r="D36" s="107"/>
      <c r="E36" s="105"/>
    </row>
    <row r="37" spans="1:6" ht="15.6" x14ac:dyDescent="0.3">
      <c r="A37" s="337"/>
      <c r="B37" s="106"/>
      <c r="C37" s="313" t="s">
        <v>584</v>
      </c>
      <c r="D37" s="107"/>
      <c r="E37" s="105"/>
    </row>
    <row r="38" spans="1:6" ht="15.6" x14ac:dyDescent="0.3">
      <c r="A38" s="337"/>
      <c r="B38" s="106"/>
      <c r="C38" s="297" t="s">
        <v>20</v>
      </c>
      <c r="D38" s="107"/>
      <c r="E38" s="105"/>
    </row>
    <row r="39" spans="1:6" x14ac:dyDescent="0.3">
      <c r="A39" s="337"/>
      <c r="B39" s="108"/>
      <c r="C39" s="103" t="s">
        <v>21</v>
      </c>
      <c r="D39" s="107"/>
      <c r="E39" s="105"/>
    </row>
    <row r="40" spans="1:6" ht="15.6" x14ac:dyDescent="0.3">
      <c r="A40" s="337"/>
      <c r="B40" s="106"/>
      <c r="C40" s="122" t="s">
        <v>262</v>
      </c>
      <c r="D40" s="107"/>
      <c r="E40" s="107"/>
    </row>
    <row r="41" spans="1:6" ht="15.6" x14ac:dyDescent="0.3">
      <c r="A41" s="337"/>
      <c r="B41" s="106"/>
      <c r="C41" s="123" t="s">
        <v>44</v>
      </c>
      <c r="D41" s="107"/>
      <c r="E41" s="107"/>
    </row>
    <row r="42" spans="1:6" ht="15.6" x14ac:dyDescent="0.3">
      <c r="A42" s="337"/>
      <c r="B42" s="106"/>
      <c r="C42" s="123" t="s">
        <v>45</v>
      </c>
      <c r="D42" s="109"/>
      <c r="E42" s="110"/>
    </row>
    <row r="43" spans="1:6" ht="50.4" x14ac:dyDescent="0.3">
      <c r="A43" s="337"/>
      <c r="B43" s="106"/>
      <c r="C43" s="314" t="s">
        <v>23</v>
      </c>
      <c r="D43" s="109"/>
      <c r="E43" s="110"/>
    </row>
    <row r="44" spans="1:6" ht="16.8" x14ac:dyDescent="0.3">
      <c r="A44" s="337"/>
      <c r="B44" s="361"/>
      <c r="C44" s="362"/>
      <c r="D44" s="363"/>
      <c r="E44" s="364"/>
    </row>
    <row r="45" spans="1:6" x14ac:dyDescent="0.3">
      <c r="E45" s="364"/>
      <c r="F45" s="316"/>
    </row>
    <row r="50" spans="1:5" ht="16.8" x14ac:dyDescent="0.4">
      <c r="A50" s="57" t="s">
        <v>348</v>
      </c>
      <c r="B50" s="10"/>
      <c r="C50" s="58"/>
      <c r="D50" s="58"/>
      <c r="E50" s="316"/>
    </row>
    <row r="51" spans="1:5" ht="16.8" x14ac:dyDescent="0.4">
      <c r="A51" s="57" t="s">
        <v>284</v>
      </c>
      <c r="B51" s="10"/>
      <c r="C51" s="58"/>
      <c r="D51" s="58"/>
      <c r="E51" s="316"/>
    </row>
    <row r="52" spans="1:5" ht="16.8" x14ac:dyDescent="0.4">
      <c r="A52" s="57" t="s">
        <v>353</v>
      </c>
      <c r="B52" s="10"/>
      <c r="C52" s="59"/>
      <c r="D52" s="58"/>
      <c r="E52" s="316"/>
    </row>
    <row r="53" spans="1:5" ht="16.8" x14ac:dyDescent="0.4">
      <c r="A53" s="57" t="s">
        <v>286</v>
      </c>
      <c r="B53" s="10"/>
      <c r="C53" s="59"/>
      <c r="D53" s="58"/>
      <c r="E53" s="316"/>
    </row>
    <row r="54" spans="1:5" ht="16.8" x14ac:dyDescent="0.4">
      <c r="A54" s="57" t="s">
        <v>6</v>
      </c>
      <c r="B54" s="61"/>
      <c r="C54" s="62"/>
      <c r="D54" s="63"/>
      <c r="E54" s="316"/>
    </row>
    <row r="55" spans="1:5" ht="16.8" x14ac:dyDescent="0.4">
      <c r="A55" s="60" t="s">
        <v>583</v>
      </c>
      <c r="B55" s="61"/>
      <c r="C55" s="62"/>
      <c r="D55" s="63"/>
      <c r="E55" s="316"/>
    </row>
    <row r="56" spans="1:5" x14ac:dyDescent="0.3">
      <c r="A56" s="365" t="s">
        <v>287</v>
      </c>
      <c r="B56" s="366" t="s">
        <v>288</v>
      </c>
      <c r="C56" s="367" t="s">
        <v>289</v>
      </c>
      <c r="D56" s="321" t="s">
        <v>290</v>
      </c>
      <c r="E56" s="322" t="s">
        <v>291</v>
      </c>
    </row>
    <row r="57" spans="1:5" ht="41.4" x14ac:dyDescent="0.3">
      <c r="A57" s="1086" t="s">
        <v>354</v>
      </c>
      <c r="B57" s="1087" t="s">
        <v>302</v>
      </c>
      <c r="C57" s="324" t="s">
        <v>355</v>
      </c>
      <c r="D57" s="328">
        <f>(204*100*2)+(3100+4100)</f>
        <v>48000</v>
      </c>
      <c r="E57" s="343" t="s">
        <v>343</v>
      </c>
    </row>
    <row r="58" spans="1:5" x14ac:dyDescent="0.3">
      <c r="A58" s="1086"/>
      <c r="B58" s="1087"/>
      <c r="C58" s="324" t="s">
        <v>356</v>
      </c>
      <c r="D58" s="328">
        <f>60000*1.25</f>
        <v>75000</v>
      </c>
      <c r="E58" s="343" t="s">
        <v>320</v>
      </c>
    </row>
    <row r="59" spans="1:5" ht="27.6" x14ac:dyDescent="0.3">
      <c r="A59" s="1086"/>
      <c r="B59" s="1087"/>
      <c r="C59" s="324" t="s">
        <v>305</v>
      </c>
      <c r="D59" s="328">
        <f>(70000+28000)*1.25</f>
        <v>122500</v>
      </c>
      <c r="E59" s="343" t="s">
        <v>306</v>
      </c>
    </row>
    <row r="60" spans="1:5" ht="41.4" x14ac:dyDescent="0.3">
      <c r="A60" s="1086"/>
      <c r="B60" s="1087"/>
      <c r="C60" s="324" t="s">
        <v>321</v>
      </c>
      <c r="D60" s="328">
        <f>((2*5230)+(1*6210))*1.3</f>
        <v>21671</v>
      </c>
      <c r="E60" s="343" t="s">
        <v>309</v>
      </c>
    </row>
    <row r="61" spans="1:5" x14ac:dyDescent="0.3">
      <c r="A61" s="1086"/>
      <c r="B61" s="1087"/>
      <c r="C61" s="324" t="s">
        <v>308</v>
      </c>
      <c r="D61" s="328">
        <f>(8400*2)*1.2</f>
        <v>20160</v>
      </c>
      <c r="E61" s="343" t="s">
        <v>301</v>
      </c>
    </row>
    <row r="62" spans="1:5" x14ac:dyDescent="0.3">
      <c r="A62" s="1086"/>
      <c r="B62" s="347" t="s">
        <v>322</v>
      </c>
      <c r="C62" s="324" t="s">
        <v>323</v>
      </c>
      <c r="D62" s="328">
        <v>180000</v>
      </c>
      <c r="E62" s="343" t="s">
        <v>577</v>
      </c>
    </row>
    <row r="63" spans="1:5" x14ac:dyDescent="0.3">
      <c r="A63" s="1086"/>
      <c r="B63" s="347" t="s">
        <v>310</v>
      </c>
      <c r="C63" s="324" t="s">
        <v>311</v>
      </c>
      <c r="D63" s="328">
        <f>((3184.8*20.5)+(4400))*1.3</f>
        <v>90594.92</v>
      </c>
      <c r="E63" s="343" t="s">
        <v>306</v>
      </c>
    </row>
    <row r="64" spans="1:5" x14ac:dyDescent="0.3">
      <c r="A64" s="1086"/>
      <c r="B64" s="326" t="s">
        <v>312</v>
      </c>
      <c r="C64" s="327" t="s">
        <v>357</v>
      </c>
      <c r="D64" s="371" t="s">
        <v>314</v>
      </c>
      <c r="E64" s="317"/>
    </row>
    <row r="65" spans="1:5" x14ac:dyDescent="0.3">
      <c r="A65" s="337"/>
      <c r="B65" s="351"/>
      <c r="C65" s="352"/>
      <c r="D65" s="350">
        <f>SUM(D56:D63)</f>
        <v>557925.92000000004</v>
      </c>
      <c r="E65" s="317"/>
    </row>
    <row r="66" spans="1:5" x14ac:dyDescent="0.3">
      <c r="A66" s="337"/>
      <c r="B66" s="351"/>
      <c r="C66" s="352"/>
      <c r="D66" s="350">
        <f>D65*0.16</f>
        <v>89268.147200000007</v>
      </c>
      <c r="E66" s="317"/>
    </row>
    <row r="67" spans="1:5" ht="15" thickBot="1" x14ac:dyDescent="0.35">
      <c r="A67" s="337"/>
      <c r="B67" s="351"/>
      <c r="C67" s="352"/>
      <c r="D67" s="353">
        <f>D65+D66</f>
        <v>647194.06720000005</v>
      </c>
      <c r="E67" s="317"/>
    </row>
    <row r="68" spans="1:5" x14ac:dyDescent="0.3">
      <c r="A68" s="334"/>
      <c r="B68" s="368" t="s">
        <v>596</v>
      </c>
      <c r="C68" s="335"/>
      <c r="D68" s="336"/>
      <c r="E68" s="317"/>
    </row>
    <row r="69" spans="1:5" x14ac:dyDescent="0.3">
      <c r="A69" s="337"/>
      <c r="B69" s="351"/>
      <c r="C69" s="352"/>
      <c r="D69" s="52"/>
      <c r="E69" s="52"/>
    </row>
    <row r="70" spans="1:5" x14ac:dyDescent="0.3">
      <c r="A70" s="337"/>
      <c r="B70" s="96"/>
      <c r="C70" s="103" t="s">
        <v>11</v>
      </c>
      <c r="D70" s="52"/>
      <c r="E70" s="52"/>
    </row>
    <row r="71" spans="1:5" ht="15.6" x14ac:dyDescent="0.3">
      <c r="A71" s="337"/>
      <c r="B71" s="101"/>
      <c r="C71" s="123" t="s">
        <v>12</v>
      </c>
      <c r="D71" s="52"/>
      <c r="E71" s="52"/>
    </row>
    <row r="72" spans="1:5" ht="15.6" x14ac:dyDescent="0.3">
      <c r="A72" s="337"/>
      <c r="B72" s="101"/>
      <c r="C72" s="123" t="s">
        <v>13</v>
      </c>
      <c r="D72" s="52"/>
      <c r="E72" s="52"/>
    </row>
    <row r="73" spans="1:5" ht="15.6" x14ac:dyDescent="0.3">
      <c r="A73" s="337"/>
      <c r="B73" s="101"/>
      <c r="C73" s="123" t="s">
        <v>14</v>
      </c>
      <c r="D73" s="104"/>
      <c r="E73" s="105"/>
    </row>
    <row r="74" spans="1:5" x14ac:dyDescent="0.3">
      <c r="A74" s="337"/>
      <c r="B74" s="102"/>
      <c r="C74" s="103" t="s">
        <v>15</v>
      </c>
      <c r="D74" s="104"/>
      <c r="E74" s="105"/>
    </row>
    <row r="75" spans="1:5" ht="27.6" x14ac:dyDescent="0.3">
      <c r="A75" s="337"/>
      <c r="B75" s="102"/>
      <c r="C75" s="295" t="s">
        <v>42</v>
      </c>
      <c r="D75" s="107"/>
      <c r="E75" s="105"/>
    </row>
    <row r="76" spans="1:5" ht="41.4" x14ac:dyDescent="0.3">
      <c r="A76" s="337"/>
      <c r="B76" s="106"/>
      <c r="C76" s="295" t="s">
        <v>43</v>
      </c>
      <c r="D76" s="107"/>
      <c r="E76" s="105"/>
    </row>
    <row r="77" spans="1:5" ht="15.6" x14ac:dyDescent="0.3">
      <c r="A77" s="337"/>
      <c r="B77" s="106"/>
      <c r="C77" s="103" t="s">
        <v>18</v>
      </c>
      <c r="D77" s="107"/>
      <c r="E77" s="105"/>
    </row>
    <row r="78" spans="1:5" ht="15.6" x14ac:dyDescent="0.3">
      <c r="A78" s="337"/>
      <c r="B78" s="106"/>
      <c r="C78" s="313" t="s">
        <v>590</v>
      </c>
      <c r="D78" s="107"/>
      <c r="E78" s="105"/>
    </row>
    <row r="79" spans="1:5" ht="15.6" x14ac:dyDescent="0.3">
      <c r="A79" s="337"/>
      <c r="B79" s="106"/>
      <c r="C79" s="297" t="s">
        <v>20</v>
      </c>
      <c r="D79" s="107"/>
      <c r="E79" s="107"/>
    </row>
    <row r="80" spans="1:5" x14ac:dyDescent="0.3">
      <c r="A80" s="337"/>
      <c r="B80" s="108"/>
      <c r="C80" s="103" t="s">
        <v>21</v>
      </c>
      <c r="D80" s="107"/>
      <c r="E80" s="107"/>
    </row>
    <row r="81" spans="1:5" ht="15.6" x14ac:dyDescent="0.3">
      <c r="A81" s="337"/>
      <c r="B81" s="106"/>
      <c r="C81" s="122" t="s">
        <v>262</v>
      </c>
      <c r="D81" s="109"/>
      <c r="E81" s="110"/>
    </row>
    <row r="82" spans="1:5" ht="15.6" x14ac:dyDescent="0.3">
      <c r="A82" s="337"/>
      <c r="B82" s="106"/>
      <c r="C82" s="123" t="s">
        <v>44</v>
      </c>
      <c r="D82" s="363"/>
      <c r="E82" s="364"/>
    </row>
    <row r="83" spans="1:5" ht="15.6" x14ac:dyDescent="0.3">
      <c r="A83" s="337"/>
      <c r="B83" s="106"/>
      <c r="C83" s="123" t="s">
        <v>45</v>
      </c>
      <c r="D83" s="363"/>
      <c r="E83" s="364"/>
    </row>
    <row r="84" spans="1:5" ht="50.4" x14ac:dyDescent="0.3">
      <c r="A84" s="337"/>
      <c r="B84" s="106"/>
      <c r="C84" s="314" t="s">
        <v>23</v>
      </c>
      <c r="D84" s="363"/>
      <c r="E84" s="364"/>
    </row>
    <row r="85" spans="1:5" ht="16.8" x14ac:dyDescent="0.3">
      <c r="A85" s="337"/>
      <c r="B85" s="361"/>
      <c r="C85" s="362"/>
      <c r="D85" s="363"/>
      <c r="E85" s="364"/>
    </row>
    <row r="86" spans="1:5" ht="16.8" x14ac:dyDescent="0.3">
      <c r="A86" s="337"/>
      <c r="B86" s="361"/>
      <c r="C86" s="362"/>
      <c r="D86" s="363"/>
      <c r="E86" s="364"/>
    </row>
    <row r="87" spans="1:5" ht="16.8" x14ac:dyDescent="0.3">
      <c r="A87" s="337"/>
      <c r="B87" s="361"/>
      <c r="C87" s="362"/>
      <c r="D87" s="363"/>
      <c r="E87" s="364"/>
    </row>
    <row r="88" spans="1:5" ht="16.8" x14ac:dyDescent="0.3">
      <c r="A88" s="337"/>
      <c r="B88" s="361"/>
      <c r="C88" s="362"/>
      <c r="D88" s="363"/>
      <c r="E88" s="364"/>
    </row>
    <row r="89" spans="1:5" ht="16.8" x14ac:dyDescent="0.3">
      <c r="A89" s="337"/>
      <c r="B89" s="361"/>
      <c r="C89" s="362"/>
    </row>
    <row r="91" spans="1:5" ht="16.8" x14ac:dyDescent="0.4">
      <c r="D91" s="58"/>
      <c r="E91" s="316"/>
    </row>
    <row r="92" spans="1:5" ht="16.8" x14ac:dyDescent="0.4">
      <c r="D92" s="58"/>
      <c r="E92" s="316"/>
    </row>
    <row r="93" spans="1:5" ht="16.8" x14ac:dyDescent="0.4">
      <c r="D93" s="58"/>
      <c r="E93" s="316"/>
    </row>
    <row r="94" spans="1:5" ht="16.8" x14ac:dyDescent="0.4">
      <c r="D94" s="58"/>
      <c r="E94" s="316"/>
    </row>
    <row r="95" spans="1:5" ht="16.8" x14ac:dyDescent="0.4">
      <c r="A95" s="57" t="s">
        <v>348</v>
      </c>
      <c r="B95" s="10"/>
      <c r="C95" s="58"/>
      <c r="D95" s="63"/>
      <c r="E95" s="316"/>
    </row>
    <row r="96" spans="1:5" ht="16.8" x14ac:dyDescent="0.4">
      <c r="A96" s="57" t="s">
        <v>284</v>
      </c>
      <c r="B96" s="10"/>
      <c r="C96" s="58"/>
      <c r="D96" s="63"/>
      <c r="E96" s="316"/>
    </row>
    <row r="97" spans="1:5" ht="16.8" x14ac:dyDescent="0.4">
      <c r="A97" s="57" t="s">
        <v>676</v>
      </c>
      <c r="B97" s="10"/>
      <c r="C97" s="59"/>
    </row>
    <row r="98" spans="1:5" ht="16.8" x14ac:dyDescent="0.4">
      <c r="A98" s="57" t="s">
        <v>846</v>
      </c>
      <c r="B98" s="10"/>
      <c r="C98" s="59"/>
    </row>
    <row r="99" spans="1:5" ht="16.8" x14ac:dyDescent="0.4">
      <c r="A99" s="57" t="s">
        <v>6</v>
      </c>
      <c r="B99" s="61"/>
      <c r="C99" s="62"/>
    </row>
    <row r="100" spans="1:5" ht="16.8" x14ac:dyDescent="0.4">
      <c r="A100" s="60" t="s">
        <v>845</v>
      </c>
      <c r="B100" s="61"/>
      <c r="C100" s="62"/>
    </row>
    <row r="101" spans="1:5" x14ac:dyDescent="0.3">
      <c r="A101" s="365" t="s">
        <v>287</v>
      </c>
      <c r="B101" s="366" t="s">
        <v>288</v>
      </c>
      <c r="C101" s="367" t="s">
        <v>289</v>
      </c>
      <c r="D101" s="321" t="s">
        <v>290</v>
      </c>
      <c r="E101" s="322" t="s">
        <v>291</v>
      </c>
    </row>
    <row r="102" spans="1:5" ht="41.4" x14ac:dyDescent="0.3">
      <c r="A102" s="1086" t="s">
        <v>349</v>
      </c>
      <c r="B102" s="1087" t="s">
        <v>302</v>
      </c>
      <c r="C102" s="324" t="s">
        <v>342</v>
      </c>
      <c r="D102" s="328">
        <f>(230*60*2)+(3100+2300)</f>
        <v>33000</v>
      </c>
      <c r="E102" s="343" t="s">
        <v>343</v>
      </c>
    </row>
    <row r="103" spans="1:5" ht="20.25" customHeight="1" x14ac:dyDescent="0.3">
      <c r="A103" s="1086"/>
      <c r="B103" s="1087"/>
      <c r="C103" s="324" t="s">
        <v>726</v>
      </c>
      <c r="D103" s="328">
        <v>25000</v>
      </c>
      <c r="E103" s="317" t="s">
        <v>727</v>
      </c>
    </row>
    <row r="104" spans="1:5" x14ac:dyDescent="0.3">
      <c r="A104" s="1086"/>
      <c r="B104" s="1087"/>
      <c r="C104" s="324" t="s">
        <v>350</v>
      </c>
      <c r="D104" s="328">
        <f>50000*1.25</f>
        <v>62500</v>
      </c>
      <c r="E104" s="343" t="s">
        <v>320</v>
      </c>
    </row>
    <row r="105" spans="1:5" ht="41.4" x14ac:dyDescent="0.3">
      <c r="A105" s="1086"/>
      <c r="B105" s="1087"/>
      <c r="C105" s="324" t="s">
        <v>351</v>
      </c>
      <c r="D105" s="328">
        <f>((4*5230)+(4*6210))*1.3</f>
        <v>59488</v>
      </c>
      <c r="E105" s="343" t="s">
        <v>346</v>
      </c>
    </row>
    <row r="106" spans="1:5" x14ac:dyDescent="0.3">
      <c r="A106" s="1086"/>
      <c r="B106" s="347" t="s">
        <v>322</v>
      </c>
      <c r="C106" s="324" t="s">
        <v>308</v>
      </c>
      <c r="D106" s="328">
        <f>(8900*2)*1.2</f>
        <v>21360</v>
      </c>
      <c r="E106" s="343" t="s">
        <v>309</v>
      </c>
    </row>
    <row r="107" spans="1:5" x14ac:dyDescent="0.3">
      <c r="A107" s="1086"/>
      <c r="B107" s="326" t="s">
        <v>312</v>
      </c>
      <c r="C107" s="324" t="s">
        <v>323</v>
      </c>
      <c r="D107" s="328">
        <f>64000+(48*950)</f>
        <v>109600</v>
      </c>
      <c r="E107" s="343" t="s">
        <v>578</v>
      </c>
    </row>
    <row r="108" spans="1:5" x14ac:dyDescent="0.3">
      <c r="A108" s="337"/>
      <c r="B108" s="326" t="s">
        <v>721</v>
      </c>
      <c r="C108" s="575" t="s">
        <v>837</v>
      </c>
      <c r="D108" s="328">
        <v>12500</v>
      </c>
      <c r="E108" s="343"/>
    </row>
    <row r="109" spans="1:5" x14ac:dyDescent="0.3">
      <c r="A109" s="337"/>
      <c r="B109" s="348"/>
      <c r="C109" s="575" t="s">
        <v>838</v>
      </c>
      <c r="D109" s="328">
        <v>4380</v>
      </c>
      <c r="E109" s="317"/>
    </row>
    <row r="110" spans="1:5" x14ac:dyDescent="0.3">
      <c r="A110" s="344"/>
      <c r="B110" s="348"/>
      <c r="C110" s="324" t="s">
        <v>725</v>
      </c>
      <c r="D110" s="328">
        <v>26034.75</v>
      </c>
      <c r="E110" s="317"/>
    </row>
    <row r="111" spans="1:5" x14ac:dyDescent="0.3">
      <c r="A111" s="344"/>
      <c r="B111" s="351"/>
      <c r="C111" s="349"/>
      <c r="D111" s="350">
        <f>SUM(D101:D110)</f>
        <v>353862.75</v>
      </c>
      <c r="E111" s="343"/>
    </row>
    <row r="112" spans="1:5" x14ac:dyDescent="0.3">
      <c r="A112" s="337"/>
      <c r="B112" s="351"/>
      <c r="C112" s="352"/>
      <c r="D112" s="350">
        <f>D111*0.16</f>
        <v>56618.04</v>
      </c>
      <c r="E112" s="317"/>
    </row>
    <row r="113" spans="1:5" ht="15" thickBot="1" x14ac:dyDescent="0.35">
      <c r="A113" s="337"/>
      <c r="B113" s="351"/>
      <c r="C113" s="352"/>
      <c r="D113" s="353">
        <f>D111+D112</f>
        <v>410480.79</v>
      </c>
      <c r="E113" s="317"/>
    </row>
    <row r="114" spans="1:5" ht="15" thickBot="1" x14ac:dyDescent="0.35">
      <c r="A114" s="334"/>
      <c r="B114" s="357" t="s">
        <v>844</v>
      </c>
      <c r="C114" s="358"/>
      <c r="D114" s="359"/>
      <c r="E114" s="360"/>
    </row>
    <row r="115" spans="1:5" x14ac:dyDescent="0.3">
      <c r="A115" s="337"/>
      <c r="B115" s="369"/>
      <c r="C115" s="370" t="s">
        <v>11</v>
      </c>
      <c r="E115" s="317"/>
    </row>
    <row r="116" spans="1:5" ht="15.6" x14ac:dyDescent="0.3">
      <c r="A116" s="337"/>
      <c r="B116" s="101"/>
      <c r="C116" s="123" t="s">
        <v>12</v>
      </c>
      <c r="D116" s="52"/>
      <c r="E116" s="52"/>
    </row>
    <row r="117" spans="1:5" ht="15.6" x14ac:dyDescent="0.3">
      <c r="A117" s="337"/>
      <c r="B117" s="101"/>
      <c r="C117" s="123" t="s">
        <v>13</v>
      </c>
      <c r="D117" s="104"/>
      <c r="E117" s="52"/>
    </row>
    <row r="118" spans="1:5" ht="15.6" x14ac:dyDescent="0.3">
      <c r="A118" s="337"/>
      <c r="B118" s="101"/>
      <c r="C118" s="123" t="s">
        <v>14</v>
      </c>
      <c r="D118" s="104"/>
      <c r="E118" s="105"/>
    </row>
    <row r="119" spans="1:5" x14ac:dyDescent="0.3">
      <c r="A119" s="337"/>
      <c r="B119" s="102"/>
      <c r="C119" s="103" t="s">
        <v>15</v>
      </c>
      <c r="D119" s="107"/>
      <c r="E119" s="105"/>
    </row>
    <row r="120" spans="1:5" x14ac:dyDescent="0.3">
      <c r="A120" s="490"/>
      <c r="B120" s="491"/>
      <c r="C120" s="489" t="s">
        <v>42</v>
      </c>
      <c r="D120" s="107"/>
      <c r="E120" s="105"/>
    </row>
    <row r="121" spans="1:5" ht="20.399999999999999" x14ac:dyDescent="0.3">
      <c r="A121" s="490"/>
      <c r="B121" s="492"/>
      <c r="C121" s="489" t="s">
        <v>43</v>
      </c>
      <c r="D121" s="107"/>
      <c r="E121" s="105"/>
    </row>
    <row r="122" spans="1:5" ht="15.6" x14ac:dyDescent="0.3">
      <c r="A122" s="337"/>
      <c r="B122" s="106"/>
      <c r="C122" s="103" t="s">
        <v>18</v>
      </c>
      <c r="D122" s="107"/>
      <c r="E122" s="105"/>
    </row>
    <row r="123" spans="1:5" ht="15.6" x14ac:dyDescent="0.3">
      <c r="A123" s="337"/>
      <c r="B123" s="106"/>
      <c r="C123" s="313" t="s">
        <v>592</v>
      </c>
      <c r="D123" s="107"/>
      <c r="E123" s="105"/>
    </row>
    <row r="124" spans="1:5" ht="15.6" x14ac:dyDescent="0.3">
      <c r="A124" s="337"/>
      <c r="B124" s="106"/>
      <c r="C124" s="297" t="s">
        <v>20</v>
      </c>
      <c r="D124" s="107"/>
      <c r="E124" s="107"/>
    </row>
    <row r="125" spans="1:5" x14ac:dyDescent="0.3">
      <c r="A125" s="337"/>
      <c r="B125" s="108"/>
      <c r="C125" s="103" t="s">
        <v>21</v>
      </c>
      <c r="D125" s="109"/>
      <c r="E125" s="107"/>
    </row>
    <row r="126" spans="1:5" ht="15.6" x14ac:dyDescent="0.3">
      <c r="A126" s="337"/>
      <c r="B126" s="106"/>
      <c r="C126" s="122" t="s">
        <v>262</v>
      </c>
      <c r="E126" s="110"/>
    </row>
    <row r="127" spans="1:5" ht="15.6" x14ac:dyDescent="0.3">
      <c r="A127" s="337"/>
      <c r="B127" s="106"/>
      <c r="C127" s="123" t="s">
        <v>44</v>
      </c>
    </row>
    <row r="128" spans="1:5" ht="15.6" x14ac:dyDescent="0.3">
      <c r="A128" s="337"/>
      <c r="B128" s="106"/>
      <c r="C128" s="123" t="s">
        <v>45</v>
      </c>
    </row>
    <row r="129" spans="1:3" ht="50.4" x14ac:dyDescent="0.3">
      <c r="A129" s="337"/>
      <c r="B129" s="106"/>
      <c r="C129" s="314" t="s">
        <v>23</v>
      </c>
    </row>
    <row r="340" ht="18.75" customHeight="1" x14ac:dyDescent="0.3"/>
  </sheetData>
  <mergeCells count="7">
    <mergeCell ref="A102:A107"/>
    <mergeCell ref="B102:B105"/>
    <mergeCell ref="A14:A24"/>
    <mergeCell ref="B14:B18"/>
    <mergeCell ref="B19:B22"/>
    <mergeCell ref="A57:A64"/>
    <mergeCell ref="B57:B61"/>
  </mergeCells>
  <pageMargins left="0.25" right="0.25" top="0.75" bottom="0.75" header="0.3" footer="0.3"/>
  <pageSetup scale="81" fitToHeight="0" orientation="portrait" r:id="rId1"/>
  <drawing r:id="rId2"/>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2811-A1D1-4099-91B1-B9AB22F98B7A}">
  <sheetPr>
    <pageSetUpPr fitToPage="1"/>
  </sheetPr>
  <dimension ref="A1:G382"/>
  <sheetViews>
    <sheetView topLeftCell="A343" workbookViewId="0">
      <selection activeCell="C359" sqref="C359"/>
    </sheetView>
  </sheetViews>
  <sheetFormatPr baseColWidth="10" defaultRowHeight="14.4" x14ac:dyDescent="0.3"/>
  <cols>
    <col min="1" max="1" width="7.33203125" bestFit="1" customWidth="1"/>
    <col min="2" max="2" width="7.33203125" style="315" customWidth="1"/>
    <col min="3" max="3" width="79" customWidth="1"/>
    <col min="4" max="4" width="15.44140625" bestFit="1" customWidth="1"/>
    <col min="5" max="5" width="16" customWidth="1"/>
    <col min="6" max="7" width="11.5546875" customWidth="1"/>
  </cols>
  <sheetData>
    <row r="1" spans="1:7" s="316" customFormat="1" x14ac:dyDescent="0.3">
      <c r="A1"/>
      <c r="B1" s="315"/>
      <c r="C1"/>
      <c r="D1"/>
      <c r="E1"/>
      <c r="F1"/>
    </row>
    <row r="5" spans="1:7" x14ac:dyDescent="0.3">
      <c r="E5" s="316"/>
      <c r="F5" s="316"/>
    </row>
    <row r="6" spans="1:7" ht="16.8" x14ac:dyDescent="0.4">
      <c r="A6" s="57" t="s">
        <v>282</v>
      </c>
      <c r="B6" s="10"/>
      <c r="C6" s="58"/>
      <c r="D6" s="58"/>
      <c r="E6" s="10"/>
    </row>
    <row r="7" spans="1:7" ht="16.8" x14ac:dyDescent="0.4">
      <c r="A7" s="57" t="s">
        <v>283</v>
      </c>
      <c r="B7" s="10"/>
      <c r="C7" s="58"/>
      <c r="D7" s="58"/>
      <c r="E7" s="10"/>
    </row>
    <row r="8" spans="1:7" ht="16.8" x14ac:dyDescent="0.4">
      <c r="A8" s="57" t="s">
        <v>284</v>
      </c>
      <c r="B8" s="10"/>
      <c r="C8" s="58"/>
      <c r="D8" s="58"/>
      <c r="E8" s="10"/>
    </row>
    <row r="9" spans="1:7" ht="16.8" x14ac:dyDescent="0.4">
      <c r="A9" s="57" t="s">
        <v>285</v>
      </c>
      <c r="B9" s="10"/>
      <c r="C9" s="59"/>
      <c r="D9" s="58"/>
      <c r="E9" s="10"/>
    </row>
    <row r="10" spans="1:7" ht="16.8" x14ac:dyDescent="0.4">
      <c r="A10" s="57" t="s">
        <v>286</v>
      </c>
      <c r="B10" s="10"/>
      <c r="C10" s="59"/>
      <c r="D10" s="58"/>
      <c r="E10" s="10"/>
    </row>
    <row r="11" spans="1:7" ht="16.8" x14ac:dyDescent="0.4">
      <c r="A11" s="57" t="s">
        <v>6</v>
      </c>
      <c r="B11" s="61"/>
      <c r="C11" s="62"/>
      <c r="D11" s="63"/>
      <c r="E11" s="10"/>
      <c r="G11" s="317"/>
    </row>
    <row r="12" spans="1:7" s="317" customFormat="1" ht="16.8" x14ac:dyDescent="0.4">
      <c r="A12" s="60" t="s">
        <v>576</v>
      </c>
      <c r="B12" s="61"/>
      <c r="C12" s="62"/>
      <c r="D12" s="63"/>
      <c r="E12" s="10"/>
      <c r="F12"/>
      <c r="G12"/>
    </row>
    <row r="13" spans="1:7" x14ac:dyDescent="0.3">
      <c r="A13" s="318" t="s">
        <v>287</v>
      </c>
      <c r="B13" s="319" t="s">
        <v>288</v>
      </c>
      <c r="C13" s="320" t="s">
        <v>289</v>
      </c>
      <c r="D13" s="321" t="s">
        <v>290</v>
      </c>
      <c r="E13" s="322" t="s">
        <v>291</v>
      </c>
    </row>
    <row r="14" spans="1:7" x14ac:dyDescent="0.3">
      <c r="A14" s="1086" t="s">
        <v>292</v>
      </c>
      <c r="B14" s="1119" t="s">
        <v>293</v>
      </c>
      <c r="C14" s="324" t="s">
        <v>294</v>
      </c>
      <c r="D14" s="325">
        <f>(233493+118004)*1.3</f>
        <v>456946.10000000003</v>
      </c>
      <c r="E14" s="317" t="s">
        <v>295</v>
      </c>
    </row>
    <row r="15" spans="1:7" x14ac:dyDescent="0.3">
      <c r="A15" s="1086"/>
      <c r="B15" s="1119"/>
      <c r="C15" s="324" t="s">
        <v>296</v>
      </c>
      <c r="D15" s="325">
        <f>(10200*4*1.25)</f>
        <v>51000</v>
      </c>
      <c r="E15" s="317" t="s">
        <v>295</v>
      </c>
      <c r="F15" s="317"/>
    </row>
    <row r="16" spans="1:7" x14ac:dyDescent="0.3">
      <c r="A16" s="1086"/>
      <c r="B16" s="1119"/>
      <c r="C16" s="324" t="s">
        <v>297</v>
      </c>
      <c r="D16" s="325">
        <f>(60*1115)*1.3</f>
        <v>86970</v>
      </c>
      <c r="E16" s="317" t="s">
        <v>295</v>
      </c>
    </row>
    <row r="17" spans="1:5" ht="55.2" x14ac:dyDescent="0.3">
      <c r="A17" s="1086"/>
      <c r="B17" s="1119"/>
      <c r="C17" s="324" t="s">
        <v>298</v>
      </c>
      <c r="D17" s="325">
        <f>(26500*2)+12000</f>
        <v>65000</v>
      </c>
      <c r="E17" s="317" t="s">
        <v>299</v>
      </c>
    </row>
    <row r="18" spans="1:5" x14ac:dyDescent="0.3">
      <c r="A18" s="1086"/>
      <c r="B18" s="1119"/>
      <c r="C18" s="324" t="s">
        <v>300</v>
      </c>
      <c r="D18" s="325">
        <f>180000+25000</f>
        <v>205000</v>
      </c>
      <c r="E18" s="317" t="s">
        <v>577</v>
      </c>
    </row>
    <row r="19" spans="1:5" x14ac:dyDescent="0.3">
      <c r="A19" s="1086"/>
      <c r="B19" s="1119" t="s">
        <v>302</v>
      </c>
      <c r="C19" s="324" t="s">
        <v>303</v>
      </c>
      <c r="D19" s="325">
        <f>60000*1.25</f>
        <v>75000</v>
      </c>
      <c r="E19" s="317" t="s">
        <v>304</v>
      </c>
    </row>
    <row r="20" spans="1:5" ht="27.6" x14ac:dyDescent="0.3">
      <c r="A20" s="1086"/>
      <c r="B20" s="1119"/>
      <c r="C20" s="324" t="s">
        <v>305</v>
      </c>
      <c r="D20" s="325">
        <f>(70000+28000)*1.25</f>
        <v>122500</v>
      </c>
      <c r="E20" s="317" t="s">
        <v>306</v>
      </c>
    </row>
    <row r="21" spans="1:5" ht="41.4" x14ac:dyDescent="0.3">
      <c r="A21" s="1086"/>
      <c r="B21" s="1119"/>
      <c r="C21" s="324" t="s">
        <v>307</v>
      </c>
      <c r="D21" s="325">
        <v>16524</v>
      </c>
      <c r="E21" s="317" t="s">
        <v>309</v>
      </c>
    </row>
    <row r="22" spans="1:5" x14ac:dyDescent="0.3">
      <c r="A22" s="1086"/>
      <c r="B22" s="1119"/>
      <c r="C22" s="324" t="s">
        <v>308</v>
      </c>
      <c r="D22" s="325">
        <f>(8500*2)*1.2</f>
        <v>20400</v>
      </c>
      <c r="E22" s="317" t="s">
        <v>309</v>
      </c>
    </row>
    <row r="23" spans="1:5" x14ac:dyDescent="0.3">
      <c r="A23" s="1086"/>
      <c r="B23" s="323" t="s">
        <v>310</v>
      </c>
      <c r="C23" s="324" t="s">
        <v>311</v>
      </c>
      <c r="D23" s="325">
        <f>((3595.44*20.5)+(3400))*1.3</f>
        <v>100238.47600000001</v>
      </c>
      <c r="E23" s="317" t="s">
        <v>306</v>
      </c>
    </row>
    <row r="24" spans="1:5" x14ac:dyDescent="0.3">
      <c r="A24" s="1086"/>
      <c r="B24" s="326" t="s">
        <v>312</v>
      </c>
      <c r="C24" s="327" t="s">
        <v>313</v>
      </c>
      <c r="D24" s="328" t="s">
        <v>314</v>
      </c>
      <c r="E24" s="317"/>
    </row>
    <row r="25" spans="1:5" x14ac:dyDescent="0.3">
      <c r="A25" s="329"/>
      <c r="B25" s="330"/>
      <c r="C25" s="486" t="s">
        <v>38</v>
      </c>
      <c r="D25" s="331">
        <f>SUM(D14:D23)</f>
        <v>1199578.5760000001</v>
      </c>
      <c r="E25" s="317"/>
    </row>
    <row r="26" spans="1:5" x14ac:dyDescent="0.3">
      <c r="A26" s="332"/>
      <c r="B26" s="330" t="s">
        <v>260</v>
      </c>
      <c r="C26" s="487" t="s">
        <v>39</v>
      </c>
      <c r="D26" s="331">
        <f>D25*0.16</f>
        <v>191932.57216000001</v>
      </c>
      <c r="E26" s="317"/>
    </row>
    <row r="27" spans="1:5" ht="15" thickBot="1" x14ac:dyDescent="0.35">
      <c r="A27" s="332"/>
      <c r="B27" s="330"/>
      <c r="C27" s="488" t="s">
        <v>40</v>
      </c>
      <c r="D27" s="333">
        <f>D25+D26</f>
        <v>1391511.1481600001</v>
      </c>
      <c r="E27" s="317"/>
    </row>
    <row r="28" spans="1:5" x14ac:dyDescent="0.3">
      <c r="A28" s="334"/>
      <c r="B28" s="1122" t="s">
        <v>581</v>
      </c>
      <c r="C28" s="1123"/>
      <c r="D28" s="1124"/>
      <c r="E28" s="317"/>
    </row>
    <row r="29" spans="1:5" x14ac:dyDescent="0.3">
      <c r="A29" s="337"/>
      <c r="B29" s="96"/>
      <c r="C29" s="103" t="s">
        <v>11</v>
      </c>
      <c r="D29" s="76"/>
      <c r="E29" s="96"/>
    </row>
    <row r="30" spans="1:5" ht="15.6" x14ac:dyDescent="0.3">
      <c r="A30" s="337"/>
      <c r="B30" s="101"/>
      <c r="C30" s="123" t="s">
        <v>12</v>
      </c>
      <c r="D30" s="52"/>
      <c r="E30" s="52"/>
    </row>
    <row r="31" spans="1:5" ht="15.6" x14ac:dyDescent="0.3">
      <c r="A31" s="337"/>
      <c r="B31" s="101"/>
      <c r="C31" s="123" t="s">
        <v>13</v>
      </c>
      <c r="D31" s="52"/>
      <c r="E31" s="52"/>
    </row>
    <row r="32" spans="1:5" ht="15.6" x14ac:dyDescent="0.3">
      <c r="A32" s="337"/>
      <c r="B32" s="101"/>
      <c r="C32" s="123" t="s">
        <v>14</v>
      </c>
      <c r="D32" s="52"/>
      <c r="E32" s="52"/>
    </row>
    <row r="33" spans="1:6" x14ac:dyDescent="0.3">
      <c r="A33" s="337"/>
      <c r="B33" s="102"/>
      <c r="C33" s="103" t="s">
        <v>15</v>
      </c>
      <c r="D33" s="52"/>
      <c r="E33" s="52"/>
    </row>
    <row r="34" spans="1:6" x14ac:dyDescent="0.3">
      <c r="A34" s="337"/>
      <c r="B34" s="102"/>
      <c r="C34" s="489" t="s">
        <v>42</v>
      </c>
      <c r="D34" s="104"/>
      <c r="E34" s="105"/>
    </row>
    <row r="35" spans="1:6" ht="20.399999999999999" x14ac:dyDescent="0.3">
      <c r="A35" s="337"/>
      <c r="B35" s="106"/>
      <c r="C35" s="489" t="s">
        <v>43</v>
      </c>
      <c r="D35" s="104"/>
      <c r="E35" s="105"/>
    </row>
    <row r="36" spans="1:6" ht="15.6" x14ac:dyDescent="0.3">
      <c r="A36" s="337"/>
      <c r="B36" s="106"/>
      <c r="C36" s="103" t="s">
        <v>18</v>
      </c>
      <c r="D36" s="107"/>
      <c r="E36" s="105"/>
    </row>
    <row r="37" spans="1:6" ht="15.6" x14ac:dyDescent="0.3">
      <c r="A37" s="337"/>
      <c r="B37" s="106"/>
      <c r="C37" s="313" t="s">
        <v>584</v>
      </c>
      <c r="D37" s="107"/>
      <c r="E37" s="105"/>
    </row>
    <row r="38" spans="1:6" ht="15.6" x14ac:dyDescent="0.3">
      <c r="A38" s="337"/>
      <c r="B38" s="106"/>
      <c r="C38" s="297" t="s">
        <v>20</v>
      </c>
      <c r="D38" s="107"/>
      <c r="E38" s="105"/>
    </row>
    <row r="39" spans="1:6" x14ac:dyDescent="0.3">
      <c r="A39" s="337"/>
      <c r="B39" s="108"/>
      <c r="C39" s="103" t="s">
        <v>21</v>
      </c>
      <c r="D39" s="107"/>
      <c r="E39" s="105"/>
    </row>
    <row r="40" spans="1:6" ht="15.6" x14ac:dyDescent="0.3">
      <c r="A40" s="337"/>
      <c r="B40" s="106"/>
      <c r="C40" s="122" t="s">
        <v>262</v>
      </c>
      <c r="D40" s="107"/>
      <c r="E40" s="107"/>
    </row>
    <row r="41" spans="1:6" ht="15.6" x14ac:dyDescent="0.3">
      <c r="A41" s="337"/>
      <c r="B41" s="106"/>
      <c r="C41" s="123" t="s">
        <v>44</v>
      </c>
      <c r="D41" s="107"/>
      <c r="E41" s="107"/>
    </row>
    <row r="42" spans="1:6" ht="15.6" x14ac:dyDescent="0.3">
      <c r="A42" s="337"/>
      <c r="B42" s="106"/>
      <c r="C42" s="123" t="s">
        <v>45</v>
      </c>
      <c r="D42" s="109"/>
      <c r="E42" s="110"/>
    </row>
    <row r="43" spans="1:6" ht="50.4" x14ac:dyDescent="0.3">
      <c r="A43" s="337"/>
      <c r="B43" s="106"/>
      <c r="C43" s="314" t="s">
        <v>23</v>
      </c>
      <c r="D43" s="109"/>
      <c r="E43" s="110"/>
    </row>
    <row r="44" spans="1:6" ht="16.8" x14ac:dyDescent="0.3">
      <c r="A44" s="338"/>
      <c r="B44" s="339"/>
      <c r="C44" s="340"/>
      <c r="D44" s="341"/>
      <c r="E44" s="342"/>
    </row>
    <row r="48" spans="1:6" x14ac:dyDescent="0.3">
      <c r="F48" s="316"/>
    </row>
    <row r="49" spans="1:5" x14ac:dyDescent="0.3">
      <c r="E49" s="316"/>
    </row>
    <row r="50" spans="1:5" ht="16.8" x14ac:dyDescent="0.4">
      <c r="A50" s="57" t="s">
        <v>283</v>
      </c>
      <c r="B50" s="10"/>
      <c r="C50" s="58"/>
      <c r="D50" s="58"/>
      <c r="E50" s="316"/>
    </row>
    <row r="51" spans="1:5" ht="16.8" x14ac:dyDescent="0.4">
      <c r="A51" s="57" t="s">
        <v>284</v>
      </c>
      <c r="B51" s="10"/>
      <c r="C51" s="58"/>
      <c r="D51" s="58"/>
      <c r="E51" s="316"/>
    </row>
    <row r="52" spans="1:5" ht="16.8" x14ac:dyDescent="0.4">
      <c r="A52" s="57" t="s">
        <v>315</v>
      </c>
      <c r="B52" s="10"/>
      <c r="C52" s="59"/>
      <c r="D52" s="58"/>
      <c r="E52" s="316"/>
    </row>
    <row r="53" spans="1:5" ht="16.8" x14ac:dyDescent="0.4">
      <c r="A53" s="57" t="s">
        <v>316</v>
      </c>
      <c r="B53" s="10"/>
      <c r="C53" s="59"/>
      <c r="D53" s="58"/>
      <c r="E53" s="316"/>
    </row>
    <row r="54" spans="1:5" ht="16.8" x14ac:dyDescent="0.4">
      <c r="A54" s="57" t="s">
        <v>6</v>
      </c>
      <c r="B54" s="61"/>
      <c r="C54" s="62"/>
      <c r="D54" s="63"/>
      <c r="E54" s="316"/>
    </row>
    <row r="55" spans="1:5" ht="16.8" x14ac:dyDescent="0.4">
      <c r="A55" s="60" t="s">
        <v>576</v>
      </c>
      <c r="B55" s="61"/>
      <c r="C55" s="62"/>
      <c r="D55" s="63"/>
    </row>
    <row r="56" spans="1:5" x14ac:dyDescent="0.3">
      <c r="A56" s="318" t="s">
        <v>287</v>
      </c>
      <c r="B56" s="319" t="s">
        <v>288</v>
      </c>
      <c r="C56" s="320" t="s">
        <v>289</v>
      </c>
      <c r="D56" s="321" t="s">
        <v>290</v>
      </c>
      <c r="E56" s="322" t="s">
        <v>291</v>
      </c>
    </row>
    <row r="57" spans="1:5" ht="41.4" x14ac:dyDescent="0.3">
      <c r="A57" s="1125" t="s">
        <v>317</v>
      </c>
      <c r="B57" s="1128" t="s">
        <v>302</v>
      </c>
      <c r="C57" s="324" t="s">
        <v>318</v>
      </c>
      <c r="D57" s="328">
        <f>(144*100*2)+(4800+2300)</f>
        <v>35900</v>
      </c>
      <c r="E57" s="343" t="s">
        <v>295</v>
      </c>
    </row>
    <row r="58" spans="1:5" x14ac:dyDescent="0.3">
      <c r="A58" s="1126"/>
      <c r="B58" s="1129"/>
      <c r="C58" s="324" t="s">
        <v>319</v>
      </c>
      <c r="D58" s="328">
        <f>64000</f>
        <v>64000</v>
      </c>
      <c r="E58" s="343" t="s">
        <v>320</v>
      </c>
    </row>
    <row r="59" spans="1:5" ht="27.6" x14ac:dyDescent="0.3">
      <c r="A59" s="1126"/>
      <c r="B59" s="1129"/>
      <c r="C59" s="324" t="s">
        <v>305</v>
      </c>
      <c r="D59" s="328">
        <f>(70000+28000)*1.25</f>
        <v>122500</v>
      </c>
      <c r="E59" s="343" t="s">
        <v>306</v>
      </c>
    </row>
    <row r="60" spans="1:5" ht="41.4" x14ac:dyDescent="0.3">
      <c r="A60" s="1126"/>
      <c r="B60" s="1129"/>
      <c r="C60" s="324" t="s">
        <v>321</v>
      </c>
      <c r="D60" s="328">
        <v>16752</v>
      </c>
      <c r="E60" s="343" t="s">
        <v>309</v>
      </c>
    </row>
    <row r="61" spans="1:5" x14ac:dyDescent="0.3">
      <c r="A61" s="1126"/>
      <c r="B61" s="1130"/>
      <c r="C61" s="324" t="s">
        <v>308</v>
      </c>
      <c r="D61" s="328">
        <f>(8500*2)*1.2</f>
        <v>20400</v>
      </c>
      <c r="E61" s="343" t="s">
        <v>309</v>
      </c>
    </row>
    <row r="62" spans="1:5" x14ac:dyDescent="0.3">
      <c r="A62" s="1126"/>
      <c r="B62" s="345" t="s">
        <v>322</v>
      </c>
      <c r="C62" s="346" t="s">
        <v>323</v>
      </c>
      <c r="D62" s="328">
        <v>112000</v>
      </c>
      <c r="E62" s="343" t="s">
        <v>578</v>
      </c>
    </row>
    <row r="63" spans="1:5" x14ac:dyDescent="0.3">
      <c r="A63" s="1126"/>
      <c r="B63" s="347" t="s">
        <v>310</v>
      </c>
      <c r="C63" s="324" t="s">
        <v>311</v>
      </c>
      <c r="D63" s="328">
        <f>((2786.16*20.5)+(3400))*1.3</f>
        <v>78671.164000000004</v>
      </c>
      <c r="E63" s="343" t="s">
        <v>306</v>
      </c>
    </row>
    <row r="64" spans="1:5" x14ac:dyDescent="0.3">
      <c r="A64" s="1127"/>
      <c r="B64" s="326" t="s">
        <v>312</v>
      </c>
      <c r="C64" s="327" t="s">
        <v>324</v>
      </c>
      <c r="D64" s="328" t="s">
        <v>314</v>
      </c>
      <c r="E64" s="343"/>
    </row>
    <row r="65" spans="1:5" x14ac:dyDescent="0.3">
      <c r="A65" s="344"/>
      <c r="B65" s="348"/>
      <c r="C65" s="349"/>
      <c r="D65" s="350">
        <f>SUM(D57:D63)</f>
        <v>450223.16399999999</v>
      </c>
      <c r="E65" s="317"/>
    </row>
    <row r="66" spans="1:5" x14ac:dyDescent="0.3">
      <c r="A66" s="337"/>
      <c r="B66" s="351"/>
      <c r="C66" s="352"/>
      <c r="D66" s="350">
        <f>D65*0.16</f>
        <v>72035.70624</v>
      </c>
      <c r="E66" s="317"/>
    </row>
    <row r="67" spans="1:5" ht="15" thickBot="1" x14ac:dyDescent="0.35">
      <c r="A67" s="337"/>
      <c r="B67" s="351"/>
      <c r="C67" s="352"/>
      <c r="D67" s="353">
        <f>D65+D66</f>
        <v>522258.87023999996</v>
      </c>
      <c r="E67" s="317"/>
    </row>
    <row r="68" spans="1:5" x14ac:dyDescent="0.3">
      <c r="A68" s="334"/>
      <c r="B68" s="1122" t="s">
        <v>582</v>
      </c>
      <c r="C68" s="1123"/>
      <c r="D68" s="1124"/>
      <c r="E68" s="317"/>
    </row>
    <row r="69" spans="1:5" x14ac:dyDescent="0.3">
      <c r="A69" s="337"/>
      <c r="B69" s="351"/>
      <c r="C69" s="352"/>
    </row>
    <row r="70" spans="1:5" x14ac:dyDescent="0.3">
      <c r="A70" s="337"/>
      <c r="B70" s="96"/>
      <c r="C70" s="103" t="s">
        <v>11</v>
      </c>
    </row>
    <row r="71" spans="1:5" ht="15.6" x14ac:dyDescent="0.3">
      <c r="A71" s="337"/>
      <c r="B71" s="101"/>
      <c r="C71" s="123" t="s">
        <v>12</v>
      </c>
      <c r="D71" s="76"/>
      <c r="E71" s="96"/>
    </row>
    <row r="72" spans="1:5" ht="15.6" x14ac:dyDescent="0.3">
      <c r="A72" s="337"/>
      <c r="B72" s="101"/>
      <c r="C72" s="123" t="s">
        <v>13</v>
      </c>
      <c r="D72" s="52"/>
      <c r="E72" s="52"/>
    </row>
    <row r="73" spans="1:5" ht="15.6" x14ac:dyDescent="0.3">
      <c r="A73" s="337"/>
      <c r="B73" s="101"/>
      <c r="C73" s="123" t="s">
        <v>14</v>
      </c>
      <c r="D73" s="52"/>
      <c r="E73" s="52"/>
    </row>
    <row r="74" spans="1:5" x14ac:dyDescent="0.3">
      <c r="A74" s="337"/>
      <c r="B74" s="102"/>
      <c r="C74" s="103" t="s">
        <v>15</v>
      </c>
      <c r="D74" s="52"/>
      <c r="E74" s="52"/>
    </row>
    <row r="75" spans="1:5" ht="27.6" x14ac:dyDescent="0.3">
      <c r="A75" s="337"/>
      <c r="B75" s="102"/>
      <c r="C75" s="295" t="s">
        <v>42</v>
      </c>
      <c r="D75" s="52"/>
      <c r="E75" s="52"/>
    </row>
    <row r="76" spans="1:5" ht="41.4" x14ac:dyDescent="0.3">
      <c r="A76" s="337"/>
      <c r="B76" s="106"/>
      <c r="C76" s="295" t="s">
        <v>43</v>
      </c>
      <c r="D76" s="104"/>
      <c r="E76" s="105"/>
    </row>
    <row r="77" spans="1:5" ht="15.6" x14ac:dyDescent="0.3">
      <c r="A77" s="337"/>
      <c r="B77" s="106"/>
      <c r="C77" s="103" t="s">
        <v>18</v>
      </c>
      <c r="D77" s="104"/>
      <c r="E77" s="105"/>
    </row>
    <row r="78" spans="1:5" ht="15.6" x14ac:dyDescent="0.3">
      <c r="A78" s="337"/>
      <c r="B78" s="106"/>
      <c r="C78" s="313" t="s">
        <v>585</v>
      </c>
      <c r="D78" s="107"/>
      <c r="E78" s="105"/>
    </row>
    <row r="79" spans="1:5" ht="15.6" x14ac:dyDescent="0.3">
      <c r="A79" s="337"/>
      <c r="B79" s="106"/>
      <c r="C79" s="297" t="s">
        <v>20</v>
      </c>
      <c r="D79" s="107"/>
      <c r="E79" s="105"/>
    </row>
    <row r="80" spans="1:5" x14ac:dyDescent="0.3">
      <c r="A80" s="337"/>
      <c r="B80" s="108"/>
      <c r="C80" s="103" t="s">
        <v>21</v>
      </c>
      <c r="D80" s="107"/>
      <c r="E80" s="105"/>
    </row>
    <row r="81" spans="1:6" ht="15.6" x14ac:dyDescent="0.3">
      <c r="A81" s="337"/>
      <c r="B81" s="106"/>
      <c r="C81" s="122" t="s">
        <v>262</v>
      </c>
      <c r="D81" s="107"/>
      <c r="E81" s="105"/>
    </row>
    <row r="82" spans="1:6" ht="15.6" x14ac:dyDescent="0.3">
      <c r="A82" s="337"/>
      <c r="B82" s="106"/>
      <c r="C82" s="123" t="s">
        <v>44</v>
      </c>
      <c r="D82" s="107"/>
      <c r="E82" s="107"/>
    </row>
    <row r="83" spans="1:6" ht="15.6" x14ac:dyDescent="0.3">
      <c r="A83" s="337"/>
      <c r="B83" s="106"/>
      <c r="C83" s="123" t="s">
        <v>45</v>
      </c>
      <c r="D83" s="107"/>
      <c r="E83" s="107"/>
    </row>
    <row r="84" spans="1:6" ht="50.4" x14ac:dyDescent="0.3">
      <c r="A84" s="337"/>
      <c r="B84" s="106"/>
      <c r="C84" s="314" t="s">
        <v>23</v>
      </c>
      <c r="D84" s="109"/>
      <c r="E84" s="110"/>
    </row>
    <row r="85" spans="1:6" x14ac:dyDescent="0.3">
      <c r="A85" s="337"/>
      <c r="B85" s="351"/>
      <c r="C85" s="352"/>
      <c r="D85" s="109"/>
      <c r="E85" s="110"/>
    </row>
    <row r="86" spans="1:6" x14ac:dyDescent="0.3">
      <c r="A86" s="337"/>
      <c r="B86" s="351"/>
      <c r="C86" s="352"/>
    </row>
    <row r="87" spans="1:6" x14ac:dyDescent="0.3">
      <c r="A87" s="337"/>
      <c r="B87" s="351"/>
      <c r="C87" s="352"/>
    </row>
    <row r="88" spans="1:6" x14ac:dyDescent="0.3">
      <c r="A88" s="337"/>
      <c r="B88" s="351"/>
      <c r="C88" s="352"/>
    </row>
    <row r="89" spans="1:6" x14ac:dyDescent="0.3">
      <c r="A89" s="337"/>
      <c r="B89" s="351"/>
      <c r="C89" s="352"/>
    </row>
    <row r="93" spans="1:6" x14ac:dyDescent="0.3">
      <c r="F93" s="316"/>
    </row>
    <row r="94" spans="1:6" x14ac:dyDescent="0.3">
      <c r="E94" s="316"/>
    </row>
    <row r="95" spans="1:6" ht="16.8" x14ac:dyDescent="0.4">
      <c r="A95" s="57" t="s">
        <v>283</v>
      </c>
      <c r="B95" s="10"/>
      <c r="C95" s="58"/>
      <c r="D95" s="58"/>
      <c r="E95" s="316"/>
    </row>
    <row r="96" spans="1:6" ht="16.8" x14ac:dyDescent="0.4">
      <c r="A96" s="57" t="s">
        <v>284</v>
      </c>
      <c r="B96" s="10"/>
      <c r="C96" s="58"/>
      <c r="D96" s="58"/>
      <c r="E96" s="316"/>
    </row>
    <row r="97" spans="1:5" ht="16.8" x14ac:dyDescent="0.4">
      <c r="A97" s="57" t="s">
        <v>325</v>
      </c>
      <c r="B97" s="10"/>
      <c r="C97" s="59"/>
      <c r="D97" s="58"/>
      <c r="E97" s="316"/>
    </row>
    <row r="98" spans="1:5" ht="16.8" x14ac:dyDescent="0.4">
      <c r="A98" s="57" t="s">
        <v>316</v>
      </c>
      <c r="B98" s="10"/>
      <c r="C98" s="59"/>
      <c r="D98" s="58"/>
      <c r="E98" s="316"/>
    </row>
    <row r="99" spans="1:5" ht="16.8" x14ac:dyDescent="0.4">
      <c r="A99" s="57" t="s">
        <v>6</v>
      </c>
      <c r="B99" s="61"/>
      <c r="C99" s="62"/>
      <c r="D99" s="63"/>
      <c r="E99" s="316"/>
    </row>
    <row r="100" spans="1:5" ht="16.8" x14ac:dyDescent="0.4">
      <c r="A100" s="60" t="s">
        <v>576</v>
      </c>
      <c r="B100" s="61"/>
      <c r="C100" s="62"/>
      <c r="D100" s="63"/>
    </row>
    <row r="101" spans="1:5" x14ac:dyDescent="0.3">
      <c r="A101" s="318" t="s">
        <v>287</v>
      </c>
      <c r="B101" s="319" t="s">
        <v>288</v>
      </c>
      <c r="C101" s="320" t="s">
        <v>289</v>
      </c>
      <c r="D101" s="321" t="s">
        <v>290</v>
      </c>
      <c r="E101" s="322" t="s">
        <v>291</v>
      </c>
    </row>
    <row r="102" spans="1:5" ht="41.4" x14ac:dyDescent="0.3">
      <c r="A102" s="1086" t="s">
        <v>326</v>
      </c>
      <c r="B102" s="1087" t="s">
        <v>302</v>
      </c>
      <c r="C102" s="324" t="s">
        <v>327</v>
      </c>
      <c r="D102" s="328">
        <f>(126*220*2)+(3100+2300)</f>
        <v>60840</v>
      </c>
      <c r="E102" s="343" t="s">
        <v>328</v>
      </c>
    </row>
    <row r="103" spans="1:5" ht="20.25" customHeight="1" x14ac:dyDescent="0.3">
      <c r="A103" s="1086"/>
      <c r="B103" s="1087"/>
      <c r="C103" s="324" t="s">
        <v>329</v>
      </c>
      <c r="D103" s="328">
        <f>60000*1.25</f>
        <v>75000</v>
      </c>
      <c r="E103" s="343" t="s">
        <v>320</v>
      </c>
    </row>
    <row r="104" spans="1:5" ht="41.4" x14ac:dyDescent="0.3">
      <c r="A104" s="1086"/>
      <c r="B104" s="1087"/>
      <c r="C104" s="324" t="s">
        <v>330</v>
      </c>
      <c r="D104" s="328">
        <f>((4*5230)+(4*6210))*1.3</f>
        <v>59488</v>
      </c>
      <c r="E104" s="343" t="s">
        <v>309</v>
      </c>
    </row>
    <row r="105" spans="1:5" x14ac:dyDescent="0.3">
      <c r="A105" s="1086"/>
      <c r="B105" s="1087"/>
      <c r="C105" s="324" t="s">
        <v>308</v>
      </c>
      <c r="D105" s="328">
        <f>(8200*2)*1.2</f>
        <v>19680</v>
      </c>
      <c r="E105" s="343" t="s">
        <v>309</v>
      </c>
    </row>
    <row r="106" spans="1:5" x14ac:dyDescent="0.3">
      <c r="A106" s="1086"/>
      <c r="B106" s="345" t="s">
        <v>322</v>
      </c>
      <c r="C106" s="346" t="s">
        <v>331</v>
      </c>
      <c r="D106" s="328">
        <v>175000</v>
      </c>
      <c r="E106" s="343" t="s">
        <v>577</v>
      </c>
    </row>
    <row r="107" spans="1:5" x14ac:dyDescent="0.3">
      <c r="A107" s="1086"/>
      <c r="B107" s="347" t="s">
        <v>310</v>
      </c>
      <c r="C107" s="324" t="s">
        <v>311</v>
      </c>
      <c r="D107" s="328">
        <f>((2664.77*20.5)+(3400))*1.3</f>
        <v>75436.120500000005</v>
      </c>
      <c r="E107" s="343" t="s">
        <v>306</v>
      </c>
    </row>
    <row r="108" spans="1:5" x14ac:dyDescent="0.3">
      <c r="A108" s="1086"/>
      <c r="B108" s="326" t="s">
        <v>312</v>
      </c>
      <c r="C108" s="327" t="s">
        <v>332</v>
      </c>
      <c r="D108" s="328" t="s">
        <v>314</v>
      </c>
      <c r="E108" s="343" t="s">
        <v>579</v>
      </c>
    </row>
    <row r="109" spans="1:5" ht="15.6" x14ac:dyDescent="0.3">
      <c r="A109" s="344"/>
      <c r="B109" s="348"/>
      <c r="C109" s="349"/>
      <c r="D109" s="354">
        <f>SUM(D102:D107)</f>
        <v>465444.12050000002</v>
      </c>
      <c r="E109" s="317"/>
    </row>
    <row r="110" spans="1:5" ht="15.6" x14ac:dyDescent="0.3">
      <c r="A110" s="337"/>
      <c r="B110" s="351"/>
      <c r="C110" s="352"/>
      <c r="D110" s="355">
        <f>D109*0.16</f>
        <v>74471.059280000001</v>
      </c>
      <c r="E110" s="317"/>
    </row>
    <row r="111" spans="1:5" ht="16.2" thickBot="1" x14ac:dyDescent="0.35">
      <c r="A111" s="337"/>
      <c r="B111" s="351"/>
      <c r="C111" s="352"/>
      <c r="D111" s="356">
        <f>D109+D110</f>
        <v>539915.17978000001</v>
      </c>
      <c r="E111" s="317"/>
    </row>
    <row r="112" spans="1:5" ht="15" thickBot="1" x14ac:dyDescent="0.35">
      <c r="A112" s="334"/>
      <c r="B112" s="357" t="s">
        <v>601</v>
      </c>
      <c r="C112" s="358"/>
      <c r="D112" s="359"/>
      <c r="E112" s="360"/>
    </row>
    <row r="113" spans="1:5" x14ac:dyDescent="0.3">
      <c r="A113" s="337"/>
      <c r="B113" s="351"/>
      <c r="C113" s="352"/>
    </row>
    <row r="114" spans="1:5" x14ac:dyDescent="0.3">
      <c r="A114" s="337"/>
      <c r="B114" s="96"/>
      <c r="C114" s="103" t="s">
        <v>11</v>
      </c>
    </row>
    <row r="115" spans="1:5" ht="15.6" x14ac:dyDescent="0.3">
      <c r="A115" s="337"/>
      <c r="B115" s="101"/>
      <c r="C115" s="123" t="s">
        <v>12</v>
      </c>
      <c r="D115" s="76"/>
      <c r="E115" s="96"/>
    </row>
    <row r="116" spans="1:5" ht="15.6" x14ac:dyDescent="0.3">
      <c r="A116" s="337"/>
      <c r="B116" s="101"/>
      <c r="C116" s="123" t="s">
        <v>13</v>
      </c>
      <c r="D116" s="52"/>
      <c r="E116" s="52"/>
    </row>
    <row r="117" spans="1:5" ht="15.6" x14ac:dyDescent="0.3">
      <c r="A117" s="337"/>
      <c r="B117" s="101"/>
      <c r="C117" s="123" t="s">
        <v>14</v>
      </c>
      <c r="D117" s="52"/>
      <c r="E117" s="52"/>
    </row>
    <row r="118" spans="1:5" x14ac:dyDescent="0.3">
      <c r="A118" s="337"/>
      <c r="B118" s="102"/>
      <c r="C118" s="103" t="s">
        <v>15</v>
      </c>
      <c r="D118" s="52"/>
      <c r="E118" s="52"/>
    </row>
    <row r="119" spans="1:5" ht="27.6" x14ac:dyDescent="0.3">
      <c r="A119" s="337"/>
      <c r="B119" s="102"/>
      <c r="C119" s="295" t="s">
        <v>42</v>
      </c>
      <c r="D119" s="52"/>
      <c r="E119" s="52"/>
    </row>
    <row r="120" spans="1:5" ht="41.4" x14ac:dyDescent="0.3">
      <c r="A120" s="337"/>
      <c r="B120" s="106"/>
      <c r="C120" s="295" t="s">
        <v>43</v>
      </c>
      <c r="D120" s="104"/>
      <c r="E120" s="105"/>
    </row>
    <row r="121" spans="1:5" ht="15.6" x14ac:dyDescent="0.3">
      <c r="A121" s="337"/>
      <c r="B121" s="106"/>
      <c r="C121" s="103" t="s">
        <v>18</v>
      </c>
      <c r="D121" s="104"/>
      <c r="E121" s="105"/>
    </row>
    <row r="122" spans="1:5" ht="15.6" x14ac:dyDescent="0.3">
      <c r="A122" s="337"/>
      <c r="B122" s="106"/>
      <c r="C122" s="313" t="s">
        <v>586</v>
      </c>
      <c r="D122" s="107"/>
      <c r="E122" s="105"/>
    </row>
    <row r="123" spans="1:5" ht="15.6" x14ac:dyDescent="0.3">
      <c r="A123" s="337"/>
      <c r="B123" s="106"/>
      <c r="C123" s="297" t="s">
        <v>20</v>
      </c>
      <c r="D123" s="107"/>
      <c r="E123" s="105"/>
    </row>
    <row r="124" spans="1:5" x14ac:dyDescent="0.3">
      <c r="A124" s="337"/>
      <c r="B124" s="108"/>
      <c r="C124" s="103" t="s">
        <v>21</v>
      </c>
      <c r="D124" s="107"/>
      <c r="E124" s="105"/>
    </row>
    <row r="125" spans="1:5" ht="15.6" x14ac:dyDescent="0.3">
      <c r="A125" s="337"/>
      <c r="B125" s="106"/>
      <c r="C125" s="122" t="s">
        <v>262</v>
      </c>
      <c r="D125" s="107"/>
      <c r="E125" s="105"/>
    </row>
    <row r="126" spans="1:5" ht="15.6" x14ac:dyDescent="0.3">
      <c r="A126" s="337"/>
      <c r="B126" s="106"/>
      <c r="C126" s="123" t="s">
        <v>44</v>
      </c>
      <c r="D126" s="107"/>
      <c r="E126" s="107"/>
    </row>
    <row r="127" spans="1:5" ht="15.6" x14ac:dyDescent="0.3">
      <c r="A127" s="337"/>
      <c r="B127" s="106"/>
      <c r="C127" s="123" t="s">
        <v>45</v>
      </c>
      <c r="D127" s="107"/>
      <c r="E127" s="107"/>
    </row>
    <row r="128" spans="1:5" ht="50.4" x14ac:dyDescent="0.3">
      <c r="A128" s="337"/>
      <c r="B128" s="106"/>
      <c r="C128" s="314" t="s">
        <v>23</v>
      </c>
      <c r="D128" s="109"/>
      <c r="E128" s="110"/>
    </row>
    <row r="129" spans="1:6" ht="16.8" x14ac:dyDescent="0.3">
      <c r="A129" s="337"/>
      <c r="B129" s="361"/>
      <c r="C129" s="362"/>
      <c r="D129" s="363"/>
      <c r="E129" s="364"/>
    </row>
    <row r="130" spans="1:6" ht="16.8" x14ac:dyDescent="0.3">
      <c r="A130" s="337"/>
      <c r="B130" s="361"/>
      <c r="C130" s="362"/>
      <c r="D130" s="363"/>
      <c r="E130" s="364"/>
    </row>
    <row r="134" spans="1:6" x14ac:dyDescent="0.3">
      <c r="F134" s="316"/>
    </row>
    <row r="135" spans="1:6" x14ac:dyDescent="0.3">
      <c r="E135" s="316"/>
    </row>
    <row r="136" spans="1:6" ht="16.8" x14ac:dyDescent="0.4">
      <c r="A136" s="57" t="s">
        <v>283</v>
      </c>
      <c r="B136" s="10"/>
      <c r="C136" s="58"/>
      <c r="D136" s="58"/>
      <c r="E136" s="316"/>
    </row>
    <row r="137" spans="1:6" ht="16.8" x14ac:dyDescent="0.4">
      <c r="A137" s="57" t="s">
        <v>284</v>
      </c>
      <c r="B137" s="10"/>
      <c r="C137" s="58"/>
      <c r="D137" s="58"/>
      <c r="E137" s="316"/>
    </row>
    <row r="138" spans="1:6" ht="16.8" x14ac:dyDescent="0.4">
      <c r="A138" s="57" t="s">
        <v>333</v>
      </c>
      <c r="B138" s="10"/>
      <c r="C138" s="59"/>
      <c r="D138" s="58"/>
      <c r="E138" s="316"/>
    </row>
    <row r="139" spans="1:6" ht="16.8" x14ac:dyDescent="0.4">
      <c r="A139" s="57" t="s">
        <v>316</v>
      </c>
      <c r="B139" s="10"/>
      <c r="C139" s="59"/>
      <c r="D139" s="58"/>
      <c r="E139" s="316"/>
    </row>
    <row r="140" spans="1:6" ht="16.8" x14ac:dyDescent="0.4">
      <c r="A140" s="57" t="s">
        <v>6</v>
      </c>
      <c r="B140" s="61"/>
      <c r="C140" s="62"/>
      <c r="D140" s="63"/>
      <c r="E140" s="316"/>
    </row>
    <row r="141" spans="1:6" ht="16.8" x14ac:dyDescent="0.4">
      <c r="A141" s="60" t="s">
        <v>583</v>
      </c>
      <c r="B141" s="61"/>
      <c r="C141" s="62"/>
      <c r="D141" s="63"/>
    </row>
    <row r="142" spans="1:6" x14ac:dyDescent="0.3">
      <c r="A142" s="365" t="s">
        <v>287</v>
      </c>
      <c r="B142" s="366" t="s">
        <v>288</v>
      </c>
      <c r="C142" s="367" t="s">
        <v>289</v>
      </c>
      <c r="D142" s="321" t="s">
        <v>290</v>
      </c>
      <c r="E142" s="322" t="s">
        <v>291</v>
      </c>
    </row>
    <row r="143" spans="1:6" ht="41.4" x14ac:dyDescent="0.3">
      <c r="A143" s="1131" t="s">
        <v>334</v>
      </c>
      <c r="B143" s="1087" t="s">
        <v>302</v>
      </c>
      <c r="C143" s="324" t="s">
        <v>335</v>
      </c>
      <c r="D143" s="328">
        <f>(150*220*2)+(3100+2300)</f>
        <v>71400</v>
      </c>
      <c r="E143" s="343" t="s">
        <v>336</v>
      </c>
    </row>
    <row r="144" spans="1:6" ht="27.6" x14ac:dyDescent="0.3">
      <c r="A144" s="1131"/>
      <c r="B144" s="1087"/>
      <c r="C144" s="324" t="s">
        <v>337</v>
      </c>
      <c r="D144" s="328">
        <f>60000*1.25</f>
        <v>75000</v>
      </c>
      <c r="E144" s="343" t="s">
        <v>320</v>
      </c>
    </row>
    <row r="145" spans="1:5" ht="41.4" x14ac:dyDescent="0.3">
      <c r="A145" s="1131"/>
      <c r="B145" s="1087"/>
      <c r="C145" s="324" t="s">
        <v>338</v>
      </c>
      <c r="D145" s="328">
        <f>((4*5230)+(5*6210))*1.3</f>
        <v>67561</v>
      </c>
      <c r="E145" s="343" t="s">
        <v>309</v>
      </c>
    </row>
    <row r="146" spans="1:5" x14ac:dyDescent="0.3">
      <c r="A146" s="1131"/>
      <c r="B146" s="1087"/>
      <c r="C146" s="324" t="s">
        <v>308</v>
      </c>
      <c r="D146" s="328">
        <f>(8500*2)*1.2</f>
        <v>20400</v>
      </c>
      <c r="E146" s="343" t="s">
        <v>309</v>
      </c>
    </row>
    <row r="147" spans="1:5" x14ac:dyDescent="0.3">
      <c r="A147" s="1131"/>
      <c r="B147" s="345" t="s">
        <v>322</v>
      </c>
      <c r="C147" s="346" t="s">
        <v>323</v>
      </c>
      <c r="D147" s="328">
        <v>180000</v>
      </c>
      <c r="E147" s="343" t="s">
        <v>580</v>
      </c>
    </row>
    <row r="148" spans="1:5" x14ac:dyDescent="0.3">
      <c r="A148" s="1131"/>
      <c r="B148" s="347" t="s">
        <v>310</v>
      </c>
      <c r="C148" s="324" t="s">
        <v>311</v>
      </c>
      <c r="D148" s="328">
        <f>((2826.62*20.5)+(3400))*1.3</f>
        <v>79749.422999999995</v>
      </c>
      <c r="E148" s="343" t="s">
        <v>306</v>
      </c>
    </row>
    <row r="149" spans="1:5" x14ac:dyDescent="0.3">
      <c r="A149" s="1131"/>
      <c r="B149" s="326" t="s">
        <v>312</v>
      </c>
      <c r="C149" s="327" t="s">
        <v>339</v>
      </c>
      <c r="D149" s="328" t="s">
        <v>314</v>
      </c>
      <c r="E149" s="343" t="s">
        <v>579</v>
      </c>
    </row>
    <row r="150" spans="1:5" x14ac:dyDescent="0.3">
      <c r="A150" s="344"/>
      <c r="B150" s="348"/>
      <c r="C150" s="349"/>
      <c r="D150" s="350">
        <f>SUM(D142:D148)</f>
        <v>494110.42300000001</v>
      </c>
      <c r="E150" s="317"/>
    </row>
    <row r="151" spans="1:5" x14ac:dyDescent="0.3">
      <c r="A151" s="337"/>
      <c r="B151" s="351"/>
      <c r="C151" s="352"/>
      <c r="D151" s="350">
        <f>D150*0.16</f>
        <v>79057.667679999999</v>
      </c>
      <c r="E151" s="317"/>
    </row>
    <row r="152" spans="1:5" ht="15" thickBot="1" x14ac:dyDescent="0.35">
      <c r="A152" s="337"/>
      <c r="B152" s="351"/>
      <c r="C152" s="352"/>
      <c r="D152" s="353">
        <f>D150+D151</f>
        <v>573168.09068000002</v>
      </c>
      <c r="E152" s="317"/>
    </row>
    <row r="153" spans="1:5" ht="15" thickBot="1" x14ac:dyDescent="0.35">
      <c r="A153" s="334"/>
      <c r="B153" s="357" t="s">
        <v>589</v>
      </c>
      <c r="C153" s="358"/>
      <c r="D153" s="359"/>
      <c r="E153" s="360"/>
    </row>
    <row r="154" spans="1:5" x14ac:dyDescent="0.3">
      <c r="A154" s="337"/>
      <c r="B154" s="351"/>
      <c r="C154" s="352"/>
    </row>
    <row r="155" spans="1:5" x14ac:dyDescent="0.3">
      <c r="A155" s="337"/>
      <c r="B155" s="96"/>
      <c r="C155" s="103" t="s">
        <v>11</v>
      </c>
    </row>
    <row r="156" spans="1:5" ht="15.6" x14ac:dyDescent="0.3">
      <c r="A156" s="337"/>
      <c r="B156" s="101"/>
      <c r="C156" s="123" t="s">
        <v>12</v>
      </c>
      <c r="D156" s="76"/>
      <c r="E156" s="96"/>
    </row>
    <row r="157" spans="1:5" ht="15.6" x14ac:dyDescent="0.3">
      <c r="A157" s="337"/>
      <c r="B157" s="101"/>
      <c r="C157" s="123" t="s">
        <v>13</v>
      </c>
      <c r="D157" s="52"/>
      <c r="E157" s="52"/>
    </row>
    <row r="158" spans="1:5" ht="15.6" x14ac:dyDescent="0.3">
      <c r="A158" s="337"/>
      <c r="B158" s="101"/>
      <c r="C158" s="123" t="s">
        <v>14</v>
      </c>
      <c r="D158" s="52"/>
      <c r="E158" s="52"/>
    </row>
    <row r="159" spans="1:5" x14ac:dyDescent="0.3">
      <c r="A159" s="337"/>
      <c r="B159" s="102"/>
      <c r="C159" s="103" t="s">
        <v>15</v>
      </c>
      <c r="D159" s="52"/>
      <c r="E159" s="52"/>
    </row>
    <row r="160" spans="1:5" ht="27.6" x14ac:dyDescent="0.3">
      <c r="A160" s="337"/>
      <c r="B160" s="102"/>
      <c r="C160" s="295" t="s">
        <v>42</v>
      </c>
      <c r="D160" s="52"/>
      <c r="E160" s="52"/>
    </row>
    <row r="161" spans="1:6" ht="41.4" x14ac:dyDescent="0.3">
      <c r="A161" s="337"/>
      <c r="B161" s="106"/>
      <c r="C161" s="295" t="s">
        <v>43</v>
      </c>
      <c r="D161" s="104"/>
      <c r="E161" s="105"/>
    </row>
    <row r="162" spans="1:6" ht="15.6" x14ac:dyDescent="0.3">
      <c r="A162" s="337"/>
      <c r="B162" s="106"/>
      <c r="C162" s="103" t="s">
        <v>18</v>
      </c>
      <c r="D162" s="104"/>
      <c r="E162" s="105"/>
    </row>
    <row r="163" spans="1:6" ht="15.6" x14ac:dyDescent="0.3">
      <c r="A163" s="337"/>
      <c r="B163" s="106"/>
      <c r="C163" s="313" t="s">
        <v>586</v>
      </c>
      <c r="D163" s="107"/>
      <c r="E163" s="105"/>
    </row>
    <row r="164" spans="1:6" ht="15.6" x14ac:dyDescent="0.3">
      <c r="A164" s="337"/>
      <c r="B164" s="106"/>
      <c r="C164" s="297" t="s">
        <v>20</v>
      </c>
      <c r="D164" s="107"/>
      <c r="E164" s="105"/>
    </row>
    <row r="165" spans="1:6" x14ac:dyDescent="0.3">
      <c r="A165" s="337"/>
      <c r="B165" s="108"/>
      <c r="C165" s="103" t="s">
        <v>21</v>
      </c>
      <c r="D165" s="107"/>
      <c r="E165" s="105"/>
    </row>
    <row r="166" spans="1:6" ht="15.6" x14ac:dyDescent="0.3">
      <c r="A166" s="337"/>
      <c r="B166" s="106"/>
      <c r="C166" s="122" t="s">
        <v>262</v>
      </c>
      <c r="D166" s="107"/>
      <c r="E166" s="105"/>
    </row>
    <row r="167" spans="1:6" ht="15.6" x14ac:dyDescent="0.3">
      <c r="A167" s="337"/>
      <c r="B167" s="106"/>
      <c r="C167" s="123" t="s">
        <v>44</v>
      </c>
      <c r="D167" s="107"/>
      <c r="E167" s="107"/>
    </row>
    <row r="168" spans="1:6" ht="15.6" x14ac:dyDescent="0.3">
      <c r="A168" s="337"/>
      <c r="B168" s="106"/>
      <c r="C168" s="123" t="s">
        <v>45</v>
      </c>
      <c r="D168" s="107"/>
      <c r="E168" s="107"/>
    </row>
    <row r="169" spans="1:6" ht="50.4" x14ac:dyDescent="0.3">
      <c r="A169" s="337"/>
      <c r="B169" s="106"/>
      <c r="C169" s="314" t="s">
        <v>23</v>
      </c>
      <c r="D169" s="109"/>
      <c r="E169" s="110"/>
    </row>
    <row r="170" spans="1:6" ht="16.8" x14ac:dyDescent="0.3">
      <c r="A170" s="337"/>
      <c r="B170" s="361"/>
      <c r="C170" s="362"/>
      <c r="D170" s="363"/>
      <c r="E170" s="364"/>
    </row>
    <row r="171" spans="1:6" ht="16.8" x14ac:dyDescent="0.3">
      <c r="A171" s="337"/>
      <c r="B171" s="361"/>
      <c r="C171" s="362"/>
      <c r="D171" s="363"/>
      <c r="E171" s="364"/>
    </row>
    <row r="172" spans="1:6" ht="16.8" x14ac:dyDescent="0.3">
      <c r="A172" s="337"/>
      <c r="B172" s="361"/>
      <c r="C172" s="362"/>
      <c r="D172" s="363"/>
      <c r="E172" s="364"/>
    </row>
    <row r="176" spans="1:6" x14ac:dyDescent="0.3">
      <c r="F176" s="316"/>
    </row>
    <row r="177" spans="1:5" x14ac:dyDescent="0.3">
      <c r="E177" s="316"/>
    </row>
    <row r="178" spans="1:5" ht="16.8" x14ac:dyDescent="0.4">
      <c r="A178" s="57" t="s">
        <v>283</v>
      </c>
      <c r="B178" s="10"/>
      <c r="C178" s="58"/>
      <c r="D178" s="58"/>
      <c r="E178" s="316"/>
    </row>
    <row r="179" spans="1:5" ht="16.8" x14ac:dyDescent="0.4">
      <c r="A179" s="57" t="s">
        <v>284</v>
      </c>
      <c r="B179" s="10"/>
      <c r="C179" s="58"/>
      <c r="D179" s="58"/>
      <c r="E179" s="316"/>
    </row>
    <row r="180" spans="1:5" ht="16.8" x14ac:dyDescent="0.4">
      <c r="A180" s="57" t="s">
        <v>587</v>
      </c>
      <c r="B180" s="10"/>
      <c r="C180" s="59"/>
      <c r="D180" s="58"/>
      <c r="E180" s="316"/>
    </row>
    <row r="181" spans="1:5" ht="16.8" x14ac:dyDescent="0.4">
      <c r="A181" s="57" t="s">
        <v>340</v>
      </c>
      <c r="B181" s="10"/>
      <c r="C181" s="59"/>
      <c r="D181" s="58"/>
      <c r="E181" s="316"/>
    </row>
    <row r="182" spans="1:5" ht="16.8" x14ac:dyDescent="0.4">
      <c r="A182" s="57" t="s">
        <v>6</v>
      </c>
      <c r="B182" s="61"/>
      <c r="C182" s="62"/>
      <c r="D182" s="63"/>
      <c r="E182" s="316"/>
    </row>
    <row r="183" spans="1:5" ht="16.8" x14ac:dyDescent="0.4">
      <c r="A183" s="60" t="s">
        <v>583</v>
      </c>
      <c r="B183" s="61"/>
      <c r="C183" s="62"/>
      <c r="D183" s="63"/>
    </row>
    <row r="184" spans="1:5" x14ac:dyDescent="0.3">
      <c r="A184" s="365" t="s">
        <v>287</v>
      </c>
      <c r="B184" s="366" t="s">
        <v>288</v>
      </c>
      <c r="C184" s="367" t="s">
        <v>289</v>
      </c>
      <c r="D184" s="321" t="s">
        <v>290</v>
      </c>
      <c r="E184" s="322" t="s">
        <v>291</v>
      </c>
    </row>
    <row r="185" spans="1:5" ht="41.4" x14ac:dyDescent="0.3">
      <c r="A185" s="1086" t="s">
        <v>341</v>
      </c>
      <c r="B185" s="1087" t="s">
        <v>302</v>
      </c>
      <c r="C185" s="324" t="s">
        <v>342</v>
      </c>
      <c r="D185" s="328">
        <f>(230*60*2)+(3100+2300)</f>
        <v>33000</v>
      </c>
      <c r="E185" s="343" t="s">
        <v>343</v>
      </c>
    </row>
    <row r="186" spans="1:5" x14ac:dyDescent="0.3">
      <c r="A186" s="1086"/>
      <c r="B186" s="1087"/>
      <c r="C186" s="324" t="s">
        <v>344</v>
      </c>
      <c r="D186" s="328">
        <f>50000*1.25</f>
        <v>62500</v>
      </c>
      <c r="E186" s="343" t="s">
        <v>320</v>
      </c>
    </row>
    <row r="187" spans="1:5" ht="41.4" x14ac:dyDescent="0.3">
      <c r="A187" s="1086"/>
      <c r="B187" s="1087"/>
      <c r="C187" s="324" t="s">
        <v>345</v>
      </c>
      <c r="D187" s="328">
        <f>((2*5230)+(2*6210))*1.3</f>
        <v>29744</v>
      </c>
      <c r="E187" s="343" t="s">
        <v>346</v>
      </c>
    </row>
    <row r="188" spans="1:5" x14ac:dyDescent="0.3">
      <c r="A188" s="1086"/>
      <c r="B188" s="1087"/>
      <c r="C188" s="324" t="s">
        <v>308</v>
      </c>
      <c r="D188" s="328">
        <f>(8000*2)*1.2</f>
        <v>19200</v>
      </c>
      <c r="E188" s="343" t="s">
        <v>309</v>
      </c>
    </row>
    <row r="189" spans="1:5" x14ac:dyDescent="0.3">
      <c r="A189" s="1086"/>
      <c r="B189" s="347" t="s">
        <v>322</v>
      </c>
      <c r="C189" s="324" t="s">
        <v>323</v>
      </c>
      <c r="D189" s="328">
        <f>64000+(48*950)</f>
        <v>109600</v>
      </c>
      <c r="E189" s="343" t="s">
        <v>577</v>
      </c>
    </row>
    <row r="190" spans="1:5" x14ac:dyDescent="0.3">
      <c r="A190" s="1086"/>
      <c r="B190" s="347" t="s">
        <v>310</v>
      </c>
      <c r="C190" s="324" t="s">
        <v>311</v>
      </c>
      <c r="D190" s="328">
        <f>((3366.14*20.5)+(3400))*1.3</f>
        <v>94127.630999999994</v>
      </c>
      <c r="E190" s="343" t="s">
        <v>306</v>
      </c>
    </row>
    <row r="191" spans="1:5" x14ac:dyDescent="0.3">
      <c r="A191" s="1086"/>
      <c r="B191" s="326" t="s">
        <v>312</v>
      </c>
      <c r="C191" s="327" t="s">
        <v>347</v>
      </c>
      <c r="D191" s="328" t="s">
        <v>314</v>
      </c>
      <c r="E191" s="343"/>
    </row>
    <row r="192" spans="1:5" x14ac:dyDescent="0.3">
      <c r="A192" s="344"/>
      <c r="B192" s="348"/>
      <c r="C192" s="349"/>
      <c r="D192" s="350">
        <f>SUM(D184:D190)</f>
        <v>348171.63099999999</v>
      </c>
      <c r="E192" s="317"/>
    </row>
    <row r="193" spans="1:5" x14ac:dyDescent="0.3">
      <c r="A193" s="337"/>
      <c r="B193" s="351"/>
      <c r="C193" s="352"/>
      <c r="D193" s="350">
        <f>D192*0.16</f>
        <v>55707.460959999997</v>
      </c>
      <c r="E193" s="317"/>
    </row>
    <row r="194" spans="1:5" ht="15" thickBot="1" x14ac:dyDescent="0.35">
      <c r="A194" s="337"/>
      <c r="B194" s="351"/>
      <c r="C194" s="352"/>
      <c r="D194" s="353">
        <f>D192+D193</f>
        <v>403879.09195999999</v>
      </c>
      <c r="E194" s="317"/>
    </row>
    <row r="195" spans="1:5" x14ac:dyDescent="0.3">
      <c r="A195" s="334"/>
      <c r="B195" s="368" t="s">
        <v>591</v>
      </c>
      <c r="C195" s="335"/>
      <c r="D195" s="336"/>
      <c r="E195" s="317"/>
    </row>
    <row r="196" spans="1:5" x14ac:dyDescent="0.3">
      <c r="A196" s="337"/>
      <c r="B196" s="351"/>
      <c r="C196" s="352"/>
    </row>
    <row r="197" spans="1:5" x14ac:dyDescent="0.3">
      <c r="A197" s="337"/>
      <c r="B197" s="96"/>
      <c r="C197" s="103" t="s">
        <v>11</v>
      </c>
    </row>
    <row r="198" spans="1:5" ht="15.6" x14ac:dyDescent="0.3">
      <c r="A198" s="337"/>
      <c r="B198" s="101"/>
      <c r="C198" s="123" t="s">
        <v>12</v>
      </c>
      <c r="D198" s="76"/>
      <c r="E198" s="96"/>
    </row>
    <row r="199" spans="1:5" ht="15.6" x14ac:dyDescent="0.3">
      <c r="A199" s="337"/>
      <c r="B199" s="101"/>
      <c r="C199" s="123" t="s">
        <v>13</v>
      </c>
      <c r="D199" s="52"/>
      <c r="E199" s="52"/>
    </row>
    <row r="200" spans="1:5" ht="15.6" x14ac:dyDescent="0.3">
      <c r="A200" s="337"/>
      <c r="B200" s="101"/>
      <c r="C200" s="123" t="s">
        <v>14</v>
      </c>
      <c r="D200" s="52"/>
      <c r="E200" s="52"/>
    </row>
    <row r="201" spans="1:5" x14ac:dyDescent="0.3">
      <c r="A201" s="337"/>
      <c r="B201" s="102"/>
      <c r="C201" s="103" t="s">
        <v>15</v>
      </c>
      <c r="D201" s="52"/>
      <c r="E201" s="52"/>
    </row>
    <row r="202" spans="1:5" ht="27.6" x14ac:dyDescent="0.3">
      <c r="A202" s="337"/>
      <c r="B202" s="102"/>
      <c r="C202" s="295" t="s">
        <v>42</v>
      </c>
      <c r="D202" s="52"/>
      <c r="E202" s="52"/>
    </row>
    <row r="203" spans="1:5" ht="41.4" x14ac:dyDescent="0.3">
      <c r="A203" s="337"/>
      <c r="B203" s="106"/>
      <c r="C203" s="295" t="s">
        <v>43</v>
      </c>
      <c r="D203" s="104"/>
      <c r="E203" s="105"/>
    </row>
    <row r="204" spans="1:5" ht="15.6" x14ac:dyDescent="0.3">
      <c r="A204" s="337"/>
      <c r="B204" s="106"/>
      <c r="C204" s="103" t="s">
        <v>18</v>
      </c>
      <c r="D204" s="104"/>
      <c r="E204" s="105"/>
    </row>
    <row r="205" spans="1:5" ht="15.6" x14ac:dyDescent="0.3">
      <c r="A205" s="337"/>
      <c r="B205" s="106"/>
      <c r="C205" s="313" t="s">
        <v>592</v>
      </c>
      <c r="D205" s="107"/>
      <c r="E205" s="105"/>
    </row>
    <row r="206" spans="1:5" ht="15.6" x14ac:dyDescent="0.3">
      <c r="A206" s="337"/>
      <c r="B206" s="106"/>
      <c r="C206" s="297" t="s">
        <v>20</v>
      </c>
      <c r="D206" s="107"/>
      <c r="E206" s="105"/>
    </row>
    <row r="207" spans="1:5" x14ac:dyDescent="0.3">
      <c r="A207" s="337"/>
      <c r="B207" s="108"/>
      <c r="C207" s="103" t="s">
        <v>21</v>
      </c>
      <c r="D207" s="107"/>
      <c r="E207" s="105"/>
    </row>
    <row r="208" spans="1:5" ht="15.6" x14ac:dyDescent="0.3">
      <c r="A208" s="337"/>
      <c r="B208" s="106"/>
      <c r="C208" s="122" t="s">
        <v>262</v>
      </c>
      <c r="D208" s="107"/>
      <c r="E208" s="105"/>
    </row>
    <row r="209" spans="1:6" ht="15.6" x14ac:dyDescent="0.3">
      <c r="A209" s="337"/>
      <c r="B209" s="106"/>
      <c r="C209" s="123" t="s">
        <v>44</v>
      </c>
      <c r="D209" s="107"/>
      <c r="E209" s="107"/>
    </row>
    <row r="210" spans="1:6" ht="15.6" x14ac:dyDescent="0.3">
      <c r="A210" s="337"/>
      <c r="B210" s="106"/>
      <c r="C210" s="123" t="s">
        <v>45</v>
      </c>
      <c r="D210" s="107"/>
      <c r="E210" s="107"/>
    </row>
    <row r="211" spans="1:6" ht="50.4" x14ac:dyDescent="0.3">
      <c r="A211" s="337"/>
      <c r="B211" s="106"/>
      <c r="C211" s="314" t="s">
        <v>23</v>
      </c>
      <c r="D211" s="109"/>
      <c r="E211" s="110"/>
    </row>
    <row r="212" spans="1:6" ht="16.8" x14ac:dyDescent="0.3">
      <c r="A212" s="337"/>
      <c r="B212" s="361"/>
      <c r="C212" s="362"/>
      <c r="D212" s="363"/>
      <c r="E212" s="364"/>
    </row>
    <row r="213" spans="1:6" ht="16.8" x14ac:dyDescent="0.3">
      <c r="A213" s="337"/>
      <c r="B213" s="361"/>
      <c r="C213" s="362"/>
      <c r="D213" s="363"/>
      <c r="E213" s="364"/>
    </row>
    <row r="214" spans="1:6" ht="16.8" x14ac:dyDescent="0.3">
      <c r="A214" s="337"/>
      <c r="B214" s="361"/>
      <c r="C214" s="362"/>
      <c r="D214" s="363"/>
      <c r="E214" s="364"/>
    </row>
    <row r="215" spans="1:6" ht="16.8" x14ac:dyDescent="0.3">
      <c r="A215" s="337"/>
      <c r="B215" s="361"/>
      <c r="C215" s="362"/>
      <c r="D215" s="363"/>
      <c r="E215" s="364"/>
    </row>
    <row r="219" spans="1:6" x14ac:dyDescent="0.3">
      <c r="F219" s="316"/>
    </row>
    <row r="220" spans="1:6" x14ac:dyDescent="0.3">
      <c r="E220" s="316"/>
    </row>
    <row r="221" spans="1:6" ht="16.8" x14ac:dyDescent="0.4">
      <c r="A221" s="57" t="s">
        <v>348</v>
      </c>
      <c r="B221" s="10"/>
      <c r="C221" s="58"/>
      <c r="D221" s="58"/>
      <c r="E221" s="316"/>
    </row>
    <row r="222" spans="1:6" ht="16.8" x14ac:dyDescent="0.4">
      <c r="A222" s="57" t="s">
        <v>284</v>
      </c>
      <c r="B222" s="10"/>
      <c r="C222" s="58"/>
      <c r="D222" s="58"/>
      <c r="E222" s="316"/>
    </row>
    <row r="223" spans="1:6" ht="16.8" x14ac:dyDescent="0.4">
      <c r="A223" s="57" t="s">
        <v>593</v>
      </c>
      <c r="B223" s="10"/>
      <c r="C223" s="59"/>
      <c r="D223" s="58"/>
      <c r="E223" s="316"/>
    </row>
    <row r="224" spans="1:6" ht="16.8" x14ac:dyDescent="0.4">
      <c r="A224" s="57" t="s">
        <v>286</v>
      </c>
      <c r="B224" s="10"/>
      <c r="C224" s="59"/>
      <c r="D224" s="58"/>
      <c r="E224" s="316"/>
    </row>
    <row r="225" spans="1:5" ht="16.8" x14ac:dyDescent="0.4">
      <c r="A225" s="57" t="s">
        <v>6</v>
      </c>
      <c r="B225" s="61"/>
      <c r="C225" s="62"/>
      <c r="D225" s="63"/>
      <c r="E225" s="316"/>
    </row>
    <row r="226" spans="1:5" ht="16.8" x14ac:dyDescent="0.4">
      <c r="A226" s="60" t="s">
        <v>583</v>
      </c>
      <c r="B226" s="61"/>
      <c r="C226" s="62"/>
      <c r="D226" s="63"/>
    </row>
    <row r="227" spans="1:5" x14ac:dyDescent="0.3">
      <c r="A227" s="365" t="s">
        <v>287</v>
      </c>
      <c r="B227" s="366" t="s">
        <v>288</v>
      </c>
      <c r="C227" s="367" t="s">
        <v>289</v>
      </c>
      <c r="D227" s="321" t="s">
        <v>290</v>
      </c>
      <c r="E227" s="322" t="s">
        <v>291</v>
      </c>
    </row>
    <row r="228" spans="1:5" ht="41.4" x14ac:dyDescent="0.3">
      <c r="A228" s="1086" t="s">
        <v>349</v>
      </c>
      <c r="B228" s="1087" t="s">
        <v>302</v>
      </c>
      <c r="C228" s="324" t="s">
        <v>342</v>
      </c>
      <c r="D228" s="328">
        <f>(230*60*2)+(3100+2300)</f>
        <v>33000</v>
      </c>
      <c r="E228" s="343" t="s">
        <v>343</v>
      </c>
    </row>
    <row r="229" spans="1:5" x14ac:dyDescent="0.3">
      <c r="A229" s="1086"/>
      <c r="B229" s="1087"/>
      <c r="C229" s="324" t="s">
        <v>350</v>
      </c>
      <c r="D229" s="328">
        <f>50000*1.25</f>
        <v>62500</v>
      </c>
      <c r="E229" s="343" t="s">
        <v>320</v>
      </c>
    </row>
    <row r="230" spans="1:5" ht="41.4" x14ac:dyDescent="0.3">
      <c r="A230" s="1086"/>
      <c r="B230" s="1087"/>
      <c r="C230" s="324" t="s">
        <v>351</v>
      </c>
      <c r="D230" s="328">
        <f>((4*5230)+(4*6210))*1.3</f>
        <v>59488</v>
      </c>
      <c r="E230" s="343" t="s">
        <v>346</v>
      </c>
    </row>
    <row r="231" spans="1:5" x14ac:dyDescent="0.3">
      <c r="A231" s="1086"/>
      <c r="B231" s="1087"/>
      <c r="C231" s="324" t="s">
        <v>308</v>
      </c>
      <c r="D231" s="328">
        <f>(8900*2)*1.2</f>
        <v>21360</v>
      </c>
      <c r="E231" s="343" t="s">
        <v>309</v>
      </c>
    </row>
    <row r="232" spans="1:5" x14ac:dyDescent="0.3">
      <c r="A232" s="1086"/>
      <c r="B232" s="347" t="s">
        <v>322</v>
      </c>
      <c r="C232" s="324" t="s">
        <v>323</v>
      </c>
      <c r="D232" s="328">
        <f>64000+(48*950)</f>
        <v>109600</v>
      </c>
      <c r="E232" s="343" t="s">
        <v>578</v>
      </c>
    </row>
    <row r="233" spans="1:5" ht="27.6" x14ac:dyDescent="0.3">
      <c r="A233" s="1086"/>
      <c r="B233" s="326" t="s">
        <v>312</v>
      </c>
      <c r="C233" s="327" t="s">
        <v>352</v>
      </c>
      <c r="D233" s="328" t="s">
        <v>314</v>
      </c>
      <c r="E233" s="343"/>
    </row>
    <row r="234" spans="1:5" x14ac:dyDescent="0.3">
      <c r="A234" s="344"/>
      <c r="B234" s="348"/>
      <c r="C234" s="349"/>
      <c r="D234" s="350">
        <f>SUM(D227:D232)</f>
        <v>285948</v>
      </c>
      <c r="E234" s="343"/>
    </row>
    <row r="235" spans="1:5" x14ac:dyDescent="0.3">
      <c r="A235" s="337"/>
      <c r="B235" s="351"/>
      <c r="C235" s="352"/>
      <c r="D235" s="350">
        <f>D234*0.16</f>
        <v>45751.68</v>
      </c>
      <c r="E235" s="317"/>
    </row>
    <row r="236" spans="1:5" ht="15" thickBot="1" x14ac:dyDescent="0.35">
      <c r="A236" s="337"/>
      <c r="B236" s="351"/>
      <c r="C236" s="352"/>
      <c r="D236" s="353">
        <f>D234+D235</f>
        <v>331699.68</v>
      </c>
      <c r="E236" s="317"/>
    </row>
    <row r="237" spans="1:5" ht="15" thickBot="1" x14ac:dyDescent="0.35">
      <c r="A237" s="334"/>
      <c r="B237" s="357" t="s">
        <v>594</v>
      </c>
      <c r="C237" s="358"/>
      <c r="D237" s="359"/>
      <c r="E237" s="360"/>
    </row>
    <row r="238" spans="1:5" x14ac:dyDescent="0.3">
      <c r="A238" s="337"/>
      <c r="B238" s="369"/>
      <c r="C238" s="370" t="s">
        <v>11</v>
      </c>
      <c r="E238" s="317"/>
    </row>
    <row r="239" spans="1:5" ht="15.6" x14ac:dyDescent="0.3">
      <c r="A239" s="337"/>
      <c r="B239" s="101"/>
      <c r="C239" s="123" t="s">
        <v>12</v>
      </c>
      <c r="D239" s="76"/>
    </row>
    <row r="240" spans="1:5" ht="15.6" x14ac:dyDescent="0.3">
      <c r="A240" s="337"/>
      <c r="B240" s="101"/>
      <c r="C240" s="123" t="s">
        <v>13</v>
      </c>
      <c r="D240" s="52"/>
      <c r="E240" s="96"/>
    </row>
    <row r="241" spans="1:5" ht="15.6" x14ac:dyDescent="0.3">
      <c r="A241" s="337"/>
      <c r="B241" s="101"/>
      <c r="C241" s="123" t="s">
        <v>14</v>
      </c>
      <c r="D241" s="52"/>
      <c r="E241" s="52"/>
    </row>
    <row r="242" spans="1:5" x14ac:dyDescent="0.3">
      <c r="A242" s="337"/>
      <c r="B242" s="102"/>
      <c r="C242" s="103" t="s">
        <v>15</v>
      </c>
      <c r="D242" s="52"/>
      <c r="E242" s="52"/>
    </row>
    <row r="243" spans="1:5" ht="27.6" x14ac:dyDescent="0.3">
      <c r="A243" s="337"/>
      <c r="B243" s="102"/>
      <c r="C243" s="295" t="s">
        <v>42</v>
      </c>
      <c r="D243" s="52"/>
      <c r="E243" s="52"/>
    </row>
    <row r="244" spans="1:5" ht="41.4" x14ac:dyDescent="0.3">
      <c r="A244" s="337"/>
      <c r="B244" s="106"/>
      <c r="C244" s="295" t="s">
        <v>43</v>
      </c>
      <c r="D244" s="104"/>
      <c r="E244" s="52"/>
    </row>
    <row r="245" spans="1:5" ht="15.6" x14ac:dyDescent="0.3">
      <c r="A245" s="337"/>
      <c r="B245" s="106"/>
      <c r="C245" s="103" t="s">
        <v>18</v>
      </c>
      <c r="D245" s="104"/>
      <c r="E245" s="105"/>
    </row>
    <row r="246" spans="1:5" ht="15.6" x14ac:dyDescent="0.3">
      <c r="A246" s="337"/>
      <c r="B246" s="106"/>
      <c r="C246" s="313" t="s">
        <v>595</v>
      </c>
      <c r="D246" s="107"/>
      <c r="E246" s="105"/>
    </row>
    <row r="247" spans="1:5" ht="15.6" x14ac:dyDescent="0.3">
      <c r="A247" s="337"/>
      <c r="B247" s="106"/>
      <c r="C247" s="297" t="s">
        <v>20</v>
      </c>
      <c r="D247" s="107"/>
      <c r="E247" s="105"/>
    </row>
    <row r="248" spans="1:5" x14ac:dyDescent="0.3">
      <c r="A248" s="337"/>
      <c r="B248" s="108"/>
      <c r="C248" s="103" t="s">
        <v>21</v>
      </c>
      <c r="D248" s="107"/>
      <c r="E248" s="105"/>
    </row>
    <row r="249" spans="1:5" ht="15.6" x14ac:dyDescent="0.3">
      <c r="A249" s="337"/>
      <c r="B249" s="106"/>
      <c r="C249" s="122" t="s">
        <v>262</v>
      </c>
      <c r="D249" s="107"/>
      <c r="E249" s="105"/>
    </row>
    <row r="250" spans="1:5" ht="15.6" x14ac:dyDescent="0.3">
      <c r="A250" s="337"/>
      <c r="B250" s="106"/>
      <c r="C250" s="123" t="s">
        <v>44</v>
      </c>
      <c r="D250" s="107"/>
      <c r="E250" s="105"/>
    </row>
    <row r="251" spans="1:5" ht="15.6" x14ac:dyDescent="0.3">
      <c r="A251" s="337"/>
      <c r="B251" s="106"/>
      <c r="C251" s="123" t="s">
        <v>45</v>
      </c>
      <c r="D251" s="107"/>
      <c r="E251" s="107"/>
    </row>
    <row r="252" spans="1:5" ht="50.4" x14ac:dyDescent="0.3">
      <c r="A252" s="337"/>
      <c r="B252" s="106"/>
      <c r="C252" s="314" t="s">
        <v>23</v>
      </c>
      <c r="D252" s="109"/>
      <c r="E252" s="107"/>
    </row>
    <row r="253" spans="1:5" ht="16.8" x14ac:dyDescent="0.3">
      <c r="A253" s="337"/>
      <c r="B253" s="361"/>
      <c r="C253" s="362"/>
      <c r="D253" s="363"/>
      <c r="E253" s="110"/>
    </row>
    <row r="254" spans="1:5" ht="16.8" x14ac:dyDescent="0.3">
      <c r="A254" s="337"/>
      <c r="B254" s="361"/>
      <c r="C254" s="362"/>
      <c r="D254" s="363"/>
      <c r="E254" s="364"/>
    </row>
    <row r="255" spans="1:5" ht="16.8" x14ac:dyDescent="0.3">
      <c r="A255" s="337"/>
      <c r="B255" s="361"/>
      <c r="C255" s="362"/>
      <c r="D255" s="363"/>
      <c r="E255" s="364"/>
    </row>
    <row r="256" spans="1:5" ht="16.8" x14ac:dyDescent="0.3">
      <c r="A256" s="337"/>
      <c r="B256" s="361"/>
      <c r="C256" s="362"/>
      <c r="D256" s="363"/>
      <c r="E256" s="364"/>
    </row>
    <row r="257" spans="1:6" x14ac:dyDescent="0.3">
      <c r="E257" s="364"/>
      <c r="F257" s="316"/>
    </row>
    <row r="262" spans="1:6" ht="16.8" x14ac:dyDescent="0.4">
      <c r="A262" s="57" t="s">
        <v>348</v>
      </c>
      <c r="B262" s="10"/>
      <c r="C262" s="58"/>
      <c r="D262" s="58"/>
      <c r="E262" s="316"/>
    </row>
    <row r="263" spans="1:6" ht="16.8" x14ac:dyDescent="0.4">
      <c r="A263" s="57" t="s">
        <v>284</v>
      </c>
      <c r="B263" s="10"/>
      <c r="C263" s="58"/>
      <c r="D263" s="58"/>
      <c r="E263" s="316"/>
    </row>
    <row r="264" spans="1:6" ht="16.8" x14ac:dyDescent="0.4">
      <c r="A264" s="57" t="s">
        <v>353</v>
      </c>
      <c r="B264" s="10"/>
      <c r="C264" s="59"/>
      <c r="D264" s="58"/>
      <c r="E264" s="316"/>
    </row>
    <row r="265" spans="1:6" ht="16.8" x14ac:dyDescent="0.4">
      <c r="A265" s="57" t="s">
        <v>286</v>
      </c>
      <c r="B265" s="10"/>
      <c r="C265" s="59"/>
      <c r="D265" s="58"/>
      <c r="E265" s="316"/>
    </row>
    <row r="266" spans="1:6" ht="16.8" x14ac:dyDescent="0.4">
      <c r="A266" s="57" t="s">
        <v>6</v>
      </c>
      <c r="B266" s="61"/>
      <c r="C266" s="62"/>
      <c r="D266" s="63"/>
      <c r="E266" s="316"/>
    </row>
    <row r="267" spans="1:6" ht="16.8" x14ac:dyDescent="0.4">
      <c r="A267" s="60" t="s">
        <v>583</v>
      </c>
      <c r="B267" s="61"/>
      <c r="C267" s="62"/>
      <c r="D267" s="63"/>
      <c r="E267" s="316"/>
    </row>
    <row r="268" spans="1:6" x14ac:dyDescent="0.3">
      <c r="A268" s="365" t="s">
        <v>287</v>
      </c>
      <c r="B268" s="366" t="s">
        <v>288</v>
      </c>
      <c r="C268" s="367" t="s">
        <v>289</v>
      </c>
      <c r="D268" s="321" t="s">
        <v>290</v>
      </c>
      <c r="E268" s="322" t="s">
        <v>291</v>
      </c>
    </row>
    <row r="269" spans="1:6" ht="41.4" x14ac:dyDescent="0.3">
      <c r="A269" s="1086" t="s">
        <v>354</v>
      </c>
      <c r="B269" s="1087" t="s">
        <v>302</v>
      </c>
      <c r="C269" s="324" t="s">
        <v>355</v>
      </c>
      <c r="D269" s="328">
        <f>(204*100*2)+(3100+4100)</f>
        <v>48000</v>
      </c>
      <c r="E269" s="343" t="s">
        <v>343</v>
      </c>
    </row>
    <row r="270" spans="1:6" x14ac:dyDescent="0.3">
      <c r="A270" s="1086"/>
      <c r="B270" s="1087"/>
      <c r="C270" s="324" t="s">
        <v>356</v>
      </c>
      <c r="D270" s="328">
        <f>60000*1.25</f>
        <v>75000</v>
      </c>
      <c r="E270" s="343" t="s">
        <v>320</v>
      </c>
    </row>
    <row r="271" spans="1:6" ht="27.6" x14ac:dyDescent="0.3">
      <c r="A271" s="1086"/>
      <c r="B271" s="1087"/>
      <c r="C271" s="324" t="s">
        <v>305</v>
      </c>
      <c r="D271" s="328">
        <f>(70000+28000)*1.25</f>
        <v>122500</v>
      </c>
      <c r="E271" s="343" t="s">
        <v>306</v>
      </c>
    </row>
    <row r="272" spans="1:6" ht="41.4" x14ac:dyDescent="0.3">
      <c r="A272" s="1086"/>
      <c r="B272" s="1087"/>
      <c r="C272" s="324" t="s">
        <v>321</v>
      </c>
      <c r="D272" s="328">
        <f>((2*5230)+(1*6210))*1.3</f>
        <v>21671</v>
      </c>
      <c r="E272" s="343" t="s">
        <v>309</v>
      </c>
    </row>
    <row r="273" spans="1:5" x14ac:dyDescent="0.3">
      <c r="A273" s="1086"/>
      <c r="B273" s="1087"/>
      <c r="C273" s="324" t="s">
        <v>308</v>
      </c>
      <c r="D273" s="328">
        <f>(8400*2)*1.2</f>
        <v>20160</v>
      </c>
      <c r="E273" s="343" t="s">
        <v>301</v>
      </c>
    </row>
    <row r="274" spans="1:5" x14ac:dyDescent="0.3">
      <c r="A274" s="1086"/>
      <c r="B274" s="347" t="s">
        <v>322</v>
      </c>
      <c r="C274" s="324" t="s">
        <v>323</v>
      </c>
      <c r="D274" s="328">
        <v>180000</v>
      </c>
      <c r="E274" s="343" t="s">
        <v>577</v>
      </c>
    </row>
    <row r="275" spans="1:5" x14ac:dyDescent="0.3">
      <c r="A275" s="1086"/>
      <c r="B275" s="347" t="s">
        <v>310</v>
      </c>
      <c r="C275" s="324" t="s">
        <v>311</v>
      </c>
      <c r="D275" s="328">
        <f>((3184.8*20.5)+(4400))*1.3</f>
        <v>90594.92</v>
      </c>
      <c r="E275" s="343" t="s">
        <v>306</v>
      </c>
    </row>
    <row r="276" spans="1:5" x14ac:dyDescent="0.3">
      <c r="A276" s="1086"/>
      <c r="B276" s="326" t="s">
        <v>312</v>
      </c>
      <c r="C276" s="327" t="s">
        <v>357</v>
      </c>
      <c r="D276" s="371" t="s">
        <v>314</v>
      </c>
      <c r="E276" s="317"/>
    </row>
    <row r="277" spans="1:5" x14ac:dyDescent="0.3">
      <c r="A277" s="337"/>
      <c r="B277" s="351"/>
      <c r="C277" s="352"/>
      <c r="D277" s="350">
        <f>SUM(D268:D275)</f>
        <v>557925.92000000004</v>
      </c>
      <c r="E277" s="317"/>
    </row>
    <row r="278" spans="1:5" x14ac:dyDescent="0.3">
      <c r="A278" s="337"/>
      <c r="B278" s="351"/>
      <c r="C278" s="352"/>
      <c r="D278" s="350">
        <f>D277*0.16</f>
        <v>89268.147200000007</v>
      </c>
      <c r="E278" s="317"/>
    </row>
    <row r="279" spans="1:5" ht="15" thickBot="1" x14ac:dyDescent="0.35">
      <c r="A279" s="337"/>
      <c r="B279" s="351"/>
      <c r="C279" s="352"/>
      <c r="D279" s="353">
        <f>D277+D278</f>
        <v>647194.06720000005</v>
      </c>
      <c r="E279" s="317"/>
    </row>
    <row r="280" spans="1:5" x14ac:dyDescent="0.3">
      <c r="A280" s="334"/>
      <c r="B280" s="368" t="s">
        <v>596</v>
      </c>
      <c r="C280" s="335"/>
      <c r="D280" s="336"/>
      <c r="E280" s="317"/>
    </row>
    <row r="281" spans="1:5" x14ac:dyDescent="0.3">
      <c r="A281" s="337"/>
      <c r="B281" s="351"/>
      <c r="C281" s="352"/>
      <c r="D281" s="52"/>
      <c r="E281" s="52"/>
    </row>
    <row r="282" spans="1:5" x14ac:dyDescent="0.3">
      <c r="A282" s="337"/>
      <c r="B282" s="96"/>
      <c r="C282" s="103" t="s">
        <v>11</v>
      </c>
      <c r="D282" s="52"/>
      <c r="E282" s="52"/>
    </row>
    <row r="283" spans="1:5" ht="15.6" x14ac:dyDescent="0.3">
      <c r="A283" s="337"/>
      <c r="B283" s="101"/>
      <c r="C283" s="123" t="s">
        <v>12</v>
      </c>
      <c r="D283" s="52"/>
      <c r="E283" s="52"/>
    </row>
    <row r="284" spans="1:5" ht="15.6" x14ac:dyDescent="0.3">
      <c r="A284" s="337"/>
      <c r="B284" s="101"/>
      <c r="C284" s="123" t="s">
        <v>13</v>
      </c>
      <c r="D284" s="52"/>
      <c r="E284" s="52"/>
    </row>
    <row r="285" spans="1:5" ht="15.6" x14ac:dyDescent="0.3">
      <c r="A285" s="337"/>
      <c r="B285" s="101"/>
      <c r="C285" s="123" t="s">
        <v>14</v>
      </c>
      <c r="D285" s="104"/>
      <c r="E285" s="105"/>
    </row>
    <row r="286" spans="1:5" x14ac:dyDescent="0.3">
      <c r="A286" s="337"/>
      <c r="B286" s="102"/>
      <c r="C286" s="103" t="s">
        <v>15</v>
      </c>
      <c r="D286" s="104"/>
      <c r="E286" s="105"/>
    </row>
    <row r="287" spans="1:5" ht="27.6" x14ac:dyDescent="0.3">
      <c r="A287" s="337"/>
      <c r="B287" s="102"/>
      <c r="C287" s="295" t="s">
        <v>42</v>
      </c>
      <c r="D287" s="107"/>
      <c r="E287" s="105"/>
    </row>
    <row r="288" spans="1:5" ht="41.4" x14ac:dyDescent="0.3">
      <c r="A288" s="337"/>
      <c r="B288" s="106"/>
      <c r="C288" s="295" t="s">
        <v>43</v>
      </c>
      <c r="D288" s="107"/>
      <c r="E288" s="105"/>
    </row>
    <row r="289" spans="1:5" ht="15.6" x14ac:dyDescent="0.3">
      <c r="A289" s="337"/>
      <c r="B289" s="106"/>
      <c r="C289" s="103" t="s">
        <v>18</v>
      </c>
      <c r="D289" s="107"/>
      <c r="E289" s="105"/>
    </row>
    <row r="290" spans="1:5" ht="15.6" x14ac:dyDescent="0.3">
      <c r="A290" s="337"/>
      <c r="B290" s="106"/>
      <c r="C290" s="313" t="s">
        <v>590</v>
      </c>
      <c r="D290" s="107"/>
      <c r="E290" s="105"/>
    </row>
    <row r="291" spans="1:5" ht="15.6" x14ac:dyDescent="0.3">
      <c r="A291" s="337"/>
      <c r="B291" s="106"/>
      <c r="C291" s="297" t="s">
        <v>20</v>
      </c>
      <c r="D291" s="107"/>
      <c r="E291" s="107"/>
    </row>
    <row r="292" spans="1:5" x14ac:dyDescent="0.3">
      <c r="A292" s="337"/>
      <c r="B292" s="108"/>
      <c r="C292" s="103" t="s">
        <v>21</v>
      </c>
      <c r="D292" s="107"/>
      <c r="E292" s="107"/>
    </row>
    <row r="293" spans="1:5" ht="15.6" x14ac:dyDescent="0.3">
      <c r="A293" s="337"/>
      <c r="B293" s="106"/>
      <c r="C293" s="122" t="s">
        <v>262</v>
      </c>
      <c r="D293" s="109"/>
      <c r="E293" s="110"/>
    </row>
    <row r="294" spans="1:5" ht="15.6" x14ac:dyDescent="0.3">
      <c r="A294" s="337"/>
      <c r="B294" s="106"/>
      <c r="C294" s="123" t="s">
        <v>44</v>
      </c>
      <c r="D294" s="363"/>
      <c r="E294" s="364"/>
    </row>
    <row r="295" spans="1:5" ht="15.6" x14ac:dyDescent="0.3">
      <c r="A295" s="337"/>
      <c r="B295" s="106"/>
      <c r="C295" s="123" t="s">
        <v>45</v>
      </c>
      <c r="D295" s="363"/>
      <c r="E295" s="364"/>
    </row>
    <row r="296" spans="1:5" ht="50.4" x14ac:dyDescent="0.3">
      <c r="A296" s="337"/>
      <c r="B296" s="106"/>
      <c r="C296" s="314" t="s">
        <v>23</v>
      </c>
      <c r="D296" s="363"/>
      <c r="E296" s="364"/>
    </row>
    <row r="297" spans="1:5" ht="16.8" x14ac:dyDescent="0.3">
      <c r="A297" s="337"/>
      <c r="B297" s="361"/>
      <c r="C297" s="362"/>
      <c r="D297" s="363"/>
      <c r="E297" s="364"/>
    </row>
    <row r="298" spans="1:5" ht="16.8" x14ac:dyDescent="0.3">
      <c r="A298" s="337"/>
      <c r="B298" s="361"/>
      <c r="C298" s="362"/>
      <c r="D298" s="363"/>
      <c r="E298" s="364"/>
    </row>
    <row r="299" spans="1:5" ht="16.8" x14ac:dyDescent="0.3">
      <c r="A299" s="337"/>
      <c r="B299" s="361"/>
      <c r="C299" s="362"/>
      <c r="D299" s="363"/>
      <c r="E299" s="364"/>
    </row>
    <row r="300" spans="1:5" ht="16.8" x14ac:dyDescent="0.3">
      <c r="A300" s="337"/>
      <c r="B300" s="361"/>
      <c r="C300" s="362"/>
    </row>
    <row r="302" spans="1:5" x14ac:dyDescent="0.3">
      <c r="E302" s="316"/>
    </row>
    <row r="303" spans="1:5" ht="16.8" x14ac:dyDescent="0.4">
      <c r="D303" s="58"/>
      <c r="E303" s="316"/>
    </row>
    <row r="304" spans="1:5" ht="16.8" x14ac:dyDescent="0.4">
      <c r="D304" s="58"/>
      <c r="E304" s="316"/>
    </row>
    <row r="305" spans="1:5" ht="16.8" x14ac:dyDescent="0.4">
      <c r="D305" s="58"/>
      <c r="E305" s="316"/>
    </row>
    <row r="306" spans="1:5" ht="16.8" x14ac:dyDescent="0.4">
      <c r="A306" s="57" t="s">
        <v>348</v>
      </c>
      <c r="B306" s="10"/>
      <c r="C306" s="58"/>
      <c r="D306" s="58"/>
      <c r="E306" s="316"/>
    </row>
    <row r="307" spans="1:5" ht="16.8" x14ac:dyDescent="0.4">
      <c r="A307" s="57" t="s">
        <v>284</v>
      </c>
      <c r="B307" s="10"/>
      <c r="C307" s="58"/>
      <c r="D307" s="63"/>
      <c r="E307" s="316"/>
    </row>
    <row r="308" spans="1:5" ht="16.8" x14ac:dyDescent="0.4">
      <c r="A308" s="57" t="s">
        <v>597</v>
      </c>
      <c r="B308" s="10"/>
      <c r="C308" s="59"/>
      <c r="D308" s="63"/>
    </row>
    <row r="309" spans="1:5" ht="16.8" x14ac:dyDescent="0.4">
      <c r="A309" s="57" t="s">
        <v>286</v>
      </c>
      <c r="B309" s="10"/>
      <c r="C309" s="59"/>
    </row>
    <row r="310" spans="1:5" ht="16.8" x14ac:dyDescent="0.4">
      <c r="A310" s="57" t="s">
        <v>6</v>
      </c>
      <c r="B310" s="61"/>
      <c r="C310" s="62"/>
    </row>
    <row r="311" spans="1:5" ht="16.8" x14ac:dyDescent="0.4">
      <c r="A311" s="60" t="s">
        <v>583</v>
      </c>
      <c r="B311" s="61"/>
      <c r="C311" s="62"/>
    </row>
    <row r="312" spans="1:5" x14ac:dyDescent="0.3">
      <c r="A312" s="365" t="s">
        <v>287</v>
      </c>
      <c r="B312" s="366" t="s">
        <v>288</v>
      </c>
      <c r="C312" s="367" t="s">
        <v>289</v>
      </c>
      <c r="D312" s="321" t="s">
        <v>290</v>
      </c>
      <c r="E312" s="322" t="s">
        <v>358</v>
      </c>
    </row>
    <row r="313" spans="1:5" ht="41.4" x14ac:dyDescent="0.3">
      <c r="A313" s="1086" t="s">
        <v>359</v>
      </c>
      <c r="B313" s="1087" t="s">
        <v>302</v>
      </c>
      <c r="C313" s="324" t="s">
        <v>360</v>
      </c>
      <c r="D313" s="328">
        <f>(210*80*2)+(3100+4100)</f>
        <v>40800</v>
      </c>
      <c r="E313" s="343" t="s">
        <v>343</v>
      </c>
    </row>
    <row r="314" spans="1:5" x14ac:dyDescent="0.3">
      <c r="A314" s="1086"/>
      <c r="B314" s="1087"/>
      <c r="C314" s="324" t="s">
        <v>361</v>
      </c>
      <c r="D314" s="328">
        <f>50000*1.25</f>
        <v>62500</v>
      </c>
      <c r="E314" s="343" t="s">
        <v>320</v>
      </c>
    </row>
    <row r="315" spans="1:5" ht="41.4" x14ac:dyDescent="0.3">
      <c r="A315" s="1086"/>
      <c r="B315" s="1087"/>
      <c r="C315" s="324" t="s">
        <v>362</v>
      </c>
      <c r="D315" s="328">
        <f>((3*5230)+(3*6210))*1.3</f>
        <v>44616</v>
      </c>
      <c r="E315" s="343" t="s">
        <v>309</v>
      </c>
    </row>
    <row r="316" spans="1:5" x14ac:dyDescent="0.3">
      <c r="A316" s="1086"/>
      <c r="B316" s="1087"/>
      <c r="C316" s="324" t="s">
        <v>308</v>
      </c>
      <c r="D316" s="328">
        <f>(9100*2)*1.2</f>
        <v>21840</v>
      </c>
      <c r="E316" s="343" t="s">
        <v>309</v>
      </c>
    </row>
    <row r="317" spans="1:5" x14ac:dyDescent="0.3">
      <c r="A317" s="1086"/>
      <c r="B317" s="347" t="s">
        <v>322</v>
      </c>
      <c r="C317" s="324" t="s">
        <v>363</v>
      </c>
      <c r="D317" s="328">
        <f>75000+(48*950)</f>
        <v>120600</v>
      </c>
      <c r="E317" s="343" t="s">
        <v>578</v>
      </c>
    </row>
    <row r="318" spans="1:5" x14ac:dyDescent="0.3">
      <c r="A318" s="1086"/>
      <c r="B318" s="347" t="s">
        <v>310</v>
      </c>
      <c r="C318" s="324" t="s">
        <v>311</v>
      </c>
      <c r="D318" s="328">
        <f>((3231.26*20.5)+(4200))*1.3</f>
        <v>91573.079000000012</v>
      </c>
      <c r="E318" s="343" t="s">
        <v>306</v>
      </c>
    </row>
    <row r="319" spans="1:5" x14ac:dyDescent="0.3">
      <c r="A319" s="1086"/>
      <c r="B319" s="326" t="s">
        <v>312</v>
      </c>
      <c r="C319" s="327" t="s">
        <v>364</v>
      </c>
      <c r="D319" s="371" t="s">
        <v>314</v>
      </c>
      <c r="E319" s="343"/>
    </row>
    <row r="320" spans="1:5" x14ac:dyDescent="0.3">
      <c r="A320" s="337"/>
      <c r="B320" s="351"/>
      <c r="C320" s="352"/>
      <c r="D320" s="350">
        <f>SUM(D311:D318)</f>
        <v>381929.07900000003</v>
      </c>
      <c r="E320" s="317"/>
    </row>
    <row r="321" spans="1:5" x14ac:dyDescent="0.3">
      <c r="A321" s="337"/>
      <c r="B321" s="351"/>
      <c r="C321" s="352"/>
      <c r="D321" s="350">
        <f>D320*0.16</f>
        <v>61108.652640000008</v>
      </c>
      <c r="E321" s="317"/>
    </row>
    <row r="322" spans="1:5" ht="15" thickBot="1" x14ac:dyDescent="0.35">
      <c r="A322" s="337"/>
      <c r="B322" s="351"/>
      <c r="C322" s="352"/>
      <c r="D322" s="353">
        <f>D320+D321</f>
        <v>443037.73164000001</v>
      </c>
      <c r="E322" s="317"/>
    </row>
    <row r="323" spans="1:5" x14ac:dyDescent="0.3">
      <c r="A323" s="334"/>
      <c r="B323" s="368" t="s">
        <v>598</v>
      </c>
      <c r="C323" s="335"/>
      <c r="D323" s="336"/>
      <c r="E323" s="317"/>
    </row>
    <row r="324" spans="1:5" ht="15.6" x14ac:dyDescent="0.3">
      <c r="A324" s="337"/>
      <c r="B324" s="101"/>
      <c r="C324" s="123" t="s">
        <v>14</v>
      </c>
      <c r="D324" s="104"/>
      <c r="E324" s="105"/>
    </row>
    <row r="325" spans="1:5" x14ac:dyDescent="0.3">
      <c r="A325" s="337"/>
      <c r="B325" s="102"/>
      <c r="C325" s="103" t="s">
        <v>15</v>
      </c>
      <c r="D325" s="107"/>
      <c r="E325" s="105"/>
    </row>
    <row r="326" spans="1:5" ht="27.6" x14ac:dyDescent="0.3">
      <c r="A326" s="337"/>
      <c r="B326" s="102"/>
      <c r="C326" s="295" t="s">
        <v>42</v>
      </c>
      <c r="D326" s="107"/>
      <c r="E326" s="105"/>
    </row>
    <row r="327" spans="1:5" ht="41.4" x14ac:dyDescent="0.3">
      <c r="A327" s="337"/>
      <c r="B327" s="106"/>
      <c r="C327" s="295" t="s">
        <v>43</v>
      </c>
      <c r="D327" s="107"/>
      <c r="E327" s="105"/>
    </row>
    <row r="328" spans="1:5" ht="15.6" x14ac:dyDescent="0.3">
      <c r="A328" s="337"/>
      <c r="B328" s="106"/>
      <c r="C328" s="103" t="s">
        <v>18</v>
      </c>
      <c r="D328" s="107"/>
      <c r="E328" s="105"/>
    </row>
    <row r="329" spans="1:5" ht="15.6" x14ac:dyDescent="0.3">
      <c r="A329" s="337"/>
      <c r="B329" s="106"/>
      <c r="C329" s="313" t="s">
        <v>588</v>
      </c>
      <c r="D329" s="107"/>
      <c r="E329" s="105"/>
    </row>
    <row r="330" spans="1:5" ht="15.6" x14ac:dyDescent="0.3">
      <c r="A330" s="337"/>
      <c r="B330" s="106"/>
      <c r="C330" s="297" t="s">
        <v>20</v>
      </c>
      <c r="D330" s="107"/>
      <c r="E330" s="107"/>
    </row>
    <row r="331" spans="1:5" x14ac:dyDescent="0.3">
      <c r="A331" s="337"/>
      <c r="B331" s="108"/>
      <c r="C331" s="103" t="s">
        <v>21</v>
      </c>
      <c r="D331" s="109"/>
      <c r="E331" s="107"/>
    </row>
    <row r="332" spans="1:5" ht="15.6" x14ac:dyDescent="0.3">
      <c r="A332" s="337"/>
      <c r="B332" s="106"/>
      <c r="C332" s="122" t="s">
        <v>262</v>
      </c>
      <c r="D332" s="363"/>
      <c r="E332" s="110"/>
    </row>
    <row r="333" spans="1:5" ht="15.6" x14ac:dyDescent="0.3">
      <c r="A333" s="337"/>
      <c r="B333" s="106"/>
      <c r="C333" s="123" t="s">
        <v>44</v>
      </c>
      <c r="D333" s="363"/>
      <c r="E333" s="364"/>
    </row>
    <row r="334" spans="1:5" ht="15.6" x14ac:dyDescent="0.3">
      <c r="A334" s="337"/>
      <c r="B334" s="106"/>
      <c r="C334" s="123" t="s">
        <v>45</v>
      </c>
      <c r="D334" s="363"/>
      <c r="E334" s="364"/>
    </row>
    <row r="335" spans="1:5" ht="50.4" x14ac:dyDescent="0.3">
      <c r="A335" s="337"/>
      <c r="B335" s="106"/>
      <c r="C335" s="314" t="s">
        <v>23</v>
      </c>
      <c r="D335" s="363"/>
      <c r="E335" s="364"/>
    </row>
    <row r="336" spans="1:5" ht="16.8" x14ac:dyDescent="0.3">
      <c r="A336" s="337"/>
      <c r="B336" s="361"/>
      <c r="C336" s="362"/>
      <c r="D336" s="363"/>
      <c r="E336" s="364"/>
    </row>
    <row r="337" spans="1:5" ht="16.8" x14ac:dyDescent="0.3">
      <c r="A337" s="337"/>
      <c r="B337" s="361"/>
      <c r="C337" s="362"/>
      <c r="D337" s="363"/>
      <c r="E337" s="364"/>
    </row>
    <row r="338" spans="1:5" ht="16.8" x14ac:dyDescent="0.3">
      <c r="A338" s="337"/>
      <c r="B338" s="361"/>
      <c r="C338" s="362"/>
      <c r="D338" s="363"/>
      <c r="E338" s="364"/>
    </row>
    <row r="339" spans="1:5" ht="16.8" x14ac:dyDescent="0.3">
      <c r="A339" s="337"/>
      <c r="B339" s="361"/>
      <c r="C339" s="362"/>
      <c r="D339" s="363"/>
      <c r="E339" s="364"/>
    </row>
    <row r="340" spans="1:5" ht="18.75" customHeight="1" x14ac:dyDescent="0.3">
      <c r="A340" s="337"/>
      <c r="B340" s="361"/>
      <c r="C340" s="362"/>
      <c r="D340" s="363"/>
      <c r="E340" s="364"/>
    </row>
    <row r="341" spans="1:5" ht="16.8" x14ac:dyDescent="0.3">
      <c r="A341" s="337"/>
      <c r="B341" s="361"/>
      <c r="C341" s="362"/>
      <c r="D341" s="363"/>
      <c r="E341" s="364"/>
    </row>
    <row r="342" spans="1:5" ht="16.8" x14ac:dyDescent="0.3">
      <c r="A342" s="337"/>
      <c r="B342" s="361"/>
      <c r="C342" s="362"/>
      <c r="D342" s="363"/>
      <c r="E342" s="364"/>
    </row>
    <row r="343" spans="1:5" ht="16.8" x14ac:dyDescent="0.3">
      <c r="A343" s="337"/>
      <c r="B343" s="361"/>
      <c r="C343" s="362"/>
    </row>
    <row r="345" spans="1:5" ht="16.8" x14ac:dyDescent="0.4">
      <c r="D345" s="58"/>
      <c r="E345" s="316"/>
    </row>
    <row r="346" spans="1:5" ht="16.8" x14ac:dyDescent="0.4">
      <c r="D346" s="58"/>
      <c r="E346" s="316"/>
    </row>
    <row r="347" spans="1:5" ht="16.8" x14ac:dyDescent="0.4">
      <c r="D347" s="58"/>
      <c r="E347" s="316"/>
    </row>
    <row r="348" spans="1:5" ht="16.8" x14ac:dyDescent="0.4">
      <c r="D348" s="58"/>
      <c r="E348" s="316"/>
    </row>
    <row r="349" spans="1:5" ht="16.8" x14ac:dyDescent="0.4">
      <c r="A349" s="57" t="s">
        <v>348</v>
      </c>
      <c r="B349" s="10"/>
      <c r="C349" s="58"/>
      <c r="D349" s="63"/>
      <c r="E349" s="316"/>
    </row>
    <row r="350" spans="1:5" ht="16.8" x14ac:dyDescent="0.4">
      <c r="A350" s="57" t="s">
        <v>284</v>
      </c>
      <c r="B350" s="10"/>
      <c r="C350" s="58"/>
      <c r="D350" s="63"/>
      <c r="E350" s="316"/>
    </row>
    <row r="351" spans="1:5" ht="16.8" x14ac:dyDescent="0.4">
      <c r="A351" s="57" t="s">
        <v>599</v>
      </c>
      <c r="B351" s="10"/>
      <c r="C351" s="59"/>
    </row>
    <row r="352" spans="1:5" ht="16.8" x14ac:dyDescent="0.4">
      <c r="A352" s="57" t="s">
        <v>286</v>
      </c>
      <c r="B352" s="10"/>
      <c r="C352" s="59"/>
    </row>
    <row r="353" spans="1:5" ht="16.8" x14ac:dyDescent="0.4">
      <c r="A353" s="57" t="s">
        <v>6</v>
      </c>
      <c r="B353" s="61"/>
      <c r="C353" s="62"/>
    </row>
    <row r="354" spans="1:5" ht="16.8" x14ac:dyDescent="0.4">
      <c r="A354" s="60" t="s">
        <v>583</v>
      </c>
      <c r="B354" s="61"/>
      <c r="C354" s="62"/>
    </row>
    <row r="355" spans="1:5" x14ac:dyDescent="0.3">
      <c r="A355" s="365" t="s">
        <v>287</v>
      </c>
      <c r="B355" s="366" t="s">
        <v>288</v>
      </c>
      <c r="C355" s="367" t="s">
        <v>289</v>
      </c>
      <c r="D355" s="321" t="s">
        <v>290</v>
      </c>
      <c r="E355" s="322" t="s">
        <v>291</v>
      </c>
    </row>
    <row r="356" spans="1:5" ht="41.4" x14ac:dyDescent="0.3">
      <c r="A356" s="1086" t="s">
        <v>365</v>
      </c>
      <c r="B356" s="1087" t="s">
        <v>302</v>
      </c>
      <c r="C356" s="324" t="s">
        <v>366</v>
      </c>
      <c r="D356" s="328">
        <f>(180*100*2)+(3100+4100)</f>
        <v>43200</v>
      </c>
      <c r="E356" s="343" t="s">
        <v>343</v>
      </c>
    </row>
    <row r="357" spans="1:5" x14ac:dyDescent="0.3">
      <c r="A357" s="1086"/>
      <c r="B357" s="1087"/>
      <c r="C357" s="324" t="s">
        <v>367</v>
      </c>
      <c r="D357" s="328">
        <f>60000*1.25</f>
        <v>75000</v>
      </c>
      <c r="E357" s="343" t="s">
        <v>320</v>
      </c>
    </row>
    <row r="358" spans="1:5" ht="27.6" x14ac:dyDescent="0.3">
      <c r="A358" s="1086"/>
      <c r="B358" s="1087"/>
      <c r="C358" s="324" t="s">
        <v>305</v>
      </c>
      <c r="D358" s="328">
        <f>(70000+28000)*1.25</f>
        <v>122500</v>
      </c>
      <c r="E358" s="343" t="s">
        <v>306</v>
      </c>
    </row>
    <row r="359" spans="1:5" ht="41.4" x14ac:dyDescent="0.3">
      <c r="A359" s="1086"/>
      <c r="B359" s="1087"/>
      <c r="C359" s="324" t="s">
        <v>345</v>
      </c>
      <c r="D359" s="328">
        <f>((4*5230)+(4*6210))*1.3</f>
        <v>59488</v>
      </c>
      <c r="E359" s="343" t="s">
        <v>309</v>
      </c>
    </row>
    <row r="360" spans="1:5" x14ac:dyDescent="0.3">
      <c r="A360" s="1086"/>
      <c r="B360" s="1087"/>
      <c r="C360" s="324" t="s">
        <v>308</v>
      </c>
      <c r="D360" s="328">
        <f>(8400*2)*1.2</f>
        <v>20160</v>
      </c>
      <c r="E360" s="343" t="s">
        <v>309</v>
      </c>
    </row>
    <row r="361" spans="1:5" x14ac:dyDescent="0.3">
      <c r="A361" s="1086"/>
      <c r="B361" s="345" t="s">
        <v>322</v>
      </c>
      <c r="C361" s="346" t="s">
        <v>323</v>
      </c>
      <c r="D361" s="328">
        <v>180000</v>
      </c>
      <c r="E361" s="343" t="s">
        <v>578</v>
      </c>
    </row>
    <row r="362" spans="1:5" x14ac:dyDescent="0.3">
      <c r="A362" s="1086"/>
      <c r="B362" s="345" t="s">
        <v>310</v>
      </c>
      <c r="C362" s="346" t="s">
        <v>311</v>
      </c>
      <c r="D362" s="328">
        <f>((3028.94*20.5)+(3800))*1.3</f>
        <v>85661.251000000004</v>
      </c>
      <c r="E362" s="343" t="s">
        <v>306</v>
      </c>
    </row>
    <row r="363" spans="1:5" ht="27.6" x14ac:dyDescent="0.3">
      <c r="A363" s="1086"/>
      <c r="B363" s="326" t="s">
        <v>312</v>
      </c>
      <c r="C363" s="327" t="s">
        <v>368</v>
      </c>
      <c r="D363" s="371" t="s">
        <v>314</v>
      </c>
      <c r="E363" s="317"/>
    </row>
    <row r="364" spans="1:5" x14ac:dyDescent="0.3">
      <c r="A364" s="337"/>
      <c r="B364" s="351"/>
      <c r="C364" s="352"/>
      <c r="D364" s="350">
        <f>SUM(D355:D362)</f>
        <v>586009.25100000005</v>
      </c>
      <c r="E364" s="317"/>
    </row>
    <row r="365" spans="1:5" x14ac:dyDescent="0.3">
      <c r="A365" s="337"/>
      <c r="B365" s="351"/>
      <c r="C365" s="352"/>
      <c r="D365" s="350">
        <f>D364*0.16</f>
        <v>93761.480160000006</v>
      </c>
      <c r="E365" s="317"/>
    </row>
    <row r="366" spans="1:5" ht="15" thickBot="1" x14ac:dyDescent="0.35">
      <c r="A366" s="337"/>
      <c r="B366" s="351"/>
      <c r="C366" s="352"/>
      <c r="D366" s="353">
        <f>D364+D365</f>
        <v>679770.73116000008</v>
      </c>
      <c r="E366" s="317"/>
    </row>
    <row r="367" spans="1:5" x14ac:dyDescent="0.3">
      <c r="A367" s="334"/>
      <c r="B367" s="368" t="s">
        <v>600</v>
      </c>
      <c r="C367" s="335"/>
      <c r="D367" s="336"/>
      <c r="E367" s="317"/>
    </row>
    <row r="368" spans="1:5" x14ac:dyDescent="0.3">
      <c r="A368" s="337"/>
      <c r="B368" s="96"/>
      <c r="C368" s="103" t="s">
        <v>11</v>
      </c>
      <c r="D368" s="52"/>
      <c r="E368" s="52"/>
    </row>
    <row r="369" spans="1:5" ht="15.6" x14ac:dyDescent="0.3">
      <c r="A369" s="337"/>
      <c r="B369" s="101"/>
      <c r="C369" s="123" t="s">
        <v>12</v>
      </c>
      <c r="D369" s="52"/>
      <c r="E369" s="52"/>
    </row>
    <row r="370" spans="1:5" ht="15.6" x14ac:dyDescent="0.3">
      <c r="A370" s="337"/>
      <c r="B370" s="101"/>
      <c r="C370" s="123" t="s">
        <v>13</v>
      </c>
      <c r="D370" s="104"/>
      <c r="E370" s="52"/>
    </row>
    <row r="371" spans="1:5" ht="15.6" x14ac:dyDescent="0.3">
      <c r="A371" s="337"/>
      <c r="B371" s="101"/>
      <c r="C371" s="123" t="s">
        <v>14</v>
      </c>
      <c r="D371" s="104"/>
      <c r="E371" s="105"/>
    </row>
    <row r="372" spans="1:5" x14ac:dyDescent="0.3">
      <c r="A372" s="337"/>
      <c r="B372" s="102"/>
      <c r="C372" s="103" t="s">
        <v>15</v>
      </c>
      <c r="D372" s="107"/>
      <c r="E372" s="105"/>
    </row>
    <row r="373" spans="1:5" x14ac:dyDescent="0.3">
      <c r="A373" s="490"/>
      <c r="B373" s="491"/>
      <c r="C373" s="489" t="s">
        <v>42</v>
      </c>
      <c r="D373" s="107"/>
      <c r="E373" s="105"/>
    </row>
    <row r="374" spans="1:5" ht="20.399999999999999" x14ac:dyDescent="0.3">
      <c r="A374" s="490"/>
      <c r="B374" s="492"/>
      <c r="C374" s="489" t="s">
        <v>43</v>
      </c>
      <c r="D374" s="107"/>
      <c r="E374" s="105"/>
    </row>
    <row r="375" spans="1:5" ht="15.6" x14ac:dyDescent="0.3">
      <c r="A375" s="337"/>
      <c r="B375" s="106"/>
      <c r="C375" s="103" t="s">
        <v>18</v>
      </c>
      <c r="D375" s="107"/>
      <c r="E375" s="105"/>
    </row>
    <row r="376" spans="1:5" ht="15.6" x14ac:dyDescent="0.3">
      <c r="A376" s="337"/>
      <c r="B376" s="106"/>
      <c r="C376" s="313" t="s">
        <v>592</v>
      </c>
      <c r="D376" s="107"/>
      <c r="E376" s="105"/>
    </row>
    <row r="377" spans="1:5" ht="15.6" x14ac:dyDescent="0.3">
      <c r="A377" s="337"/>
      <c r="B377" s="106"/>
      <c r="C377" s="297" t="s">
        <v>20</v>
      </c>
      <c r="D377" s="107"/>
      <c r="E377" s="107"/>
    </row>
    <row r="378" spans="1:5" x14ac:dyDescent="0.3">
      <c r="A378" s="337"/>
      <c r="B378" s="108"/>
      <c r="C378" s="103" t="s">
        <v>21</v>
      </c>
      <c r="D378" s="109"/>
      <c r="E378" s="107"/>
    </row>
    <row r="379" spans="1:5" ht="15.6" x14ac:dyDescent="0.3">
      <c r="A379" s="337"/>
      <c r="B379" s="106"/>
      <c r="C379" s="122" t="s">
        <v>262</v>
      </c>
      <c r="E379" s="110"/>
    </row>
    <row r="380" spans="1:5" ht="15.6" x14ac:dyDescent="0.3">
      <c r="A380" s="337"/>
      <c r="B380" s="106"/>
      <c r="C380" s="123" t="s">
        <v>44</v>
      </c>
    </row>
    <row r="381" spans="1:5" ht="15.6" x14ac:dyDescent="0.3">
      <c r="A381" s="337"/>
      <c r="B381" s="106"/>
      <c r="C381" s="123" t="s">
        <v>45</v>
      </c>
    </row>
    <row r="382" spans="1:5" ht="50.4" x14ac:dyDescent="0.3">
      <c r="A382" s="337"/>
      <c r="B382" s="106"/>
      <c r="C382" s="314" t="s">
        <v>23</v>
      </c>
    </row>
  </sheetData>
  <mergeCells count="21">
    <mergeCell ref="A356:A363"/>
    <mergeCell ref="B356:B360"/>
    <mergeCell ref="A228:A233"/>
    <mergeCell ref="B228:B231"/>
    <mergeCell ref="A269:A276"/>
    <mergeCell ref="B269:B273"/>
    <mergeCell ref="A313:A319"/>
    <mergeCell ref="B313:B316"/>
    <mergeCell ref="A185:A191"/>
    <mergeCell ref="B185:B188"/>
    <mergeCell ref="A14:A24"/>
    <mergeCell ref="B14:B18"/>
    <mergeCell ref="B19:B22"/>
    <mergeCell ref="B28:D28"/>
    <mergeCell ref="A57:A64"/>
    <mergeCell ref="B57:B61"/>
    <mergeCell ref="B68:D68"/>
    <mergeCell ref="A102:A108"/>
    <mergeCell ref="B102:B105"/>
    <mergeCell ref="A143:A149"/>
    <mergeCell ref="B143:B146"/>
  </mergeCells>
  <pageMargins left="0.25" right="0.25" top="0.75" bottom="0.75" header="0.3" footer="0.3"/>
  <pageSetup fitToHeight="0" orientation="portrait" r:id="rId1"/>
  <drawing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496B-BEB5-4DE8-9219-4FD08C2767BC}">
  <sheetPr>
    <pageSetUpPr fitToPage="1"/>
  </sheetPr>
  <dimension ref="A1:F69"/>
  <sheetViews>
    <sheetView topLeftCell="A6" zoomScale="96" zoomScaleNormal="130" workbookViewId="0">
      <selection activeCell="C16" sqref="C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1589</v>
      </c>
      <c r="B9" s="10"/>
      <c r="C9" s="58"/>
      <c r="D9" s="58"/>
    </row>
    <row r="10" spans="1:5" s="55" customFormat="1" ht="16.8" x14ac:dyDescent="0.4">
      <c r="A10" s="57" t="s">
        <v>1590</v>
      </c>
      <c r="B10" s="10"/>
      <c r="C10" s="58"/>
      <c r="D10" s="58"/>
    </row>
    <row r="11" spans="1:5" s="55" customFormat="1" ht="16.8" x14ac:dyDescent="0.4">
      <c r="A11" s="57" t="s">
        <v>1502</v>
      </c>
      <c r="B11" s="10"/>
      <c r="C11" s="59"/>
      <c r="D11" s="58"/>
    </row>
    <row r="12" spans="1:5" s="55" customFormat="1" ht="15" customHeight="1" x14ac:dyDescent="0.4">
      <c r="A12" s="257" t="s">
        <v>1591</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624" t="s">
        <v>1592</v>
      </c>
      <c r="C16" s="780">
        <f>87000*1.2</f>
        <v>104400</v>
      </c>
      <c r="D16" s="817">
        <f t="shared" ref="D16" si="0">A16*C16</f>
        <v>104400</v>
      </c>
      <c r="E16" s="76"/>
    </row>
    <row r="17" spans="1:6" ht="45" x14ac:dyDescent="0.25">
      <c r="A17" s="72">
        <v>1</v>
      </c>
      <c r="B17" s="624" t="s">
        <v>1593</v>
      </c>
      <c r="C17" s="780">
        <f>97000*1.2</f>
        <v>116400</v>
      </c>
      <c r="D17" s="817">
        <f>A17*C17</f>
        <v>116400</v>
      </c>
      <c r="E17" s="76"/>
    </row>
    <row r="18" spans="1:6" ht="15.6" x14ac:dyDescent="0.25">
      <c r="A18" s="72"/>
      <c r="B18" s="75"/>
      <c r="C18" s="75"/>
      <c r="D18" s="75"/>
      <c r="E18" s="96"/>
    </row>
    <row r="19" spans="1:6" ht="15.6" x14ac:dyDescent="0.25">
      <c r="A19" s="89"/>
      <c r="B19" s="820" t="s">
        <v>1594</v>
      </c>
      <c r="C19" s="91" t="s">
        <v>38</v>
      </c>
      <c r="D19" s="75">
        <f>SUM(D16:D17)</f>
        <v>220800</v>
      </c>
      <c r="E19" s="96"/>
    </row>
    <row r="20" spans="1:6" ht="15.6" x14ac:dyDescent="0.3">
      <c r="A20" s="92"/>
      <c r="B20" s="820" t="s">
        <v>1595</v>
      </c>
      <c r="C20" s="93" t="s">
        <v>39</v>
      </c>
      <c r="D20" s="75">
        <f>D19*0.16</f>
        <v>35328</v>
      </c>
    </row>
    <row r="21" spans="1:6" ht="16.2" thickBot="1" x14ac:dyDescent="0.35">
      <c r="A21" s="92"/>
      <c r="B21" s="820"/>
      <c r="C21" s="94" t="s">
        <v>40</v>
      </c>
      <c r="D21" s="95">
        <f>D19+D20</f>
        <v>256128</v>
      </c>
    </row>
    <row r="22" spans="1:6" ht="16.2" thickBot="1" x14ac:dyDescent="0.3">
      <c r="A22" s="92"/>
      <c r="B22" s="1023" t="s">
        <v>1596</v>
      </c>
      <c r="C22" s="1024"/>
      <c r="D22" s="1025"/>
    </row>
    <row r="23" spans="1:6" ht="13.8" x14ac:dyDescent="0.25">
      <c r="B23" s="370" t="s">
        <v>9</v>
      </c>
      <c r="C23" s="98"/>
      <c r="D23" s="99"/>
    </row>
    <row r="24" spans="1:6" ht="34.799999999999997" x14ac:dyDescent="0.25">
      <c r="B24" s="124" t="s">
        <v>484</v>
      </c>
      <c r="C24" s="76"/>
      <c r="D24" s="96"/>
    </row>
    <row r="25" spans="1:6" ht="13.8" x14ac:dyDescent="0.25">
      <c r="A25" s="96"/>
      <c r="B25" s="103" t="s">
        <v>11</v>
      </c>
      <c r="C25" s="96"/>
      <c r="D25" s="96"/>
    </row>
    <row r="26" spans="1:6" ht="15" x14ac:dyDescent="0.25">
      <c r="A26" s="101"/>
      <c r="B26" s="123" t="s">
        <v>12</v>
      </c>
      <c r="C26" s="52"/>
      <c r="D26" s="52"/>
    </row>
    <row r="27" spans="1:6" ht="15" x14ac:dyDescent="0.25">
      <c r="A27" s="101"/>
      <c r="B27" s="123" t="s">
        <v>13</v>
      </c>
      <c r="C27" s="52"/>
      <c r="D27" s="52"/>
    </row>
    <row r="28" spans="1:6" ht="15.75" customHeight="1" x14ac:dyDescent="0.25">
      <c r="A28" s="101"/>
      <c r="B28" s="123" t="s">
        <v>14</v>
      </c>
      <c r="C28" s="52"/>
      <c r="D28" s="52"/>
      <c r="F28" s="96"/>
    </row>
    <row r="29" spans="1:6" s="96" customFormat="1" ht="13.8" x14ac:dyDescent="0.25">
      <c r="A29" s="102"/>
      <c r="B29" s="103" t="s">
        <v>15</v>
      </c>
      <c r="C29" s="52"/>
      <c r="D29" s="52"/>
      <c r="E29" s="52"/>
    </row>
    <row r="30" spans="1:6" s="96" customFormat="1" ht="15.75" customHeight="1" x14ac:dyDescent="0.25">
      <c r="A30" s="102"/>
      <c r="B30" s="295" t="s">
        <v>42</v>
      </c>
      <c r="C30" s="104"/>
      <c r="D30" s="105"/>
      <c r="E30" s="52"/>
      <c r="F30" s="52"/>
    </row>
    <row r="31" spans="1:6" ht="13.5" customHeight="1" x14ac:dyDescent="0.25">
      <c r="A31" s="106"/>
      <c r="B31" s="295" t="s">
        <v>43</v>
      </c>
      <c r="C31" s="104"/>
      <c r="D31" s="105"/>
    </row>
    <row r="32" spans="1:6" ht="15" x14ac:dyDescent="0.25">
      <c r="A32" s="106"/>
      <c r="B32" s="103" t="s">
        <v>18</v>
      </c>
      <c r="C32" s="107"/>
      <c r="D32" s="105"/>
    </row>
    <row r="33" spans="1:4" ht="13.5" customHeight="1" x14ac:dyDescent="0.25">
      <c r="A33" s="106"/>
      <c r="B33" s="313" t="s">
        <v>656</v>
      </c>
      <c r="C33" s="107"/>
      <c r="D33" s="105"/>
    </row>
    <row r="34" spans="1:4" ht="15" x14ac:dyDescent="0.25">
      <c r="A34" s="106"/>
      <c r="B34" s="297" t="s">
        <v>20</v>
      </c>
      <c r="C34" s="107"/>
      <c r="D34" s="105"/>
    </row>
    <row r="35" spans="1:4" ht="13.8" x14ac:dyDescent="0.25">
      <c r="A35" s="108"/>
      <c r="B35" s="103" t="s">
        <v>21</v>
      </c>
      <c r="C35" s="107"/>
      <c r="D35" s="105"/>
    </row>
    <row r="36" spans="1:4" ht="13.5" customHeight="1" x14ac:dyDescent="0.25">
      <c r="A36" s="106"/>
      <c r="B36" s="122" t="s">
        <v>262</v>
      </c>
      <c r="C36" s="107"/>
      <c r="D36" s="107"/>
    </row>
    <row r="37" spans="1:4" ht="13.5" customHeight="1" x14ac:dyDescent="0.25">
      <c r="A37" s="106"/>
      <c r="B37" s="123" t="s">
        <v>44</v>
      </c>
      <c r="C37" s="107"/>
      <c r="D37" s="107"/>
    </row>
    <row r="38" spans="1:4" ht="13.5" customHeight="1" x14ac:dyDescent="0.25">
      <c r="A38" s="106"/>
      <c r="B38" s="123" t="s">
        <v>45</v>
      </c>
      <c r="C38" s="109"/>
      <c r="D38" s="110"/>
    </row>
    <row r="39" spans="1:4" ht="13.5" customHeight="1" x14ac:dyDescent="0.25">
      <c r="A39" s="106"/>
      <c r="B39" s="314" t="s">
        <v>23</v>
      </c>
      <c r="C39" s="109"/>
      <c r="D39" s="110"/>
    </row>
    <row r="40" spans="1:4" ht="13.5" customHeight="1" x14ac:dyDescent="0.4">
      <c r="A40" s="106"/>
      <c r="B40" s="111"/>
      <c r="C40" s="109"/>
      <c r="D40" s="109"/>
    </row>
    <row r="41" spans="1:4" ht="13.8" x14ac:dyDescent="0.25">
      <c r="A41" s="108"/>
      <c r="B41" s="112"/>
      <c r="C41" s="109"/>
      <c r="D41" s="109"/>
    </row>
    <row r="42" spans="1:4" ht="15" x14ac:dyDescent="0.25">
      <c r="A42" s="106"/>
      <c r="B42" s="112"/>
      <c r="C42" s="107"/>
      <c r="D42" s="105"/>
    </row>
    <row r="43" spans="1:4" ht="15" x14ac:dyDescent="0.25">
      <c r="A43" s="106"/>
      <c r="B43" s="113"/>
      <c r="C43" s="109"/>
      <c r="D43" s="110"/>
    </row>
    <row r="44" spans="1:4" ht="16.2" x14ac:dyDescent="0.35">
      <c r="A44" s="106"/>
      <c r="B44" s="114"/>
      <c r="C44" s="109"/>
      <c r="D44" s="110"/>
    </row>
    <row r="45" spans="1:4" ht="13.8" x14ac:dyDescent="0.25">
      <c r="A45" s="115" t="s">
        <v>0</v>
      </c>
      <c r="C45" s="109"/>
      <c r="D45" s="110"/>
    </row>
    <row r="46" spans="1:4" ht="13.8" x14ac:dyDescent="0.25">
      <c r="A46" s="116"/>
      <c r="C46" s="109"/>
      <c r="D46" s="109"/>
    </row>
    <row r="47" spans="1:4" ht="13.8" x14ac:dyDescent="0.25">
      <c r="A47" s="117"/>
      <c r="C47" s="118"/>
      <c r="D47" s="118"/>
    </row>
    <row r="48" spans="1:4" x14ac:dyDescent="0.25">
      <c r="A48" s="117"/>
      <c r="C48" s="112"/>
      <c r="D48" s="52"/>
    </row>
    <row r="49" spans="1:4" x14ac:dyDescent="0.25">
      <c r="A49" s="119"/>
      <c r="C49" s="112"/>
      <c r="D49" s="52"/>
    </row>
    <row r="50" spans="1:4" x14ac:dyDescent="0.25">
      <c r="A50" s="120" t="s">
        <v>0</v>
      </c>
      <c r="C50" s="112"/>
      <c r="D50" s="52"/>
    </row>
    <row r="51" spans="1:4" x14ac:dyDescent="0.25">
      <c r="A51" s="52" t="s">
        <v>0</v>
      </c>
      <c r="C51" s="112"/>
      <c r="D51"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2:D22"/>
  </mergeCells>
  <pageMargins left="0.25" right="0.25" top="0.75" bottom="0.75" header="0.3" footer="0.3"/>
  <pageSetup scale="60" orientation="portrait" r:id="rId1"/>
  <drawing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5AAE-E48A-40D3-9642-6F8D8BAF0705}">
  <sheetPr>
    <pageSetUpPr fitToPage="1"/>
  </sheetPr>
  <dimension ref="A1:F69"/>
  <sheetViews>
    <sheetView topLeftCell="A8" zoomScale="96" zoomScaleNormal="130" workbookViewId="0">
      <selection activeCell="A16" sqref="A16:D16"/>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1589</v>
      </c>
      <c r="B9" s="10"/>
      <c r="C9" s="58"/>
      <c r="D9" s="58"/>
    </row>
    <row r="10" spans="1:5" s="55" customFormat="1" ht="16.8" x14ac:dyDescent="0.4">
      <c r="A10" s="57" t="s">
        <v>1590</v>
      </c>
      <c r="B10" s="10"/>
      <c r="C10" s="58"/>
      <c r="D10" s="58"/>
    </row>
    <row r="11" spans="1:5" s="55" customFormat="1" ht="16.8" x14ac:dyDescent="0.4">
      <c r="A11" s="57" t="s">
        <v>1502</v>
      </c>
      <c r="B11" s="10"/>
      <c r="C11" s="59"/>
      <c r="D11" s="58"/>
    </row>
    <row r="12" spans="1:5" s="55" customFormat="1" ht="15" customHeight="1" x14ac:dyDescent="0.4">
      <c r="A12" s="257" t="s">
        <v>1591</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30" x14ac:dyDescent="0.25">
      <c r="A16" s="72">
        <v>1</v>
      </c>
      <c r="B16" s="73" t="s">
        <v>1411</v>
      </c>
      <c r="C16" s="428">
        <f>5500+(137*22)+2000</f>
        <v>10514</v>
      </c>
      <c r="D16" s="75">
        <f t="shared" ref="D16" si="0">A16*C16</f>
        <v>10514</v>
      </c>
      <c r="E16" s="76"/>
    </row>
    <row r="17" spans="1:6" ht="15.6" x14ac:dyDescent="0.25">
      <c r="A17" s="72"/>
      <c r="B17" s="75"/>
      <c r="C17" s="75"/>
      <c r="D17" s="75"/>
      <c r="E17" s="96"/>
    </row>
    <row r="18" spans="1:6" ht="15.6" x14ac:dyDescent="0.25">
      <c r="A18" s="89"/>
      <c r="B18" s="820" t="s">
        <v>1594</v>
      </c>
      <c r="C18" s="91" t="s">
        <v>38</v>
      </c>
      <c r="D18" s="75">
        <f>SUM(D16:D16)</f>
        <v>10514</v>
      </c>
      <c r="E18" s="96"/>
    </row>
    <row r="19" spans="1:6" ht="15.6" x14ac:dyDescent="0.3">
      <c r="A19" s="92"/>
      <c r="B19" s="820" t="s">
        <v>1595</v>
      </c>
      <c r="C19" s="93" t="s">
        <v>39</v>
      </c>
      <c r="D19" s="75">
        <f>D18*0.16</f>
        <v>1682.24</v>
      </c>
    </row>
    <row r="20" spans="1:6" ht="16.2" thickBot="1" x14ac:dyDescent="0.35">
      <c r="A20" s="92"/>
      <c r="B20" s="820"/>
      <c r="C20" s="94" t="s">
        <v>40</v>
      </c>
      <c r="D20" s="95">
        <f>D18+D19</f>
        <v>12196.24</v>
      </c>
    </row>
    <row r="21" spans="1:6" ht="16.2" thickBot="1" x14ac:dyDescent="0.3">
      <c r="A21" s="92"/>
      <c r="B21" s="1023" t="s">
        <v>1598</v>
      </c>
      <c r="C21" s="1024"/>
      <c r="D21" s="1025"/>
    </row>
    <row r="22" spans="1:6" ht="13.8" x14ac:dyDescent="0.25">
      <c r="B22" s="370" t="s">
        <v>9</v>
      </c>
      <c r="C22" s="98"/>
      <c r="D22" s="99"/>
    </row>
    <row r="23" spans="1:6" ht="34.799999999999997" x14ac:dyDescent="0.25">
      <c r="B23" s="124" t="s">
        <v>484</v>
      </c>
      <c r="C23" s="76"/>
      <c r="D23" s="96"/>
    </row>
    <row r="24" spans="1:6" ht="13.8" x14ac:dyDescent="0.25">
      <c r="A24" s="96"/>
      <c r="B24" s="103" t="s">
        <v>11</v>
      </c>
      <c r="C24" s="96"/>
      <c r="D24" s="96"/>
    </row>
    <row r="25" spans="1:6" ht="15" x14ac:dyDescent="0.25">
      <c r="A25" s="101"/>
      <c r="B25" s="123" t="s">
        <v>12</v>
      </c>
      <c r="C25" s="52"/>
      <c r="D25" s="52"/>
    </row>
    <row r="26" spans="1:6" ht="15" x14ac:dyDescent="0.25">
      <c r="A26" s="101"/>
      <c r="B26" s="123" t="s">
        <v>13</v>
      </c>
      <c r="C26" s="52"/>
      <c r="D26" s="52"/>
    </row>
    <row r="27" spans="1:6" ht="15" x14ac:dyDescent="0.25">
      <c r="A27" s="101"/>
      <c r="B27" s="123" t="s">
        <v>14</v>
      </c>
      <c r="C27" s="52"/>
      <c r="D27" s="52"/>
    </row>
    <row r="28" spans="1:6" ht="15.75" customHeight="1" x14ac:dyDescent="0.25">
      <c r="A28" s="102"/>
      <c r="B28" s="103" t="s">
        <v>15</v>
      </c>
      <c r="C28" s="52"/>
      <c r="D28" s="52"/>
      <c r="F28" s="96"/>
    </row>
    <row r="29" spans="1:6" s="96" customFormat="1" ht="13.8" x14ac:dyDescent="0.25">
      <c r="A29" s="102"/>
      <c r="B29" s="295" t="s">
        <v>42</v>
      </c>
      <c r="C29" s="104"/>
      <c r="D29" s="105"/>
      <c r="E29" s="52"/>
    </row>
    <row r="30" spans="1:6" s="96" customFormat="1" ht="15.75" customHeight="1" x14ac:dyDescent="0.25">
      <c r="A30" s="106"/>
      <c r="B30" s="295" t="s">
        <v>43</v>
      </c>
      <c r="C30" s="104"/>
      <c r="D30" s="105"/>
      <c r="E30" s="52"/>
      <c r="F30" s="52"/>
    </row>
    <row r="31" spans="1:6" ht="13.5" customHeight="1" x14ac:dyDescent="0.25">
      <c r="A31" s="106"/>
      <c r="B31" s="103" t="s">
        <v>18</v>
      </c>
      <c r="C31" s="107"/>
      <c r="D31" s="105"/>
    </row>
    <row r="32" spans="1:6" ht="15" x14ac:dyDescent="0.25">
      <c r="A32" s="106"/>
      <c r="B32" s="313" t="s">
        <v>656</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60" orientation="portrait" r:id="rId1"/>
  <drawing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FA50-0D74-485D-A639-057FFA9A12A9}">
  <sheetPr>
    <pageSetUpPr fitToPage="1"/>
  </sheetPr>
  <dimension ref="A1:G69"/>
  <sheetViews>
    <sheetView topLeftCell="A6" zoomScale="96" zoomScaleNormal="130" workbookViewId="0">
      <selection activeCell="B22" sqref="B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1504</v>
      </c>
      <c r="B8" s="10"/>
      <c r="C8" s="58"/>
      <c r="D8" s="58"/>
    </row>
    <row r="9" spans="1:5" s="55" customFormat="1" ht="16.8" x14ac:dyDescent="0.4">
      <c r="A9" s="57" t="s">
        <v>1589</v>
      </c>
      <c r="B9" s="10"/>
      <c r="C9" s="58"/>
      <c r="D9" s="58"/>
    </row>
    <row r="10" spans="1:5" s="55" customFormat="1" ht="16.8" x14ac:dyDescent="0.4">
      <c r="A10" s="57" t="s">
        <v>1590</v>
      </c>
      <c r="B10" s="10"/>
      <c r="C10" s="58"/>
      <c r="D10" s="58"/>
    </row>
    <row r="11" spans="1:5" s="55" customFormat="1" ht="16.8" x14ac:dyDescent="0.4">
      <c r="A11" s="57" t="s">
        <v>1502</v>
      </c>
      <c r="B11" s="10"/>
      <c r="C11" s="59"/>
      <c r="D11" s="58"/>
    </row>
    <row r="12" spans="1:5" s="55" customFormat="1" ht="15" customHeight="1" x14ac:dyDescent="0.4">
      <c r="A12" s="257" t="s">
        <v>1591</v>
      </c>
      <c r="B12" s="57"/>
      <c r="C12" s="61"/>
      <c r="D12" s="62"/>
      <c r="E12" s="63"/>
    </row>
    <row r="13" spans="1:5" s="55" customFormat="1" ht="16.8" x14ac:dyDescent="0.4">
      <c r="A13" s="1027"/>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60" x14ac:dyDescent="0.25">
      <c r="A16" s="72">
        <v>1</v>
      </c>
      <c r="B16" s="624" t="s">
        <v>1597</v>
      </c>
      <c r="C16" s="780">
        <v>89761</v>
      </c>
      <c r="D16" s="817">
        <f>A16*C16</f>
        <v>89761</v>
      </c>
      <c r="E16" s="76"/>
    </row>
    <row r="17" spans="1:7" ht="15.6" x14ac:dyDescent="0.25">
      <c r="A17" s="72"/>
      <c r="B17" s="75"/>
      <c r="C17" s="75"/>
      <c r="D17" s="75"/>
      <c r="E17" s="96"/>
    </row>
    <row r="18" spans="1:7" ht="15.6" x14ac:dyDescent="0.25">
      <c r="A18" s="89"/>
      <c r="B18" s="820" t="s">
        <v>1594</v>
      </c>
      <c r="C18" s="91" t="s">
        <v>38</v>
      </c>
      <c r="D18" s="75">
        <f>SUM(D16:D16)</f>
        <v>89761</v>
      </c>
      <c r="E18" s="96"/>
    </row>
    <row r="19" spans="1:7" ht="15.6" x14ac:dyDescent="0.3">
      <c r="A19" s="92"/>
      <c r="B19" s="820" t="s">
        <v>1595</v>
      </c>
      <c r="C19" s="93" t="s">
        <v>39</v>
      </c>
      <c r="D19" s="75">
        <f>D18*0.16</f>
        <v>14361.76</v>
      </c>
    </row>
    <row r="20" spans="1:7" ht="16.2" thickBot="1" x14ac:dyDescent="0.35">
      <c r="A20" s="92"/>
      <c r="B20" s="820"/>
      <c r="C20" s="94" t="s">
        <v>40</v>
      </c>
      <c r="D20" s="95">
        <f>D18+D19</f>
        <v>104122.76</v>
      </c>
    </row>
    <row r="21" spans="1:7" ht="16.2" thickBot="1" x14ac:dyDescent="0.3">
      <c r="A21" s="92"/>
      <c r="B21" s="1023" t="s">
        <v>1599</v>
      </c>
      <c r="C21" s="1024"/>
      <c r="D21" s="1025"/>
    </row>
    <row r="22" spans="1:7" ht="13.8" x14ac:dyDescent="0.25">
      <c r="B22" s="370" t="s">
        <v>9</v>
      </c>
      <c r="C22" s="98"/>
      <c r="D22" s="99"/>
    </row>
    <row r="23" spans="1:7" ht="34.799999999999997" x14ac:dyDescent="0.25">
      <c r="B23" s="124" t="s">
        <v>484</v>
      </c>
      <c r="C23" s="76"/>
      <c r="D23" s="96"/>
    </row>
    <row r="24" spans="1:7" ht="13.8" x14ac:dyDescent="0.25">
      <c r="A24" s="96"/>
      <c r="B24" s="103" t="s">
        <v>11</v>
      </c>
      <c r="C24" s="96"/>
      <c r="D24" s="96"/>
    </row>
    <row r="25" spans="1:7" ht="15" x14ac:dyDescent="0.25">
      <c r="A25" s="101"/>
      <c r="B25" s="123" t="s">
        <v>12</v>
      </c>
      <c r="C25" s="52"/>
      <c r="D25" s="52"/>
    </row>
    <row r="26" spans="1:7" ht="15" x14ac:dyDescent="0.25">
      <c r="A26" s="101"/>
      <c r="B26" s="123" t="s">
        <v>13</v>
      </c>
      <c r="C26" s="52"/>
      <c r="D26" s="52"/>
    </row>
    <row r="27" spans="1:7" ht="15" x14ac:dyDescent="0.25">
      <c r="A27" s="101"/>
      <c r="B27" s="123" t="s">
        <v>14</v>
      </c>
      <c r="C27" s="52"/>
      <c r="D27" s="52"/>
      <c r="F27" s="96"/>
    </row>
    <row r="28" spans="1:7" ht="15.75" customHeight="1" x14ac:dyDescent="0.25">
      <c r="A28" s="102"/>
      <c r="B28" s="103" t="s">
        <v>15</v>
      </c>
      <c r="C28" s="52"/>
      <c r="D28" s="52"/>
      <c r="F28" s="96"/>
      <c r="G28" s="96"/>
    </row>
    <row r="29" spans="1:7" s="96" customFormat="1" ht="13.8" x14ac:dyDescent="0.25">
      <c r="A29" s="102"/>
      <c r="B29" s="295" t="s">
        <v>42</v>
      </c>
      <c r="C29" s="104"/>
      <c r="D29" s="105"/>
      <c r="E29" s="52"/>
      <c r="F29" s="52"/>
    </row>
    <row r="30" spans="1:7" s="96" customFormat="1" ht="27.6" x14ac:dyDescent="0.25">
      <c r="A30" s="106"/>
      <c r="B30" s="295" t="s">
        <v>43</v>
      </c>
      <c r="C30" s="104"/>
      <c r="D30" s="105"/>
      <c r="E30" s="52"/>
      <c r="F30" s="52"/>
      <c r="G30" s="52"/>
    </row>
    <row r="31" spans="1:7" ht="13.5" customHeight="1" x14ac:dyDescent="0.25">
      <c r="A31" s="106"/>
      <c r="B31" s="103" t="s">
        <v>18</v>
      </c>
      <c r="C31" s="107"/>
      <c r="D31" s="105"/>
    </row>
    <row r="32" spans="1:7" ht="15" x14ac:dyDescent="0.25">
      <c r="A32" s="106"/>
      <c r="B32" s="313" t="s">
        <v>656</v>
      </c>
      <c r="C32" s="107"/>
      <c r="D32" s="105"/>
    </row>
    <row r="33" spans="1:4" ht="13.5" customHeight="1" x14ac:dyDescent="0.25">
      <c r="A33" s="106"/>
      <c r="B33" s="297" t="s">
        <v>20</v>
      </c>
      <c r="C33" s="107"/>
      <c r="D33" s="105"/>
    </row>
    <row r="34" spans="1:4" ht="13.8" x14ac:dyDescent="0.25">
      <c r="A34" s="108"/>
      <c r="B34" s="103" t="s">
        <v>21</v>
      </c>
      <c r="C34" s="107"/>
      <c r="D34" s="105"/>
    </row>
    <row r="35" spans="1:4" ht="15" x14ac:dyDescent="0.25">
      <c r="A35" s="106"/>
      <c r="B35" s="122" t="s">
        <v>262</v>
      </c>
      <c r="C35" s="107"/>
      <c r="D35" s="107"/>
    </row>
    <row r="36" spans="1:4" ht="13.5" customHeight="1" x14ac:dyDescent="0.25">
      <c r="A36" s="106"/>
      <c r="B36" s="123" t="s">
        <v>44</v>
      </c>
      <c r="C36" s="107"/>
      <c r="D36" s="107"/>
    </row>
    <row r="37" spans="1:4" ht="13.5" customHeight="1" x14ac:dyDescent="0.25">
      <c r="A37" s="106"/>
      <c r="B37" s="123" t="s">
        <v>45</v>
      </c>
      <c r="C37" s="109"/>
      <c r="D37" s="110"/>
    </row>
    <row r="38" spans="1:4" ht="13.5" customHeight="1" x14ac:dyDescent="0.25">
      <c r="A38" s="106"/>
      <c r="B38" s="314" t="s">
        <v>23</v>
      </c>
      <c r="C38" s="109"/>
      <c r="D38" s="110"/>
    </row>
    <row r="39" spans="1:4" ht="13.5" customHeight="1" x14ac:dyDescent="0.4">
      <c r="A39" s="106"/>
      <c r="B39" s="111"/>
      <c r="C39" s="109"/>
      <c r="D39" s="109"/>
    </row>
    <row r="40" spans="1:4" ht="13.5" customHeight="1" x14ac:dyDescent="0.25">
      <c r="A40" s="108"/>
      <c r="B40" s="112"/>
      <c r="C40" s="109"/>
      <c r="D40" s="109"/>
    </row>
    <row r="41" spans="1:4" ht="15" x14ac:dyDescent="0.25">
      <c r="A41" s="106"/>
      <c r="B41" s="112"/>
      <c r="C41" s="107"/>
      <c r="D41" s="105"/>
    </row>
    <row r="42" spans="1:4" ht="15" x14ac:dyDescent="0.25">
      <c r="A42" s="106"/>
      <c r="B42" s="113"/>
      <c r="C42" s="109"/>
      <c r="D42" s="110"/>
    </row>
    <row r="43" spans="1:4" ht="16.2" x14ac:dyDescent="0.35">
      <c r="A43" s="106"/>
      <c r="B43" s="114"/>
      <c r="C43" s="109"/>
      <c r="D43" s="110"/>
    </row>
    <row r="44" spans="1:4" ht="13.8" x14ac:dyDescent="0.25">
      <c r="A44" s="115" t="s">
        <v>0</v>
      </c>
      <c r="C44" s="109"/>
      <c r="D44" s="110"/>
    </row>
    <row r="45" spans="1:4" ht="13.8" x14ac:dyDescent="0.25">
      <c r="A45" s="116"/>
      <c r="C45" s="109"/>
      <c r="D45" s="109"/>
    </row>
    <row r="46" spans="1:4" ht="13.8" x14ac:dyDescent="0.25">
      <c r="A46" s="117"/>
      <c r="C46" s="118"/>
      <c r="D46" s="118"/>
    </row>
    <row r="47" spans="1:4" x14ac:dyDescent="0.25">
      <c r="A47" s="117"/>
      <c r="C47" s="112"/>
      <c r="D47" s="52"/>
    </row>
    <row r="48" spans="1:4" x14ac:dyDescent="0.25">
      <c r="A48" s="119"/>
      <c r="C48" s="112"/>
      <c r="D48" s="52"/>
    </row>
    <row r="49" spans="1:4" x14ac:dyDescent="0.25">
      <c r="A49" s="120" t="s">
        <v>0</v>
      </c>
      <c r="C49" s="112"/>
      <c r="D49" s="52"/>
    </row>
    <row r="50" spans="1:4" x14ac:dyDescent="0.25">
      <c r="A50" s="52" t="s">
        <v>0</v>
      </c>
      <c r="C50" s="112"/>
      <c r="D50"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1:D21"/>
  </mergeCells>
  <pageMargins left="0.25" right="0.25" top="0.75" bottom="0.75" header="0.3" footer="0.3"/>
  <pageSetup scale="56" orientation="portrait" r:id="rId1"/>
  <drawing r:id="rId2"/>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88F9-2A87-4C97-860A-923F5935ED9B}">
  <sheetPr>
    <tabColor theme="4" tint="-0.249977111117893"/>
    <pageSetUpPr fitToPage="1"/>
  </sheetPr>
  <dimension ref="A1:F63"/>
  <sheetViews>
    <sheetView topLeftCell="A2" zoomScale="115" zoomScaleNormal="115" workbookViewId="0">
      <selection activeCell="C15" sqref="C15"/>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57" t="s">
        <v>1600</v>
      </c>
      <c r="B7" s="10"/>
      <c r="C7" s="9"/>
      <c r="D7" s="9"/>
    </row>
    <row r="8" spans="1:6" s="4" customFormat="1" ht="19.2" x14ac:dyDescent="0.45">
      <c r="A8" s="57" t="s">
        <v>1601</v>
      </c>
      <c r="B8" s="10"/>
      <c r="C8" s="9"/>
      <c r="D8" s="9"/>
    </row>
    <row r="9" spans="1:6" s="4" customFormat="1" ht="19.2" x14ac:dyDescent="0.45">
      <c r="A9" s="57" t="s">
        <v>284</v>
      </c>
      <c r="B9" s="10"/>
      <c r="C9" s="9"/>
      <c r="D9" s="9"/>
    </row>
    <row r="10" spans="1:6" s="4" customFormat="1" ht="19.2" x14ac:dyDescent="0.45">
      <c r="A10" s="57" t="s">
        <v>1048</v>
      </c>
      <c r="B10" s="10"/>
      <c r="C10" s="11"/>
      <c r="D10" s="9"/>
    </row>
    <row r="11" spans="1:6" s="4" customFormat="1" ht="19.2" x14ac:dyDescent="0.45">
      <c r="A11" s="60" t="s">
        <v>1602</v>
      </c>
      <c r="B11" s="61"/>
      <c r="C11" s="11"/>
      <c r="D11" s="9"/>
    </row>
    <row r="12" spans="1:6" s="4" customFormat="1" ht="15" customHeight="1" x14ac:dyDescent="0.4">
      <c r="A12" s="1031" t="s">
        <v>73</v>
      </c>
      <c r="B12" s="1032"/>
      <c r="C12" s="1033"/>
      <c r="D12" s="1034"/>
    </row>
    <row r="13" spans="1:6" s="4" customFormat="1" ht="15" customHeight="1" x14ac:dyDescent="0.4">
      <c r="A13" s="145" t="s">
        <v>29</v>
      </c>
      <c r="B13" s="145" t="s">
        <v>30</v>
      </c>
      <c r="C13" s="146" t="s">
        <v>31</v>
      </c>
      <c r="D13" s="146" t="s">
        <v>32</v>
      </c>
    </row>
    <row r="14" spans="1:6" s="4" customFormat="1" ht="9" customHeight="1" x14ac:dyDescent="0.4">
      <c r="A14" s="148"/>
      <c r="B14" s="149"/>
      <c r="C14" s="150"/>
      <c r="D14" s="150"/>
      <c r="E14" s="17"/>
      <c r="F14" s="17"/>
    </row>
    <row r="15" spans="1:6" s="17" customFormat="1" ht="13.8" x14ac:dyDescent="0.25">
      <c r="A15" s="157">
        <v>240</v>
      </c>
      <c r="B15" s="158" t="s">
        <v>1218</v>
      </c>
      <c r="C15" s="160">
        <f>1100*1.28</f>
        <v>1408</v>
      </c>
      <c r="D15" s="161">
        <f t="shared" ref="D15" si="0">A15*C15</f>
        <v>337920</v>
      </c>
      <c r="E15" s="147"/>
      <c r="F15" s="1"/>
    </row>
    <row r="16" spans="1:6" x14ac:dyDescent="0.25">
      <c r="A16" s="32"/>
      <c r="B16" s="677"/>
      <c r="C16" s="167" t="s">
        <v>38</v>
      </c>
      <c r="D16" s="168">
        <f>SUM(D15:D15)</f>
        <v>337920</v>
      </c>
      <c r="E16" s="147"/>
    </row>
    <row r="17" spans="1:6" s="26" customFormat="1" ht="16.5" customHeight="1" x14ac:dyDescent="0.25">
      <c r="A17" s="33"/>
      <c r="B17" s="33"/>
      <c r="C17" s="167" t="s">
        <v>90</v>
      </c>
      <c r="D17" s="168">
        <f>D16*0.16</f>
        <v>54067.200000000004</v>
      </c>
      <c r="E17" s="147"/>
      <c r="F17" s="1"/>
    </row>
    <row r="18" spans="1:6" ht="13.5" customHeight="1" thickBot="1" x14ac:dyDescent="0.3">
      <c r="A18" s="33"/>
      <c r="B18" s="170"/>
      <c r="C18" s="171" t="s">
        <v>40</v>
      </c>
      <c r="D18" s="172">
        <f>D16+D17</f>
        <v>391987.20000000001</v>
      </c>
      <c r="E18" s="147"/>
    </row>
    <row r="19" spans="1:6" ht="13.5" customHeight="1" thickBot="1" x14ac:dyDescent="0.3">
      <c r="A19" s="33"/>
      <c r="B19" s="1035" t="s">
        <v>1604</v>
      </c>
      <c r="C19" s="1036"/>
      <c r="D19" s="1037"/>
      <c r="E19" s="147"/>
    </row>
    <row r="20" spans="1:6" ht="13.5" customHeight="1" x14ac:dyDescent="0.25">
      <c r="A20" s="33"/>
      <c r="B20" s="173" t="s">
        <v>9</v>
      </c>
      <c r="C20" s="174"/>
      <c r="D20" s="175"/>
      <c r="E20" s="147"/>
    </row>
    <row r="21" spans="1:6" ht="13.5" customHeight="1" x14ac:dyDescent="0.25">
      <c r="A21" s="176"/>
      <c r="B21" s="177" t="s">
        <v>10</v>
      </c>
      <c r="C21" s="169"/>
      <c r="D21" s="41"/>
      <c r="E21" s="169"/>
    </row>
    <row r="22" spans="1:6" ht="13.5" customHeight="1" x14ac:dyDescent="0.25">
      <c r="A22" s="178"/>
      <c r="B22" s="40" t="s">
        <v>11</v>
      </c>
      <c r="D22" s="41"/>
    </row>
    <row r="23" spans="1:6" ht="15" x14ac:dyDescent="0.25">
      <c r="A23" s="178"/>
      <c r="B23" s="131" t="s">
        <v>12</v>
      </c>
      <c r="D23" s="41"/>
    </row>
    <row r="24" spans="1:6" ht="15" x14ac:dyDescent="0.25">
      <c r="A24" s="178"/>
      <c r="B24" s="131" t="s">
        <v>13</v>
      </c>
      <c r="D24" s="41"/>
    </row>
    <row r="25" spans="1:6" ht="15" x14ac:dyDescent="0.25">
      <c r="A25" s="178"/>
      <c r="B25" s="131" t="s">
        <v>14</v>
      </c>
      <c r="D25" s="41"/>
    </row>
    <row r="26" spans="1:6" ht="13.8" x14ac:dyDescent="0.25">
      <c r="A26" s="129"/>
      <c r="B26" s="40" t="s">
        <v>15</v>
      </c>
    </row>
    <row r="27" spans="1:6" ht="15" x14ac:dyDescent="0.25">
      <c r="A27" s="178"/>
      <c r="B27" s="36" t="s">
        <v>42</v>
      </c>
    </row>
    <row r="28" spans="1:6" ht="13.5" customHeight="1" x14ac:dyDescent="0.25">
      <c r="A28" s="178"/>
      <c r="B28" s="36" t="s">
        <v>43</v>
      </c>
      <c r="C28" s="38"/>
      <c r="D28" s="39"/>
    </row>
    <row r="29" spans="1:6" ht="13.5" customHeight="1" x14ac:dyDescent="0.25">
      <c r="A29" s="178"/>
      <c r="B29" s="40" t="s">
        <v>18</v>
      </c>
      <c r="C29" s="38"/>
      <c r="D29" s="39"/>
    </row>
    <row r="30" spans="1:6" ht="15" x14ac:dyDescent="0.25">
      <c r="A30" s="178"/>
      <c r="B30" s="134" t="s">
        <v>1603</v>
      </c>
      <c r="C30" s="38"/>
      <c r="D30" s="38"/>
    </row>
    <row r="31" spans="1:6" ht="15" x14ac:dyDescent="0.25">
      <c r="A31" s="178"/>
      <c r="B31" s="135" t="s">
        <v>20</v>
      </c>
      <c r="C31" s="38"/>
      <c r="D31" s="38"/>
    </row>
    <row r="32" spans="1:6" ht="13.8" x14ac:dyDescent="0.25">
      <c r="A32" s="129"/>
      <c r="B32" s="40" t="s">
        <v>21</v>
      </c>
      <c r="D32" s="41"/>
    </row>
    <row r="33" spans="1:4" ht="15" x14ac:dyDescent="0.25">
      <c r="A33" s="178"/>
      <c r="B33" s="179" t="s">
        <v>566</v>
      </c>
      <c r="C33" s="38"/>
      <c r="D33" s="39"/>
    </row>
    <row r="34" spans="1:4" ht="15" x14ac:dyDescent="0.25">
      <c r="A34" s="178"/>
      <c r="B34" s="131" t="s">
        <v>44</v>
      </c>
      <c r="C34" s="38"/>
      <c r="D34" s="39"/>
    </row>
    <row r="35" spans="1:4" ht="33.6" x14ac:dyDescent="0.25">
      <c r="A35" s="182" t="s">
        <v>0</v>
      </c>
      <c r="B35" s="183" t="s">
        <v>23</v>
      </c>
      <c r="C35" s="38"/>
      <c r="D35" s="38"/>
    </row>
    <row r="36" spans="1:4" ht="16.8" x14ac:dyDescent="0.4">
      <c r="A36" s="43"/>
      <c r="B36" s="44"/>
      <c r="C36" s="45"/>
      <c r="D36" s="45"/>
    </row>
    <row r="37" spans="1:4" x14ac:dyDescent="0.25">
      <c r="A37" s="46"/>
      <c r="B37" s="47"/>
      <c r="C37" s="47"/>
      <c r="D37" s="1"/>
    </row>
    <row r="38" spans="1:4" x14ac:dyDescent="0.25">
      <c r="A38" s="46"/>
      <c r="B38" s="47"/>
      <c r="C38" s="47"/>
      <c r="D38" s="1"/>
    </row>
    <row r="39" spans="1:4" x14ac:dyDescent="0.25">
      <c r="A39" s="48"/>
      <c r="B39" s="49"/>
      <c r="C39" s="47"/>
      <c r="D39" s="1"/>
    </row>
    <row r="40" spans="1:4" ht="15" x14ac:dyDescent="0.35">
      <c r="A40" s="50" t="s">
        <v>0</v>
      </c>
      <c r="B40" s="51"/>
      <c r="C40" s="47"/>
      <c r="D40" s="47"/>
    </row>
    <row r="41" spans="1:4" x14ac:dyDescent="0.25">
      <c r="A41" s="1" t="s">
        <v>0</v>
      </c>
    </row>
    <row r="45" spans="1:4" ht="13.5" customHeight="1" x14ac:dyDescent="0.25"/>
    <row r="53" ht="15.75" customHeight="1" x14ac:dyDescent="0.25"/>
    <row r="58" ht="16.5" customHeight="1" x14ac:dyDescent="0.25"/>
    <row r="63" ht="15" customHeight="1" x14ac:dyDescent="0.25"/>
  </sheetData>
  <mergeCells count="3">
    <mergeCell ref="A4:D4"/>
    <mergeCell ref="A12:D12"/>
    <mergeCell ref="B19:D19"/>
  </mergeCells>
  <printOptions horizontalCentered="1"/>
  <pageMargins left="0.25" right="0.25" top="0.75" bottom="0.75" header="0.3" footer="0.3"/>
  <pageSetup paperSize="9" scale="58" orientation="portrait" r:id="rId1"/>
  <headerFooter alignWithMargins="0">
    <oddFooter>Página &amp;P de &amp;N</oddFooter>
  </headerFooter>
  <drawing r:id="rId2"/>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663F2-241A-434D-966D-38C7AF4E0D42}">
  <sheetPr>
    <tabColor theme="4" tint="-0.249977111117893"/>
    <pageSetUpPr fitToPage="1"/>
  </sheetPr>
  <dimension ref="A1:F63"/>
  <sheetViews>
    <sheetView topLeftCell="A10" zoomScale="115" zoomScaleNormal="115" workbookViewId="0">
      <selection activeCell="A15" sqref="A15:D15"/>
    </sheetView>
  </sheetViews>
  <sheetFormatPr baseColWidth="10" defaultColWidth="11.44140625" defaultRowHeight="13.2" x14ac:dyDescent="0.25"/>
  <cols>
    <col min="1" max="1" width="6" style="1" customWidth="1"/>
    <col min="2" max="2" width="104.6640625" style="1" customWidth="1"/>
    <col min="3" max="3" width="16.33203125" style="3" customWidth="1"/>
    <col min="4" max="4" width="19.44140625" style="3" customWidth="1"/>
    <col min="5" max="16384" width="11.441406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9.2" x14ac:dyDescent="0.45">
      <c r="A7" s="57" t="s">
        <v>1600</v>
      </c>
      <c r="B7" s="10"/>
      <c r="C7" s="9"/>
      <c r="D7" s="9"/>
    </row>
    <row r="8" spans="1:6" s="4" customFormat="1" ht="19.2" x14ac:dyDescent="0.45">
      <c r="A8" s="57" t="s">
        <v>1601</v>
      </c>
      <c r="B8" s="10"/>
      <c r="C8" s="9"/>
      <c r="D8" s="9"/>
    </row>
    <row r="9" spans="1:6" s="4" customFormat="1" ht="19.2" x14ac:dyDescent="0.45">
      <c r="A9" s="57" t="s">
        <v>284</v>
      </c>
      <c r="B9" s="10"/>
      <c r="C9" s="9"/>
      <c r="D9" s="9"/>
    </row>
    <row r="10" spans="1:6" s="4" customFormat="1" ht="19.2" x14ac:dyDescent="0.45">
      <c r="A10" s="57" t="s">
        <v>1048</v>
      </c>
      <c r="B10" s="10"/>
      <c r="C10" s="11"/>
      <c r="D10" s="9"/>
    </row>
    <row r="11" spans="1:6" s="4" customFormat="1" ht="19.2" x14ac:dyDescent="0.45">
      <c r="A11" s="60" t="s">
        <v>1602</v>
      </c>
      <c r="B11" s="61"/>
      <c r="C11" s="11"/>
      <c r="D11" s="9"/>
    </row>
    <row r="12" spans="1:6" s="4" customFormat="1" ht="15" customHeight="1" x14ac:dyDescent="0.4">
      <c r="A12" s="1031" t="s">
        <v>73</v>
      </c>
      <c r="B12" s="1032"/>
      <c r="C12" s="1033"/>
      <c r="D12" s="1034"/>
    </row>
    <row r="13" spans="1:6" s="4" customFormat="1" ht="15" customHeight="1" x14ac:dyDescent="0.4">
      <c r="A13" s="145" t="s">
        <v>29</v>
      </c>
      <c r="B13" s="145" t="s">
        <v>30</v>
      </c>
      <c r="C13" s="146" t="s">
        <v>31</v>
      </c>
      <c r="D13" s="146" t="s">
        <v>32</v>
      </c>
    </row>
    <row r="14" spans="1:6" s="4" customFormat="1" ht="9" customHeight="1" x14ac:dyDescent="0.4">
      <c r="A14" s="148"/>
      <c r="B14" s="149"/>
      <c r="C14" s="150"/>
      <c r="D14" s="150"/>
      <c r="E14" s="17"/>
      <c r="F14" s="17"/>
    </row>
    <row r="15" spans="1:6" s="17" customFormat="1" ht="13.8" x14ac:dyDescent="0.25">
      <c r="A15" s="157">
        <v>240</v>
      </c>
      <c r="B15" s="158" t="s">
        <v>1605</v>
      </c>
      <c r="C15" s="160">
        <f>880*1.28</f>
        <v>1126.4000000000001</v>
      </c>
      <c r="D15" s="161">
        <f t="shared" ref="D15" si="0">A15*C15</f>
        <v>270336</v>
      </c>
      <c r="E15" s="147"/>
      <c r="F15" s="1"/>
    </row>
    <row r="16" spans="1:6" x14ac:dyDescent="0.25">
      <c r="A16" s="32"/>
      <c r="B16" s="677"/>
      <c r="C16" s="167" t="s">
        <v>38</v>
      </c>
      <c r="D16" s="168">
        <f>SUM(D15:D15)</f>
        <v>270336</v>
      </c>
      <c r="E16" s="147"/>
    </row>
    <row r="17" spans="1:6" s="26" customFormat="1" ht="16.5" customHeight="1" x14ac:dyDescent="0.25">
      <c r="A17" s="33"/>
      <c r="B17" s="33"/>
      <c r="C17" s="167" t="s">
        <v>90</v>
      </c>
      <c r="D17" s="168">
        <f>D16*0.16</f>
        <v>43253.760000000002</v>
      </c>
      <c r="E17" s="147"/>
      <c r="F17" s="1"/>
    </row>
    <row r="18" spans="1:6" ht="13.5" customHeight="1" thickBot="1" x14ac:dyDescent="0.3">
      <c r="A18" s="33"/>
      <c r="B18" s="170"/>
      <c r="C18" s="171" t="s">
        <v>40</v>
      </c>
      <c r="D18" s="172">
        <f>D16+D17</f>
        <v>313589.76000000001</v>
      </c>
      <c r="E18" s="147"/>
    </row>
    <row r="19" spans="1:6" ht="13.5" customHeight="1" thickBot="1" x14ac:dyDescent="0.3">
      <c r="A19" s="33"/>
      <c r="B19" s="1035" t="s">
        <v>1606</v>
      </c>
      <c r="C19" s="1036"/>
      <c r="D19" s="1037"/>
      <c r="E19" s="147"/>
    </row>
    <row r="20" spans="1:6" ht="13.5" customHeight="1" x14ac:dyDescent="0.25">
      <c r="A20" s="33"/>
      <c r="B20" s="173" t="s">
        <v>9</v>
      </c>
      <c r="C20" s="174"/>
      <c r="D20" s="175"/>
      <c r="E20" s="147"/>
    </row>
    <row r="21" spans="1:6" ht="13.5" customHeight="1" x14ac:dyDescent="0.25">
      <c r="A21" s="176"/>
      <c r="B21" s="177" t="s">
        <v>10</v>
      </c>
      <c r="C21" s="169"/>
      <c r="D21" s="41"/>
      <c r="E21" s="169"/>
    </row>
    <row r="22" spans="1:6" ht="13.5" customHeight="1" x14ac:dyDescent="0.25">
      <c r="A22" s="178"/>
      <c r="B22" s="40" t="s">
        <v>11</v>
      </c>
      <c r="D22" s="41"/>
    </row>
    <row r="23" spans="1:6" ht="15" x14ac:dyDescent="0.25">
      <c r="A23" s="178"/>
      <c r="B23" s="131" t="s">
        <v>12</v>
      </c>
      <c r="D23" s="41"/>
    </row>
    <row r="24" spans="1:6" ht="15" x14ac:dyDescent="0.25">
      <c r="A24" s="178"/>
      <c r="B24" s="131" t="s">
        <v>13</v>
      </c>
      <c r="D24" s="41"/>
    </row>
    <row r="25" spans="1:6" ht="15" x14ac:dyDescent="0.25">
      <c r="A25" s="178"/>
      <c r="B25" s="131" t="s">
        <v>14</v>
      </c>
      <c r="D25" s="41"/>
    </row>
    <row r="26" spans="1:6" ht="13.8" x14ac:dyDescent="0.25">
      <c r="A26" s="129"/>
      <c r="B26" s="40" t="s">
        <v>15</v>
      </c>
    </row>
    <row r="27" spans="1:6" ht="15" x14ac:dyDescent="0.25">
      <c r="A27" s="178"/>
      <c r="B27" s="36" t="s">
        <v>42</v>
      </c>
    </row>
    <row r="28" spans="1:6" ht="13.5" customHeight="1" x14ac:dyDescent="0.25">
      <c r="A28" s="178"/>
      <c r="B28" s="36" t="s">
        <v>43</v>
      </c>
      <c r="C28" s="38"/>
      <c r="D28" s="39"/>
    </row>
    <row r="29" spans="1:6" ht="13.5" customHeight="1" x14ac:dyDescent="0.25">
      <c r="A29" s="178"/>
      <c r="B29" s="40" t="s">
        <v>18</v>
      </c>
      <c r="C29" s="38"/>
      <c r="D29" s="39"/>
    </row>
    <row r="30" spans="1:6" ht="15" x14ac:dyDescent="0.25">
      <c r="A30" s="178"/>
      <c r="B30" s="134" t="s">
        <v>1603</v>
      </c>
      <c r="C30" s="38"/>
      <c r="D30" s="38"/>
    </row>
    <row r="31" spans="1:6" ht="15" x14ac:dyDescent="0.25">
      <c r="A31" s="178"/>
      <c r="B31" s="135" t="s">
        <v>20</v>
      </c>
      <c r="C31" s="38"/>
      <c r="D31" s="38"/>
    </row>
    <row r="32" spans="1:6" ht="13.8" x14ac:dyDescent="0.25">
      <c r="A32" s="129"/>
      <c r="B32" s="40" t="s">
        <v>21</v>
      </c>
      <c r="D32" s="41"/>
    </row>
    <row r="33" spans="1:4" ht="15" x14ac:dyDescent="0.25">
      <c r="A33" s="178"/>
      <c r="B33" s="179" t="s">
        <v>566</v>
      </c>
      <c r="C33" s="38"/>
      <c r="D33" s="39"/>
    </row>
    <row r="34" spans="1:4" ht="15" x14ac:dyDescent="0.25">
      <c r="A34" s="178"/>
      <c r="B34" s="131" t="s">
        <v>44</v>
      </c>
      <c r="C34" s="38"/>
      <c r="D34" s="39"/>
    </row>
    <row r="35" spans="1:4" ht="33.6" x14ac:dyDescent="0.25">
      <c r="A35" s="182" t="s">
        <v>0</v>
      </c>
      <c r="B35" s="183" t="s">
        <v>23</v>
      </c>
      <c r="C35" s="38"/>
      <c r="D35" s="38"/>
    </row>
    <row r="36" spans="1:4" ht="16.8" x14ac:dyDescent="0.4">
      <c r="A36" s="43"/>
      <c r="B36" s="44"/>
      <c r="C36" s="45"/>
      <c r="D36" s="45"/>
    </row>
    <row r="37" spans="1:4" x14ac:dyDescent="0.25">
      <c r="A37" s="46"/>
      <c r="B37" s="47"/>
      <c r="C37" s="47"/>
      <c r="D37" s="1"/>
    </row>
    <row r="38" spans="1:4" x14ac:dyDescent="0.25">
      <c r="A38" s="46"/>
      <c r="B38" s="47"/>
      <c r="C38" s="47"/>
      <c r="D38" s="1"/>
    </row>
    <row r="39" spans="1:4" x14ac:dyDescent="0.25">
      <c r="A39" s="48"/>
      <c r="B39" s="49"/>
      <c r="C39" s="47"/>
      <c r="D39" s="1"/>
    </row>
    <row r="40" spans="1:4" ht="15" x14ac:dyDescent="0.35">
      <c r="A40" s="50" t="s">
        <v>0</v>
      </c>
      <c r="B40" s="51"/>
      <c r="C40" s="47"/>
      <c r="D40" s="47"/>
    </row>
    <row r="41" spans="1:4" x14ac:dyDescent="0.25">
      <c r="A41" s="1" t="s">
        <v>0</v>
      </c>
    </row>
    <row r="45" spans="1:4" ht="13.5" customHeight="1" x14ac:dyDescent="0.25"/>
    <row r="53" ht="15.75" customHeight="1" x14ac:dyDescent="0.25"/>
    <row r="58" ht="16.5" customHeight="1" x14ac:dyDescent="0.25"/>
    <row r="63" ht="15" customHeight="1" x14ac:dyDescent="0.25"/>
  </sheetData>
  <mergeCells count="3">
    <mergeCell ref="A4:D4"/>
    <mergeCell ref="A12:D12"/>
    <mergeCell ref="B19:D19"/>
  </mergeCells>
  <printOptions horizontalCentered="1"/>
  <pageMargins left="0.25" right="0.25" top="0.75" bottom="0.75" header="0.3" footer="0.3"/>
  <pageSetup paperSize="9" scale="58" orientation="portrait" r:id="rId1"/>
  <headerFooter alignWithMargins="0">
    <oddFooter>Página &amp;P de &amp;N</oddFooter>
  </headerFooter>
  <drawing r:id="rId2"/>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3165-1764-48A8-9422-76ABDE114503}">
  <sheetPr>
    <tabColor theme="4" tint="-0.249977111117893"/>
  </sheetPr>
  <dimension ref="A1:I55"/>
  <sheetViews>
    <sheetView topLeftCell="A2" zoomScaleNormal="100" workbookViewId="0">
      <selection activeCell="A12" sqref="A12:D24"/>
    </sheetView>
  </sheetViews>
  <sheetFormatPr baseColWidth="10" defaultColWidth="11.44140625" defaultRowHeight="13.2" x14ac:dyDescent="0.25"/>
  <cols>
    <col min="1" max="1" width="6.44140625" style="108" customWidth="1"/>
    <col min="2" max="2" width="67.33203125" style="108" customWidth="1"/>
    <col min="3" max="3" width="11.109375" style="107" bestFit="1" customWidth="1"/>
    <col min="4" max="4" width="12.44140625" style="107" customWidth="1"/>
    <col min="5" max="16384" width="11.44140625" style="108"/>
  </cols>
  <sheetData>
    <row r="1" spans="1:9" ht="81" customHeight="1" x14ac:dyDescent="0.25">
      <c r="A1" s="108" t="s">
        <v>0</v>
      </c>
      <c r="C1" s="185"/>
    </row>
    <row r="2" spans="1:9" ht="9" customHeight="1" x14ac:dyDescent="0.25">
      <c r="C2" s="185"/>
    </row>
    <row r="3" spans="1:9" ht="9" customHeight="1" x14ac:dyDescent="0.25">
      <c r="C3" s="185"/>
    </row>
    <row r="4" spans="1:9" s="10" customFormat="1" ht="16.8" x14ac:dyDescent="0.4">
      <c r="A4" s="57" t="s">
        <v>1035</v>
      </c>
      <c r="C4" s="58"/>
      <c r="D4" s="58"/>
    </row>
    <row r="5" spans="1:9" s="10" customFormat="1" ht="16.8" x14ac:dyDescent="0.4">
      <c r="A5" s="57" t="s">
        <v>1036</v>
      </c>
      <c r="C5" s="58"/>
      <c r="D5" s="58"/>
    </row>
    <row r="6" spans="1:9" s="10" customFormat="1" ht="16.8" x14ac:dyDescent="0.4">
      <c r="A6" s="57" t="s">
        <v>1037</v>
      </c>
      <c r="C6" s="59"/>
      <c r="D6" s="58"/>
    </row>
    <row r="7" spans="1:9" s="10" customFormat="1" ht="16.8" x14ac:dyDescent="0.4">
      <c r="A7" s="57" t="s">
        <v>1038</v>
      </c>
      <c r="C7" s="59"/>
      <c r="D7" s="58"/>
    </row>
    <row r="8" spans="1:9" s="10" customFormat="1" ht="16.8" x14ac:dyDescent="0.4">
      <c r="A8" s="57" t="s">
        <v>6</v>
      </c>
      <c r="B8" s="61"/>
      <c r="C8" s="62"/>
      <c r="D8" s="63"/>
    </row>
    <row r="9" spans="1:9" s="10" customFormat="1" ht="16.8" x14ac:dyDescent="0.4">
      <c r="A9" s="60" t="s">
        <v>1374</v>
      </c>
      <c r="B9" s="61"/>
      <c r="C9" s="62"/>
      <c r="D9" s="63"/>
    </row>
    <row r="10" spans="1:9" s="10" customFormat="1" ht="26.4" x14ac:dyDescent="0.4">
      <c r="A10" s="372" t="s">
        <v>29</v>
      </c>
      <c r="B10" s="372" t="s">
        <v>175</v>
      </c>
      <c r="C10" s="373" t="s">
        <v>31</v>
      </c>
      <c r="D10" s="373" t="s">
        <v>32</v>
      </c>
      <c r="E10" s="108"/>
    </row>
    <row r="11" spans="1:9" s="10" customFormat="1" ht="9" customHeight="1" x14ac:dyDescent="0.4">
      <c r="A11" s="235"/>
      <c r="B11" s="236"/>
      <c r="C11" s="237"/>
      <c r="D11" s="237"/>
      <c r="E11" s="190"/>
      <c r="F11" s="108"/>
    </row>
    <row r="12" spans="1:9" s="10" customFormat="1" ht="15" customHeight="1" x14ac:dyDescent="0.4">
      <c r="A12" s="374">
        <v>1</v>
      </c>
      <c r="B12" s="375" t="s">
        <v>1033</v>
      </c>
      <c r="C12" s="376">
        <f>90*200</f>
        <v>18000</v>
      </c>
      <c r="D12" s="377">
        <f>A12*C12</f>
        <v>18000</v>
      </c>
      <c r="E12" s="190"/>
      <c r="F12" s="191"/>
    </row>
    <row r="13" spans="1:9" s="10" customFormat="1" ht="16.8" x14ac:dyDescent="0.4">
      <c r="A13" s="378"/>
      <c r="B13" s="379" t="s">
        <v>374</v>
      </c>
      <c r="C13" s="376"/>
      <c r="D13" s="377"/>
      <c r="E13" s="190"/>
      <c r="F13" s="191"/>
      <c r="G13" s="188"/>
      <c r="H13" s="188"/>
      <c r="I13" s="188"/>
    </row>
    <row r="14" spans="1:9" s="10" customFormat="1" ht="16.8" x14ac:dyDescent="0.4">
      <c r="A14" s="378"/>
      <c r="B14" s="379" t="s">
        <v>376</v>
      </c>
      <c r="C14" s="376"/>
      <c r="D14" s="377"/>
      <c r="E14" s="190"/>
      <c r="F14" s="191"/>
      <c r="G14" s="108"/>
      <c r="H14" s="108"/>
      <c r="I14" s="108"/>
    </row>
    <row r="15" spans="1:9" s="188" customFormat="1" ht="14.4" x14ac:dyDescent="0.3">
      <c r="A15" s="378"/>
      <c r="B15" s="379" t="s">
        <v>986</v>
      </c>
      <c r="C15" s="376"/>
      <c r="D15" s="377"/>
      <c r="E15" s="190"/>
      <c r="F15" s="276"/>
      <c r="G15" s="191"/>
      <c r="H15" s="191"/>
      <c r="I15" s="191"/>
    </row>
    <row r="16" spans="1:9" ht="14.4" x14ac:dyDescent="0.3">
      <c r="A16" s="380">
        <v>1</v>
      </c>
      <c r="B16" s="379" t="s">
        <v>1032</v>
      </c>
      <c r="C16" s="381">
        <v>7200</v>
      </c>
      <c r="D16" s="377">
        <f>A16*C16</f>
        <v>7200</v>
      </c>
      <c r="E16" s="190"/>
    </row>
    <row r="17" spans="1:6" s="191" customFormat="1" ht="15.75" customHeight="1" x14ac:dyDescent="0.3">
      <c r="A17" s="380"/>
      <c r="B17" s="379" t="s">
        <v>1040</v>
      </c>
      <c r="C17" s="381"/>
      <c r="D17" s="377"/>
      <c r="E17" s="190"/>
      <c r="F17" s="189"/>
    </row>
    <row r="18" spans="1:6" ht="14.4" x14ac:dyDescent="0.3">
      <c r="A18" s="380"/>
      <c r="B18" s="379" t="s">
        <v>1039</v>
      </c>
      <c r="C18" s="381"/>
      <c r="D18" s="377"/>
      <c r="E18" s="191"/>
      <c r="F18" s="190"/>
    </row>
    <row r="19" spans="1:6" x14ac:dyDescent="0.25">
      <c r="A19" s="286"/>
      <c r="B19" s="206"/>
      <c r="C19" s="382" t="s">
        <v>188</v>
      </c>
      <c r="D19" s="606">
        <f>SUM(D12:D18)</f>
        <v>25200</v>
      </c>
      <c r="E19" s="189"/>
    </row>
    <row r="20" spans="1:6" x14ac:dyDescent="0.25">
      <c r="A20" s="102"/>
      <c r="B20" s="383" t="s">
        <v>993</v>
      </c>
      <c r="C20" s="384" t="s">
        <v>90</v>
      </c>
      <c r="D20" s="607">
        <f>D19*0.16</f>
        <v>4032</v>
      </c>
      <c r="E20" s="189"/>
    </row>
    <row r="21" spans="1:6" x14ac:dyDescent="0.25">
      <c r="A21" s="102"/>
      <c r="B21" s="385" t="s">
        <v>381</v>
      </c>
      <c r="C21" s="386" t="s">
        <v>40</v>
      </c>
      <c r="D21" s="608">
        <f>D19+D20</f>
        <v>29232</v>
      </c>
      <c r="E21" s="189"/>
    </row>
    <row r="22" spans="1:6" x14ac:dyDescent="0.25">
      <c r="A22" s="102"/>
      <c r="B22" s="769"/>
      <c r="C22" s="197" t="s">
        <v>1380</v>
      </c>
      <c r="D22" s="770">
        <v>10000</v>
      </c>
      <c r="E22" s="189"/>
    </row>
    <row r="23" spans="1:6" ht="13.8" thickBot="1" x14ac:dyDescent="0.3">
      <c r="A23" s="102"/>
      <c r="B23" s="769"/>
      <c r="C23" s="197" t="s">
        <v>699</v>
      </c>
      <c r="D23" s="770">
        <f>D21-D22</f>
        <v>19232</v>
      </c>
      <c r="E23" s="189"/>
    </row>
    <row r="24" spans="1:6" ht="13.8" thickBot="1" x14ac:dyDescent="0.3">
      <c r="A24" s="276"/>
      <c r="B24" s="1050" t="s">
        <v>1381</v>
      </c>
      <c r="C24" s="1051"/>
      <c r="D24" s="1052"/>
      <c r="E24" s="189"/>
    </row>
    <row r="25" spans="1:6" ht="17.399999999999999" x14ac:dyDescent="0.25">
      <c r="A25" s="383"/>
      <c r="B25" s="387" t="s">
        <v>10</v>
      </c>
      <c r="C25" s="388"/>
      <c r="D25" s="389"/>
      <c r="E25" s="392"/>
    </row>
    <row r="26" spans="1:6" ht="15" x14ac:dyDescent="0.25">
      <c r="A26" s="390"/>
      <c r="B26" s="103" t="s">
        <v>11</v>
      </c>
      <c r="C26" s="388"/>
      <c r="D26" s="389"/>
      <c r="E26" s="392"/>
    </row>
    <row r="27" spans="1:6" ht="15" x14ac:dyDescent="0.25">
      <c r="A27" s="390"/>
      <c r="B27" s="123" t="s">
        <v>13</v>
      </c>
      <c r="C27" s="391"/>
      <c r="D27" s="389"/>
      <c r="E27" s="392"/>
    </row>
    <row r="28" spans="1:6" ht="13.8" x14ac:dyDescent="0.25">
      <c r="A28" s="392"/>
      <c r="B28" s="103" t="s">
        <v>15</v>
      </c>
      <c r="C28" s="391"/>
      <c r="D28" s="391"/>
      <c r="E28" s="392"/>
    </row>
    <row r="29" spans="1:6" ht="27.6" x14ac:dyDescent="0.25">
      <c r="A29" s="390"/>
      <c r="B29" s="295" t="s">
        <v>192</v>
      </c>
      <c r="C29" s="393"/>
      <c r="D29" s="394"/>
      <c r="E29" s="392"/>
    </row>
    <row r="30" spans="1:6" ht="41.4" x14ac:dyDescent="0.25">
      <c r="A30" s="390"/>
      <c r="B30" s="295" t="s">
        <v>43</v>
      </c>
      <c r="C30" s="393"/>
      <c r="D30" s="394"/>
      <c r="E30" s="392"/>
    </row>
    <row r="31" spans="1:6" ht="15" x14ac:dyDescent="0.25">
      <c r="A31" s="390"/>
      <c r="B31" s="103" t="s">
        <v>18</v>
      </c>
      <c r="C31" s="393"/>
      <c r="D31" s="391"/>
      <c r="E31" s="392"/>
    </row>
    <row r="32" spans="1:6" ht="15" x14ac:dyDescent="0.25">
      <c r="A32" s="390"/>
      <c r="B32" s="313" t="s">
        <v>1034</v>
      </c>
      <c r="C32" s="393"/>
      <c r="D32" s="391"/>
      <c r="E32" s="392"/>
    </row>
    <row r="33" spans="1:5" ht="15" x14ac:dyDescent="0.25">
      <c r="A33" s="390"/>
      <c r="B33" s="297" t="s">
        <v>20</v>
      </c>
      <c r="C33" s="393"/>
      <c r="D33" s="392"/>
      <c r="E33" s="392"/>
    </row>
    <row r="34" spans="1:5" ht="13.5" customHeight="1" x14ac:dyDescent="0.25">
      <c r="A34" s="392"/>
      <c r="B34" s="103" t="s">
        <v>21</v>
      </c>
      <c r="C34" s="393"/>
      <c r="D34" s="392"/>
      <c r="E34" s="392"/>
    </row>
    <row r="35" spans="1:5" ht="15.75" customHeight="1" x14ac:dyDescent="0.25">
      <c r="A35" s="390"/>
      <c r="B35" s="122" t="s">
        <v>52</v>
      </c>
      <c r="C35" s="395"/>
      <c r="D35" s="392"/>
      <c r="E35" s="392"/>
    </row>
    <row r="36" spans="1:5" ht="13.5" customHeight="1" x14ac:dyDescent="0.25">
      <c r="A36" s="390"/>
      <c r="B36" s="123" t="s">
        <v>44</v>
      </c>
      <c r="C36" s="395"/>
      <c r="D36" s="395"/>
      <c r="E36" s="392"/>
    </row>
    <row r="37" spans="1:5" ht="12" customHeight="1" x14ac:dyDescent="0.25">
      <c r="A37" s="390"/>
      <c r="B37" s="123" t="s">
        <v>1377</v>
      </c>
      <c r="C37" s="391"/>
      <c r="D37" s="395"/>
      <c r="E37" s="392"/>
    </row>
    <row r="38" spans="1:5" ht="11.25" customHeight="1" x14ac:dyDescent="0.25"/>
    <row r="41" spans="1:5" ht="14.25" customHeight="1" x14ac:dyDescent="0.25"/>
    <row r="43" spans="1:5" ht="16.5" customHeight="1" x14ac:dyDescent="0.25"/>
    <row r="46" spans="1:5" ht="12.75" customHeight="1" x14ac:dyDescent="0.25"/>
    <row r="47" spans="1:5" ht="13.5" customHeight="1" x14ac:dyDescent="0.25"/>
    <row r="50" ht="16.5" customHeight="1" x14ac:dyDescent="0.25"/>
    <row r="54" ht="24" customHeight="1" x14ac:dyDescent="0.25"/>
    <row r="55" ht="24" customHeight="1" x14ac:dyDescent="0.25"/>
  </sheetData>
  <mergeCells count="1">
    <mergeCell ref="B24:D24"/>
  </mergeCells>
  <printOptions horizontalCentered="1"/>
  <pageMargins left="0.25" right="0.25" top="0.75" bottom="0.75" header="0.3" footer="0.3"/>
  <pageSetup paperSize="9" orientation="portrait" r:id="rId1"/>
  <headerFooter alignWithMargins="0">
    <oddFooter>Página &amp;P de &amp;N</oddFooter>
  </headerFooter>
  <drawing r:id="rId2"/>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3396-57A1-49C3-8B0E-0164D7BC194F}">
  <sheetPr>
    <pageSetUpPr fitToPage="1"/>
  </sheetPr>
  <dimension ref="A1:F69"/>
  <sheetViews>
    <sheetView topLeftCell="A12" zoomScaleNormal="100" workbookViewId="0">
      <selection activeCell="A22" sqref="A22:D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1374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1376</v>
      </c>
      <c r="C17" s="82">
        <f>(119920)*(1.33)</f>
        <v>159493.6</v>
      </c>
      <c r="D17" s="83">
        <f t="shared" ref="D17:D19" si="0">A17*C17</f>
        <v>159493.6</v>
      </c>
      <c r="E17" s="76"/>
    </row>
    <row r="18" spans="1:6" ht="33.75" customHeight="1" x14ac:dyDescent="0.25">
      <c r="A18" s="77">
        <v>1</v>
      </c>
      <c r="B18" s="81" t="s">
        <v>612</v>
      </c>
      <c r="C18" s="82">
        <f>(625.11*20.56)*1.3+(4500)</f>
        <v>21207.94008</v>
      </c>
      <c r="D18" s="83">
        <f t="shared" si="0"/>
        <v>21207.94008</v>
      </c>
      <c r="E18" s="76"/>
    </row>
    <row r="19" spans="1:6" ht="15.6" x14ac:dyDescent="0.25">
      <c r="A19" s="77">
        <v>1</v>
      </c>
      <c r="B19" s="81" t="s">
        <v>1049</v>
      </c>
      <c r="C19" s="82">
        <v>6400</v>
      </c>
      <c r="D19" s="83">
        <f t="shared" si="0"/>
        <v>6400</v>
      </c>
      <c r="E19" s="76"/>
    </row>
    <row r="20" spans="1:6" ht="30" x14ac:dyDescent="0.25">
      <c r="A20" s="72">
        <v>1</v>
      </c>
      <c r="B20" s="73" t="s">
        <v>33</v>
      </c>
      <c r="C20" s="74">
        <v>4600</v>
      </c>
      <c r="D20" s="75">
        <f>A20*C20</f>
        <v>4600</v>
      </c>
      <c r="E20" s="76"/>
    </row>
    <row r="21" spans="1:6" ht="15.6" x14ac:dyDescent="0.25">
      <c r="A21" s="84">
        <v>205</v>
      </c>
      <c r="B21" s="85" t="s">
        <v>34</v>
      </c>
      <c r="C21" s="86">
        <v>16.12</v>
      </c>
      <c r="D21" s="87">
        <f>A21*C21</f>
        <v>3304.6000000000004</v>
      </c>
      <c r="E21" s="76"/>
    </row>
    <row r="22" spans="1:6" ht="30" x14ac:dyDescent="0.25">
      <c r="A22" s="72">
        <v>1</v>
      </c>
      <c r="B22" s="73" t="s">
        <v>1056</v>
      </c>
      <c r="C22" s="74">
        <v>5800</v>
      </c>
      <c r="D22" s="75">
        <f>A22*C22</f>
        <v>5800</v>
      </c>
      <c r="E22" s="76"/>
    </row>
    <row r="23" spans="1:6" ht="15.6" x14ac:dyDescent="0.25">
      <c r="A23" s="72">
        <v>1</v>
      </c>
      <c r="B23" s="73" t="s">
        <v>36</v>
      </c>
      <c r="C23" s="74">
        <v>2498</v>
      </c>
      <c r="D23" s="75">
        <f>A23*C23</f>
        <v>2498</v>
      </c>
      <c r="E23" s="76"/>
    </row>
    <row r="24" spans="1:6" ht="45" x14ac:dyDescent="0.25">
      <c r="A24" s="72">
        <v>1</v>
      </c>
      <c r="B24" s="73" t="s">
        <v>1044</v>
      </c>
      <c r="C24" s="74">
        <v>21000</v>
      </c>
      <c r="D24" s="75">
        <f>A24*C24</f>
        <v>21000</v>
      </c>
    </row>
    <row r="25" spans="1:6" ht="15.6" x14ac:dyDescent="0.25">
      <c r="A25" s="72"/>
      <c r="B25" s="75"/>
      <c r="C25" s="75"/>
      <c r="D25" s="75"/>
      <c r="E25" s="96"/>
    </row>
    <row r="26" spans="1:6" ht="18.75" customHeight="1" x14ac:dyDescent="0.25">
      <c r="A26" s="89"/>
      <c r="B26" s="90"/>
      <c r="C26" s="91" t="s">
        <v>38</v>
      </c>
      <c r="D26" s="75">
        <f>SUM(D16:D24)</f>
        <v>259704.14008000001</v>
      </c>
      <c r="E26" s="96"/>
    </row>
    <row r="27" spans="1:6" ht="15.6" x14ac:dyDescent="0.3">
      <c r="A27" s="92"/>
      <c r="B27" s="90"/>
      <c r="C27" s="93" t="s">
        <v>39</v>
      </c>
      <c r="D27" s="75">
        <f>D26*0.16</f>
        <v>41552.662412800004</v>
      </c>
    </row>
    <row r="28" spans="1:6" ht="15.75" customHeight="1" thickBot="1" x14ac:dyDescent="0.35">
      <c r="A28" s="92"/>
      <c r="B28" s="90"/>
      <c r="C28" s="94" t="s">
        <v>40</v>
      </c>
      <c r="D28" s="95">
        <f>D26+D27</f>
        <v>301256.80249279999</v>
      </c>
      <c r="F28" s="96"/>
    </row>
    <row r="29" spans="1:6" s="96" customFormat="1" ht="16.2" thickBot="1" x14ac:dyDescent="0.3">
      <c r="A29" s="92"/>
      <c r="B29" s="1023" t="s">
        <v>1378</v>
      </c>
      <c r="C29" s="1024"/>
      <c r="D29" s="1025"/>
      <c r="E29" s="52"/>
    </row>
    <row r="30" spans="1:6" s="96" customFormat="1" ht="15.75" customHeight="1" x14ac:dyDescent="0.25">
      <c r="A30" s="52"/>
      <c r="B30" s="370" t="s">
        <v>9</v>
      </c>
      <c r="C30" s="98"/>
      <c r="D30" s="99"/>
      <c r="E30" s="52"/>
      <c r="F30" s="52"/>
    </row>
    <row r="31" spans="1:6" ht="13.5" customHeight="1" x14ac:dyDescent="0.25">
      <c r="B31" s="124" t="s">
        <v>484</v>
      </c>
      <c r="C31" s="76"/>
      <c r="D31" s="96"/>
    </row>
    <row r="32" spans="1:6" ht="13.8" x14ac:dyDescent="0.25">
      <c r="A32" s="96"/>
      <c r="B32" s="103" t="s">
        <v>11</v>
      </c>
      <c r="C32" s="96"/>
      <c r="D32" s="96"/>
    </row>
    <row r="33" spans="1:4" ht="13.5" customHeight="1" x14ac:dyDescent="0.25">
      <c r="A33" s="101"/>
      <c r="B33" s="123" t="s">
        <v>12</v>
      </c>
      <c r="C33" s="52"/>
      <c r="D33" s="52"/>
    </row>
    <row r="34" spans="1:4" ht="15" x14ac:dyDescent="0.25">
      <c r="A34" s="101"/>
      <c r="B34" s="123" t="s">
        <v>13</v>
      </c>
      <c r="C34" s="52"/>
      <c r="D34" s="52"/>
    </row>
    <row r="35" spans="1:4" ht="15" x14ac:dyDescent="0.25">
      <c r="A35" s="101"/>
      <c r="B35" s="123" t="s">
        <v>14</v>
      </c>
      <c r="C35" s="52"/>
      <c r="D35" s="52"/>
    </row>
    <row r="36" spans="1:4" ht="13.5" customHeight="1" x14ac:dyDescent="0.25">
      <c r="A36" s="102"/>
      <c r="B36" s="103" t="s">
        <v>15</v>
      </c>
      <c r="C36" s="52"/>
      <c r="D36" s="52"/>
    </row>
    <row r="37" spans="1:4" ht="13.5" customHeight="1" x14ac:dyDescent="0.25">
      <c r="A37" s="102"/>
      <c r="B37" s="295" t="s">
        <v>42</v>
      </c>
      <c r="C37" s="104"/>
      <c r="D37" s="105"/>
    </row>
    <row r="38" spans="1:4" ht="13.5" customHeight="1" x14ac:dyDescent="0.25">
      <c r="A38" s="106"/>
      <c r="B38" s="295" t="s">
        <v>43</v>
      </c>
      <c r="C38" s="104"/>
      <c r="D38" s="105"/>
    </row>
    <row r="39" spans="1:4" ht="13.5" customHeight="1" x14ac:dyDescent="0.25">
      <c r="A39" s="106"/>
      <c r="B39" s="103" t="s">
        <v>18</v>
      </c>
      <c r="C39" s="107"/>
      <c r="D39" s="105"/>
    </row>
    <row r="40" spans="1:4" ht="13.5" customHeight="1" x14ac:dyDescent="0.25">
      <c r="A40" s="106"/>
      <c r="B40" s="313" t="s">
        <v>410</v>
      </c>
      <c r="C40" s="107"/>
      <c r="D40" s="105"/>
    </row>
    <row r="41" spans="1:4" ht="15" x14ac:dyDescent="0.25">
      <c r="A41" s="106"/>
      <c r="B41" s="297" t="s">
        <v>20</v>
      </c>
      <c r="C41" s="107"/>
      <c r="D41" s="105"/>
    </row>
    <row r="42" spans="1:4" ht="13.8" x14ac:dyDescent="0.25">
      <c r="A42" s="108"/>
      <c r="B42" s="103" t="s">
        <v>21</v>
      </c>
      <c r="C42" s="107"/>
      <c r="D42" s="105"/>
    </row>
    <row r="43" spans="1:4" ht="15" x14ac:dyDescent="0.25">
      <c r="A43" s="106"/>
      <c r="B43" s="122" t="s">
        <v>1375</v>
      </c>
      <c r="C43" s="107"/>
      <c r="D43" s="107"/>
    </row>
    <row r="44" spans="1:4" ht="15" x14ac:dyDescent="0.25">
      <c r="A44" s="106"/>
      <c r="B44" s="123" t="s">
        <v>44</v>
      </c>
      <c r="C44" s="107"/>
      <c r="D44" s="107"/>
    </row>
    <row r="45" spans="1:4" ht="15" x14ac:dyDescent="0.25">
      <c r="A45" s="106"/>
      <c r="B45" s="123" t="s">
        <v>45</v>
      </c>
      <c r="C45" s="109"/>
      <c r="D45" s="110"/>
    </row>
    <row r="46" spans="1:4" ht="33.6" x14ac:dyDescent="0.25">
      <c r="A46" s="106"/>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56" orientation="portrait" r:id="rId1"/>
  <drawing r:id="rId2"/>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2741-8604-477C-B4FD-E90036B77D74}">
  <sheetPr>
    <pageSetUpPr fitToPage="1"/>
  </sheetPr>
  <dimension ref="A1:F69"/>
  <sheetViews>
    <sheetView topLeftCell="A10" zoomScaleNormal="100" workbookViewId="0">
      <selection activeCell="A17" sqref="A17:D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1374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1373</v>
      </c>
      <c r="C17" s="82">
        <f>(2447*19.5)*(1.3)</f>
        <v>62031.450000000004</v>
      </c>
      <c r="D17" s="83">
        <f t="shared" ref="D17" si="0">A17*C17</f>
        <v>62031.450000000004</v>
      </c>
      <c r="E17" s="76"/>
    </row>
    <row r="18" spans="1:6" ht="30" x14ac:dyDescent="0.25">
      <c r="A18" s="77">
        <v>1</v>
      </c>
      <c r="B18" s="81" t="s">
        <v>612</v>
      </c>
      <c r="C18" s="82">
        <f>(625.11*20.56)*1.3+(4500)</f>
        <v>21207.94008</v>
      </c>
      <c r="D18" s="83">
        <f t="shared" ref="D18:D19" si="1">A18*C18</f>
        <v>21207.94008</v>
      </c>
      <c r="E18" s="76"/>
    </row>
    <row r="19" spans="1:6" ht="15.6" x14ac:dyDescent="0.25">
      <c r="A19" s="77">
        <v>1</v>
      </c>
      <c r="B19" s="81" t="s">
        <v>1049</v>
      </c>
      <c r="C19" s="82">
        <v>6400</v>
      </c>
      <c r="D19" s="83">
        <f t="shared" si="1"/>
        <v>6400</v>
      </c>
      <c r="E19" s="76"/>
    </row>
    <row r="20" spans="1:6" ht="30" x14ac:dyDescent="0.25">
      <c r="A20" s="72">
        <v>1</v>
      </c>
      <c r="B20" s="73" t="s">
        <v>33</v>
      </c>
      <c r="C20" s="74">
        <v>4600</v>
      </c>
      <c r="D20" s="75">
        <f>A20*C20</f>
        <v>4600</v>
      </c>
      <c r="E20" s="76"/>
    </row>
    <row r="21" spans="1:6" ht="15.6" x14ac:dyDescent="0.25">
      <c r="A21" s="84">
        <v>205</v>
      </c>
      <c r="B21" s="85" t="s">
        <v>34</v>
      </c>
      <c r="C21" s="86">
        <v>18.399999999999999</v>
      </c>
      <c r="D21" s="87">
        <f>A21*C21</f>
        <v>3771.9999999999995</v>
      </c>
      <c r="E21" s="76"/>
    </row>
    <row r="22" spans="1:6" ht="15.6" x14ac:dyDescent="0.25">
      <c r="A22" s="72">
        <v>1</v>
      </c>
      <c r="B22" s="73" t="s">
        <v>36</v>
      </c>
      <c r="C22" s="74">
        <v>2489</v>
      </c>
      <c r="D22" s="75">
        <f>A22*C22</f>
        <v>2489</v>
      </c>
      <c r="E22" s="76"/>
    </row>
    <row r="23" spans="1:6" ht="30" x14ac:dyDescent="0.25">
      <c r="A23" s="72">
        <v>1</v>
      </c>
      <c r="B23" s="73" t="s">
        <v>1056</v>
      </c>
      <c r="C23" s="74">
        <v>5800</v>
      </c>
      <c r="D23" s="75">
        <f>A23*C23</f>
        <v>5800</v>
      </c>
      <c r="E23" s="76"/>
    </row>
    <row r="24" spans="1:6" ht="45" x14ac:dyDescent="0.25">
      <c r="A24" s="72">
        <v>1</v>
      </c>
      <c r="B24" s="73" t="s">
        <v>1044</v>
      </c>
      <c r="C24" s="74">
        <v>21000</v>
      </c>
      <c r="D24" s="75">
        <f>A24*C24</f>
        <v>21000</v>
      </c>
    </row>
    <row r="25" spans="1:6" ht="15.6" x14ac:dyDescent="0.25">
      <c r="A25" s="72"/>
      <c r="B25" s="75"/>
      <c r="C25" s="75"/>
      <c r="D25" s="75"/>
      <c r="E25" s="96"/>
    </row>
    <row r="26" spans="1:6" ht="18.75" customHeight="1" x14ac:dyDescent="0.25">
      <c r="A26" s="89"/>
      <c r="B26" s="90"/>
      <c r="C26" s="91" t="s">
        <v>38</v>
      </c>
      <c r="D26" s="75">
        <f>SUM(D16:D24)</f>
        <v>162700.39008000001</v>
      </c>
      <c r="E26" s="96"/>
    </row>
    <row r="27" spans="1:6" ht="15.6" x14ac:dyDescent="0.3">
      <c r="A27" s="92"/>
      <c r="B27" s="90"/>
      <c r="C27" s="93" t="s">
        <v>39</v>
      </c>
      <c r="D27" s="75">
        <f>D26*0.16</f>
        <v>26032.062412800002</v>
      </c>
    </row>
    <row r="28" spans="1:6" ht="15.75" customHeight="1" thickBot="1" x14ac:dyDescent="0.35">
      <c r="A28" s="92"/>
      <c r="B28" s="90"/>
      <c r="C28" s="94" t="s">
        <v>40</v>
      </c>
      <c r="D28" s="95">
        <f>D26+D27</f>
        <v>188732.45249280002</v>
      </c>
      <c r="F28" s="96"/>
    </row>
    <row r="29" spans="1:6" s="96" customFormat="1" ht="16.2" thickBot="1" x14ac:dyDescent="0.3">
      <c r="A29" s="92"/>
      <c r="B29" s="1023" t="s">
        <v>1379</v>
      </c>
      <c r="C29" s="1024"/>
      <c r="D29" s="1025"/>
      <c r="E29" s="52"/>
    </row>
    <row r="30" spans="1:6" s="96" customFormat="1" ht="15.75" customHeight="1" x14ac:dyDescent="0.25">
      <c r="A30" s="52"/>
      <c r="B30" s="370" t="s">
        <v>9</v>
      </c>
      <c r="C30" s="98"/>
      <c r="D30" s="99"/>
      <c r="E30" s="52"/>
      <c r="F30" s="52"/>
    </row>
    <row r="31" spans="1:6" ht="13.5" customHeight="1" x14ac:dyDescent="0.25">
      <c r="B31" s="124" t="s">
        <v>484</v>
      </c>
      <c r="C31" s="76"/>
      <c r="D31" s="96"/>
    </row>
    <row r="32" spans="1:6" ht="13.8" x14ac:dyDescent="0.25">
      <c r="A32" s="96"/>
      <c r="B32" s="103" t="s">
        <v>11</v>
      </c>
      <c r="C32" s="96"/>
      <c r="D32" s="96"/>
    </row>
    <row r="33" spans="1:4" ht="13.5" customHeight="1" x14ac:dyDescent="0.25">
      <c r="A33" s="101"/>
      <c r="B33" s="123" t="s">
        <v>12</v>
      </c>
      <c r="C33" s="52"/>
      <c r="D33" s="52"/>
    </row>
    <row r="34" spans="1:4" ht="15" x14ac:dyDescent="0.25">
      <c r="A34" s="101"/>
      <c r="B34" s="123" t="s">
        <v>13</v>
      </c>
      <c r="C34" s="52"/>
      <c r="D34" s="52"/>
    </row>
    <row r="35" spans="1:4" ht="15" x14ac:dyDescent="0.25">
      <c r="A35" s="101"/>
      <c r="B35" s="123" t="s">
        <v>14</v>
      </c>
      <c r="C35" s="52"/>
      <c r="D35" s="52"/>
    </row>
    <row r="36" spans="1:4" ht="13.5" customHeight="1" x14ac:dyDescent="0.25">
      <c r="A36" s="102"/>
      <c r="B36" s="103" t="s">
        <v>15</v>
      </c>
      <c r="C36" s="52"/>
      <c r="D36" s="52"/>
    </row>
    <row r="37" spans="1:4" ht="13.5" customHeight="1" x14ac:dyDescent="0.25">
      <c r="A37" s="102"/>
      <c r="B37" s="295" t="s">
        <v>42</v>
      </c>
      <c r="C37" s="104"/>
      <c r="D37" s="105"/>
    </row>
    <row r="38" spans="1:4" ht="13.5" customHeight="1" x14ac:dyDescent="0.25">
      <c r="A38" s="106"/>
      <c r="B38" s="295" t="s">
        <v>43</v>
      </c>
      <c r="C38" s="104"/>
      <c r="D38" s="105"/>
    </row>
    <row r="39" spans="1:4" ht="13.5" customHeight="1" x14ac:dyDescent="0.25">
      <c r="A39" s="106"/>
      <c r="B39" s="103" t="s">
        <v>18</v>
      </c>
      <c r="C39" s="107"/>
      <c r="D39" s="105"/>
    </row>
    <row r="40" spans="1:4" ht="13.5" customHeight="1" x14ac:dyDescent="0.25">
      <c r="A40" s="106"/>
      <c r="B40" s="313" t="s">
        <v>1057</v>
      </c>
      <c r="C40" s="107"/>
      <c r="D40" s="105"/>
    </row>
    <row r="41" spans="1:4" ht="15" x14ac:dyDescent="0.25">
      <c r="A41" s="106"/>
      <c r="B41" s="297" t="s">
        <v>20</v>
      </c>
      <c r="C41" s="107"/>
      <c r="D41" s="105"/>
    </row>
    <row r="42" spans="1:4" ht="13.8" x14ac:dyDescent="0.25">
      <c r="A42" s="108"/>
      <c r="B42" s="103" t="s">
        <v>21</v>
      </c>
      <c r="C42" s="107"/>
      <c r="D42" s="105"/>
    </row>
    <row r="43" spans="1:4" ht="15" x14ac:dyDescent="0.25">
      <c r="A43" s="106"/>
      <c r="B43" s="122" t="s">
        <v>1375</v>
      </c>
      <c r="C43" s="107"/>
      <c r="D43" s="107"/>
    </row>
    <row r="44" spans="1:4" ht="15" x14ac:dyDescent="0.25">
      <c r="A44" s="106"/>
      <c r="B44" s="123" t="s">
        <v>44</v>
      </c>
      <c r="C44" s="107"/>
      <c r="D44" s="107"/>
    </row>
    <row r="45" spans="1:4" ht="15" x14ac:dyDescent="0.25">
      <c r="A45" s="106"/>
      <c r="B45" s="123" t="s">
        <v>45</v>
      </c>
      <c r="C45" s="109"/>
      <c r="D45" s="110"/>
    </row>
    <row r="46" spans="1:4" ht="33.6" x14ac:dyDescent="0.25">
      <c r="A46" s="106"/>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60" fitToHeight="0" orientation="portrait" r:id="rId1"/>
  <drawing r:id="rId2"/>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84AC-A55E-4039-94BD-70E9BBE08133}">
  <sheetPr>
    <tabColor theme="4" tint="-0.249977111117893"/>
    <pageSetUpPr fitToPage="1"/>
  </sheetPr>
  <dimension ref="A1:G62"/>
  <sheetViews>
    <sheetView topLeftCell="A7" zoomScaleNormal="100" workbookViewId="0">
      <selection activeCell="A15" sqref="A15:D18"/>
    </sheetView>
  </sheetViews>
  <sheetFormatPr baseColWidth="10" defaultColWidth="10.33203125" defaultRowHeight="13.2" x14ac:dyDescent="0.25"/>
  <cols>
    <col min="1" max="1" width="5.44140625" style="108" customWidth="1"/>
    <col min="2" max="2" width="73.3320312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1045</v>
      </c>
      <c r="C7" s="58"/>
      <c r="D7" s="58"/>
    </row>
    <row r="8" spans="1:7" s="10" customFormat="1" ht="16.8" x14ac:dyDescent="0.4">
      <c r="A8" s="57" t="s">
        <v>1046</v>
      </c>
      <c r="C8" s="58"/>
      <c r="D8" s="58"/>
    </row>
    <row r="9" spans="1:7" s="10" customFormat="1" ht="16.8" x14ac:dyDescent="0.4">
      <c r="A9" s="57" t="s">
        <v>1047</v>
      </c>
      <c r="C9" s="58"/>
      <c r="D9" s="58"/>
    </row>
    <row r="10" spans="1:7" s="10" customFormat="1" ht="16.8" x14ac:dyDescent="0.4">
      <c r="A10" s="57" t="s">
        <v>1048</v>
      </c>
      <c r="C10" s="59"/>
      <c r="D10" s="58"/>
    </row>
    <row r="11" spans="1:7" s="10" customFormat="1" ht="16.8" x14ac:dyDescent="0.4">
      <c r="A11" s="60" t="s">
        <v>1374</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2" customHeight="1" x14ac:dyDescent="0.4">
      <c r="A14" s="148"/>
      <c r="B14" s="149"/>
      <c r="C14" s="150"/>
      <c r="D14" s="150"/>
      <c r="E14" s="190"/>
      <c r="F14" s="188"/>
    </row>
    <row r="15" spans="1:7" s="188" customFormat="1" ht="60" x14ac:dyDescent="0.25">
      <c r="A15" s="72">
        <v>1</v>
      </c>
      <c r="B15" s="73" t="s">
        <v>1382</v>
      </c>
      <c r="C15" s="428">
        <v>87000</v>
      </c>
      <c r="D15" s="75">
        <f t="shared" ref="D15:D18" si="0">A15*C15</f>
        <v>87000</v>
      </c>
      <c r="E15" s="189"/>
      <c r="F15" s="108"/>
      <c r="G15" s="191"/>
    </row>
    <row r="16" spans="1:7" ht="30" x14ac:dyDescent="0.25">
      <c r="A16" s="72">
        <v>4</v>
      </c>
      <c r="B16" s="73" t="s">
        <v>1384</v>
      </c>
      <c r="C16" s="428">
        <f>(227*19.5)*1.35</f>
        <v>5975.7750000000005</v>
      </c>
      <c r="D16" s="75">
        <f t="shared" si="0"/>
        <v>23903.100000000002</v>
      </c>
      <c r="E16" s="189"/>
    </row>
    <row r="17" spans="1:7" s="191" customFormat="1" ht="30" x14ac:dyDescent="0.25">
      <c r="A17" s="571">
        <v>3</v>
      </c>
      <c r="B17" s="73" t="s">
        <v>1385</v>
      </c>
      <c r="C17" s="428">
        <f>(197*19.5)*1.35</f>
        <v>5186.0250000000005</v>
      </c>
      <c r="D17" s="75">
        <f t="shared" si="0"/>
        <v>15558.075000000001</v>
      </c>
      <c r="E17" s="189"/>
      <c r="F17" s="108"/>
      <c r="G17" s="108"/>
    </row>
    <row r="18" spans="1:7" ht="15.6" x14ac:dyDescent="0.25">
      <c r="A18" s="72">
        <v>3</v>
      </c>
      <c r="B18" s="73" t="s">
        <v>270</v>
      </c>
      <c r="C18" s="772">
        <v>320</v>
      </c>
      <c r="D18" s="75">
        <f t="shared" si="0"/>
        <v>960</v>
      </c>
      <c r="E18" s="189"/>
    </row>
    <row r="19" spans="1:7" ht="15.6" x14ac:dyDescent="0.25">
      <c r="A19" s="286"/>
      <c r="B19" s="768"/>
      <c r="C19" s="629" t="s">
        <v>188</v>
      </c>
      <c r="D19" s="630">
        <f>SUM(D15:D18)</f>
        <v>127421.175</v>
      </c>
    </row>
    <row r="20" spans="1:7" ht="15.6" x14ac:dyDescent="0.3">
      <c r="A20" s="196"/>
      <c r="B20" s="768"/>
      <c r="C20" s="631" t="s">
        <v>90</v>
      </c>
      <c r="D20" s="632">
        <f>D19*0.16</f>
        <v>20387.388000000003</v>
      </c>
    </row>
    <row r="21" spans="1:7" ht="16.2" thickBot="1" x14ac:dyDescent="0.35">
      <c r="A21" s="771"/>
      <c r="B21" s="673"/>
      <c r="C21" s="631" t="s">
        <v>40</v>
      </c>
      <c r="D21" s="632">
        <f>D19+D20</f>
        <v>147808.56299999999</v>
      </c>
    </row>
    <row r="22" spans="1:7" ht="16.2" thickBot="1" x14ac:dyDescent="0.3">
      <c r="A22" s="102"/>
      <c r="B22" s="635" t="s">
        <v>1386</v>
      </c>
      <c r="C22" s="773"/>
      <c r="D22" s="774"/>
    </row>
    <row r="23" spans="1:7" ht="13.8" x14ac:dyDescent="0.25">
      <c r="B23" s="103" t="s">
        <v>15</v>
      </c>
      <c r="C23" s="189"/>
      <c r="D23" s="666"/>
    </row>
    <row r="24" spans="1:7" ht="27.6" x14ac:dyDescent="0.25">
      <c r="A24" s="106"/>
      <c r="B24" s="295" t="s">
        <v>42</v>
      </c>
    </row>
    <row r="25" spans="1:7" ht="41.4" x14ac:dyDescent="0.25">
      <c r="A25" s="106"/>
      <c r="B25" s="295" t="s">
        <v>43</v>
      </c>
      <c r="C25" s="109"/>
      <c r="D25" s="110"/>
    </row>
    <row r="26" spans="1:7" ht="15" x14ac:dyDescent="0.25">
      <c r="A26" s="106"/>
      <c r="B26" s="103" t="s">
        <v>18</v>
      </c>
      <c r="C26" s="109"/>
      <c r="D26" s="110"/>
    </row>
    <row r="27" spans="1:7" ht="15" x14ac:dyDescent="0.25">
      <c r="A27" s="106"/>
      <c r="B27" s="296" t="s">
        <v>1387</v>
      </c>
      <c r="C27" s="109"/>
      <c r="D27" s="109"/>
    </row>
    <row r="28" spans="1:7" ht="15" x14ac:dyDescent="0.25">
      <c r="A28" s="106"/>
      <c r="B28" s="297" t="s">
        <v>20</v>
      </c>
      <c r="C28" s="109"/>
      <c r="D28" s="109"/>
    </row>
    <row r="29" spans="1:7" ht="13.5" customHeight="1" x14ac:dyDescent="0.25">
      <c r="B29" s="103" t="s">
        <v>21</v>
      </c>
      <c r="D29" s="105"/>
    </row>
    <row r="30" spans="1:7" ht="15" x14ac:dyDescent="0.25">
      <c r="A30" s="106"/>
      <c r="B30" s="122" t="s">
        <v>1383</v>
      </c>
      <c r="C30" s="109"/>
      <c r="D30" s="110"/>
    </row>
    <row r="31" spans="1:7" ht="15" x14ac:dyDescent="0.25">
      <c r="A31" s="106"/>
      <c r="B31" s="123" t="s">
        <v>44</v>
      </c>
      <c r="C31" s="109"/>
      <c r="D31" s="110"/>
    </row>
    <row r="32" spans="1:7" ht="13.8" x14ac:dyDescent="0.25">
      <c r="A32" s="115" t="s">
        <v>0</v>
      </c>
      <c r="B32" s="298" t="s">
        <v>45</v>
      </c>
      <c r="C32" s="109"/>
    </row>
    <row r="33" spans="1:4" ht="50.4" x14ac:dyDescent="0.25">
      <c r="A33" s="222"/>
      <c r="B33" s="314" t="s">
        <v>169</v>
      </c>
      <c r="C33" s="220"/>
      <c r="D33" s="108"/>
    </row>
    <row r="34" spans="1:4" x14ac:dyDescent="0.25">
      <c r="A34" s="222"/>
      <c r="B34" s="181"/>
      <c r="C34" s="181"/>
      <c r="D34" s="108"/>
    </row>
    <row r="35" spans="1:4" x14ac:dyDescent="0.25">
      <c r="A35" s="222"/>
      <c r="B35" s="181"/>
      <c r="C35" s="181"/>
      <c r="D35" s="108"/>
    </row>
    <row r="36" spans="1:4" x14ac:dyDescent="0.25">
      <c r="A36" s="225"/>
      <c r="B36" s="223"/>
      <c r="C36" s="181"/>
      <c r="D36" s="108"/>
    </row>
    <row r="37" spans="1:4" ht="15" x14ac:dyDescent="0.35">
      <c r="A37" s="226"/>
      <c r="B37" s="224"/>
      <c r="C37" s="181"/>
      <c r="D37" s="181"/>
    </row>
    <row r="38" spans="1:4" x14ac:dyDescent="0.25">
      <c r="A38"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9" fitToWidth="0" orientation="portrait" r:id="rId1"/>
  <headerFooter alignWithMargins="0">
    <oddFooter>Página &amp;P de &amp;N</oddFooter>
  </headerFooter>
  <drawing r:id="rId2"/>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49E9-E5CA-4995-8496-7D12A8F5DFD7}">
  <sheetPr>
    <pageSetUpPr fitToPage="1"/>
  </sheetPr>
  <dimension ref="A1:F69"/>
  <sheetViews>
    <sheetView topLeftCell="A9" zoomScaleNormal="100" workbookViewId="0">
      <selection activeCell="B17" sqref="B17"/>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1374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1373</v>
      </c>
      <c r="C17" s="82">
        <f>(2447*19.5)*(1.3)</f>
        <v>62031.450000000004</v>
      </c>
      <c r="D17" s="83">
        <f t="shared" ref="D17" si="0">A17*C17</f>
        <v>62031.450000000004</v>
      </c>
      <c r="E17" s="76"/>
    </row>
    <row r="18" spans="1:6" ht="45" x14ac:dyDescent="0.25">
      <c r="A18" s="72">
        <v>1</v>
      </c>
      <c r="B18" s="73" t="s">
        <v>1382</v>
      </c>
      <c r="C18" s="428">
        <v>87000</v>
      </c>
      <c r="D18" s="75">
        <f t="shared" ref="D18:D23" si="1">A18*C18</f>
        <v>87000</v>
      </c>
      <c r="E18" s="76"/>
    </row>
    <row r="19" spans="1:6" ht="15.6" x14ac:dyDescent="0.25">
      <c r="A19" s="72">
        <v>4</v>
      </c>
      <c r="B19" s="73" t="s">
        <v>1384</v>
      </c>
      <c r="C19" s="428">
        <f>(227*19.5)*1.35</f>
        <v>5975.7750000000005</v>
      </c>
      <c r="D19" s="75">
        <f t="shared" si="1"/>
        <v>23903.100000000002</v>
      </c>
      <c r="E19" s="76"/>
    </row>
    <row r="20" spans="1:6" ht="15.6" x14ac:dyDescent="0.25">
      <c r="A20" s="571">
        <v>3</v>
      </c>
      <c r="B20" s="73" t="s">
        <v>1385</v>
      </c>
      <c r="C20" s="428">
        <f>(197*19.5)*1.35</f>
        <v>5186.0250000000005</v>
      </c>
      <c r="D20" s="75">
        <f t="shared" si="1"/>
        <v>15558.075000000001</v>
      </c>
      <c r="E20" s="76"/>
    </row>
    <row r="21" spans="1:6" ht="15.6" x14ac:dyDescent="0.25">
      <c r="A21" s="72">
        <v>3</v>
      </c>
      <c r="B21" s="73" t="s">
        <v>270</v>
      </c>
      <c r="C21" s="772">
        <v>320</v>
      </c>
      <c r="D21" s="75">
        <f t="shared" si="1"/>
        <v>960</v>
      </c>
      <c r="E21" s="76"/>
    </row>
    <row r="22" spans="1:6" ht="30" x14ac:dyDescent="0.25">
      <c r="A22" s="77">
        <v>1</v>
      </c>
      <c r="B22" s="81" t="s">
        <v>612</v>
      </c>
      <c r="C22" s="82">
        <f>(625.11*20.56)*1.3+(4500)</f>
        <v>21207.94008</v>
      </c>
      <c r="D22" s="83">
        <f t="shared" si="1"/>
        <v>21207.94008</v>
      </c>
      <c r="E22" s="76"/>
    </row>
    <row r="23" spans="1:6" ht="15.6" x14ac:dyDescent="0.25">
      <c r="A23" s="77">
        <v>1</v>
      </c>
      <c r="B23" s="81" t="s">
        <v>1049</v>
      </c>
      <c r="C23" s="82">
        <v>6400</v>
      </c>
      <c r="D23" s="83">
        <f t="shared" si="1"/>
        <v>6400</v>
      </c>
      <c r="E23" s="76"/>
    </row>
    <row r="24" spans="1:6" ht="30" x14ac:dyDescent="0.25">
      <c r="A24" s="72">
        <v>1</v>
      </c>
      <c r="B24" s="73" t="s">
        <v>33</v>
      </c>
      <c r="C24" s="74">
        <v>4600</v>
      </c>
      <c r="D24" s="75">
        <f>A24*C24</f>
        <v>4600</v>
      </c>
    </row>
    <row r="25" spans="1:6" ht="15.6" x14ac:dyDescent="0.25">
      <c r="A25" s="84">
        <v>205</v>
      </c>
      <c r="B25" s="85" t="s">
        <v>34</v>
      </c>
      <c r="C25" s="86">
        <v>16.12</v>
      </c>
      <c r="D25" s="87">
        <f>A25*C25</f>
        <v>3304.6000000000004</v>
      </c>
      <c r="E25" s="96"/>
    </row>
    <row r="26" spans="1:6" ht="18.75" customHeight="1" x14ac:dyDescent="0.25">
      <c r="A26" s="72">
        <v>2</v>
      </c>
      <c r="B26" s="73" t="s">
        <v>36</v>
      </c>
      <c r="C26" s="74">
        <v>2498</v>
      </c>
      <c r="D26" s="75">
        <f>A26*C26</f>
        <v>4996</v>
      </c>
      <c r="E26" s="96"/>
    </row>
    <row r="27" spans="1:6" ht="45" x14ac:dyDescent="0.25">
      <c r="A27" s="72">
        <v>1</v>
      </c>
      <c r="B27" s="73" t="s">
        <v>1044</v>
      </c>
      <c r="C27" s="74">
        <v>21000</v>
      </c>
      <c r="D27" s="75">
        <f>A27*C27</f>
        <v>21000</v>
      </c>
    </row>
    <row r="28" spans="1:6" ht="15.75" customHeight="1" x14ac:dyDescent="0.25">
      <c r="A28" s="72"/>
      <c r="B28" s="75"/>
      <c r="C28" s="75"/>
      <c r="D28" s="75"/>
      <c r="F28" s="96"/>
    </row>
    <row r="29" spans="1:6" s="96" customFormat="1" ht="15.6" x14ac:dyDescent="0.25">
      <c r="A29" s="89"/>
      <c r="B29" s="90"/>
      <c r="C29" s="91" t="s">
        <v>38</v>
      </c>
      <c r="D29" s="75">
        <f>SUM(D16:D27)</f>
        <v>286361.16508000006</v>
      </c>
      <c r="E29" s="52"/>
    </row>
    <row r="30" spans="1:6" s="96" customFormat="1" ht="15.75" customHeight="1" x14ac:dyDescent="0.3">
      <c r="A30" s="92"/>
      <c r="B30" s="90"/>
      <c r="C30" s="93" t="s">
        <v>39</v>
      </c>
      <c r="D30" s="75">
        <f>D29*0.16</f>
        <v>45817.786412800015</v>
      </c>
      <c r="E30" s="52"/>
      <c r="F30" s="52"/>
    </row>
    <row r="31" spans="1:6" ht="13.5" customHeight="1" thickBot="1" x14ac:dyDescent="0.35">
      <c r="A31" s="92"/>
      <c r="B31" s="90"/>
      <c r="C31" s="94" t="s">
        <v>40</v>
      </c>
      <c r="D31" s="95">
        <f>D29+D30</f>
        <v>332178.95149280009</v>
      </c>
    </row>
    <row r="32" spans="1:6" ht="16.2" thickBot="1" x14ac:dyDescent="0.3">
      <c r="A32" s="92"/>
      <c r="B32" s="1023" t="s">
        <v>1378</v>
      </c>
      <c r="C32" s="1024"/>
      <c r="D32" s="1025"/>
    </row>
    <row r="33" spans="1:4" ht="13.5" customHeight="1" x14ac:dyDescent="0.25">
      <c r="B33" s="370" t="s">
        <v>9</v>
      </c>
      <c r="C33" s="98"/>
      <c r="D33" s="99"/>
    </row>
    <row r="34" spans="1:4" ht="34.799999999999997" x14ac:dyDescent="0.25">
      <c r="B34" s="124" t="s">
        <v>484</v>
      </c>
      <c r="C34" s="76"/>
      <c r="D34" s="96"/>
    </row>
    <row r="35" spans="1:4" ht="13.8" x14ac:dyDescent="0.25">
      <c r="A35" s="96"/>
      <c r="B35" s="103" t="s">
        <v>11</v>
      </c>
      <c r="C35" s="96"/>
      <c r="D35" s="96"/>
    </row>
    <row r="36" spans="1:4" ht="13.5" customHeight="1" x14ac:dyDescent="0.25">
      <c r="A36" s="101"/>
      <c r="B36" s="123" t="s">
        <v>12</v>
      </c>
      <c r="C36" s="52"/>
      <c r="D36" s="52"/>
    </row>
    <row r="37" spans="1:4" ht="13.5" customHeight="1" x14ac:dyDescent="0.25">
      <c r="A37" s="101"/>
      <c r="B37" s="123" t="s">
        <v>13</v>
      </c>
      <c r="C37" s="52"/>
      <c r="D37" s="52"/>
    </row>
    <row r="38" spans="1:4" ht="13.5" customHeight="1" x14ac:dyDescent="0.25">
      <c r="A38" s="101"/>
      <c r="B38" s="123" t="s">
        <v>14</v>
      </c>
      <c r="C38" s="52"/>
      <c r="D38" s="52"/>
    </row>
    <row r="39" spans="1:4" ht="13.5" customHeight="1" x14ac:dyDescent="0.25">
      <c r="A39" s="102"/>
      <c r="B39" s="103" t="s">
        <v>15</v>
      </c>
      <c r="C39" s="52"/>
      <c r="D39" s="52"/>
    </row>
    <row r="40" spans="1:4" ht="13.5" customHeight="1" x14ac:dyDescent="0.25">
      <c r="A40" s="102"/>
      <c r="B40" s="295" t="s">
        <v>42</v>
      </c>
      <c r="C40" s="104"/>
      <c r="D40" s="105"/>
    </row>
    <row r="41" spans="1:4" ht="27.6" x14ac:dyDescent="0.25">
      <c r="A41" s="106"/>
      <c r="B41" s="295" t="s">
        <v>43</v>
      </c>
      <c r="C41" s="104"/>
      <c r="D41" s="105"/>
    </row>
    <row r="42" spans="1:4" ht="15" x14ac:dyDescent="0.25">
      <c r="A42" s="106"/>
      <c r="B42" s="103" t="s">
        <v>18</v>
      </c>
      <c r="C42" s="107"/>
      <c r="D42" s="105"/>
    </row>
    <row r="43" spans="1:4" ht="15" x14ac:dyDescent="0.25">
      <c r="A43" s="106"/>
      <c r="B43" s="313" t="s">
        <v>410</v>
      </c>
      <c r="C43" s="107"/>
      <c r="D43" s="105"/>
    </row>
    <row r="44" spans="1:4" ht="15" x14ac:dyDescent="0.25">
      <c r="A44" s="106"/>
      <c r="B44" s="297" t="s">
        <v>20</v>
      </c>
      <c r="C44" s="107"/>
      <c r="D44" s="105"/>
    </row>
    <row r="45" spans="1:4" ht="13.8" x14ac:dyDescent="0.25">
      <c r="A45" s="108"/>
      <c r="B45" s="103" t="s">
        <v>21</v>
      </c>
      <c r="C45" s="107"/>
      <c r="D45" s="105"/>
    </row>
    <row r="46" spans="1:4" ht="15" x14ac:dyDescent="0.25">
      <c r="A46" s="106"/>
      <c r="B46" s="122" t="s">
        <v>1375</v>
      </c>
      <c r="C46" s="107"/>
      <c r="D46" s="107"/>
    </row>
    <row r="47" spans="1:4" ht="15" x14ac:dyDescent="0.25">
      <c r="A47" s="106"/>
      <c r="B47" s="123" t="s">
        <v>44</v>
      </c>
      <c r="C47" s="107"/>
      <c r="D47" s="107"/>
    </row>
    <row r="48" spans="1:4" ht="15" x14ac:dyDescent="0.25">
      <c r="A48" s="106"/>
      <c r="B48" s="123" t="s">
        <v>45</v>
      </c>
      <c r="C48" s="109"/>
      <c r="D48" s="110"/>
    </row>
    <row r="49" spans="1:4" ht="33.6" x14ac:dyDescent="0.25">
      <c r="A49" s="106"/>
      <c r="B49" s="314" t="s">
        <v>23</v>
      </c>
      <c r="C49" s="109"/>
      <c r="D49" s="110"/>
    </row>
    <row r="50" spans="1:4" ht="16.8" x14ac:dyDescent="0.4">
      <c r="A50" s="106"/>
      <c r="B50" s="111"/>
      <c r="C50" s="109"/>
      <c r="D50" s="109"/>
    </row>
    <row r="51" spans="1:4" ht="13.8" x14ac:dyDescent="0.25">
      <c r="A51" s="108"/>
      <c r="B51" s="112"/>
      <c r="C51" s="109"/>
      <c r="D51" s="109"/>
    </row>
    <row r="52" spans="1:4" ht="15" x14ac:dyDescent="0.25">
      <c r="A52" s="106"/>
      <c r="B52" s="112"/>
      <c r="C52" s="107"/>
      <c r="D52" s="105"/>
    </row>
    <row r="53" spans="1:4" ht="15" x14ac:dyDescent="0.25">
      <c r="A53" s="106"/>
      <c r="B53" s="113"/>
      <c r="C53" s="109"/>
      <c r="D53" s="110"/>
    </row>
    <row r="54" spans="1:4" ht="16.2" x14ac:dyDescent="0.35">
      <c r="A54" s="106"/>
      <c r="B54" s="114"/>
      <c r="C54" s="109"/>
      <c r="D54" s="110"/>
    </row>
    <row r="55" spans="1:4" ht="13.8" x14ac:dyDescent="0.25">
      <c r="A55" s="115" t="s">
        <v>0</v>
      </c>
      <c r="C55" s="109"/>
      <c r="D55" s="110"/>
    </row>
    <row r="56" spans="1:4" ht="13.8" x14ac:dyDescent="0.25">
      <c r="A56" s="116"/>
      <c r="C56" s="109"/>
      <c r="D56" s="109"/>
    </row>
    <row r="57" spans="1:4" ht="13.8" x14ac:dyDescent="0.25">
      <c r="A57" s="117"/>
      <c r="C57" s="118"/>
      <c r="D57" s="118"/>
    </row>
    <row r="58" spans="1:4" x14ac:dyDescent="0.25">
      <c r="A58" s="117"/>
      <c r="C58" s="112"/>
      <c r="D58" s="52"/>
    </row>
    <row r="59" spans="1:4" x14ac:dyDescent="0.25">
      <c r="A59" s="119"/>
      <c r="C59" s="112"/>
      <c r="D59" s="52"/>
    </row>
    <row r="60" spans="1:4" ht="15.75" customHeight="1" x14ac:dyDescent="0.25">
      <c r="A60" s="120" t="s">
        <v>0</v>
      </c>
      <c r="C60" s="112"/>
      <c r="D60" s="52"/>
    </row>
    <row r="61" spans="1:4" x14ac:dyDescent="0.25">
      <c r="A61" s="52" t="s">
        <v>0</v>
      </c>
      <c r="C61" s="112"/>
      <c r="D61" s="112"/>
    </row>
    <row r="64" spans="1:4" ht="16.5" customHeight="1" x14ac:dyDescent="0.25"/>
    <row r="68" ht="24" customHeight="1" x14ac:dyDescent="0.25"/>
    <row r="69" ht="24" customHeight="1" x14ac:dyDescent="0.25"/>
  </sheetData>
  <mergeCells count="3">
    <mergeCell ref="A4:D4"/>
    <mergeCell ref="A13:D13"/>
    <mergeCell ref="B32:D32"/>
  </mergeCells>
  <pageMargins left="0.25" right="0.25" top="0.75" bottom="0.75" header="0.3" footer="0.3"/>
  <pageSetup scale="56" orientation="portrait" r:id="rId1"/>
  <drawing r:id="rId2"/>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0F20-3FBD-46BA-B4F1-5A32739B8F9A}">
  <sheetPr>
    <pageSetUpPr fitToPage="1"/>
  </sheetPr>
  <dimension ref="A1:F69"/>
  <sheetViews>
    <sheetView zoomScaleNormal="100" workbookViewId="0">
      <selection activeCell="B32" sqref="B3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1602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1373</v>
      </c>
      <c r="C17" s="82">
        <f>(2447*19.5)*(1.3)</f>
        <v>62031.450000000004</v>
      </c>
      <c r="D17" s="83">
        <f t="shared" ref="D17:D23" si="0">A17*C17</f>
        <v>62031.450000000004</v>
      </c>
      <c r="E17" s="76"/>
    </row>
    <row r="18" spans="1:6" ht="15.6" x14ac:dyDescent="0.25">
      <c r="A18" s="84">
        <v>240</v>
      </c>
      <c r="B18" s="85" t="s">
        <v>1605</v>
      </c>
      <c r="C18" s="86">
        <f>880*1.28</f>
        <v>1126.4000000000001</v>
      </c>
      <c r="D18" s="87">
        <f t="shared" si="0"/>
        <v>270336</v>
      </c>
      <c r="E18" s="76"/>
    </row>
    <row r="19" spans="1:6" ht="15.6" x14ac:dyDescent="0.25">
      <c r="A19" s="72">
        <v>4</v>
      </c>
      <c r="B19" s="73" t="s">
        <v>1384</v>
      </c>
      <c r="C19" s="428">
        <f>(227*19.5)*1.35</f>
        <v>5975.7750000000005</v>
      </c>
      <c r="D19" s="75">
        <f t="shared" si="0"/>
        <v>23903.100000000002</v>
      </c>
      <c r="E19" s="76"/>
    </row>
    <row r="20" spans="1:6" ht="15.6" x14ac:dyDescent="0.25">
      <c r="A20" s="571">
        <v>3</v>
      </c>
      <c r="B20" s="73" t="s">
        <v>1385</v>
      </c>
      <c r="C20" s="428">
        <f>(197*19.5)*1.35</f>
        <v>5186.0250000000005</v>
      </c>
      <c r="D20" s="75">
        <f t="shared" si="0"/>
        <v>15558.075000000001</v>
      </c>
      <c r="E20" s="76"/>
    </row>
    <row r="21" spans="1:6" ht="15.6" x14ac:dyDescent="0.25">
      <c r="A21" s="72">
        <v>3</v>
      </c>
      <c r="B21" s="73" t="s">
        <v>270</v>
      </c>
      <c r="C21" s="772">
        <v>320</v>
      </c>
      <c r="D21" s="75">
        <f t="shared" si="0"/>
        <v>960</v>
      </c>
      <c r="E21" s="76"/>
    </row>
    <row r="22" spans="1:6" ht="30" x14ac:dyDescent="0.25">
      <c r="A22" s="77">
        <v>1</v>
      </c>
      <c r="B22" s="81" t="s">
        <v>612</v>
      </c>
      <c r="C22" s="82">
        <f>(625.11*20.56)*1.3+(4500)</f>
        <v>21207.94008</v>
      </c>
      <c r="D22" s="83">
        <f t="shared" si="0"/>
        <v>21207.94008</v>
      </c>
      <c r="E22" s="76"/>
    </row>
    <row r="23" spans="1:6" ht="15.6" x14ac:dyDescent="0.25">
      <c r="A23" s="77">
        <v>1</v>
      </c>
      <c r="B23" s="81" t="s">
        <v>1049</v>
      </c>
      <c r="C23" s="82">
        <v>6400</v>
      </c>
      <c r="D23" s="83">
        <f t="shared" si="0"/>
        <v>6400</v>
      </c>
    </row>
    <row r="24" spans="1:6" ht="30" x14ac:dyDescent="0.25">
      <c r="A24" s="72">
        <v>1</v>
      </c>
      <c r="B24" s="73" t="s">
        <v>33</v>
      </c>
      <c r="C24" s="74">
        <v>4600</v>
      </c>
      <c r="D24" s="75">
        <f>A24*C24</f>
        <v>4600</v>
      </c>
      <c r="E24" s="96"/>
    </row>
    <row r="25" spans="1:6" ht="15.6" x14ac:dyDescent="0.25">
      <c r="A25" s="89"/>
      <c r="B25" s="90"/>
      <c r="C25" s="91" t="s">
        <v>38</v>
      </c>
      <c r="D25" s="75">
        <f>SUM(D16:D24)</f>
        <v>440396.56507999997</v>
      </c>
      <c r="E25" s="96"/>
    </row>
    <row r="26" spans="1:6" ht="15.6" x14ac:dyDescent="0.3">
      <c r="A26" s="92"/>
      <c r="B26" s="90"/>
      <c r="C26" s="93" t="s">
        <v>39</v>
      </c>
      <c r="D26" s="75">
        <f>D25*0.16</f>
        <v>70463.450412799997</v>
      </c>
    </row>
    <row r="27" spans="1:6" ht="16.2" thickBot="1" x14ac:dyDescent="0.35">
      <c r="A27" s="92"/>
      <c r="B27" s="90"/>
      <c r="C27" s="94" t="s">
        <v>40</v>
      </c>
      <c r="D27" s="95">
        <f>D25+D26</f>
        <v>510860.01549279998</v>
      </c>
    </row>
    <row r="28" spans="1:6" ht="16.2" thickBot="1" x14ac:dyDescent="0.3">
      <c r="A28" s="92"/>
      <c r="B28" s="1023"/>
      <c r="C28" s="1024"/>
      <c r="D28" s="1025"/>
      <c r="F28" s="96"/>
    </row>
    <row r="29" spans="1:6" s="96" customFormat="1" ht="45" x14ac:dyDescent="0.25">
      <c r="A29" s="72">
        <v>1</v>
      </c>
      <c r="B29" s="73" t="s">
        <v>1382</v>
      </c>
      <c r="C29" s="428">
        <v>87000</v>
      </c>
      <c r="D29" s="75">
        <f t="shared" ref="D29" si="1">A29*C29</f>
        <v>87000</v>
      </c>
      <c r="E29" s="52"/>
    </row>
    <row r="30" spans="1:6" s="96" customFormat="1" ht="15.75" customHeight="1" x14ac:dyDescent="0.25">
      <c r="A30" s="84">
        <v>205</v>
      </c>
      <c r="B30" s="85" t="s">
        <v>34</v>
      </c>
      <c r="C30" s="86">
        <v>16.12</v>
      </c>
      <c r="D30" s="87">
        <f>A30*C30</f>
        <v>3304.6000000000004</v>
      </c>
      <c r="E30" s="52"/>
      <c r="F30" s="52"/>
    </row>
    <row r="31" spans="1:6" ht="13.5" customHeight="1" x14ac:dyDescent="0.25">
      <c r="A31" s="72">
        <v>2</v>
      </c>
      <c r="B31" s="73" t="s">
        <v>36</v>
      </c>
      <c r="C31" s="74">
        <v>2498</v>
      </c>
      <c r="D31" s="75">
        <f>A31*C31</f>
        <v>4996</v>
      </c>
    </row>
    <row r="32" spans="1:6" ht="45" x14ac:dyDescent="0.25">
      <c r="A32" s="72">
        <v>1</v>
      </c>
      <c r="B32" s="73" t="s">
        <v>1044</v>
      </c>
      <c r="C32" s="74">
        <v>21000</v>
      </c>
      <c r="D32" s="75">
        <f>A32*C32</f>
        <v>21000</v>
      </c>
    </row>
    <row r="33" spans="1:5" ht="15.6" x14ac:dyDescent="0.25">
      <c r="A33" s="720"/>
      <c r="B33" s="828"/>
      <c r="C33" s="91" t="s">
        <v>38</v>
      </c>
      <c r="D33" s="75">
        <f>SUM(D29:D32)</f>
        <v>116300.6</v>
      </c>
    </row>
    <row r="34" spans="1:5" ht="15.6" x14ac:dyDescent="0.3">
      <c r="A34" s="720"/>
      <c r="B34" s="828"/>
      <c r="C34" s="93" t="s">
        <v>1607</v>
      </c>
      <c r="D34" s="75">
        <v>-13600</v>
      </c>
    </row>
    <row r="35" spans="1:5" ht="15.6" x14ac:dyDescent="0.3">
      <c r="A35" s="720"/>
      <c r="B35" s="828"/>
      <c r="C35" s="94" t="s">
        <v>40</v>
      </c>
      <c r="D35" s="95">
        <f>D33+D34</f>
        <v>102700.6</v>
      </c>
    </row>
    <row r="36" spans="1:5" ht="13.5" customHeight="1" x14ac:dyDescent="0.25">
      <c r="B36" s="370" t="s">
        <v>9</v>
      </c>
      <c r="C36" s="830"/>
      <c r="D36" s="831"/>
    </row>
    <row r="37" spans="1:5" ht="34.799999999999997" x14ac:dyDescent="0.25">
      <c r="A37" s="834"/>
      <c r="B37" s="829" t="s">
        <v>484</v>
      </c>
      <c r="C37" s="835" t="s">
        <v>699</v>
      </c>
      <c r="D37" s="832">
        <f>SUM(D27+D35)</f>
        <v>613560.61549280002</v>
      </c>
      <c r="E37" s="76"/>
    </row>
    <row r="38" spans="1:5" ht="13.5" customHeight="1" x14ac:dyDescent="0.25">
      <c r="A38" s="1132" t="s">
        <v>1609</v>
      </c>
      <c r="B38" s="1132"/>
      <c r="C38" s="1132"/>
      <c r="D38" s="833"/>
    </row>
    <row r="39" spans="1:5" ht="13.5" customHeight="1" x14ac:dyDescent="0.25">
      <c r="A39" s="369"/>
      <c r="B39" s="370" t="s">
        <v>11</v>
      </c>
      <c r="C39" s="369"/>
      <c r="D39" s="52"/>
    </row>
    <row r="40" spans="1:5" ht="13.5" customHeight="1" x14ac:dyDescent="0.25">
      <c r="A40" s="101"/>
      <c r="B40" s="123" t="s">
        <v>12</v>
      </c>
      <c r="C40" s="52"/>
      <c r="D40" s="52"/>
    </row>
    <row r="41" spans="1:5" ht="15" x14ac:dyDescent="0.25">
      <c r="A41" s="101"/>
      <c r="B41" s="123" t="s">
        <v>13</v>
      </c>
      <c r="C41" s="52"/>
      <c r="D41" s="52"/>
    </row>
    <row r="42" spans="1:5" ht="15" x14ac:dyDescent="0.25">
      <c r="A42" s="101"/>
      <c r="B42" s="123" t="s">
        <v>14</v>
      </c>
      <c r="C42" s="52"/>
      <c r="D42" s="52"/>
    </row>
    <row r="43" spans="1:5" ht="13.8" x14ac:dyDescent="0.25">
      <c r="A43" s="102"/>
      <c r="B43" s="103" t="s">
        <v>15</v>
      </c>
      <c r="C43" s="52"/>
      <c r="D43" s="105"/>
    </row>
    <row r="44" spans="1:5" ht="13.8" x14ac:dyDescent="0.25">
      <c r="A44" s="102"/>
      <c r="B44" s="295" t="s">
        <v>42</v>
      </c>
      <c r="C44" s="104"/>
      <c r="D44" s="105"/>
    </row>
    <row r="45" spans="1:5" ht="27.6" x14ac:dyDescent="0.25">
      <c r="A45" s="106"/>
      <c r="B45" s="295" t="s">
        <v>43</v>
      </c>
      <c r="C45" s="104"/>
      <c r="D45" s="105"/>
    </row>
    <row r="46" spans="1:5" ht="15" x14ac:dyDescent="0.25">
      <c r="A46" s="106"/>
      <c r="B46" s="103" t="s">
        <v>18</v>
      </c>
      <c r="C46" s="107"/>
      <c r="D46" s="105"/>
    </row>
    <row r="47" spans="1:5" ht="15" x14ac:dyDescent="0.25">
      <c r="A47" s="106"/>
      <c r="B47" s="313" t="s">
        <v>1608</v>
      </c>
      <c r="C47" s="107"/>
      <c r="D47" s="105"/>
    </row>
    <row r="48" spans="1:5" ht="15" x14ac:dyDescent="0.25">
      <c r="A48" s="106"/>
      <c r="B48" s="297" t="s">
        <v>20</v>
      </c>
      <c r="C48" s="107"/>
      <c r="D48" s="105"/>
    </row>
    <row r="49" spans="1:4" ht="13.8" x14ac:dyDescent="0.25">
      <c r="A49" s="108"/>
      <c r="B49" s="103" t="s">
        <v>21</v>
      </c>
      <c r="C49" s="107"/>
      <c r="D49" s="107"/>
    </row>
    <row r="50" spans="1:4" ht="15" x14ac:dyDescent="0.25">
      <c r="A50" s="106"/>
      <c r="B50" s="122" t="s">
        <v>502</v>
      </c>
      <c r="C50" s="107"/>
      <c r="D50" s="107"/>
    </row>
    <row r="51" spans="1:4" ht="15" x14ac:dyDescent="0.25">
      <c r="A51" s="106"/>
      <c r="B51" s="123" t="s">
        <v>44</v>
      </c>
      <c r="C51" s="107"/>
      <c r="D51" s="110"/>
    </row>
    <row r="52" spans="1:4" ht="15" x14ac:dyDescent="0.25">
      <c r="A52" s="106"/>
      <c r="B52" s="298" t="s">
        <v>45</v>
      </c>
      <c r="C52" s="109"/>
      <c r="D52" s="110"/>
    </row>
    <row r="53" spans="1:4" ht="33.6" x14ac:dyDescent="0.25">
      <c r="A53" s="106"/>
      <c r="B53" s="314" t="s">
        <v>23</v>
      </c>
      <c r="C53" s="109"/>
      <c r="D53" s="109"/>
    </row>
    <row r="54" spans="1:4" ht="16.8" x14ac:dyDescent="0.4">
      <c r="A54" s="106"/>
      <c r="B54" s="111"/>
      <c r="C54" s="109"/>
      <c r="D54" s="109"/>
    </row>
    <row r="55" spans="1:4" ht="13.8" x14ac:dyDescent="0.25">
      <c r="A55" s="108"/>
      <c r="B55" s="112"/>
      <c r="C55" s="109"/>
      <c r="D55" s="105"/>
    </row>
    <row r="56" spans="1:4" ht="15" x14ac:dyDescent="0.25">
      <c r="A56" s="106"/>
      <c r="B56" s="112"/>
      <c r="C56" s="107"/>
      <c r="D56" s="110"/>
    </row>
    <row r="57" spans="1:4" ht="15" x14ac:dyDescent="0.25">
      <c r="A57" s="106"/>
      <c r="B57" s="113"/>
      <c r="C57" s="109"/>
      <c r="D57" s="110"/>
    </row>
    <row r="58" spans="1:4" ht="16.2" x14ac:dyDescent="0.35">
      <c r="A58" s="106"/>
      <c r="B58" s="114"/>
      <c r="C58" s="109"/>
      <c r="D58" s="110"/>
    </row>
    <row r="59" spans="1:4" ht="13.8" x14ac:dyDescent="0.25">
      <c r="A59" s="115" t="s">
        <v>0</v>
      </c>
      <c r="C59" s="109"/>
      <c r="D59" s="109"/>
    </row>
    <row r="60" spans="1:4" ht="15.75" customHeight="1" x14ac:dyDescent="0.25">
      <c r="A60" s="116"/>
      <c r="C60" s="109"/>
      <c r="D60" s="118"/>
    </row>
    <row r="61" spans="1:4" ht="13.8" x14ac:dyDescent="0.25">
      <c r="A61" s="117"/>
      <c r="C61" s="118"/>
      <c r="D61" s="52"/>
    </row>
    <row r="62" spans="1:4" x14ac:dyDescent="0.25">
      <c r="A62" s="117"/>
      <c r="C62" s="112"/>
      <c r="D62" s="52"/>
    </row>
    <row r="63" spans="1:4" x14ac:dyDescent="0.25">
      <c r="A63" s="119"/>
      <c r="C63" s="112"/>
      <c r="D63" s="52"/>
    </row>
    <row r="64" spans="1:4" ht="16.5" customHeight="1" x14ac:dyDescent="0.25">
      <c r="A64" s="120" t="s">
        <v>0</v>
      </c>
      <c r="C64" s="112"/>
      <c r="D64" s="112"/>
    </row>
    <row r="65" spans="1:3" x14ac:dyDescent="0.25">
      <c r="A65" s="52" t="s">
        <v>0</v>
      </c>
      <c r="C65" s="112"/>
    </row>
    <row r="68" spans="1:3" ht="24" customHeight="1" x14ac:dyDescent="0.25"/>
    <row r="69" spans="1:3" ht="24" customHeight="1" x14ac:dyDescent="0.25"/>
  </sheetData>
  <mergeCells count="4">
    <mergeCell ref="A4:D4"/>
    <mergeCell ref="A13:D13"/>
    <mergeCell ref="B28:D28"/>
    <mergeCell ref="A38:C38"/>
  </mergeCells>
  <pageMargins left="0.25" right="0.25" top="0.75" bottom="0.75" header="0.3" footer="0.3"/>
  <pageSetup orientation="portrait" r:id="rId1"/>
  <drawing r:id="rId2"/>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DBA8C-5387-4681-B467-865B7D90B2C4}">
  <sheetPr>
    <pageSetUpPr fitToPage="1"/>
  </sheetPr>
  <dimension ref="A1:F69"/>
  <sheetViews>
    <sheetView topLeftCell="A13" zoomScaleNormal="100" workbookViewId="0">
      <selection activeCell="B19" sqref="B19"/>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1374</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1373</v>
      </c>
      <c r="C17" s="82">
        <f>(2447*19.5)*(1.3)</f>
        <v>62031.450000000004</v>
      </c>
      <c r="D17" s="83">
        <f t="shared" ref="D17:D19" si="0">A17*C17</f>
        <v>62031.450000000004</v>
      </c>
      <c r="E17" s="76"/>
    </row>
    <row r="18" spans="1:6" ht="30" x14ac:dyDescent="0.25">
      <c r="A18" s="77">
        <v>1</v>
      </c>
      <c r="B18" s="81" t="s">
        <v>612</v>
      </c>
      <c r="C18" s="82">
        <f>(625.11*20.56)*1.3+(4500)</f>
        <v>21207.94008</v>
      </c>
      <c r="D18" s="83">
        <f t="shared" si="0"/>
        <v>21207.94008</v>
      </c>
      <c r="E18" s="76"/>
    </row>
    <row r="19" spans="1:6" ht="15.6" x14ac:dyDescent="0.25">
      <c r="A19" s="77">
        <v>1</v>
      </c>
      <c r="B19" s="81" t="s">
        <v>1049</v>
      </c>
      <c r="C19" s="82">
        <v>6400</v>
      </c>
      <c r="D19" s="83">
        <f t="shared" si="0"/>
        <v>6400</v>
      </c>
      <c r="E19" s="76"/>
    </row>
    <row r="20" spans="1:6" ht="30" x14ac:dyDescent="0.25">
      <c r="A20" s="72">
        <v>1</v>
      </c>
      <c r="B20" s="73" t="s">
        <v>33</v>
      </c>
      <c r="C20" s="74">
        <v>4600</v>
      </c>
      <c r="D20" s="75">
        <f>A20*C20</f>
        <v>4600</v>
      </c>
      <c r="E20" s="76"/>
    </row>
    <row r="21" spans="1:6" ht="15.6" x14ac:dyDescent="0.25">
      <c r="A21" s="84">
        <v>205</v>
      </c>
      <c r="B21" s="85" t="s">
        <v>34</v>
      </c>
      <c r="C21" s="86">
        <v>18.399999999999999</v>
      </c>
      <c r="D21" s="87">
        <f>A21*C21</f>
        <v>3771.9999999999995</v>
      </c>
      <c r="E21" s="76"/>
    </row>
    <row r="22" spans="1:6" ht="15.6" x14ac:dyDescent="0.25">
      <c r="A22" s="72">
        <v>1</v>
      </c>
      <c r="B22" s="73" t="s">
        <v>36</v>
      </c>
      <c r="C22" s="74">
        <v>2489</v>
      </c>
      <c r="D22" s="75">
        <f>A22*C22</f>
        <v>2489</v>
      </c>
      <c r="E22" s="76"/>
    </row>
    <row r="23" spans="1:6" ht="30" x14ac:dyDescent="0.25">
      <c r="A23" s="72">
        <v>1</v>
      </c>
      <c r="B23" s="73" t="s">
        <v>1056</v>
      </c>
      <c r="C23" s="74">
        <v>5800</v>
      </c>
      <c r="D23" s="75">
        <f>A23*C23</f>
        <v>5800</v>
      </c>
      <c r="E23" s="76"/>
    </row>
    <row r="24" spans="1:6" ht="45" x14ac:dyDescent="0.25">
      <c r="A24" s="72">
        <v>1</v>
      </c>
      <c r="B24" s="73" t="s">
        <v>1044</v>
      </c>
      <c r="C24" s="74">
        <v>21000</v>
      </c>
      <c r="D24" s="75">
        <f>A24*C24</f>
        <v>21000</v>
      </c>
    </row>
    <row r="25" spans="1:6" ht="15.6" x14ac:dyDescent="0.25">
      <c r="A25" s="72"/>
      <c r="B25" s="75"/>
      <c r="C25" s="75"/>
      <c r="D25" s="75"/>
      <c r="E25" s="96"/>
    </row>
    <row r="26" spans="1:6" ht="18.75" customHeight="1" x14ac:dyDescent="0.25">
      <c r="A26" s="89"/>
      <c r="B26" s="90"/>
      <c r="C26" s="91" t="s">
        <v>38</v>
      </c>
      <c r="D26" s="75">
        <f>SUM(D16:D24)</f>
        <v>162700.39008000001</v>
      </c>
      <c r="E26" s="96"/>
    </row>
    <row r="27" spans="1:6" ht="15.6" x14ac:dyDescent="0.3">
      <c r="A27" s="92"/>
      <c r="B27" s="90"/>
      <c r="C27" s="93" t="s">
        <v>39</v>
      </c>
      <c r="D27" s="75">
        <f>D26*0.16</f>
        <v>26032.062412800002</v>
      </c>
    </row>
    <row r="28" spans="1:6" ht="15.75" customHeight="1" thickBot="1" x14ac:dyDescent="0.35">
      <c r="A28" s="92"/>
      <c r="B28" s="90"/>
      <c r="C28" s="94" t="s">
        <v>40</v>
      </c>
      <c r="D28" s="95">
        <f>D26+D27</f>
        <v>188732.45249280002</v>
      </c>
      <c r="F28" s="96"/>
    </row>
    <row r="29" spans="1:6" s="96" customFormat="1" ht="16.2" thickBot="1" x14ac:dyDescent="0.3">
      <c r="A29" s="92"/>
      <c r="B29" s="1023" t="s">
        <v>1379</v>
      </c>
      <c r="C29" s="1024"/>
      <c r="D29" s="1025"/>
      <c r="E29" s="52"/>
    </row>
    <row r="30" spans="1:6" s="96" customFormat="1" ht="15.75" customHeight="1" x14ac:dyDescent="0.25">
      <c r="A30" s="52"/>
      <c r="B30" s="370" t="s">
        <v>9</v>
      </c>
      <c r="C30" s="98"/>
      <c r="D30" s="99"/>
      <c r="E30" s="52"/>
      <c r="F30" s="52"/>
    </row>
    <row r="31" spans="1:6" ht="13.5" customHeight="1" x14ac:dyDescent="0.25">
      <c r="B31" s="124" t="s">
        <v>484</v>
      </c>
      <c r="C31" s="76"/>
      <c r="D31" s="96"/>
    </row>
    <row r="32" spans="1:6" ht="13.8" x14ac:dyDescent="0.25">
      <c r="A32" s="96"/>
      <c r="B32" s="103" t="s">
        <v>11</v>
      </c>
      <c r="C32" s="96"/>
      <c r="D32" s="96"/>
    </row>
    <row r="33" spans="1:4" ht="13.5" customHeight="1" x14ac:dyDescent="0.25">
      <c r="A33" s="101"/>
      <c r="B33" s="123" t="s">
        <v>12</v>
      </c>
      <c r="C33" s="52"/>
      <c r="D33" s="52"/>
    </row>
    <row r="34" spans="1:4" ht="15" x14ac:dyDescent="0.25">
      <c r="A34" s="101"/>
      <c r="B34" s="123" t="s">
        <v>13</v>
      </c>
      <c r="C34" s="52"/>
      <c r="D34" s="52"/>
    </row>
    <row r="35" spans="1:4" ht="15" x14ac:dyDescent="0.25">
      <c r="A35" s="101"/>
      <c r="B35" s="123" t="s">
        <v>14</v>
      </c>
      <c r="C35" s="52"/>
      <c r="D35" s="52"/>
    </row>
    <row r="36" spans="1:4" ht="13.5" customHeight="1" x14ac:dyDescent="0.25">
      <c r="A36" s="102"/>
      <c r="B36" s="103" t="s">
        <v>15</v>
      </c>
      <c r="C36" s="52"/>
      <c r="D36" s="52"/>
    </row>
    <row r="37" spans="1:4" ht="13.5" customHeight="1" x14ac:dyDescent="0.25">
      <c r="A37" s="102"/>
      <c r="B37" s="295" t="s">
        <v>42</v>
      </c>
      <c r="C37" s="104"/>
      <c r="D37" s="105"/>
    </row>
    <row r="38" spans="1:4" ht="13.5" customHeight="1" x14ac:dyDescent="0.25">
      <c r="A38" s="106"/>
      <c r="B38" s="295" t="s">
        <v>43</v>
      </c>
      <c r="C38" s="104"/>
      <c r="D38" s="105"/>
    </row>
    <row r="39" spans="1:4" ht="13.5" customHeight="1" x14ac:dyDescent="0.25">
      <c r="A39" s="106"/>
      <c r="B39" s="103" t="s">
        <v>18</v>
      </c>
      <c r="C39" s="107"/>
      <c r="D39" s="105"/>
    </row>
    <row r="40" spans="1:4" ht="13.5" customHeight="1" x14ac:dyDescent="0.25">
      <c r="A40" s="106"/>
      <c r="B40" s="313" t="s">
        <v>1057</v>
      </c>
      <c r="C40" s="107"/>
      <c r="D40" s="105"/>
    </row>
    <row r="41" spans="1:4" ht="15" x14ac:dyDescent="0.25">
      <c r="A41" s="106"/>
      <c r="B41" s="297" t="s">
        <v>20</v>
      </c>
      <c r="C41" s="107"/>
      <c r="D41" s="105"/>
    </row>
    <row r="42" spans="1:4" ht="13.8" x14ac:dyDescent="0.25">
      <c r="A42" s="108"/>
      <c r="B42" s="103" t="s">
        <v>21</v>
      </c>
      <c r="C42" s="107"/>
      <c r="D42" s="105"/>
    </row>
    <row r="43" spans="1:4" ht="15" x14ac:dyDescent="0.25">
      <c r="A43" s="106"/>
      <c r="B43" s="122" t="s">
        <v>1375</v>
      </c>
      <c r="C43" s="107"/>
      <c r="D43" s="107"/>
    </row>
    <row r="44" spans="1:4" ht="15" x14ac:dyDescent="0.25">
      <c r="A44" s="106"/>
      <c r="B44" s="123" t="s">
        <v>44</v>
      </c>
      <c r="C44" s="107"/>
      <c r="D44" s="107"/>
    </row>
    <row r="45" spans="1:4" ht="15" x14ac:dyDescent="0.25">
      <c r="A45" s="106"/>
      <c r="B45" s="123" t="s">
        <v>45</v>
      </c>
      <c r="C45" s="109"/>
      <c r="D45" s="110"/>
    </row>
    <row r="46" spans="1:4" ht="33.6" x14ac:dyDescent="0.25">
      <c r="A46" s="106"/>
      <c r="B46" s="314" t="s">
        <v>23</v>
      </c>
      <c r="C46" s="109"/>
      <c r="D46" s="110"/>
    </row>
    <row r="47" spans="1:4" ht="16.8" x14ac:dyDescent="0.4">
      <c r="A47" s="106"/>
      <c r="B47" s="111"/>
      <c r="C47" s="109"/>
      <c r="D47" s="109"/>
    </row>
    <row r="48" spans="1:4" ht="13.8" x14ac:dyDescent="0.25">
      <c r="A48" s="108"/>
      <c r="B48" s="112"/>
      <c r="C48" s="109"/>
      <c r="D48" s="109"/>
    </row>
    <row r="49" spans="1:4" ht="15" x14ac:dyDescent="0.25">
      <c r="A49" s="106"/>
      <c r="B49" s="112"/>
      <c r="C49" s="107"/>
      <c r="D49" s="105"/>
    </row>
    <row r="50" spans="1:4" ht="15" x14ac:dyDescent="0.25">
      <c r="A50" s="106"/>
      <c r="B50" s="113"/>
      <c r="C50" s="109"/>
      <c r="D50" s="110"/>
    </row>
    <row r="51" spans="1:4" ht="16.2" x14ac:dyDescent="0.35">
      <c r="A51" s="106"/>
      <c r="B51" s="114"/>
      <c r="C51" s="109"/>
      <c r="D51" s="110"/>
    </row>
    <row r="52" spans="1:4" ht="13.8" x14ac:dyDescent="0.25">
      <c r="A52" s="115" t="s">
        <v>0</v>
      </c>
      <c r="C52" s="109"/>
      <c r="D52" s="110"/>
    </row>
    <row r="53" spans="1:4" ht="13.8" x14ac:dyDescent="0.25">
      <c r="A53" s="116"/>
      <c r="C53" s="109"/>
      <c r="D53" s="109"/>
    </row>
    <row r="54" spans="1:4" ht="13.8" x14ac:dyDescent="0.25">
      <c r="A54" s="117"/>
      <c r="C54" s="118"/>
      <c r="D54" s="118"/>
    </row>
    <row r="55" spans="1:4" x14ac:dyDescent="0.25">
      <c r="A55" s="117"/>
      <c r="C55" s="112"/>
      <c r="D55" s="52"/>
    </row>
    <row r="56" spans="1:4" x14ac:dyDescent="0.25">
      <c r="A56" s="119"/>
      <c r="C56" s="112"/>
      <c r="D56" s="52"/>
    </row>
    <row r="57" spans="1:4" x14ac:dyDescent="0.25">
      <c r="A57" s="120" t="s">
        <v>0</v>
      </c>
      <c r="C57" s="112"/>
      <c r="D57" s="52"/>
    </row>
    <row r="58" spans="1:4" x14ac:dyDescent="0.25">
      <c r="A58" s="52" t="s">
        <v>0</v>
      </c>
      <c r="C58" s="112"/>
      <c r="D58"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9:D29"/>
  </mergeCells>
  <pageMargins left="0.25" right="0.25" top="0.75" bottom="0.75" header="0.3" footer="0.3"/>
  <pageSetup scale="60" fitToHeight="0" orientation="portrait" r:id="rId1"/>
  <drawing r:id="rId2"/>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FE4E-FCC3-456F-B798-6FF0B22629EE}">
  <sheetPr>
    <tabColor theme="4" tint="-0.249977111117893"/>
    <pageSetUpPr fitToPage="1"/>
  </sheetPr>
  <dimension ref="A1:M59"/>
  <sheetViews>
    <sheetView topLeftCell="A13" zoomScale="85" zoomScaleNormal="85" workbookViewId="0">
      <selection activeCell="B36" sqref="B36"/>
    </sheetView>
  </sheetViews>
  <sheetFormatPr baseColWidth="10" defaultColWidth="11.44140625" defaultRowHeight="13.2" x14ac:dyDescent="0.25"/>
  <cols>
    <col min="1" max="1" width="6" style="108" customWidth="1"/>
    <col min="2" max="2" width="96.88671875" style="108" customWidth="1"/>
    <col min="3" max="3" width="12.6640625" style="107" customWidth="1"/>
    <col min="4" max="4" width="14.5546875" style="107" customWidth="1"/>
    <col min="5" max="5" width="0.33203125" style="108" customWidth="1"/>
    <col min="6" max="11" width="11.44140625" style="108" hidden="1" customWidth="1"/>
    <col min="12"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1612</v>
      </c>
      <c r="B8" s="228"/>
      <c r="C8" s="229"/>
      <c r="D8" s="229"/>
    </row>
    <row r="9" spans="1:7" s="10" customFormat="1" ht="19.2" x14ac:dyDescent="0.45">
      <c r="A9" s="227" t="s">
        <v>1613</v>
      </c>
      <c r="B9" s="228"/>
      <c r="C9" s="229"/>
      <c r="D9" s="229"/>
    </row>
    <row r="10" spans="1:7" s="10" customFormat="1" ht="19.2" x14ac:dyDescent="0.45">
      <c r="A10" s="227" t="s">
        <v>1614</v>
      </c>
      <c r="B10" s="228"/>
      <c r="C10" s="229"/>
      <c r="D10" s="229"/>
    </row>
    <row r="11" spans="1:7" s="10" customFormat="1" ht="19.2" x14ac:dyDescent="0.45">
      <c r="A11" s="227" t="s">
        <v>1615</v>
      </c>
      <c r="B11" s="228"/>
      <c r="C11" s="230"/>
      <c r="D11" s="229"/>
    </row>
    <row r="12" spans="1:7" s="10" customFormat="1" ht="15" customHeight="1" x14ac:dyDescent="0.45">
      <c r="A12" s="227" t="s">
        <v>6</v>
      </c>
      <c r="B12" s="228"/>
      <c r="C12" s="230"/>
      <c r="D12" s="229"/>
    </row>
    <row r="13" spans="1:7" s="10" customFormat="1" ht="15" customHeight="1" x14ac:dyDescent="0.45">
      <c r="B13" s="231"/>
      <c r="C13" s="232"/>
      <c r="D13" s="233"/>
    </row>
    <row r="14" spans="1:7" s="10" customFormat="1" ht="15" customHeight="1" x14ac:dyDescent="0.45">
      <c r="A14" s="234" t="s">
        <v>1616</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13" s="191" customFormat="1" ht="40.5" customHeight="1" x14ac:dyDescent="0.25">
      <c r="A17" s="839">
        <v>1</v>
      </c>
      <c r="B17" s="840" t="s">
        <v>1617</v>
      </c>
      <c r="C17" s="841">
        <f>3000*1.3</f>
        <v>3900</v>
      </c>
      <c r="D17" s="842">
        <f>A17*C17</f>
        <v>3900</v>
      </c>
      <c r="E17" s="190"/>
      <c r="F17" s="108"/>
      <c r="G17" s="108"/>
    </row>
    <row r="18" spans="1:13" s="191" customFormat="1" ht="44.25" customHeight="1" x14ac:dyDescent="0.25">
      <c r="A18" s="839">
        <v>1</v>
      </c>
      <c r="B18" s="840" t="s">
        <v>1628</v>
      </c>
      <c r="C18" s="841">
        <f>4000*1.3</f>
        <v>5200</v>
      </c>
      <c r="D18" s="842">
        <f>A18*C18</f>
        <v>5200</v>
      </c>
      <c r="E18" s="190"/>
      <c r="F18" s="108"/>
      <c r="G18" s="108"/>
    </row>
    <row r="19" spans="1:13" s="191" customFormat="1" ht="15.6" x14ac:dyDescent="0.25">
      <c r="A19" s="839">
        <v>1</v>
      </c>
      <c r="B19" s="840" t="s">
        <v>1624</v>
      </c>
      <c r="C19" s="841">
        <v>9000</v>
      </c>
      <c r="D19" s="842">
        <f t="shared" ref="D19:D21" si="0">A19*C19</f>
        <v>9000</v>
      </c>
      <c r="E19" s="190"/>
      <c r="F19" s="108"/>
      <c r="G19" s="108"/>
    </row>
    <row r="20" spans="1:13" s="191" customFormat="1" ht="21.75" customHeight="1" x14ac:dyDescent="0.25">
      <c r="A20" s="839">
        <v>160</v>
      </c>
      <c r="B20" s="840" t="s">
        <v>1625</v>
      </c>
      <c r="C20" s="841">
        <v>18.899999999999999</v>
      </c>
      <c r="D20" s="842">
        <f t="shared" si="0"/>
        <v>3024</v>
      </c>
      <c r="E20" s="190"/>
      <c r="F20" s="108"/>
      <c r="G20" s="108"/>
    </row>
    <row r="21" spans="1:13" ht="15.6" x14ac:dyDescent="0.25">
      <c r="A21" s="839">
        <v>1</v>
      </c>
      <c r="B21" s="840" t="s">
        <v>1626</v>
      </c>
      <c r="C21" s="841">
        <v>3280</v>
      </c>
      <c r="D21" s="842">
        <f t="shared" si="0"/>
        <v>3280</v>
      </c>
      <c r="E21" s="190"/>
      <c r="H21" s="191"/>
      <c r="I21" s="191"/>
      <c r="J21" s="191"/>
      <c r="K21" s="191"/>
      <c r="L21" s="191"/>
      <c r="M21" s="837"/>
    </row>
    <row r="22" spans="1:13" ht="15.6" x14ac:dyDescent="0.25">
      <c r="A22" s="839">
        <v>1</v>
      </c>
      <c r="B22" s="840" t="s">
        <v>1618</v>
      </c>
      <c r="C22" s="841">
        <v>2800</v>
      </c>
      <c r="D22" s="842">
        <f>A22*C22</f>
        <v>2800</v>
      </c>
      <c r="E22" s="190"/>
      <c r="H22" s="191"/>
      <c r="I22" s="191"/>
      <c r="J22" s="191"/>
      <c r="K22" s="191"/>
      <c r="L22" s="191"/>
    </row>
    <row r="23" spans="1:13" ht="15.6" x14ac:dyDescent="0.3">
      <c r="A23" s="843"/>
      <c r="B23" s="844"/>
      <c r="C23" s="845"/>
      <c r="D23" s="846"/>
      <c r="E23" s="189"/>
    </row>
    <row r="24" spans="1:13" s="392" customFormat="1" ht="19.5" customHeight="1" x14ac:dyDescent="0.3">
      <c r="A24" s="847"/>
      <c r="B24" s="847"/>
      <c r="C24" s="848" t="s">
        <v>160</v>
      </c>
      <c r="D24" s="846">
        <f>SUM(D16:D23)</f>
        <v>27204</v>
      </c>
      <c r="E24" s="189"/>
      <c r="F24" s="108"/>
      <c r="G24" s="108"/>
      <c r="H24" s="108"/>
      <c r="I24" s="108"/>
      <c r="J24" s="108"/>
      <c r="K24" s="108"/>
      <c r="L24" s="108"/>
    </row>
    <row r="25" spans="1:13" ht="15.6" x14ac:dyDescent="0.3">
      <c r="A25" s="847"/>
      <c r="B25" s="847"/>
      <c r="C25" s="849" t="s">
        <v>392</v>
      </c>
      <c r="D25" s="850">
        <f>D24*0.16</f>
        <v>4352.6400000000003</v>
      </c>
      <c r="E25" s="189"/>
    </row>
    <row r="26" spans="1:13" ht="16.2" thickBot="1" x14ac:dyDescent="0.3">
      <c r="A26" s="851"/>
      <c r="B26" s="851"/>
      <c r="C26" s="852" t="s">
        <v>162</v>
      </c>
      <c r="D26" s="853">
        <f>D24+D25</f>
        <v>31556.639999999999</v>
      </c>
      <c r="E26" s="803"/>
      <c r="F26" s="392"/>
      <c r="G26" s="392"/>
      <c r="H26" s="392"/>
      <c r="I26" s="392"/>
      <c r="J26" s="392"/>
      <c r="K26" s="392"/>
      <c r="L26" s="392"/>
    </row>
    <row r="27" spans="1:13" ht="16.2" thickBot="1" x14ac:dyDescent="0.3">
      <c r="A27" s="854"/>
      <c r="B27" s="1133" t="s">
        <v>1627</v>
      </c>
      <c r="C27" s="1134"/>
      <c r="D27" s="1135"/>
    </row>
    <row r="28" spans="1:13" ht="24.75" customHeight="1" x14ac:dyDescent="0.25">
      <c r="A28" s="102"/>
      <c r="B28" s="201"/>
      <c r="C28" s="253"/>
      <c r="D28" s="254"/>
    </row>
    <row r="29" spans="1:13" ht="17.25" customHeight="1" x14ac:dyDescent="0.25">
      <c r="A29" s="102"/>
      <c r="B29" s="100" t="s">
        <v>9</v>
      </c>
      <c r="C29" s="104"/>
      <c r="D29" s="105"/>
    </row>
    <row r="30" spans="1:13" ht="15.6" x14ac:dyDescent="0.25">
      <c r="A30" s="102" t="s">
        <v>1619</v>
      </c>
      <c r="B30" s="838"/>
      <c r="C30" s="104"/>
      <c r="D30" s="105"/>
    </row>
    <row r="31" spans="1:13" ht="13.5" customHeight="1" x14ac:dyDescent="0.25">
      <c r="A31" s="106"/>
      <c r="B31" s="100" t="s">
        <v>11</v>
      </c>
      <c r="D31" s="105"/>
    </row>
    <row r="32" spans="1:13" ht="15" x14ac:dyDescent="0.25">
      <c r="A32" s="106"/>
      <c r="B32" s="121" t="s">
        <v>1620</v>
      </c>
      <c r="D32" s="105"/>
    </row>
    <row r="33" spans="1:5" ht="15" x14ac:dyDescent="0.25">
      <c r="A33" s="106"/>
      <c r="B33" s="121" t="s">
        <v>13</v>
      </c>
      <c r="D33" s="105"/>
    </row>
    <row r="34" spans="1:5" ht="20.25" customHeight="1" x14ac:dyDescent="0.25">
      <c r="A34" s="106"/>
      <c r="B34" s="121" t="s">
        <v>14</v>
      </c>
      <c r="D34" s="105"/>
    </row>
    <row r="35" spans="1:5" ht="13.8" x14ac:dyDescent="0.25">
      <c r="B35" s="103" t="s">
        <v>15</v>
      </c>
    </row>
    <row r="36" spans="1:5" ht="15" x14ac:dyDescent="0.25">
      <c r="A36" s="106"/>
      <c r="B36" s="855" t="s">
        <v>1621</v>
      </c>
      <c r="E36" s="189"/>
    </row>
    <row r="37" spans="1:5" ht="27.6" x14ac:dyDescent="0.25">
      <c r="A37" s="106"/>
      <c r="B37" s="125" t="s">
        <v>17</v>
      </c>
      <c r="C37" s="109"/>
      <c r="D37" s="110"/>
      <c r="E37" s="189"/>
    </row>
    <row r="38" spans="1:5" ht="15" x14ac:dyDescent="0.25">
      <c r="A38" s="106"/>
      <c r="B38" s="103" t="s">
        <v>18</v>
      </c>
      <c r="C38" s="109"/>
      <c r="D38" s="110"/>
    </row>
    <row r="39" spans="1:5" ht="15" x14ac:dyDescent="0.25">
      <c r="A39" s="106"/>
      <c r="B39" s="856" t="s">
        <v>1622</v>
      </c>
      <c r="C39" s="109"/>
      <c r="D39" s="109"/>
    </row>
    <row r="40" spans="1:5" ht="15" x14ac:dyDescent="0.25">
      <c r="A40" s="106"/>
      <c r="B40" s="127" t="s">
        <v>20</v>
      </c>
      <c r="C40" s="109"/>
      <c r="D40" s="109"/>
    </row>
    <row r="41" spans="1:5" ht="13.8" x14ac:dyDescent="0.25">
      <c r="B41" s="103" t="s">
        <v>21</v>
      </c>
      <c r="D41" s="105"/>
    </row>
    <row r="42" spans="1:5" ht="15" x14ac:dyDescent="0.25">
      <c r="A42" s="106"/>
      <c r="B42" s="484" t="s">
        <v>1623</v>
      </c>
      <c r="C42" s="109"/>
      <c r="D42" s="110"/>
    </row>
    <row r="43" spans="1:5" ht="15" x14ac:dyDescent="0.25">
      <c r="A43" s="106"/>
      <c r="B43" s="121" t="s">
        <v>44</v>
      </c>
      <c r="C43" s="109"/>
      <c r="D43" s="110"/>
    </row>
    <row r="44" spans="1:5" ht="13.8" x14ac:dyDescent="0.25">
      <c r="A44" s="115" t="s">
        <v>0</v>
      </c>
      <c r="B44" s="121" t="s">
        <v>45</v>
      </c>
      <c r="C44" s="109"/>
    </row>
    <row r="45" spans="1:5" ht="50.4" x14ac:dyDescent="0.4">
      <c r="A45" s="222"/>
      <c r="B45" s="128" t="s">
        <v>169</v>
      </c>
      <c r="C45" s="220"/>
      <c r="D45" s="108"/>
    </row>
    <row r="46" spans="1:5" x14ac:dyDescent="0.25">
      <c r="A46" s="222"/>
      <c r="B46" s="181"/>
      <c r="C46" s="181"/>
      <c r="D46" s="108"/>
    </row>
    <row r="47" spans="1:5" x14ac:dyDescent="0.25">
      <c r="A47" s="222"/>
      <c r="B47" s="181"/>
      <c r="C47" s="181"/>
      <c r="D47" s="108"/>
    </row>
    <row r="48" spans="1:5" x14ac:dyDescent="0.25">
      <c r="A48" s="225"/>
      <c r="B48" s="223"/>
      <c r="C48" s="181"/>
      <c r="D48" s="108"/>
    </row>
    <row r="49" spans="1:4" ht="15" x14ac:dyDescent="0.35">
      <c r="A49" s="226" t="s">
        <v>0</v>
      </c>
      <c r="B49" s="224"/>
      <c r="C49" s="181"/>
      <c r="D49" s="181"/>
    </row>
    <row r="50" spans="1:4" ht="12.75" customHeight="1" x14ac:dyDescent="0.25">
      <c r="A50" s="108" t="s">
        <v>0</v>
      </c>
    </row>
    <row r="54" spans="1:4" ht="16.5" customHeight="1" x14ac:dyDescent="0.25"/>
    <row r="58" spans="1:4" ht="15.75" customHeight="1" x14ac:dyDescent="0.25"/>
    <row r="59" spans="1:4" ht="15" customHeight="1" x14ac:dyDescent="0.25"/>
  </sheetData>
  <mergeCells count="3">
    <mergeCell ref="A4:D4"/>
    <mergeCell ref="A15:D15"/>
    <mergeCell ref="B27:D27"/>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E0E9-8694-4D4B-B95F-271090EF1B93}">
  <sheetPr>
    <tabColor theme="4" tint="-0.249977111117893"/>
    <pageSetUpPr fitToPage="1"/>
  </sheetPr>
  <dimension ref="A1:E62"/>
  <sheetViews>
    <sheetView zoomScaleNormal="100" workbookViewId="0">
      <selection activeCell="B22" sqref="B22"/>
    </sheetView>
  </sheetViews>
  <sheetFormatPr baseColWidth="10" defaultColWidth="10.33203125" defaultRowHeight="13.2" x14ac:dyDescent="0.25"/>
  <cols>
    <col min="1" max="1" width="5.44140625" style="108" customWidth="1"/>
    <col min="2" max="2" width="69.88671875" style="108" customWidth="1"/>
    <col min="3" max="3" width="10" style="107" bestFit="1" customWidth="1"/>
    <col min="4" max="4" width="9.88671875" style="107" customWidth="1"/>
    <col min="5" max="16384" width="10.332031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6.8" x14ac:dyDescent="0.4">
      <c r="A8" s="57" t="s">
        <v>1630</v>
      </c>
      <c r="C8" s="58"/>
      <c r="D8" s="58"/>
    </row>
    <row r="9" spans="1:5" s="10" customFormat="1" ht="16.8" x14ac:dyDescent="0.4">
      <c r="A9" s="57" t="s">
        <v>1629</v>
      </c>
      <c r="C9" s="58"/>
      <c r="D9" s="58"/>
    </row>
    <row r="10" spans="1:5" s="10" customFormat="1" ht="16.8" x14ac:dyDescent="0.4">
      <c r="A10" s="57" t="s">
        <v>1631</v>
      </c>
      <c r="C10" s="58"/>
      <c r="D10" s="58"/>
    </row>
    <row r="11" spans="1:5" s="10" customFormat="1" ht="16.8" x14ac:dyDescent="0.4">
      <c r="A11" s="57" t="s">
        <v>1632</v>
      </c>
      <c r="C11" s="59"/>
      <c r="D11" s="58"/>
    </row>
    <row r="12" spans="1:5" s="10" customFormat="1" ht="15" customHeight="1" x14ac:dyDescent="0.4">
      <c r="A12" s="60" t="s">
        <v>1633</v>
      </c>
      <c r="B12" s="61"/>
      <c r="C12" s="59"/>
      <c r="D12" s="58"/>
    </row>
    <row r="13" spans="1:5" s="10" customFormat="1" ht="15" customHeight="1" x14ac:dyDescent="0.4">
      <c r="A13" s="1060" t="s">
        <v>498</v>
      </c>
      <c r="B13" s="1061"/>
      <c r="C13" s="1062"/>
      <c r="D13" s="1063"/>
      <c r="E13" s="188"/>
    </row>
    <row r="14" spans="1:5" s="10" customFormat="1" ht="26.4" x14ac:dyDescent="0.4">
      <c r="A14" s="260" t="s">
        <v>29</v>
      </c>
      <c r="B14" s="260" t="s">
        <v>30</v>
      </c>
      <c r="C14" s="261" t="s">
        <v>31</v>
      </c>
      <c r="D14" s="261" t="s">
        <v>32</v>
      </c>
      <c r="E14" s="189"/>
    </row>
    <row r="15" spans="1:5" s="188" customFormat="1" ht="13.8" x14ac:dyDescent="0.25">
      <c r="A15" s="262"/>
      <c r="B15" s="263"/>
      <c r="C15" s="264"/>
      <c r="D15" s="264"/>
      <c r="E15" s="190"/>
    </row>
    <row r="16" spans="1:5" ht="39.6" x14ac:dyDescent="0.25">
      <c r="A16" s="445">
        <v>1</v>
      </c>
      <c r="B16" s="446" t="s">
        <v>1634</v>
      </c>
      <c r="C16" s="447">
        <v>32000</v>
      </c>
      <c r="D16" s="448">
        <f>A16*C16</f>
        <v>32000</v>
      </c>
      <c r="E16" s="189"/>
    </row>
    <row r="17" spans="1:5" s="191" customFormat="1" ht="15.75" customHeight="1" x14ac:dyDescent="0.25">
      <c r="A17" s="445">
        <v>1</v>
      </c>
      <c r="B17" s="446" t="s">
        <v>500</v>
      </c>
      <c r="C17" s="447">
        <v>400</v>
      </c>
      <c r="D17" s="448"/>
      <c r="E17" s="189"/>
    </row>
    <row r="18" spans="1:5" x14ac:dyDescent="0.25">
      <c r="A18" s="449"/>
      <c r="B18" s="450"/>
      <c r="C18" s="451" t="s">
        <v>188</v>
      </c>
      <c r="D18" s="452">
        <f>SUM(D16:D16)</f>
        <v>32000</v>
      </c>
      <c r="E18" s="189"/>
    </row>
    <row r="19" spans="1:5" x14ac:dyDescent="0.25">
      <c r="A19" s="453"/>
      <c r="B19" s="454" t="s">
        <v>380</v>
      </c>
      <c r="C19" s="455" t="s">
        <v>90</v>
      </c>
      <c r="D19" s="456">
        <f>D18*0.16</f>
        <v>5120</v>
      </c>
      <c r="E19" s="189"/>
    </row>
    <row r="20" spans="1:5" ht="13.8" thickBot="1" x14ac:dyDescent="0.3">
      <c r="A20" s="276"/>
      <c r="B20" s="385" t="s">
        <v>381</v>
      </c>
      <c r="C20" s="457" t="s">
        <v>40</v>
      </c>
      <c r="D20" s="458">
        <f>D18+D19</f>
        <v>37120</v>
      </c>
      <c r="E20" s="189"/>
    </row>
    <row r="21" spans="1:5" ht="13.5" customHeight="1" thickBot="1" x14ac:dyDescent="0.3">
      <c r="A21" s="102"/>
      <c r="B21" s="459" t="s">
        <v>1635</v>
      </c>
      <c r="C21" s="460"/>
      <c r="D21" s="461"/>
      <c r="E21" s="189"/>
    </row>
    <row r="22" spans="1:5" ht="15" x14ac:dyDescent="0.25">
      <c r="A22" s="106"/>
      <c r="B22" s="97" t="s">
        <v>11</v>
      </c>
      <c r="C22" s="462"/>
      <c r="D22" s="254"/>
    </row>
    <row r="23" spans="1:5" ht="15" x14ac:dyDescent="0.25">
      <c r="A23" s="106"/>
      <c r="B23" s="123" t="s">
        <v>12</v>
      </c>
      <c r="D23" s="105"/>
      <c r="E23" s="189"/>
    </row>
    <row r="24" spans="1:5" ht="15" x14ac:dyDescent="0.25">
      <c r="A24" s="106"/>
      <c r="B24" s="123" t="s">
        <v>13</v>
      </c>
      <c r="D24" s="105"/>
    </row>
    <row r="25" spans="1:5" ht="15" x14ac:dyDescent="0.25">
      <c r="A25" s="106"/>
      <c r="B25" s="123" t="s">
        <v>14</v>
      </c>
      <c r="D25" s="105"/>
    </row>
    <row r="26" spans="1:5" ht="13.8" x14ac:dyDescent="0.25">
      <c r="B26" s="103" t="s">
        <v>15</v>
      </c>
    </row>
    <row r="27" spans="1:5" ht="27.6" x14ac:dyDescent="0.25">
      <c r="A27" s="106"/>
      <c r="B27" s="295" t="s">
        <v>42</v>
      </c>
    </row>
    <row r="28" spans="1:5" ht="41.4" x14ac:dyDescent="0.25">
      <c r="A28" s="106"/>
      <c r="B28" s="295" t="s">
        <v>43</v>
      </c>
      <c r="C28" s="109"/>
      <c r="D28" s="110"/>
    </row>
    <row r="29" spans="1:5" ht="13.5" customHeight="1" x14ac:dyDescent="0.25">
      <c r="A29" s="106"/>
      <c r="B29" s="103" t="s">
        <v>18</v>
      </c>
      <c r="C29" s="109"/>
      <c r="D29" s="110"/>
    </row>
    <row r="30" spans="1:5" ht="15" x14ac:dyDescent="0.25">
      <c r="A30" s="106"/>
      <c r="B30" s="296" t="s">
        <v>501</v>
      </c>
      <c r="C30" s="109"/>
      <c r="D30" s="109"/>
    </row>
    <row r="31" spans="1:5" ht="15" x14ac:dyDescent="0.25">
      <c r="A31" s="106"/>
      <c r="B31" s="297" t="s">
        <v>20</v>
      </c>
      <c r="C31" s="109"/>
      <c r="D31" s="109"/>
    </row>
    <row r="32" spans="1:5" ht="13.8" x14ac:dyDescent="0.25">
      <c r="B32" s="103" t="s">
        <v>21</v>
      </c>
      <c r="D32" s="105"/>
    </row>
    <row r="33" spans="1:4" ht="15" x14ac:dyDescent="0.25">
      <c r="A33" s="106"/>
      <c r="B33" s="122" t="s">
        <v>502</v>
      </c>
      <c r="C33" s="109"/>
      <c r="D33" s="110"/>
    </row>
    <row r="34" spans="1:4" ht="15.75" customHeight="1" x14ac:dyDescent="0.25">
      <c r="A34" s="106"/>
      <c r="B34" s="123" t="s">
        <v>44</v>
      </c>
      <c r="C34" s="109"/>
      <c r="D34" s="110"/>
    </row>
    <row r="35" spans="1:4" ht="13.8" x14ac:dyDescent="0.25">
      <c r="A35" s="115" t="s">
        <v>0</v>
      </c>
      <c r="B35" s="298" t="s">
        <v>45</v>
      </c>
      <c r="C35" s="109"/>
    </row>
    <row r="36" spans="1:4" ht="50.4" x14ac:dyDescent="0.25">
      <c r="A36" s="222"/>
      <c r="B36" s="314" t="s">
        <v>169</v>
      </c>
      <c r="C36" s="220"/>
      <c r="D36" s="108"/>
    </row>
    <row r="37" spans="1:4" x14ac:dyDescent="0.25">
      <c r="A37" s="222"/>
      <c r="B37" s="181"/>
      <c r="C37" s="181"/>
      <c r="D37" s="108"/>
    </row>
    <row r="38" spans="1:4" x14ac:dyDescent="0.25">
      <c r="A38" s="222"/>
      <c r="B38" s="181"/>
      <c r="C38" s="181"/>
      <c r="D38" s="108"/>
    </row>
    <row r="39" spans="1:4" x14ac:dyDescent="0.25">
      <c r="A39" s="225"/>
      <c r="B39" s="223"/>
      <c r="C39" s="181"/>
      <c r="D39" s="108"/>
    </row>
    <row r="40" spans="1:4" ht="15" x14ac:dyDescent="0.35">
      <c r="A40" s="226"/>
      <c r="B40" s="224"/>
      <c r="C40" s="181"/>
      <c r="D40" s="181"/>
    </row>
    <row r="41" spans="1:4" x14ac:dyDescent="0.25">
      <c r="A41" s="108" t="s">
        <v>0</v>
      </c>
    </row>
    <row r="53" ht="17.25" customHeight="1" x14ac:dyDescent="0.25"/>
    <row r="57" ht="16.5" customHeight="1" x14ac:dyDescent="0.25"/>
    <row r="61" ht="15.75" customHeight="1" x14ac:dyDescent="0.25"/>
    <row r="62" ht="15" customHeight="1" x14ac:dyDescent="0.25"/>
  </sheetData>
  <mergeCells count="2">
    <mergeCell ref="A4:D4"/>
    <mergeCell ref="A13:D13"/>
  </mergeCells>
  <printOptions horizontalCentered="1"/>
  <pageMargins left="0.25" right="0.25" top="0.75" bottom="0.75" header="0.3" footer="0.3"/>
  <pageSetup paperSize="9" scale="93" fitToHeight="0" orientation="portrait" r:id="rId1"/>
  <headerFooter alignWithMargins="0">
    <oddFooter>Página &amp;P de &amp;N</oddFooter>
  </headerFooter>
  <drawing r:id="rId2"/>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BBB8-3617-4369-866B-7B243577F565}">
  <sheetPr>
    <pageSetUpPr fitToPage="1"/>
  </sheetPr>
  <dimension ref="A1:F69"/>
  <sheetViews>
    <sheetView zoomScaleNormal="100" workbookViewId="0">
      <selection activeCell="B34" sqref="B34"/>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1641</v>
      </c>
      <c r="B8" s="10"/>
      <c r="C8" s="58"/>
      <c r="D8" s="58"/>
    </row>
    <row r="9" spans="1:5" s="55" customFormat="1" ht="16.8" x14ac:dyDescent="0.4">
      <c r="A9" s="57" t="s">
        <v>25</v>
      </c>
      <c r="B9" s="10"/>
      <c r="C9" s="58"/>
      <c r="D9" s="58"/>
    </row>
    <row r="10" spans="1:5" s="55" customFormat="1" ht="16.8" x14ac:dyDescent="0.4">
      <c r="A10" s="57" t="s">
        <v>26</v>
      </c>
      <c r="B10" s="10"/>
      <c r="C10" s="58"/>
      <c r="D10" s="58"/>
    </row>
    <row r="11" spans="1:5" s="55" customFormat="1" ht="16.8" x14ac:dyDescent="0.4">
      <c r="A11" s="57" t="s">
        <v>1642</v>
      </c>
      <c r="B11" s="10"/>
      <c r="C11" s="59"/>
      <c r="D11" s="58"/>
    </row>
    <row r="12" spans="1:5" s="55" customFormat="1" ht="15" customHeight="1" x14ac:dyDescent="0.4">
      <c r="A12" s="60" t="s">
        <v>1643</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5" x14ac:dyDescent="0.25">
      <c r="A16" s="72">
        <v>1</v>
      </c>
      <c r="B16" s="73" t="s">
        <v>1638</v>
      </c>
      <c r="C16" s="74">
        <v>21000</v>
      </c>
      <c r="D16" s="75">
        <f>A16*C16</f>
        <v>21000</v>
      </c>
      <c r="E16" s="76"/>
    </row>
    <row r="17" spans="1:6" ht="31.2" x14ac:dyDescent="0.25">
      <c r="A17" s="77">
        <v>1</v>
      </c>
      <c r="B17" s="857" t="s">
        <v>1636</v>
      </c>
      <c r="C17" s="79">
        <f>(210609*1.33)</f>
        <v>280109.97000000003</v>
      </c>
      <c r="D17" s="80">
        <f>A17*C17</f>
        <v>280109.97000000003</v>
      </c>
      <c r="E17" s="76"/>
    </row>
    <row r="18" spans="1:6" ht="15.6" x14ac:dyDescent="0.25">
      <c r="A18" s="77">
        <v>1</v>
      </c>
      <c r="B18" s="81" t="s">
        <v>1637</v>
      </c>
      <c r="C18" s="82">
        <f>(125755)*(1.33)</f>
        <v>167254.15000000002</v>
      </c>
      <c r="D18" s="83">
        <f t="shared" ref="D18" si="0">A18*C18</f>
        <v>167254.15000000002</v>
      </c>
      <c r="E18" s="76"/>
    </row>
    <row r="19" spans="1:6" ht="45" x14ac:dyDescent="0.25">
      <c r="A19" s="72">
        <v>1</v>
      </c>
      <c r="B19" s="73" t="s">
        <v>1044</v>
      </c>
      <c r="C19" s="74">
        <v>21000</v>
      </c>
      <c r="D19" s="75">
        <f>A19*C19</f>
        <v>21000</v>
      </c>
      <c r="E19" s="76"/>
    </row>
    <row r="20" spans="1:6" ht="30" x14ac:dyDescent="0.25">
      <c r="A20" s="72">
        <v>2</v>
      </c>
      <c r="B20" s="73" t="s">
        <v>33</v>
      </c>
      <c r="C20" s="74">
        <v>4600</v>
      </c>
      <c r="D20" s="75">
        <f>A20*C20</f>
        <v>9200</v>
      </c>
      <c r="E20" s="76"/>
    </row>
    <row r="21" spans="1:6" ht="15.6" x14ac:dyDescent="0.25">
      <c r="A21" s="72">
        <v>2</v>
      </c>
      <c r="B21" s="73" t="s">
        <v>36</v>
      </c>
      <c r="C21" s="74">
        <v>2498</v>
      </c>
      <c r="D21" s="75">
        <f>A21*C21</f>
        <v>4996</v>
      </c>
    </row>
    <row r="22" spans="1:6" ht="15.6" x14ac:dyDescent="0.25">
      <c r="A22" s="72"/>
      <c r="B22" s="75"/>
      <c r="C22" s="75"/>
      <c r="D22" s="75"/>
      <c r="E22" s="96"/>
    </row>
    <row r="23" spans="1:6" ht="15.6" x14ac:dyDescent="0.25">
      <c r="A23" s="89"/>
      <c r="B23" s="90"/>
      <c r="C23" s="91" t="s">
        <v>38</v>
      </c>
      <c r="D23" s="75">
        <f>SUM(D16:D21)</f>
        <v>503560.12000000005</v>
      </c>
    </row>
    <row r="24" spans="1:6" ht="15.6" x14ac:dyDescent="0.3">
      <c r="A24" s="92"/>
      <c r="B24" s="90"/>
      <c r="C24" s="93" t="s">
        <v>39</v>
      </c>
      <c r="D24" s="75">
        <f>D23*0.16</f>
        <v>80569.619200000016</v>
      </c>
    </row>
    <row r="25" spans="1:6" ht="16.2" thickBot="1" x14ac:dyDescent="0.35">
      <c r="A25" s="92"/>
      <c r="B25" s="90"/>
      <c r="C25" s="94" t="s">
        <v>40</v>
      </c>
      <c r="D25" s="95">
        <f>D23+D24</f>
        <v>584129.73920000007</v>
      </c>
    </row>
    <row r="26" spans="1:6" ht="18.75" customHeight="1" thickBot="1" x14ac:dyDescent="0.3">
      <c r="A26" s="92"/>
      <c r="B26" s="1023" t="s">
        <v>1644</v>
      </c>
      <c r="C26" s="1024"/>
      <c r="D26" s="1025"/>
      <c r="F26" s="96"/>
    </row>
    <row r="27" spans="1:6" ht="13.8" x14ac:dyDescent="0.25">
      <c r="B27" s="370" t="s">
        <v>9</v>
      </c>
      <c r="C27" s="98"/>
      <c r="D27" s="99"/>
      <c r="F27" s="96"/>
    </row>
    <row r="28" spans="1:6" ht="15.75" customHeight="1" x14ac:dyDescent="0.25">
      <c r="B28" s="124" t="s">
        <v>484</v>
      </c>
      <c r="C28" s="76"/>
      <c r="D28" s="96"/>
    </row>
    <row r="29" spans="1:6" s="96" customFormat="1" ht="13.8" x14ac:dyDescent="0.25">
      <c r="B29" s="103" t="s">
        <v>11</v>
      </c>
      <c r="E29" s="52"/>
      <c r="F29" s="52"/>
    </row>
    <row r="30" spans="1:6" s="96" customFormat="1" ht="15.75" customHeight="1" x14ac:dyDescent="0.25">
      <c r="A30" s="101"/>
      <c r="B30" s="123" t="s">
        <v>12</v>
      </c>
      <c r="C30" s="52"/>
      <c r="D30" s="52"/>
      <c r="E30" s="52"/>
      <c r="F30" s="52"/>
    </row>
    <row r="31" spans="1:6" ht="13.5" customHeight="1" x14ac:dyDescent="0.25">
      <c r="A31" s="101"/>
      <c r="B31" s="123" t="s">
        <v>13</v>
      </c>
      <c r="C31" s="52"/>
      <c r="D31" s="52"/>
    </row>
    <row r="32" spans="1:6" ht="15" x14ac:dyDescent="0.25">
      <c r="A32" s="101"/>
      <c r="B32" s="123" t="s">
        <v>14</v>
      </c>
      <c r="C32" s="52"/>
      <c r="D32" s="52"/>
    </row>
    <row r="33" spans="1:4" ht="13.5" customHeight="1" x14ac:dyDescent="0.25">
      <c r="A33" s="102"/>
      <c r="B33" s="103" t="s">
        <v>15</v>
      </c>
      <c r="C33" s="52"/>
      <c r="D33" s="52"/>
    </row>
    <row r="34" spans="1:4" ht="13.8" x14ac:dyDescent="0.25">
      <c r="A34" s="858"/>
      <c r="B34" s="860" t="s">
        <v>1640</v>
      </c>
      <c r="C34" s="859"/>
      <c r="D34" s="105"/>
    </row>
    <row r="35" spans="1:4" ht="13.8" x14ac:dyDescent="0.25">
      <c r="A35" s="102"/>
      <c r="B35" s="295" t="s">
        <v>42</v>
      </c>
      <c r="C35" s="104"/>
      <c r="D35" s="105"/>
    </row>
    <row r="36" spans="1:4" ht="13.5" customHeight="1" x14ac:dyDescent="0.25">
      <c r="A36" s="106"/>
      <c r="B36" s="295" t="s">
        <v>43</v>
      </c>
      <c r="C36" s="104"/>
      <c r="D36" s="105"/>
    </row>
    <row r="37" spans="1:4" ht="13.5" customHeight="1" x14ac:dyDescent="0.25">
      <c r="A37" s="106"/>
      <c r="B37" s="103" t="s">
        <v>18</v>
      </c>
      <c r="C37" s="107"/>
      <c r="D37" s="105"/>
    </row>
    <row r="38" spans="1:4" ht="13.5" customHeight="1" x14ac:dyDescent="0.25">
      <c r="A38" s="106"/>
      <c r="B38" s="313" t="s">
        <v>410</v>
      </c>
      <c r="C38" s="107"/>
      <c r="D38" s="105"/>
    </row>
    <row r="39" spans="1:4" ht="13.5" customHeight="1" x14ac:dyDescent="0.25">
      <c r="A39" s="106"/>
      <c r="B39" s="297" t="s">
        <v>20</v>
      </c>
      <c r="C39" s="107"/>
      <c r="D39" s="105"/>
    </row>
    <row r="40" spans="1:4" ht="13.5" customHeight="1" x14ac:dyDescent="0.25">
      <c r="A40" s="108"/>
      <c r="B40" s="103" t="s">
        <v>21</v>
      </c>
      <c r="C40" s="107"/>
      <c r="D40" s="107"/>
    </row>
    <row r="41" spans="1:4" ht="15" x14ac:dyDescent="0.25">
      <c r="A41" s="106"/>
      <c r="B41" s="122" t="s">
        <v>1639</v>
      </c>
      <c r="C41" s="107"/>
      <c r="D41" s="107"/>
    </row>
    <row r="42" spans="1:4" ht="15" x14ac:dyDescent="0.25">
      <c r="A42" s="106"/>
      <c r="B42" s="123" t="s">
        <v>44</v>
      </c>
      <c r="C42" s="107"/>
      <c r="D42" s="110"/>
    </row>
    <row r="43" spans="1:4" ht="15" x14ac:dyDescent="0.25">
      <c r="A43" s="106"/>
      <c r="B43" s="123" t="s">
        <v>45</v>
      </c>
      <c r="C43" s="109"/>
      <c r="D43" s="110"/>
    </row>
    <row r="44" spans="1:4" ht="33.6" x14ac:dyDescent="0.25">
      <c r="A44" s="106"/>
      <c r="B44" s="314" t="s">
        <v>23</v>
      </c>
      <c r="C44" s="109"/>
      <c r="D44" s="109"/>
    </row>
    <row r="45" spans="1:4" ht="16.8" x14ac:dyDescent="0.4">
      <c r="A45" s="106"/>
      <c r="B45" s="111"/>
      <c r="C45" s="109"/>
      <c r="D45" s="109"/>
    </row>
    <row r="46" spans="1:4" ht="13.8" x14ac:dyDescent="0.25">
      <c r="A46" s="108"/>
      <c r="B46" s="112"/>
      <c r="C46" s="109"/>
      <c r="D46" s="105"/>
    </row>
    <row r="47" spans="1:4" ht="15" x14ac:dyDescent="0.25">
      <c r="A47" s="106"/>
      <c r="B47" s="112"/>
      <c r="C47" s="107"/>
      <c r="D47" s="110"/>
    </row>
    <row r="48" spans="1:4" ht="15" x14ac:dyDescent="0.25">
      <c r="A48" s="106"/>
      <c r="B48" s="113"/>
      <c r="C48" s="109"/>
      <c r="D48" s="110"/>
    </row>
    <row r="49" spans="1:4" ht="16.2" x14ac:dyDescent="0.35">
      <c r="A49" s="106"/>
      <c r="B49" s="114"/>
      <c r="C49" s="109"/>
      <c r="D49" s="110"/>
    </row>
    <row r="50" spans="1:4" ht="13.8" x14ac:dyDescent="0.25">
      <c r="A50" s="115" t="s">
        <v>0</v>
      </c>
      <c r="C50" s="109"/>
      <c r="D50" s="109"/>
    </row>
    <row r="51" spans="1:4" ht="13.8" x14ac:dyDescent="0.25">
      <c r="A51" s="116"/>
      <c r="C51" s="109"/>
      <c r="D51" s="118"/>
    </row>
    <row r="52" spans="1:4" ht="13.8" x14ac:dyDescent="0.25">
      <c r="A52" s="117"/>
      <c r="C52" s="118"/>
      <c r="D52" s="52"/>
    </row>
    <row r="53" spans="1:4" x14ac:dyDescent="0.25">
      <c r="A53" s="117"/>
      <c r="C53" s="112"/>
      <c r="D53" s="52"/>
    </row>
    <row r="54" spans="1:4" x14ac:dyDescent="0.25">
      <c r="A54" s="119"/>
      <c r="C54" s="112"/>
      <c r="D54" s="52"/>
    </row>
    <row r="55" spans="1:4" x14ac:dyDescent="0.25">
      <c r="A55" s="120" t="s">
        <v>0</v>
      </c>
      <c r="C55" s="112"/>
      <c r="D55" s="112"/>
    </row>
    <row r="56" spans="1:4" x14ac:dyDescent="0.25">
      <c r="A56" s="52" t="s">
        <v>0</v>
      </c>
      <c r="C56" s="112"/>
    </row>
    <row r="60" spans="1:4" ht="15.75" customHeight="1" x14ac:dyDescent="0.25"/>
    <row r="64" spans="1:4" ht="16.5" customHeight="1" x14ac:dyDescent="0.25"/>
    <row r="68" ht="24" customHeight="1" x14ac:dyDescent="0.25"/>
    <row r="69" ht="24" customHeight="1" x14ac:dyDescent="0.25"/>
  </sheetData>
  <mergeCells count="3">
    <mergeCell ref="A4:D4"/>
    <mergeCell ref="A13:D13"/>
    <mergeCell ref="B26:D26"/>
  </mergeCells>
  <pageMargins left="0.25" right="0.25" top="0.75" bottom="0.75" header="0.3" footer="0.3"/>
  <pageSetup scale="60" fitToHeight="0" orientation="portrait" r:id="rId1"/>
  <drawing r:id="rId2"/>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06BB-DDC2-4B65-A46B-E2308F9D01F8}">
  <sheetPr>
    <tabColor theme="4" tint="-0.249977111117893"/>
    <pageSetUpPr fitToPage="1"/>
  </sheetPr>
  <dimension ref="A1:M59"/>
  <sheetViews>
    <sheetView topLeftCell="A23" zoomScale="85" zoomScaleNormal="85" workbookViewId="0">
      <selection activeCell="B29" sqref="B29"/>
    </sheetView>
  </sheetViews>
  <sheetFormatPr baseColWidth="10" defaultColWidth="11.44140625" defaultRowHeight="13.2" x14ac:dyDescent="0.25"/>
  <cols>
    <col min="1" max="1" width="6" style="108" customWidth="1"/>
    <col min="2" max="2" width="96.88671875" style="108" customWidth="1"/>
    <col min="3" max="3" width="12.6640625" style="107" customWidth="1"/>
    <col min="4" max="4" width="14.5546875" style="107" customWidth="1"/>
    <col min="5" max="5" width="0.33203125" style="108" customWidth="1"/>
    <col min="6" max="11" width="11.44140625" style="108" hidden="1" customWidth="1"/>
    <col min="12"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1612</v>
      </c>
      <c r="B8" s="228"/>
      <c r="C8" s="229"/>
      <c r="D8" s="229"/>
    </row>
    <row r="9" spans="1:7" s="10" customFormat="1" ht="19.2" x14ac:dyDescent="0.45">
      <c r="A9" s="227" t="s">
        <v>1613</v>
      </c>
      <c r="B9" s="228"/>
      <c r="C9" s="229"/>
      <c r="D9" s="229"/>
    </row>
    <row r="10" spans="1:7" s="10" customFormat="1" ht="19.2" x14ac:dyDescent="0.45">
      <c r="A10" s="227" t="s">
        <v>1614</v>
      </c>
      <c r="B10" s="228"/>
      <c r="C10" s="229"/>
      <c r="D10" s="229"/>
    </row>
    <row r="11" spans="1:7" s="10" customFormat="1" ht="19.2" x14ac:dyDescent="0.45">
      <c r="A11" s="227" t="s">
        <v>1615</v>
      </c>
      <c r="B11" s="228"/>
      <c r="C11" s="230"/>
      <c r="D11" s="229"/>
    </row>
    <row r="12" spans="1:7" s="10" customFormat="1" ht="15" customHeight="1" x14ac:dyDescent="0.45">
      <c r="A12" s="227" t="s">
        <v>6</v>
      </c>
      <c r="B12" s="228"/>
      <c r="C12" s="230"/>
      <c r="D12" s="229"/>
    </row>
    <row r="13" spans="1:7" s="10" customFormat="1" ht="15" customHeight="1" x14ac:dyDescent="0.45">
      <c r="B13" s="231"/>
      <c r="C13" s="232"/>
      <c r="D13" s="233"/>
    </row>
    <row r="14" spans="1:7" s="10" customFormat="1" ht="15" customHeight="1" x14ac:dyDescent="0.45">
      <c r="A14" s="234" t="s">
        <v>1616</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13" s="191" customFormat="1" ht="40.5" customHeight="1" x14ac:dyDescent="0.25">
      <c r="A17" s="839">
        <v>3</v>
      </c>
      <c r="B17" s="840" t="s">
        <v>1645</v>
      </c>
      <c r="C17" s="841">
        <v>3230</v>
      </c>
      <c r="D17" s="842">
        <f>A17*C17</f>
        <v>9690</v>
      </c>
      <c r="E17" s="190"/>
      <c r="F17" s="108"/>
      <c r="G17" s="108"/>
    </row>
    <row r="18" spans="1:13" s="191" customFormat="1" ht="15.6" x14ac:dyDescent="0.3">
      <c r="A18" s="843"/>
      <c r="B18" s="844"/>
      <c r="C18" s="845"/>
      <c r="D18" s="846"/>
      <c r="E18" s="190"/>
      <c r="F18" s="108"/>
      <c r="G18" s="108"/>
    </row>
    <row r="19" spans="1:13" s="191" customFormat="1" ht="15.6" x14ac:dyDescent="0.3">
      <c r="A19" s="847"/>
      <c r="B19" s="847"/>
      <c r="C19" s="848" t="s">
        <v>160</v>
      </c>
      <c r="D19" s="846">
        <f>SUM(D16:D18)</f>
        <v>9690</v>
      </c>
      <c r="E19" s="190"/>
      <c r="F19" s="108"/>
      <c r="G19" s="108"/>
    </row>
    <row r="20" spans="1:13" s="191" customFormat="1" ht="21.75" customHeight="1" x14ac:dyDescent="0.3">
      <c r="A20" s="847"/>
      <c r="B20" s="847"/>
      <c r="C20" s="849" t="s">
        <v>392</v>
      </c>
      <c r="D20" s="850">
        <f>D19*0.16</f>
        <v>1550.4</v>
      </c>
      <c r="E20" s="190"/>
      <c r="F20" s="108"/>
      <c r="G20" s="108"/>
    </row>
    <row r="21" spans="1:13" ht="16.2" thickBot="1" x14ac:dyDescent="0.3">
      <c r="A21" s="851"/>
      <c r="B21" s="851"/>
      <c r="C21" s="852" t="s">
        <v>162</v>
      </c>
      <c r="D21" s="853">
        <f>D19+D20</f>
        <v>11240.4</v>
      </c>
      <c r="E21" s="190"/>
      <c r="H21" s="191"/>
      <c r="I21" s="191"/>
      <c r="J21" s="191"/>
      <c r="K21" s="191"/>
      <c r="L21" s="191"/>
      <c r="M21" s="837"/>
    </row>
    <row r="22" spans="1:13" ht="16.2" thickBot="1" x14ac:dyDescent="0.3">
      <c r="A22" s="854"/>
      <c r="B22" s="1133"/>
      <c r="C22" s="1134"/>
      <c r="D22" s="1135"/>
      <c r="E22" s="190"/>
      <c r="H22" s="191"/>
      <c r="I22" s="191"/>
      <c r="J22" s="191"/>
      <c r="K22" s="191"/>
      <c r="L22" s="191"/>
    </row>
    <row r="23" spans="1:13" ht="31.2" x14ac:dyDescent="0.25">
      <c r="A23" s="839">
        <v>1</v>
      </c>
      <c r="B23" s="840" t="s">
        <v>1617</v>
      </c>
      <c r="C23" s="841">
        <f>3000*1.3</f>
        <v>3900</v>
      </c>
      <c r="D23" s="842">
        <f>A23*C23</f>
        <v>3900</v>
      </c>
      <c r="E23" s="190"/>
      <c r="H23" s="191"/>
      <c r="I23" s="191"/>
      <c r="J23" s="191"/>
      <c r="K23" s="191"/>
      <c r="L23" s="191"/>
    </row>
    <row r="24" spans="1:13" s="392" customFormat="1" ht="46.8" x14ac:dyDescent="0.25">
      <c r="A24" s="839">
        <v>1</v>
      </c>
      <c r="B24" s="840" t="s">
        <v>1628</v>
      </c>
      <c r="C24" s="841">
        <f>4000*1.3</f>
        <v>5200</v>
      </c>
      <c r="D24" s="842">
        <f>A24*C24</f>
        <v>5200</v>
      </c>
      <c r="E24" s="189"/>
      <c r="F24" s="108"/>
      <c r="G24" s="108"/>
      <c r="H24" s="108"/>
      <c r="I24" s="108"/>
      <c r="J24" s="108"/>
      <c r="K24" s="108"/>
      <c r="L24" s="108"/>
      <c r="M24" s="108"/>
    </row>
    <row r="25" spans="1:13" ht="15.6" x14ac:dyDescent="0.25">
      <c r="A25" s="839">
        <v>1</v>
      </c>
      <c r="B25" s="840" t="s">
        <v>1624</v>
      </c>
      <c r="C25" s="841">
        <v>9000</v>
      </c>
      <c r="D25" s="842">
        <f t="shared" ref="D25:D27" si="0">A25*C25</f>
        <v>9000</v>
      </c>
      <c r="E25" s="189"/>
      <c r="M25" s="392"/>
    </row>
    <row r="26" spans="1:13" ht="15.6" x14ac:dyDescent="0.25">
      <c r="A26" s="839">
        <v>160</v>
      </c>
      <c r="B26" s="840" t="s">
        <v>1625</v>
      </c>
      <c r="C26" s="841">
        <v>18.899999999999999</v>
      </c>
      <c r="D26" s="842">
        <f t="shared" si="0"/>
        <v>3024</v>
      </c>
      <c r="E26" s="189"/>
    </row>
    <row r="27" spans="1:13" ht="15.6" x14ac:dyDescent="0.25">
      <c r="A27" s="839">
        <v>1</v>
      </c>
      <c r="B27" s="840" t="s">
        <v>1626</v>
      </c>
      <c r="C27" s="841">
        <v>3280</v>
      </c>
      <c r="D27" s="842">
        <f t="shared" si="0"/>
        <v>3280</v>
      </c>
      <c r="E27" s="803"/>
      <c r="F27" s="392"/>
      <c r="G27" s="392"/>
      <c r="H27" s="392"/>
      <c r="I27" s="392"/>
      <c r="J27" s="392"/>
      <c r="K27" s="392"/>
      <c r="L27" s="392"/>
    </row>
    <row r="28" spans="1:13" ht="24.75" customHeight="1" x14ac:dyDescent="0.25">
      <c r="A28" s="839">
        <v>1</v>
      </c>
      <c r="B28" s="840" t="s">
        <v>1618</v>
      </c>
      <c r="C28" s="841">
        <v>2800</v>
      </c>
      <c r="D28" s="842">
        <f>A28*C28</f>
        <v>2800</v>
      </c>
    </row>
    <row r="29" spans="1:13" ht="17.25" customHeight="1" x14ac:dyDescent="0.25">
      <c r="A29" s="1005"/>
      <c r="B29" s="1006"/>
      <c r="C29" s="967"/>
      <c r="D29" s="1007">
        <f>SUM(D23:D28)</f>
        <v>27204</v>
      </c>
    </row>
    <row r="30" spans="1:13" x14ac:dyDescent="0.25">
      <c r="A30" s="102"/>
      <c r="B30" s="201"/>
      <c r="C30" s="911"/>
      <c r="D30" s="912"/>
    </row>
    <row r="31" spans="1:13" ht="13.5" customHeight="1" x14ac:dyDescent="0.25">
      <c r="A31" s="102"/>
      <c r="B31" s="910" t="s">
        <v>9</v>
      </c>
      <c r="C31" s="1004" t="s">
        <v>1897</v>
      </c>
      <c r="D31" s="1004">
        <f>D21+D29</f>
        <v>38444.400000000001</v>
      </c>
      <c r="E31" s="189"/>
    </row>
    <row r="32" spans="1:13" ht="15.6" x14ac:dyDescent="0.25">
      <c r="A32" s="102" t="s">
        <v>1619</v>
      </c>
      <c r="B32" s="838"/>
      <c r="C32" s="253"/>
      <c r="D32" s="254"/>
    </row>
    <row r="33" spans="1:5" ht="15" x14ac:dyDescent="0.25">
      <c r="A33" s="106"/>
      <c r="B33" s="100" t="s">
        <v>11</v>
      </c>
      <c r="D33" s="105"/>
    </row>
    <row r="34" spans="1:5" ht="20.25" customHeight="1" x14ac:dyDescent="0.25">
      <c r="A34" s="106"/>
      <c r="B34" s="121" t="s">
        <v>1620</v>
      </c>
      <c r="D34" s="105"/>
    </row>
    <row r="35" spans="1:5" ht="15" x14ac:dyDescent="0.25">
      <c r="A35" s="106"/>
      <c r="B35" s="121" t="s">
        <v>13</v>
      </c>
      <c r="D35" s="105"/>
    </row>
    <row r="36" spans="1:5" ht="15" x14ac:dyDescent="0.25">
      <c r="A36" s="106"/>
      <c r="B36" s="121" t="s">
        <v>14</v>
      </c>
      <c r="D36" s="105"/>
    </row>
    <row r="37" spans="1:5" ht="13.8" x14ac:dyDescent="0.25">
      <c r="B37" s="103" t="s">
        <v>15</v>
      </c>
    </row>
    <row r="38" spans="1:5" ht="15" x14ac:dyDescent="0.25">
      <c r="A38" s="106"/>
      <c r="B38" s="855" t="s">
        <v>1621</v>
      </c>
      <c r="E38" s="189"/>
    </row>
    <row r="39" spans="1:5" ht="27.6" x14ac:dyDescent="0.25">
      <c r="A39" s="106"/>
      <c r="B39" s="125" t="s">
        <v>17</v>
      </c>
      <c r="C39" s="109"/>
      <c r="D39" s="110"/>
      <c r="E39" s="189"/>
    </row>
    <row r="40" spans="1:5" ht="15" x14ac:dyDescent="0.25">
      <c r="A40" s="106"/>
      <c r="B40" s="103" t="s">
        <v>18</v>
      </c>
      <c r="C40" s="109"/>
      <c r="D40" s="110"/>
    </row>
    <row r="41" spans="1:5" ht="15" x14ac:dyDescent="0.25">
      <c r="A41" s="106"/>
      <c r="B41" s="856" t="s">
        <v>1622</v>
      </c>
      <c r="C41" s="109"/>
      <c r="D41" s="109"/>
    </row>
    <row r="42" spans="1:5" ht="15" x14ac:dyDescent="0.25">
      <c r="A42" s="106"/>
      <c r="B42" s="127" t="s">
        <v>20</v>
      </c>
      <c r="C42" s="109"/>
      <c r="D42" s="109"/>
    </row>
    <row r="43" spans="1:5" ht="13.8" x14ac:dyDescent="0.25">
      <c r="B43" s="103" t="s">
        <v>21</v>
      </c>
      <c r="D43" s="105"/>
    </row>
    <row r="44" spans="1:5" ht="15" x14ac:dyDescent="0.25">
      <c r="A44" s="106"/>
      <c r="B44" s="484" t="s">
        <v>1623</v>
      </c>
      <c r="C44" s="109"/>
      <c r="D44" s="110"/>
    </row>
    <row r="45" spans="1:5" ht="15" x14ac:dyDescent="0.25">
      <c r="A45" s="106"/>
      <c r="B45" s="121" t="s">
        <v>44</v>
      </c>
      <c r="C45" s="109"/>
      <c r="D45" s="110"/>
    </row>
    <row r="46" spans="1:5" ht="13.8" x14ac:dyDescent="0.25">
      <c r="A46" s="115" t="s">
        <v>0</v>
      </c>
      <c r="B46" s="121" t="s">
        <v>45</v>
      </c>
      <c r="C46" s="109"/>
    </row>
    <row r="47" spans="1:5" ht="50.4" x14ac:dyDescent="0.4">
      <c r="A47" s="222"/>
      <c r="B47" s="128" t="s">
        <v>169</v>
      </c>
      <c r="C47" s="220"/>
      <c r="D47" s="108"/>
    </row>
    <row r="48" spans="1:5" x14ac:dyDescent="0.25">
      <c r="A48" s="222"/>
      <c r="B48" s="181"/>
      <c r="C48" s="181"/>
      <c r="D48" s="108"/>
    </row>
    <row r="49" spans="1:4" x14ac:dyDescent="0.25">
      <c r="A49" s="222"/>
      <c r="B49" s="181"/>
      <c r="C49" s="181"/>
      <c r="D49" s="108"/>
    </row>
    <row r="50" spans="1:4" ht="12.75" customHeight="1" x14ac:dyDescent="0.25">
      <c r="A50" s="225"/>
      <c r="B50" s="223"/>
      <c r="C50" s="181"/>
      <c r="D50" s="108"/>
    </row>
    <row r="51" spans="1:4" ht="15" x14ac:dyDescent="0.35">
      <c r="A51" s="226" t="s">
        <v>0</v>
      </c>
      <c r="B51" s="224"/>
      <c r="C51" s="181"/>
      <c r="D51" s="181"/>
    </row>
    <row r="52" spans="1:4" x14ac:dyDescent="0.25">
      <c r="A52" s="108" t="s">
        <v>0</v>
      </c>
    </row>
    <row r="54" spans="1:4" ht="16.5" customHeight="1" x14ac:dyDescent="0.25"/>
    <row r="58" spans="1:4" ht="15.75" customHeight="1" x14ac:dyDescent="0.25"/>
    <row r="59" spans="1:4" ht="15" customHeight="1" x14ac:dyDescent="0.25"/>
  </sheetData>
  <mergeCells count="3">
    <mergeCell ref="A4:D4"/>
    <mergeCell ref="A15:D15"/>
    <mergeCell ref="B22:D22"/>
  </mergeCells>
  <printOptions horizontalCentered="1"/>
  <pageMargins left="0" right="0" top="0" bottom="0" header="0" footer="0"/>
  <pageSetup paperSize="9" scale="66" orientation="portrait" r:id="rId1"/>
  <headerFooter alignWithMargins="0">
    <oddFooter>Página &amp;P de &amp;N</oddFooter>
  </headerFooter>
  <drawing r:id="rId2"/>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1DFB-5528-40E4-9B22-62EF28CAD915}">
  <sheetPr>
    <pageSetUpPr fitToPage="1"/>
  </sheetPr>
  <dimension ref="A1:F69"/>
  <sheetViews>
    <sheetView topLeftCell="A14" zoomScaleNormal="100" workbookViewId="0">
      <selection activeCell="A17" sqref="A17:C22"/>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1602</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77">
        <v>1</v>
      </c>
      <c r="B17" s="81" t="s">
        <v>1373</v>
      </c>
      <c r="C17" s="82">
        <f>(2447*19.5)*(1.3)</f>
        <v>62031.450000000004</v>
      </c>
      <c r="D17" s="83">
        <f t="shared" ref="D17:D18" si="0">A17*C17</f>
        <v>62031.450000000004</v>
      </c>
      <c r="E17" s="76"/>
    </row>
    <row r="18" spans="1:6" ht="15.6" x14ac:dyDescent="0.25">
      <c r="A18" s="84">
        <v>240</v>
      </c>
      <c r="B18" s="85" t="s">
        <v>1605</v>
      </c>
      <c r="C18" s="86">
        <f>880*1.28</f>
        <v>1126.4000000000001</v>
      </c>
      <c r="D18" s="87">
        <f t="shared" si="0"/>
        <v>270336</v>
      </c>
      <c r="E18" s="76"/>
    </row>
    <row r="19" spans="1:6" ht="30" x14ac:dyDescent="0.25">
      <c r="A19" s="72">
        <v>1</v>
      </c>
      <c r="B19" s="73" t="s">
        <v>33</v>
      </c>
      <c r="C19" s="74">
        <v>4600</v>
      </c>
      <c r="D19" s="75">
        <f>A19*C19</f>
        <v>4600</v>
      </c>
      <c r="E19" s="96"/>
    </row>
    <row r="20" spans="1:6" ht="15.6" x14ac:dyDescent="0.25">
      <c r="A20" s="89"/>
      <c r="B20" s="90"/>
      <c r="C20" s="91" t="s">
        <v>38</v>
      </c>
      <c r="D20" s="75">
        <f>SUM(D16:D19)</f>
        <v>372367.45</v>
      </c>
      <c r="E20" s="96"/>
    </row>
    <row r="21" spans="1:6" ht="15.6" x14ac:dyDescent="0.3">
      <c r="A21" s="92"/>
      <c r="B21" s="90"/>
      <c r="C21" s="93" t="s">
        <v>39</v>
      </c>
      <c r="D21" s="75">
        <f>D20*0.16</f>
        <v>59578.792000000001</v>
      </c>
    </row>
    <row r="22" spans="1:6" ht="16.2" thickBot="1" x14ac:dyDescent="0.35">
      <c r="A22" s="92"/>
      <c r="B22" s="90"/>
      <c r="C22" s="94" t="s">
        <v>40</v>
      </c>
      <c r="D22" s="95">
        <f>D20+D21</f>
        <v>431946.24200000003</v>
      </c>
    </row>
    <row r="23" spans="1:6" ht="16.2" thickBot="1" x14ac:dyDescent="0.3">
      <c r="A23" s="92"/>
      <c r="B23" s="1023"/>
      <c r="C23" s="1024"/>
      <c r="D23" s="1025"/>
    </row>
    <row r="24" spans="1:6" ht="15.6" x14ac:dyDescent="0.25">
      <c r="A24" s="84">
        <v>205</v>
      </c>
      <c r="B24" s="85" t="s">
        <v>34</v>
      </c>
      <c r="C24" s="86">
        <v>16.12</v>
      </c>
      <c r="D24" s="87">
        <f>A24*C24</f>
        <v>3304.6000000000004</v>
      </c>
    </row>
    <row r="25" spans="1:6" ht="15.6" x14ac:dyDescent="0.25">
      <c r="A25" s="72">
        <v>2</v>
      </c>
      <c r="B25" s="73" t="s">
        <v>36</v>
      </c>
      <c r="C25" s="74">
        <v>2498</v>
      </c>
      <c r="D25" s="75">
        <f>A25*C25</f>
        <v>4996</v>
      </c>
    </row>
    <row r="26" spans="1:6" ht="45" x14ac:dyDescent="0.25">
      <c r="A26" s="72">
        <v>1</v>
      </c>
      <c r="B26" s="73" t="s">
        <v>1044</v>
      </c>
      <c r="C26" s="74">
        <v>21000</v>
      </c>
      <c r="D26" s="75">
        <f>A26*C26</f>
        <v>21000</v>
      </c>
    </row>
    <row r="27" spans="1:6" ht="15.6" x14ac:dyDescent="0.3">
      <c r="A27" s="720"/>
      <c r="B27" s="828"/>
      <c r="C27" s="94" t="s">
        <v>40</v>
      </c>
      <c r="D27" s="75">
        <f>SUM(D24:D26)</f>
        <v>29300.6</v>
      </c>
    </row>
    <row r="28" spans="1:6" ht="13.8" x14ac:dyDescent="0.25">
      <c r="B28" s="370" t="s">
        <v>9</v>
      </c>
      <c r="C28" s="830"/>
      <c r="D28" s="831"/>
      <c r="F28" s="96"/>
    </row>
    <row r="29" spans="1:6" s="96" customFormat="1" ht="34.799999999999997" x14ac:dyDescent="0.25">
      <c r="A29" s="834"/>
      <c r="B29" s="829" t="s">
        <v>484</v>
      </c>
      <c r="C29" s="835" t="s">
        <v>699</v>
      </c>
      <c r="D29" s="832">
        <f>SUM(D22+D27)</f>
        <v>461246.842</v>
      </c>
      <c r="E29" s="52"/>
      <c r="F29" s="52"/>
    </row>
    <row r="30" spans="1:6" s="96" customFormat="1" ht="15.75" customHeight="1" x14ac:dyDescent="0.25">
      <c r="A30" s="1132" t="s">
        <v>1610</v>
      </c>
      <c r="B30" s="1132"/>
      <c r="C30" s="1132"/>
      <c r="D30" s="833"/>
      <c r="E30" s="76"/>
      <c r="F30" s="52"/>
    </row>
    <row r="31" spans="1:6" ht="13.5" customHeight="1" x14ac:dyDescent="0.25">
      <c r="A31" s="369"/>
      <c r="B31" s="370" t="s">
        <v>11</v>
      </c>
      <c r="C31" s="369"/>
      <c r="D31" s="52"/>
    </row>
    <row r="32" spans="1:6" ht="15" x14ac:dyDescent="0.25">
      <c r="A32" s="101"/>
      <c r="B32" s="123" t="s">
        <v>12</v>
      </c>
      <c r="C32" s="52"/>
      <c r="D32" s="52"/>
    </row>
    <row r="33" spans="1:4" ht="15" x14ac:dyDescent="0.25">
      <c r="A33" s="101"/>
      <c r="B33" s="123" t="s">
        <v>13</v>
      </c>
      <c r="C33" s="52"/>
      <c r="D33" s="52"/>
    </row>
    <row r="34" spans="1:4" ht="15" x14ac:dyDescent="0.25">
      <c r="A34" s="101"/>
      <c r="B34" s="123" t="s">
        <v>14</v>
      </c>
      <c r="C34" s="52"/>
      <c r="D34" s="52"/>
    </row>
    <row r="35" spans="1:4" ht="13.8" x14ac:dyDescent="0.25">
      <c r="A35" s="102"/>
      <c r="B35" s="103" t="s">
        <v>15</v>
      </c>
      <c r="C35" s="52"/>
      <c r="D35" s="105"/>
    </row>
    <row r="36" spans="1:4" ht="13.5" customHeight="1" x14ac:dyDescent="0.25">
      <c r="A36" s="102"/>
      <c r="B36" s="295" t="s">
        <v>42</v>
      </c>
      <c r="C36" s="104"/>
      <c r="D36" s="105"/>
    </row>
    <row r="37" spans="1:4" ht="27.6" x14ac:dyDescent="0.25">
      <c r="A37" s="106"/>
      <c r="B37" s="295" t="s">
        <v>43</v>
      </c>
      <c r="C37" s="104"/>
      <c r="D37" s="105"/>
    </row>
    <row r="38" spans="1:4" ht="13.5" customHeight="1" x14ac:dyDescent="0.25">
      <c r="A38" s="106"/>
      <c r="B38" s="103" t="s">
        <v>18</v>
      </c>
      <c r="C38" s="107"/>
      <c r="D38" s="105"/>
    </row>
    <row r="39" spans="1:4" ht="13.5" customHeight="1" x14ac:dyDescent="0.25">
      <c r="A39" s="106"/>
      <c r="B39" s="313" t="s">
        <v>1608</v>
      </c>
      <c r="C39" s="107"/>
      <c r="D39" s="105"/>
    </row>
    <row r="40" spans="1:4" ht="13.5" customHeight="1" x14ac:dyDescent="0.25">
      <c r="A40" s="106"/>
      <c r="B40" s="297" t="s">
        <v>20</v>
      </c>
      <c r="C40" s="107"/>
      <c r="D40" s="105"/>
    </row>
    <row r="41" spans="1:4" ht="13.8" x14ac:dyDescent="0.25">
      <c r="A41" s="108"/>
      <c r="B41" s="103" t="s">
        <v>21</v>
      </c>
      <c r="C41" s="107"/>
      <c r="D41" s="107"/>
    </row>
    <row r="42" spans="1:4" ht="15" x14ac:dyDescent="0.25">
      <c r="A42" s="106"/>
      <c r="B42" s="836" t="s">
        <v>1611</v>
      </c>
      <c r="C42" s="107"/>
      <c r="D42" s="107"/>
    </row>
    <row r="43" spans="1:4" ht="15" x14ac:dyDescent="0.25">
      <c r="A43" s="106"/>
      <c r="B43" s="123" t="s">
        <v>44</v>
      </c>
      <c r="C43" s="107"/>
      <c r="D43" s="110"/>
    </row>
    <row r="44" spans="1:4" ht="15" x14ac:dyDescent="0.25">
      <c r="A44" s="106"/>
      <c r="B44" s="298" t="s">
        <v>45</v>
      </c>
      <c r="C44" s="109"/>
      <c r="D44" s="110"/>
    </row>
    <row r="45" spans="1:4" ht="33.6" x14ac:dyDescent="0.25">
      <c r="A45" s="106"/>
      <c r="B45" s="314" t="s">
        <v>23</v>
      </c>
      <c r="C45" s="109"/>
      <c r="D45" s="109"/>
    </row>
    <row r="46" spans="1:4" ht="16.8" x14ac:dyDescent="0.4">
      <c r="A46" s="106"/>
      <c r="B46" s="111"/>
      <c r="C46" s="109"/>
      <c r="D46" s="109"/>
    </row>
    <row r="47" spans="1:4" ht="13.8" x14ac:dyDescent="0.25">
      <c r="A47" s="108"/>
      <c r="B47" s="112"/>
      <c r="C47" s="109"/>
      <c r="D47" s="105"/>
    </row>
    <row r="48" spans="1:4" ht="15" x14ac:dyDescent="0.25">
      <c r="A48" s="106"/>
      <c r="B48" s="112"/>
      <c r="C48" s="107"/>
      <c r="D48" s="110"/>
    </row>
    <row r="49" spans="1:4" ht="15" x14ac:dyDescent="0.25">
      <c r="A49" s="106"/>
      <c r="B49" s="113"/>
      <c r="C49" s="109"/>
      <c r="D49" s="110"/>
    </row>
    <row r="50" spans="1:4" ht="16.2" x14ac:dyDescent="0.35">
      <c r="A50" s="106"/>
      <c r="B50" s="114"/>
      <c r="C50" s="109"/>
      <c r="D50" s="110"/>
    </row>
    <row r="51" spans="1:4" ht="13.8" x14ac:dyDescent="0.25">
      <c r="A51" s="115" t="s">
        <v>0</v>
      </c>
      <c r="C51" s="109"/>
      <c r="D51" s="109"/>
    </row>
    <row r="52" spans="1:4" ht="13.8" x14ac:dyDescent="0.25">
      <c r="A52" s="116"/>
      <c r="C52" s="109"/>
      <c r="D52" s="118"/>
    </row>
    <row r="53" spans="1:4" ht="13.8" x14ac:dyDescent="0.25">
      <c r="A53" s="117"/>
      <c r="C53" s="118"/>
      <c r="D53" s="52"/>
    </row>
    <row r="54" spans="1:4" x14ac:dyDescent="0.25">
      <c r="A54" s="117"/>
      <c r="C54" s="112"/>
      <c r="D54" s="52"/>
    </row>
    <row r="55" spans="1:4" x14ac:dyDescent="0.25">
      <c r="A55" s="119"/>
      <c r="C55" s="112"/>
      <c r="D55" s="52"/>
    </row>
    <row r="56" spans="1:4" x14ac:dyDescent="0.25">
      <c r="A56" s="120" t="s">
        <v>0</v>
      </c>
      <c r="C56" s="112"/>
      <c r="D56" s="112"/>
    </row>
    <row r="57" spans="1:4" x14ac:dyDescent="0.25">
      <c r="A57" s="52" t="s">
        <v>0</v>
      </c>
      <c r="C57" s="112"/>
    </row>
    <row r="60" spans="1:4" ht="15.75" customHeight="1" x14ac:dyDescent="0.25"/>
    <row r="64" spans="1:4" ht="16.5" customHeight="1" x14ac:dyDescent="0.25"/>
    <row r="68" ht="24" customHeight="1" x14ac:dyDescent="0.25"/>
    <row r="69" ht="24" customHeight="1" x14ac:dyDescent="0.25"/>
  </sheetData>
  <mergeCells count="4">
    <mergeCell ref="A4:D4"/>
    <mergeCell ref="A13:D13"/>
    <mergeCell ref="B23:D23"/>
    <mergeCell ref="A30:C30"/>
  </mergeCells>
  <pageMargins left="0.25" right="0.25" top="0.75" bottom="0.75" header="0.3" footer="0.3"/>
  <pageSetup scale="56" orientation="portrait" r:id="rId1"/>
  <drawing r:id="rId2"/>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0441-ACD0-4ED2-A99E-A6262EA32086}">
  <sheetPr>
    <tabColor theme="4" tint="-0.249977111117893"/>
    <pageSetUpPr fitToPage="1"/>
  </sheetPr>
  <dimension ref="A1:F69"/>
  <sheetViews>
    <sheetView topLeftCell="A21" zoomScaleNormal="100" workbookViewId="0">
      <selection activeCell="E36" sqref="E36"/>
    </sheetView>
  </sheetViews>
  <sheetFormatPr baseColWidth="10" defaultColWidth="10.33203125" defaultRowHeight="13.2" x14ac:dyDescent="0.25"/>
  <cols>
    <col min="1" max="1" width="5.44140625" style="1" customWidth="1"/>
    <col min="2" max="2" width="94.33203125" style="1" customWidth="1"/>
    <col min="3" max="3" width="14.6640625" style="3" customWidth="1"/>
    <col min="4" max="4" width="17.44140625" style="3" customWidth="1"/>
    <col min="5" max="16384" width="10.33203125" style="1"/>
  </cols>
  <sheetData>
    <row r="1" spans="1:6" ht="81" customHeight="1" x14ac:dyDescent="0.25">
      <c r="A1" s="1" t="s">
        <v>0</v>
      </c>
      <c r="C1" s="2"/>
    </row>
    <row r="2" spans="1:6" ht="9" customHeight="1" x14ac:dyDescent="0.25">
      <c r="C2" s="2"/>
    </row>
    <row r="3" spans="1:6" ht="9" customHeight="1" x14ac:dyDescent="0.25">
      <c r="C3" s="2"/>
    </row>
    <row r="4" spans="1:6" s="4" customFormat="1" ht="16.8" x14ac:dyDescent="0.4">
      <c r="A4" s="1022"/>
      <c r="B4" s="1022"/>
      <c r="C4" s="1022"/>
      <c r="D4" s="1022"/>
    </row>
    <row r="5" spans="1:6" s="4" customFormat="1" ht="16.8" x14ac:dyDescent="0.4">
      <c r="A5" s="5"/>
      <c r="C5" s="6"/>
      <c r="D5" s="6"/>
    </row>
    <row r="6" spans="1:6" s="4" customFormat="1" ht="16.8" x14ac:dyDescent="0.4">
      <c r="A6" s="5"/>
      <c r="C6" s="6"/>
      <c r="D6" s="6"/>
    </row>
    <row r="7" spans="1:6" s="4" customFormat="1" ht="16.8" x14ac:dyDescent="0.4">
      <c r="A7" s="57" t="s">
        <v>1646</v>
      </c>
      <c r="B7" s="10"/>
      <c r="C7" s="139"/>
      <c r="D7" s="139"/>
    </row>
    <row r="8" spans="1:6" s="4" customFormat="1" ht="16.8" x14ac:dyDescent="0.4">
      <c r="A8" s="57" t="s">
        <v>1647</v>
      </c>
      <c r="B8" s="10"/>
      <c r="C8" s="139"/>
      <c r="D8" s="139"/>
    </row>
    <row r="9" spans="1:6" s="4" customFormat="1" ht="16.8" x14ac:dyDescent="0.4">
      <c r="A9" s="57" t="s">
        <v>1648</v>
      </c>
      <c r="B9" s="10"/>
      <c r="C9" s="139"/>
      <c r="D9" s="139"/>
    </row>
    <row r="10" spans="1:6" s="4" customFormat="1" ht="16.8" x14ac:dyDescent="0.4">
      <c r="A10" s="57" t="s">
        <v>1649</v>
      </c>
      <c r="B10" s="10"/>
      <c r="C10" s="140"/>
      <c r="D10" s="139"/>
    </row>
    <row r="11" spans="1:6" s="4" customFormat="1" ht="16.8" x14ac:dyDescent="0.4">
      <c r="A11" s="60" t="s">
        <v>1643</v>
      </c>
      <c r="B11" s="61"/>
      <c r="C11" s="140"/>
      <c r="D11" s="139"/>
    </row>
    <row r="12" spans="1:6" s="4" customFormat="1" ht="15" customHeight="1" x14ac:dyDescent="0.4">
      <c r="A12" s="137" t="s">
        <v>6</v>
      </c>
      <c r="B12" s="141"/>
      <c r="C12" s="142"/>
      <c r="D12" s="143"/>
    </row>
    <row r="13" spans="1:6" s="4" customFormat="1" ht="15" customHeight="1" x14ac:dyDescent="0.4">
      <c r="A13" s="145" t="s">
        <v>29</v>
      </c>
      <c r="B13" s="145" t="s">
        <v>30</v>
      </c>
      <c r="C13" s="146" t="s">
        <v>31</v>
      </c>
      <c r="D13" s="146" t="s">
        <v>32</v>
      </c>
      <c r="E13" s="147"/>
    </row>
    <row r="14" spans="1:6" s="4" customFormat="1" ht="11.25" customHeight="1" x14ac:dyDescent="0.4">
      <c r="A14" s="148"/>
      <c r="B14" s="149"/>
      <c r="C14" s="150"/>
      <c r="D14" s="150"/>
      <c r="E14" s="25"/>
      <c r="F14" s="17"/>
    </row>
    <row r="15" spans="1:6" s="17" customFormat="1" ht="13.8" x14ac:dyDescent="0.25">
      <c r="A15" s="151">
        <v>1</v>
      </c>
      <c r="B15" s="152" t="s">
        <v>1650</v>
      </c>
      <c r="C15" s="159">
        <f>(43676)*(1.35)</f>
        <v>58962.600000000006</v>
      </c>
      <c r="D15" s="154">
        <f t="shared" ref="D15:D41" si="0">A15*C15</f>
        <v>58962.600000000006</v>
      </c>
      <c r="E15" s="25"/>
      <c r="F15" s="1"/>
    </row>
    <row r="16" spans="1:6" x14ac:dyDescent="0.25">
      <c r="A16" s="155"/>
      <c r="B16" s="156" t="s">
        <v>1651</v>
      </c>
      <c r="C16" s="159"/>
      <c r="D16" s="154"/>
      <c r="E16" s="147"/>
      <c r="F16" s="26"/>
    </row>
    <row r="17" spans="1:5" s="26" customFormat="1" ht="16.5" customHeight="1" x14ac:dyDescent="0.25">
      <c r="A17" s="155">
        <v>1</v>
      </c>
      <c r="B17" s="156" t="s">
        <v>1652</v>
      </c>
      <c r="C17" s="159">
        <f>(87670)*(1.35)</f>
        <v>118354.50000000001</v>
      </c>
      <c r="D17" s="154">
        <f t="shared" si="0"/>
        <v>118354.50000000001</v>
      </c>
      <c r="E17" s="147"/>
    </row>
    <row r="18" spans="1:5" ht="13.5" customHeight="1" x14ac:dyDescent="0.25">
      <c r="A18" s="157">
        <v>2</v>
      </c>
      <c r="B18" s="158" t="s">
        <v>1653</v>
      </c>
      <c r="C18" s="159">
        <f>(6304)*(1.35)</f>
        <v>8510.4000000000015</v>
      </c>
      <c r="D18" s="154">
        <f t="shared" si="0"/>
        <v>17020.800000000003</v>
      </c>
      <c r="E18" s="189"/>
    </row>
    <row r="19" spans="1:5" ht="13.5" customHeight="1" x14ac:dyDescent="0.25">
      <c r="A19" s="157">
        <v>1</v>
      </c>
      <c r="B19" s="158" t="s">
        <v>1654</v>
      </c>
      <c r="C19" s="159">
        <f>(4050)*(1.35)</f>
        <v>5467.5</v>
      </c>
      <c r="D19" s="154">
        <f t="shared" si="0"/>
        <v>5467.5</v>
      </c>
      <c r="E19" s="189"/>
    </row>
    <row r="20" spans="1:5" ht="13.5" customHeight="1" x14ac:dyDescent="0.25">
      <c r="A20" s="157">
        <v>45</v>
      </c>
      <c r="B20" s="158" t="s">
        <v>1655</v>
      </c>
      <c r="C20" s="160">
        <f>2385*1.32</f>
        <v>3148.2000000000003</v>
      </c>
      <c r="D20" s="161">
        <f t="shared" si="0"/>
        <v>141669</v>
      </c>
      <c r="E20" s="147"/>
    </row>
    <row r="21" spans="1:5" ht="13.5" customHeight="1" x14ac:dyDescent="0.25">
      <c r="A21" s="162">
        <v>310</v>
      </c>
      <c r="B21" s="163" t="s">
        <v>1656</v>
      </c>
      <c r="C21" s="164">
        <v>884</v>
      </c>
      <c r="D21" s="165">
        <f>A21*C21</f>
        <v>274040</v>
      </c>
      <c r="E21" s="147"/>
    </row>
    <row r="22" spans="1:5" x14ac:dyDescent="0.25">
      <c r="A22" s="157">
        <v>290</v>
      </c>
      <c r="B22" s="158" t="s">
        <v>1657</v>
      </c>
      <c r="C22" s="160">
        <v>70</v>
      </c>
      <c r="D22" s="161">
        <f t="shared" si="0"/>
        <v>20300</v>
      </c>
      <c r="E22" s="147"/>
    </row>
    <row r="23" spans="1:5" x14ac:dyDescent="0.25">
      <c r="A23" s="157"/>
      <c r="B23" s="158" t="s">
        <v>82</v>
      </c>
      <c r="C23" s="160"/>
      <c r="D23" s="161"/>
      <c r="E23" s="147"/>
    </row>
    <row r="24" spans="1:5" x14ac:dyDescent="0.25">
      <c r="A24" s="157">
        <v>1</v>
      </c>
      <c r="B24" s="158" t="s">
        <v>1658</v>
      </c>
      <c r="C24" s="160">
        <v>4100</v>
      </c>
      <c r="D24" s="161">
        <f t="shared" si="0"/>
        <v>4100</v>
      </c>
      <c r="E24" s="147"/>
    </row>
    <row r="25" spans="1:5" ht="26.4" x14ac:dyDescent="0.25">
      <c r="A25" s="157"/>
      <c r="B25" s="158" t="s">
        <v>1659</v>
      </c>
      <c r="C25" s="160"/>
      <c r="D25" s="161"/>
      <c r="E25" s="147"/>
    </row>
    <row r="26" spans="1:5" x14ac:dyDescent="0.25">
      <c r="A26" s="157">
        <v>1</v>
      </c>
      <c r="B26" s="158" t="s">
        <v>85</v>
      </c>
      <c r="C26" s="160">
        <v>2587</v>
      </c>
      <c r="D26" s="161">
        <f t="shared" si="0"/>
        <v>2587</v>
      </c>
      <c r="E26" s="147"/>
    </row>
    <row r="27" spans="1:5" x14ac:dyDescent="0.25">
      <c r="A27" s="157">
        <v>290</v>
      </c>
      <c r="B27" s="158" t="s">
        <v>526</v>
      </c>
      <c r="C27" s="160">
        <v>18.399999999999999</v>
      </c>
      <c r="D27" s="161">
        <f t="shared" si="0"/>
        <v>5336</v>
      </c>
      <c r="E27" s="147"/>
    </row>
    <row r="28" spans="1:5" ht="13.5" customHeight="1" x14ac:dyDescent="0.25">
      <c r="A28" s="157">
        <v>1</v>
      </c>
      <c r="B28" s="158" t="s">
        <v>1660</v>
      </c>
      <c r="C28" s="159">
        <f>1807*19*1.3</f>
        <v>44632.9</v>
      </c>
      <c r="D28" s="161">
        <f t="shared" si="0"/>
        <v>44632.9</v>
      </c>
      <c r="E28" s="147"/>
    </row>
    <row r="29" spans="1:5" x14ac:dyDescent="0.25">
      <c r="A29" s="157">
        <v>1</v>
      </c>
      <c r="B29" s="158" t="s">
        <v>527</v>
      </c>
      <c r="C29" s="159">
        <f>(6100)*1.3</f>
        <v>7930</v>
      </c>
      <c r="D29" s="161">
        <f t="shared" si="0"/>
        <v>7930</v>
      </c>
      <c r="E29" s="147"/>
    </row>
    <row r="30" spans="1:5" ht="52.8" x14ac:dyDescent="0.25">
      <c r="A30" s="157">
        <v>1</v>
      </c>
      <c r="B30" s="158" t="s">
        <v>1661</v>
      </c>
      <c r="C30" s="159">
        <v>6340</v>
      </c>
      <c r="D30" s="161">
        <f t="shared" si="0"/>
        <v>6340</v>
      </c>
      <c r="E30" s="147"/>
    </row>
    <row r="31" spans="1:5" x14ac:dyDescent="0.25">
      <c r="A31" s="157">
        <v>1</v>
      </c>
      <c r="B31" s="158" t="s">
        <v>512</v>
      </c>
      <c r="C31" s="160">
        <f>4200*1.4</f>
        <v>5880</v>
      </c>
      <c r="D31" s="161">
        <f t="shared" si="0"/>
        <v>5880</v>
      </c>
      <c r="E31" s="147"/>
    </row>
    <row r="32" spans="1:5" x14ac:dyDescent="0.25">
      <c r="A32" s="157">
        <v>2</v>
      </c>
      <c r="B32" s="158" t="s">
        <v>513</v>
      </c>
      <c r="C32" s="160">
        <f>2300*1.4</f>
        <v>3220</v>
      </c>
      <c r="D32" s="161">
        <f t="shared" si="0"/>
        <v>6440</v>
      </c>
      <c r="E32" s="147"/>
    </row>
    <row r="33" spans="1:5" x14ac:dyDescent="0.25">
      <c r="A33" s="157">
        <v>1</v>
      </c>
      <c r="B33" s="158" t="s">
        <v>105</v>
      </c>
      <c r="C33" s="160">
        <v>1543</v>
      </c>
      <c r="D33" s="161">
        <f t="shared" si="0"/>
        <v>1543</v>
      </c>
      <c r="E33" s="147"/>
    </row>
    <row r="34" spans="1:5" x14ac:dyDescent="0.25">
      <c r="A34" s="157">
        <v>1</v>
      </c>
      <c r="B34" s="158" t="s">
        <v>514</v>
      </c>
      <c r="C34" s="160">
        <f>4500*1.3</f>
        <v>5850</v>
      </c>
      <c r="D34" s="161">
        <f t="shared" si="0"/>
        <v>5850</v>
      </c>
      <c r="E34" s="147"/>
    </row>
    <row r="35" spans="1:5" x14ac:dyDescent="0.25">
      <c r="A35" s="157">
        <v>1</v>
      </c>
      <c r="B35" s="158" t="s">
        <v>1662</v>
      </c>
      <c r="C35" s="160">
        <f>2900*1.3</f>
        <v>3770</v>
      </c>
      <c r="D35" s="161">
        <f t="shared" si="0"/>
        <v>3770</v>
      </c>
      <c r="E35" s="147"/>
    </row>
    <row r="36" spans="1:5" x14ac:dyDescent="0.25">
      <c r="A36" s="157">
        <v>1</v>
      </c>
      <c r="B36" s="158" t="s">
        <v>109</v>
      </c>
      <c r="C36" s="160">
        <f>2467*1.3</f>
        <v>3207.1</v>
      </c>
      <c r="D36" s="161">
        <f t="shared" si="0"/>
        <v>3207.1</v>
      </c>
      <c r="E36" s="147"/>
    </row>
    <row r="37" spans="1:5" x14ac:dyDescent="0.25">
      <c r="A37" s="157">
        <v>1</v>
      </c>
      <c r="B37" s="158" t="s">
        <v>516</v>
      </c>
      <c r="C37" s="160">
        <f>2267*1.3</f>
        <v>2947.1</v>
      </c>
      <c r="D37" s="161">
        <f t="shared" si="0"/>
        <v>2947.1</v>
      </c>
      <c r="E37" s="147"/>
    </row>
    <row r="38" spans="1:5" x14ac:dyDescent="0.25">
      <c r="A38" s="157">
        <v>8</v>
      </c>
      <c r="B38" s="158" t="s">
        <v>517</v>
      </c>
      <c r="C38" s="160">
        <f>22*1.4</f>
        <v>30.799999999999997</v>
      </c>
      <c r="D38" s="161">
        <f t="shared" si="0"/>
        <v>246.39999999999998</v>
      </c>
      <c r="E38" s="147"/>
    </row>
    <row r="39" spans="1:5" x14ac:dyDescent="0.25">
      <c r="A39" s="157">
        <v>1</v>
      </c>
      <c r="B39" s="158" t="s">
        <v>518</v>
      </c>
      <c r="C39" s="160">
        <f>19*1.39</f>
        <v>26.409999999999997</v>
      </c>
      <c r="D39" s="161">
        <f t="shared" si="0"/>
        <v>26.409999999999997</v>
      </c>
      <c r="E39" s="147"/>
    </row>
    <row r="40" spans="1:5" x14ac:dyDescent="0.25">
      <c r="A40" s="157">
        <v>56</v>
      </c>
      <c r="B40" s="158" t="s">
        <v>519</v>
      </c>
      <c r="C40" s="160">
        <v>28</v>
      </c>
      <c r="D40" s="161">
        <f t="shared" si="0"/>
        <v>1568</v>
      </c>
      <c r="E40" s="147"/>
    </row>
    <row r="41" spans="1:5" x14ac:dyDescent="0.25">
      <c r="A41" s="157">
        <v>6</v>
      </c>
      <c r="B41" s="158" t="s">
        <v>520</v>
      </c>
      <c r="C41" s="160">
        <v>14</v>
      </c>
      <c r="D41" s="161">
        <f t="shared" si="0"/>
        <v>84</v>
      </c>
      <c r="E41" s="147"/>
    </row>
    <row r="42" spans="1:5" x14ac:dyDescent="0.25">
      <c r="A42" s="157"/>
      <c r="B42" s="157"/>
      <c r="C42" s="157"/>
      <c r="D42" s="161"/>
      <c r="E42" s="147"/>
    </row>
    <row r="43" spans="1:5" x14ac:dyDescent="0.25">
      <c r="A43" s="32"/>
      <c r="B43" s="166"/>
      <c r="C43" s="167" t="s">
        <v>38</v>
      </c>
      <c r="D43" s="168">
        <f>SUM(D15:D42)</f>
        <v>738302.31</v>
      </c>
      <c r="E43" s="147"/>
    </row>
    <row r="44" spans="1:5" x14ac:dyDescent="0.25">
      <c r="A44" s="33"/>
      <c r="B44" s="33"/>
      <c r="C44" s="167" t="s">
        <v>90</v>
      </c>
      <c r="D44" s="168">
        <f>D43*0.16</f>
        <v>118128.36960000001</v>
      </c>
      <c r="E44" s="169"/>
    </row>
    <row r="45" spans="1:5" ht="13.8" thickBot="1" x14ac:dyDescent="0.3">
      <c r="A45" s="33"/>
      <c r="B45" s="170"/>
      <c r="C45" s="171" t="s">
        <v>40</v>
      </c>
      <c r="D45" s="172">
        <f>D43+D44</f>
        <v>856430.67960000003</v>
      </c>
    </row>
    <row r="46" spans="1:5" ht="13.8" thickBot="1" x14ac:dyDescent="0.3">
      <c r="A46" s="33"/>
      <c r="B46" s="1035" t="s">
        <v>1664</v>
      </c>
      <c r="C46" s="1036"/>
      <c r="D46" s="1037"/>
    </row>
    <row r="47" spans="1:5" ht="13.8" x14ac:dyDescent="0.25">
      <c r="A47" s="33"/>
      <c r="B47" s="173" t="s">
        <v>9</v>
      </c>
      <c r="C47" s="174"/>
      <c r="D47" s="175"/>
    </row>
    <row r="48" spans="1:5" ht="17.399999999999999" x14ac:dyDescent="0.25">
      <c r="A48" s="176"/>
      <c r="B48" s="177" t="s">
        <v>10</v>
      </c>
      <c r="C48" s="169"/>
      <c r="D48" s="41"/>
    </row>
    <row r="49" spans="1:4" ht="15" x14ac:dyDescent="0.25">
      <c r="A49" s="178"/>
      <c r="B49" s="40" t="s">
        <v>11</v>
      </c>
      <c r="D49" s="41"/>
    </row>
    <row r="50" spans="1:4" ht="15.75" customHeight="1" x14ac:dyDescent="0.25">
      <c r="A50" s="178"/>
      <c r="B50" s="131" t="s">
        <v>1620</v>
      </c>
      <c r="D50" s="41"/>
    </row>
    <row r="51" spans="1:4" ht="15" x14ac:dyDescent="0.25">
      <c r="A51" s="178"/>
      <c r="B51" s="131" t="s">
        <v>13</v>
      </c>
      <c r="D51" s="41"/>
    </row>
    <row r="52" spans="1:4" ht="15" x14ac:dyDescent="0.25">
      <c r="A52" s="178"/>
      <c r="B52" s="860" t="s">
        <v>1640</v>
      </c>
      <c r="D52" s="41"/>
    </row>
    <row r="53" spans="1:4" ht="13.8" x14ac:dyDescent="0.25">
      <c r="A53" s="129"/>
      <c r="B53" s="40" t="s">
        <v>15</v>
      </c>
    </row>
    <row r="54" spans="1:4" ht="15" x14ac:dyDescent="0.25">
      <c r="A54" s="178"/>
      <c r="B54" s="36" t="s">
        <v>42</v>
      </c>
    </row>
    <row r="55" spans="1:4" ht="41.4" x14ac:dyDescent="0.25">
      <c r="A55" s="178"/>
      <c r="B55" s="36" t="s">
        <v>43</v>
      </c>
      <c r="C55" s="38"/>
      <c r="D55" s="39"/>
    </row>
    <row r="56" spans="1:4" ht="15" x14ac:dyDescent="0.25">
      <c r="A56" s="178"/>
      <c r="B56" s="40" t="s">
        <v>18</v>
      </c>
      <c r="C56" s="38"/>
      <c r="D56" s="39"/>
    </row>
    <row r="57" spans="1:4" ht="15" x14ac:dyDescent="0.25">
      <c r="A57" s="178"/>
      <c r="B57" s="134" t="s">
        <v>92</v>
      </c>
      <c r="C57" s="38"/>
      <c r="D57" s="38"/>
    </row>
    <row r="58" spans="1:4" ht="15" x14ac:dyDescent="0.25">
      <c r="A58" s="178"/>
      <c r="B58" s="135" t="s">
        <v>20</v>
      </c>
      <c r="C58" s="38"/>
      <c r="D58" s="38"/>
    </row>
    <row r="59" spans="1:4" ht="13.8" x14ac:dyDescent="0.25">
      <c r="A59" s="129"/>
      <c r="B59" s="40" t="s">
        <v>21</v>
      </c>
      <c r="D59" s="41"/>
    </row>
    <row r="60" spans="1:4" ht="15" customHeight="1" x14ac:dyDescent="0.25">
      <c r="A60" s="178"/>
      <c r="B60" s="179" t="s">
        <v>1663</v>
      </c>
      <c r="C60" s="38"/>
      <c r="D60" s="39"/>
    </row>
    <row r="61" spans="1:4" ht="15" x14ac:dyDescent="0.25">
      <c r="A61" s="178"/>
      <c r="B61" s="131" t="s">
        <v>44</v>
      </c>
      <c r="C61" s="38"/>
      <c r="D61" s="39"/>
    </row>
    <row r="62" spans="1:4" ht="15" x14ac:dyDescent="0.25">
      <c r="A62" s="106"/>
      <c r="B62" s="180" t="s">
        <v>45</v>
      </c>
      <c r="C62" s="107"/>
      <c r="D62" s="181"/>
    </row>
    <row r="63" spans="1:4" ht="33.6" x14ac:dyDescent="0.25">
      <c r="A63" s="182" t="s">
        <v>0</v>
      </c>
      <c r="B63" s="183" t="s">
        <v>23</v>
      </c>
      <c r="C63" s="38"/>
      <c r="D63" s="38"/>
    </row>
    <row r="64" spans="1:4" ht="16.8" x14ac:dyDescent="0.4">
      <c r="A64" s="43"/>
      <c r="B64" s="44"/>
      <c r="C64" s="45"/>
      <c r="D64" s="45"/>
    </row>
    <row r="65" spans="1:4" x14ac:dyDescent="0.25">
      <c r="A65" s="46"/>
      <c r="B65" s="47"/>
      <c r="C65" s="47"/>
      <c r="D65" s="1"/>
    </row>
    <row r="66" spans="1:4" x14ac:dyDescent="0.25">
      <c r="A66" s="46"/>
      <c r="B66" s="47"/>
      <c r="C66" s="47"/>
      <c r="D66" s="1"/>
    </row>
    <row r="67" spans="1:4" x14ac:dyDescent="0.25">
      <c r="A67" s="48"/>
      <c r="B67" s="49"/>
      <c r="C67" s="47"/>
      <c r="D67" s="1"/>
    </row>
    <row r="68" spans="1:4" ht="15" x14ac:dyDescent="0.35">
      <c r="A68" s="50" t="s">
        <v>0</v>
      </c>
      <c r="B68" s="51"/>
      <c r="C68" s="47"/>
      <c r="D68" s="47"/>
    </row>
    <row r="69" spans="1:4" x14ac:dyDescent="0.25">
      <c r="A69" s="1" t="s">
        <v>0</v>
      </c>
    </row>
  </sheetData>
  <mergeCells count="2">
    <mergeCell ref="A4:D4"/>
    <mergeCell ref="B46:D46"/>
  </mergeCells>
  <printOptions horizontalCentered="1"/>
  <pageMargins left="0.25" right="0.25" top="0.75" bottom="0.75" header="0.3" footer="0.3"/>
  <pageSetup paperSize="9" scale="64" fitToHeight="0" orientation="portrait" r:id="rId1"/>
  <headerFooter alignWithMargins="0">
    <oddFooter>Página &amp;P de &amp;N</oddFooter>
  </headerFooter>
  <drawing r:id="rId2"/>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7555-CC63-4F57-AD8A-1FF8BF026AD8}">
  <sheetPr>
    <tabColor theme="4" tint="-0.249977111117893"/>
    <pageSetUpPr fitToPage="1"/>
  </sheetPr>
  <dimension ref="A1:G62"/>
  <sheetViews>
    <sheetView topLeftCell="A12" zoomScaleNormal="100" workbookViewId="0">
      <selection activeCell="B43" sqref="B43"/>
    </sheetView>
  </sheetViews>
  <sheetFormatPr baseColWidth="10" defaultColWidth="10.33203125" defaultRowHeight="13.2" x14ac:dyDescent="0.25"/>
  <cols>
    <col min="1" max="1" width="5.44140625" style="108" customWidth="1"/>
    <col min="2" max="2" width="76.5546875" style="108" customWidth="1"/>
    <col min="3" max="3" width="14.88671875" style="107" bestFit="1" customWidth="1"/>
    <col min="4" max="4" width="13.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1646</v>
      </c>
      <c r="C7" s="58"/>
      <c r="D7" s="58"/>
    </row>
    <row r="8" spans="1:7" s="10" customFormat="1" ht="16.8" x14ac:dyDescent="0.4">
      <c r="A8" s="57" t="s">
        <v>1647</v>
      </c>
      <c r="C8" s="58"/>
      <c r="D8" s="58"/>
    </row>
    <row r="9" spans="1:7" s="10" customFormat="1" ht="16.8" x14ac:dyDescent="0.4">
      <c r="A9" s="57" t="s">
        <v>1648</v>
      </c>
      <c r="C9" s="58"/>
      <c r="D9" s="58"/>
    </row>
    <row r="10" spans="1:7" s="10" customFormat="1" ht="16.8" x14ac:dyDescent="0.4">
      <c r="A10" s="57" t="s">
        <v>1649</v>
      </c>
      <c r="C10" s="59"/>
      <c r="D10" s="58"/>
    </row>
    <row r="11" spans="1:7" s="10" customFormat="1" ht="16.8" x14ac:dyDescent="0.4">
      <c r="A11" s="60" t="s">
        <v>1643</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6.2" customHeight="1" x14ac:dyDescent="0.4">
      <c r="A15" s="72">
        <v>1</v>
      </c>
      <c r="B15" s="624" t="s">
        <v>1667</v>
      </c>
      <c r="C15" s="625">
        <v>9000</v>
      </c>
      <c r="D15" s="75">
        <f t="shared" ref="D15:D18" si="0">A15*C15</f>
        <v>9000</v>
      </c>
      <c r="E15" s="190"/>
      <c r="G15" s="10"/>
    </row>
    <row r="16" spans="1:7" ht="15.6" x14ac:dyDescent="0.25">
      <c r="A16" s="72">
        <v>1</v>
      </c>
      <c r="B16" s="624" t="s">
        <v>745</v>
      </c>
      <c r="C16" s="625">
        <v>3280</v>
      </c>
      <c r="D16" s="75">
        <f>A16*C16</f>
        <v>3280</v>
      </c>
    </row>
    <row r="17" spans="1:7" s="191" customFormat="1" ht="30" x14ac:dyDescent="0.25">
      <c r="A17" s="72">
        <v>0.5</v>
      </c>
      <c r="B17" s="672" t="s">
        <v>751</v>
      </c>
      <c r="C17" s="625">
        <f>1870*1.15</f>
        <v>2150.5</v>
      </c>
      <c r="D17" s="75">
        <f>A17*C17</f>
        <v>1075.25</v>
      </c>
      <c r="E17" s="108"/>
      <c r="F17" s="108"/>
      <c r="G17" s="108"/>
    </row>
    <row r="18" spans="1:7" ht="15.6" x14ac:dyDescent="0.25">
      <c r="A18" s="72">
        <v>115</v>
      </c>
      <c r="B18" s="624" t="s">
        <v>1665</v>
      </c>
      <c r="C18" s="625">
        <v>18.899999999999999</v>
      </c>
      <c r="D18" s="75">
        <f t="shared" si="0"/>
        <v>2173.5</v>
      </c>
    </row>
    <row r="19" spans="1:7" ht="15.6" x14ac:dyDescent="0.25">
      <c r="A19" s="668"/>
      <c r="B19" s="768"/>
      <c r="C19" s="629" t="s">
        <v>188</v>
      </c>
      <c r="D19" s="630">
        <f>SUM(D15:D18)</f>
        <v>15528.75</v>
      </c>
    </row>
    <row r="20" spans="1:7" ht="15.6" x14ac:dyDescent="0.3">
      <c r="A20" s="453"/>
      <c r="B20" s="768"/>
      <c r="C20" s="631" t="s">
        <v>90</v>
      </c>
      <c r="D20" s="632">
        <f>D19*0.16</f>
        <v>2484.6</v>
      </c>
    </row>
    <row r="21" spans="1:7" ht="16.2" thickBot="1" x14ac:dyDescent="0.35">
      <c r="A21" s="276"/>
      <c r="B21" s="673"/>
      <c r="C21" s="633" t="s">
        <v>40</v>
      </c>
      <c r="D21" s="634">
        <f>D19+D20</f>
        <v>18013.349999999999</v>
      </c>
    </row>
    <row r="22" spans="1:7" ht="16.2" thickBot="1" x14ac:dyDescent="0.3">
      <c r="A22" s="102"/>
      <c r="B22" s="635" t="s">
        <v>1666</v>
      </c>
      <c r="C22" s="553"/>
      <c r="D22" s="461"/>
    </row>
    <row r="23" spans="1:7" ht="26.4" x14ac:dyDescent="0.25">
      <c r="A23" s="145" t="s">
        <v>29</v>
      </c>
      <c r="B23" s="145" t="s">
        <v>30</v>
      </c>
      <c r="C23" s="146" t="s">
        <v>31</v>
      </c>
      <c r="D23" s="146" t="s">
        <v>32</v>
      </c>
    </row>
    <row r="24" spans="1:7" x14ac:dyDescent="0.25">
      <c r="A24" s="148"/>
      <c r="B24" s="149"/>
      <c r="C24" s="150"/>
      <c r="D24" s="150"/>
    </row>
    <row r="25" spans="1:7" ht="60" x14ac:dyDescent="0.25">
      <c r="A25" s="72">
        <v>1</v>
      </c>
      <c r="B25" s="624" t="s">
        <v>1668</v>
      </c>
      <c r="C25" s="625">
        <f>170*70+2300</f>
        <v>14200</v>
      </c>
      <c r="D25" s="75">
        <f t="shared" ref="D25" si="1">A25*C25</f>
        <v>14200</v>
      </c>
    </row>
    <row r="26" spans="1:7" ht="15.6" x14ac:dyDescent="0.25">
      <c r="A26" s="72">
        <v>1</v>
      </c>
      <c r="B26" s="624" t="s">
        <v>745</v>
      </c>
      <c r="C26" s="625">
        <v>3680</v>
      </c>
      <c r="D26" s="75">
        <f>A26*C26</f>
        <v>3680</v>
      </c>
    </row>
    <row r="27" spans="1:7" ht="30" x14ac:dyDescent="0.25">
      <c r="A27" s="72">
        <v>1</v>
      </c>
      <c r="B27" s="672" t="s">
        <v>751</v>
      </c>
      <c r="C27" s="625">
        <f>1870*1.15</f>
        <v>2150.5</v>
      </c>
      <c r="D27" s="75">
        <f>A27*C27</f>
        <v>2150.5</v>
      </c>
    </row>
    <row r="28" spans="1:7" ht="15.6" x14ac:dyDescent="0.25">
      <c r="A28" s="72">
        <v>180</v>
      </c>
      <c r="B28" s="624" t="s">
        <v>1665</v>
      </c>
      <c r="C28" s="625">
        <v>18.899999999999999</v>
      </c>
      <c r="D28" s="75">
        <f t="shared" ref="D28" si="2">A28*C28</f>
        <v>3401.9999999999995</v>
      </c>
    </row>
    <row r="29" spans="1:7" ht="15.6" x14ac:dyDescent="0.25">
      <c r="A29" s="668"/>
      <c r="B29" s="768"/>
      <c r="C29" s="629" t="s">
        <v>188</v>
      </c>
      <c r="D29" s="630">
        <f>SUM(D25:D28)</f>
        <v>23432.5</v>
      </c>
    </row>
    <row r="30" spans="1:7" ht="15.6" x14ac:dyDescent="0.3">
      <c r="A30" s="453"/>
      <c r="B30" s="768"/>
      <c r="C30" s="631" t="s">
        <v>90</v>
      </c>
      <c r="D30" s="632">
        <f>D29*0.16</f>
        <v>3749.2000000000003</v>
      </c>
    </row>
    <row r="31" spans="1:7" ht="16.2" thickBot="1" x14ac:dyDescent="0.35">
      <c r="A31" s="276"/>
      <c r="B31" s="673"/>
      <c r="C31" s="633" t="s">
        <v>40</v>
      </c>
      <c r="D31" s="634">
        <f>D29+D30</f>
        <v>27181.7</v>
      </c>
    </row>
    <row r="32" spans="1:7" ht="16.2" thickBot="1" x14ac:dyDescent="0.3">
      <c r="A32" s="102"/>
      <c r="B32" s="635" t="s">
        <v>1669</v>
      </c>
      <c r="C32" s="553"/>
      <c r="D32" s="461"/>
    </row>
    <row r="33" spans="1:5" ht="13.8" x14ac:dyDescent="0.25">
      <c r="A33" s="33"/>
      <c r="B33" s="173" t="s">
        <v>9</v>
      </c>
      <c r="C33" s="174"/>
      <c r="D33" s="666"/>
    </row>
    <row r="34" spans="1:5" ht="17.399999999999999" x14ac:dyDescent="0.25">
      <c r="A34" s="176"/>
      <c r="B34" s="177" t="s">
        <v>10</v>
      </c>
      <c r="C34" s="861"/>
      <c r="D34" s="862"/>
    </row>
    <row r="35" spans="1:5" ht="15.6" x14ac:dyDescent="0.25">
      <c r="A35" s="178"/>
      <c r="B35" s="35" t="s">
        <v>11</v>
      </c>
      <c r="C35" s="864" t="s">
        <v>699</v>
      </c>
      <c r="D35" s="865">
        <f>D21+D31</f>
        <v>45195.05</v>
      </c>
      <c r="E35" s="189"/>
    </row>
    <row r="36" spans="1:5" ht="15" x14ac:dyDescent="0.25">
      <c r="A36" s="178"/>
      <c r="B36" s="131" t="s">
        <v>1620</v>
      </c>
      <c r="C36" s="37"/>
      <c r="D36" s="863"/>
    </row>
    <row r="37" spans="1:5" ht="15" x14ac:dyDescent="0.25">
      <c r="A37" s="178"/>
      <c r="B37" s="131" t="s">
        <v>13</v>
      </c>
      <c r="C37" s="3"/>
      <c r="D37" s="109"/>
    </row>
    <row r="38" spans="1:5" ht="13.8" x14ac:dyDescent="0.25">
      <c r="A38" s="129"/>
      <c r="B38" s="40" t="s">
        <v>15</v>
      </c>
      <c r="C38" s="3"/>
      <c r="D38" s="109"/>
    </row>
    <row r="39" spans="1:5" ht="27.6" x14ac:dyDescent="0.25">
      <c r="A39" s="178"/>
      <c r="B39" s="36" t="s">
        <v>42</v>
      </c>
      <c r="C39" s="3"/>
      <c r="D39" s="105"/>
    </row>
    <row r="40" spans="1:5" ht="41.4" x14ac:dyDescent="0.25">
      <c r="A40" s="178"/>
      <c r="B40" s="36" t="s">
        <v>43</v>
      </c>
      <c r="C40" s="38"/>
      <c r="D40" s="110"/>
    </row>
    <row r="41" spans="1:5" ht="15" x14ac:dyDescent="0.25">
      <c r="A41" s="178"/>
      <c r="B41" s="40" t="s">
        <v>18</v>
      </c>
      <c r="C41" s="38"/>
      <c r="D41" s="110"/>
    </row>
    <row r="42" spans="1:5" ht="15" x14ac:dyDescent="0.25">
      <c r="A42" s="178"/>
      <c r="B42" s="134" t="s">
        <v>1670</v>
      </c>
      <c r="C42" s="38"/>
    </row>
    <row r="43" spans="1:5" ht="15" x14ac:dyDescent="0.25">
      <c r="A43" s="178"/>
      <c r="B43" s="135" t="s">
        <v>20</v>
      </c>
      <c r="C43" s="38"/>
      <c r="D43" s="108"/>
    </row>
    <row r="44" spans="1:5" ht="13.8" x14ac:dyDescent="0.25">
      <c r="A44" s="129"/>
      <c r="B44" s="40" t="s">
        <v>21</v>
      </c>
      <c r="C44" s="3"/>
      <c r="D44" s="108"/>
    </row>
    <row r="45" spans="1:5" ht="15" x14ac:dyDescent="0.25">
      <c r="A45" s="178"/>
      <c r="B45" s="179" t="s">
        <v>1663</v>
      </c>
      <c r="C45" s="38"/>
      <c r="D45" s="108"/>
    </row>
    <row r="46" spans="1:5" ht="15" x14ac:dyDescent="0.25">
      <c r="A46" s="178"/>
      <c r="B46" s="131" t="s">
        <v>44</v>
      </c>
      <c r="C46" s="38"/>
      <c r="D46" s="108"/>
    </row>
    <row r="47" spans="1:5" ht="15" x14ac:dyDescent="0.25">
      <c r="A47" s="106"/>
      <c r="B47" s="180" t="s">
        <v>45</v>
      </c>
      <c r="D47" s="181"/>
    </row>
    <row r="48" spans="1:5" ht="50.4" x14ac:dyDescent="0.25">
      <c r="A48" s="182" t="s">
        <v>0</v>
      </c>
      <c r="B48" s="183" t="s">
        <v>23</v>
      </c>
      <c r="C48" s="38"/>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0" fitToWidth="0" orientation="portrait" r:id="rId1"/>
  <headerFooter alignWithMargins="0">
    <oddFooter>Página &amp;P de &amp;N</oddFooter>
  </headerFooter>
  <drawing r:id="rId2"/>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A1A7-4778-44E7-88B3-F740FA82B38D}">
  <sheetPr>
    <tabColor theme="4" tint="-0.249977111117893"/>
    <pageSetUpPr fitToPage="1"/>
  </sheetPr>
  <dimension ref="A1:P59"/>
  <sheetViews>
    <sheetView topLeftCell="A8" zoomScale="85" zoomScaleNormal="85" workbookViewId="0">
      <selection activeCell="B22" sqref="B22"/>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1685</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77">
        <v>1</v>
      </c>
      <c r="B16" s="81" t="s">
        <v>1674</v>
      </c>
      <c r="C16" s="79">
        <v>15400</v>
      </c>
      <c r="D16" s="80">
        <f t="shared" ref="D16" si="0">A16*C16</f>
        <v>15400</v>
      </c>
      <c r="E16" s="190"/>
      <c r="H16" s="191"/>
      <c r="I16" s="191"/>
      <c r="J16" s="191"/>
      <c r="K16" s="191"/>
      <c r="L16" s="191"/>
      <c r="M16" s="191"/>
      <c r="N16" s="191"/>
      <c r="O16" s="191"/>
      <c r="P16" s="191"/>
    </row>
    <row r="17" spans="1:16" s="191" customFormat="1" ht="15.6" x14ac:dyDescent="0.25">
      <c r="A17" s="77">
        <v>1</v>
      </c>
      <c r="B17" s="81" t="s">
        <v>1671</v>
      </c>
      <c r="C17" s="79" t="s">
        <v>1543</v>
      </c>
      <c r="D17" s="80"/>
      <c r="E17" s="190"/>
      <c r="F17" s="108"/>
      <c r="G17" s="108"/>
    </row>
    <row r="18" spans="1:16" s="191" customFormat="1" ht="15.6" x14ac:dyDescent="0.25">
      <c r="A18" s="77">
        <v>1</v>
      </c>
      <c r="B18" s="81" t="s">
        <v>1672</v>
      </c>
      <c r="C18" s="79" t="s">
        <v>1543</v>
      </c>
      <c r="D18" s="80"/>
      <c r="E18" s="190"/>
      <c r="F18" s="108"/>
      <c r="G18" s="108"/>
    </row>
    <row r="19" spans="1:16" s="191" customFormat="1" ht="15.6" x14ac:dyDescent="0.25">
      <c r="A19" s="77">
        <v>1</v>
      </c>
      <c r="B19" s="81" t="s">
        <v>1675</v>
      </c>
      <c r="C19" s="79">
        <v>15400</v>
      </c>
      <c r="D19" s="80">
        <f t="shared" ref="D19:D23" si="1">A19*C19</f>
        <v>15400</v>
      </c>
      <c r="E19" s="190"/>
      <c r="F19" s="108"/>
      <c r="G19" s="108"/>
    </row>
    <row r="20" spans="1:16" s="191" customFormat="1" ht="45" x14ac:dyDescent="0.25">
      <c r="A20" s="72">
        <v>1</v>
      </c>
      <c r="B20" s="73" t="s">
        <v>1411</v>
      </c>
      <c r="C20" s="428">
        <v>7300</v>
      </c>
      <c r="D20" s="75">
        <f t="shared" si="1"/>
        <v>7300</v>
      </c>
      <c r="E20" s="190"/>
      <c r="F20" s="108"/>
      <c r="G20" s="108"/>
      <c r="M20" s="837"/>
      <c r="N20" s="108"/>
      <c r="O20" s="108"/>
      <c r="P20" s="108"/>
    </row>
    <row r="21" spans="1:16" ht="30" x14ac:dyDescent="0.25">
      <c r="A21" s="77">
        <v>1</v>
      </c>
      <c r="B21" s="81" t="s">
        <v>1673</v>
      </c>
      <c r="C21" s="79">
        <f>16781</f>
        <v>16781</v>
      </c>
      <c r="D21" s="80">
        <f t="shared" si="1"/>
        <v>16781</v>
      </c>
      <c r="E21" s="190"/>
      <c r="H21" s="191"/>
      <c r="I21" s="191"/>
      <c r="J21" s="191"/>
      <c r="K21" s="191"/>
      <c r="L21" s="191"/>
    </row>
    <row r="22" spans="1:16" ht="30" x14ac:dyDescent="0.25">
      <c r="A22" s="77">
        <v>2</v>
      </c>
      <c r="B22" s="81" t="s">
        <v>1676</v>
      </c>
      <c r="C22" s="79" t="s">
        <v>1543</v>
      </c>
      <c r="D22" s="80"/>
      <c r="E22" s="190"/>
      <c r="H22" s="191"/>
      <c r="I22" s="191"/>
      <c r="J22" s="191"/>
      <c r="K22" s="191"/>
      <c r="L22" s="191"/>
    </row>
    <row r="23" spans="1:16" ht="15.6" x14ac:dyDescent="0.25">
      <c r="A23" s="77">
        <v>2</v>
      </c>
      <c r="B23" s="81" t="s">
        <v>85</v>
      </c>
      <c r="C23" s="79">
        <v>2213</v>
      </c>
      <c r="D23" s="80">
        <f t="shared" si="1"/>
        <v>4426</v>
      </c>
      <c r="E23" s="190"/>
      <c r="H23" s="191"/>
      <c r="I23" s="191"/>
      <c r="J23" s="191"/>
      <c r="K23" s="191"/>
      <c r="L23" s="191"/>
      <c r="O23" s="392"/>
      <c r="P23" s="392"/>
    </row>
    <row r="24" spans="1:16" s="392" customFormat="1" ht="15.6" x14ac:dyDescent="0.3">
      <c r="A24" s="867"/>
      <c r="B24" s="868"/>
      <c r="C24" s="869"/>
      <c r="D24" s="83"/>
      <c r="E24" s="190"/>
      <c r="F24" s="108"/>
      <c r="G24" s="108"/>
      <c r="H24" s="191"/>
      <c r="I24" s="191"/>
      <c r="J24" s="191"/>
      <c r="K24" s="191"/>
      <c r="L24" s="191"/>
      <c r="M24" s="108"/>
      <c r="N24" s="108"/>
      <c r="O24" s="108"/>
      <c r="P24" s="108"/>
    </row>
    <row r="25" spans="1:16" ht="15.6" x14ac:dyDescent="0.3">
      <c r="A25" s="847"/>
      <c r="B25" s="847"/>
      <c r="C25" s="866" t="s">
        <v>160</v>
      </c>
      <c r="D25" s="870">
        <f>SUM(D15:D24)</f>
        <v>59307</v>
      </c>
      <c r="E25" s="189"/>
    </row>
    <row r="26" spans="1:16" ht="15.6" x14ac:dyDescent="0.3">
      <c r="A26" s="847"/>
      <c r="B26" s="847"/>
      <c r="C26" s="849" t="s">
        <v>392</v>
      </c>
      <c r="D26" s="870">
        <f>D25*0.16</f>
        <v>9489.1200000000008</v>
      </c>
      <c r="E26" s="189"/>
    </row>
    <row r="27" spans="1:16" ht="16.2" thickBot="1" x14ac:dyDescent="0.3">
      <c r="A27" s="851"/>
      <c r="B27" s="851"/>
      <c r="C27" s="852" t="s">
        <v>162</v>
      </c>
      <c r="D27" s="871">
        <f>D25+D26</f>
        <v>68796.12</v>
      </c>
      <c r="E27" s="189"/>
    </row>
    <row r="28" spans="1:16" ht="16.2" thickBot="1" x14ac:dyDescent="0.3">
      <c r="A28" s="854"/>
      <c r="B28" s="1136" t="s">
        <v>1680</v>
      </c>
      <c r="C28" s="1137"/>
      <c r="D28" s="1138"/>
      <c r="E28" s="803"/>
      <c r="F28" s="392"/>
      <c r="G28" s="392"/>
      <c r="H28" s="392"/>
      <c r="I28" s="392"/>
      <c r="J28" s="392"/>
      <c r="K28" s="392"/>
      <c r="L28" s="392"/>
    </row>
    <row r="29" spans="1:16" ht="17.25" customHeight="1" x14ac:dyDescent="0.25">
      <c r="A29" s="102"/>
      <c r="B29" s="201"/>
      <c r="C29" s="253"/>
      <c r="D29" s="254"/>
      <c r="M29" s="392"/>
      <c r="N29" s="392"/>
    </row>
    <row r="30" spans="1:16" ht="13.8" x14ac:dyDescent="0.25">
      <c r="A30" s="102"/>
      <c r="B30" s="100" t="s">
        <v>9</v>
      </c>
      <c r="C30" s="104"/>
      <c r="D30" s="105"/>
    </row>
    <row r="31" spans="1:16" ht="13.5" customHeight="1" x14ac:dyDescent="0.25">
      <c r="A31" s="102"/>
      <c r="B31" s="838"/>
      <c r="C31" s="104"/>
      <c r="D31" s="105"/>
    </row>
    <row r="32" spans="1:16" ht="15" x14ac:dyDescent="0.25">
      <c r="A32" s="106"/>
      <c r="B32" s="100" t="s">
        <v>11</v>
      </c>
      <c r="D32" s="105"/>
    </row>
    <row r="33" spans="1:5" ht="15" x14ac:dyDescent="0.25">
      <c r="A33" s="106"/>
      <c r="B33" s="121" t="s">
        <v>1620</v>
      </c>
      <c r="D33" s="105"/>
    </row>
    <row r="34" spans="1:5" ht="15" x14ac:dyDescent="0.25">
      <c r="A34" s="106"/>
      <c r="B34" s="121" t="s">
        <v>13</v>
      </c>
      <c r="D34" s="105"/>
    </row>
    <row r="35" spans="1:5" ht="15" x14ac:dyDescent="0.25">
      <c r="A35" s="106"/>
      <c r="B35" s="121" t="s">
        <v>14</v>
      </c>
      <c r="D35" s="105"/>
    </row>
    <row r="36" spans="1:5" ht="13.8" x14ac:dyDescent="0.25">
      <c r="B36" s="103" t="s">
        <v>15</v>
      </c>
    </row>
    <row r="37" spans="1:5" ht="27.6" x14ac:dyDescent="0.25">
      <c r="A37" s="106"/>
      <c r="B37" s="855" t="s">
        <v>1678</v>
      </c>
    </row>
    <row r="38" spans="1:5" ht="27.6" x14ac:dyDescent="0.25">
      <c r="A38" s="106"/>
      <c r="B38" s="125" t="s">
        <v>17</v>
      </c>
      <c r="C38" s="109"/>
      <c r="D38" s="110"/>
      <c r="E38" s="189"/>
    </row>
    <row r="39" spans="1:5" ht="15" x14ac:dyDescent="0.25">
      <c r="A39" s="106"/>
      <c r="B39" s="103" t="s">
        <v>18</v>
      </c>
      <c r="C39" s="109"/>
      <c r="D39" s="110"/>
      <c r="E39" s="189"/>
    </row>
    <row r="40" spans="1:5" ht="15" x14ac:dyDescent="0.25">
      <c r="A40" s="106"/>
      <c r="B40" s="856" t="s">
        <v>1679</v>
      </c>
      <c r="C40" s="109"/>
      <c r="D40" s="109"/>
    </row>
    <row r="41" spans="1:5" ht="15" x14ac:dyDescent="0.25">
      <c r="A41" s="106"/>
      <c r="B41" s="127" t="s">
        <v>20</v>
      </c>
      <c r="C41" s="109"/>
      <c r="D41" s="109"/>
    </row>
    <row r="42" spans="1:5" ht="13.8" x14ac:dyDescent="0.25">
      <c r="B42" s="103" t="s">
        <v>21</v>
      </c>
      <c r="D42" s="105"/>
    </row>
    <row r="43" spans="1:5" ht="15" x14ac:dyDescent="0.25">
      <c r="A43" s="106"/>
      <c r="B43" s="484" t="s">
        <v>1677</v>
      </c>
      <c r="C43" s="109"/>
      <c r="D43" s="110"/>
    </row>
    <row r="44" spans="1:5" ht="15" x14ac:dyDescent="0.25">
      <c r="A44" s="106"/>
      <c r="B44" s="121" t="s">
        <v>44</v>
      </c>
      <c r="C44" s="109"/>
      <c r="D44" s="110"/>
    </row>
    <row r="45" spans="1:5" ht="13.8" x14ac:dyDescent="0.25">
      <c r="A45" s="115" t="s">
        <v>0</v>
      </c>
      <c r="B45" s="121" t="s">
        <v>45</v>
      </c>
      <c r="C45" s="109"/>
    </row>
    <row r="46" spans="1:5" ht="50.4" x14ac:dyDescent="0.4">
      <c r="A46" s="222"/>
      <c r="B46" s="128" t="s">
        <v>169</v>
      </c>
      <c r="C46" s="220"/>
      <c r="D46" s="108"/>
    </row>
    <row r="47" spans="1:5" x14ac:dyDescent="0.25">
      <c r="A47" s="222"/>
      <c r="B47" s="181"/>
      <c r="C47" s="181"/>
      <c r="D47" s="108"/>
    </row>
    <row r="48" spans="1:5" x14ac:dyDescent="0.25">
      <c r="A48" s="222"/>
      <c r="B48" s="181"/>
      <c r="C48" s="181"/>
      <c r="D48" s="108"/>
    </row>
    <row r="49" spans="1:4" x14ac:dyDescent="0.25">
      <c r="A49" s="225"/>
      <c r="B49" s="223"/>
      <c r="C49" s="181"/>
      <c r="D49" s="108"/>
    </row>
    <row r="50" spans="1:4" ht="12.75" customHeight="1" x14ac:dyDescent="0.35">
      <c r="A50" s="226" t="s">
        <v>0</v>
      </c>
      <c r="B50" s="224"/>
      <c r="C50" s="181"/>
      <c r="D50" s="181"/>
    </row>
    <row r="51" spans="1:4" x14ac:dyDescent="0.25">
      <c r="A51" s="108" t="s">
        <v>0</v>
      </c>
    </row>
    <row r="54" spans="1:4" ht="16.5" customHeight="1" x14ac:dyDescent="0.25"/>
    <row r="58" spans="1:4" ht="15.75" customHeight="1" x14ac:dyDescent="0.25"/>
    <row r="59" spans="1:4" ht="15" customHeight="1" x14ac:dyDescent="0.25"/>
  </sheetData>
  <mergeCells count="3">
    <mergeCell ref="A4:D4"/>
    <mergeCell ref="A14:D14"/>
    <mergeCell ref="B28:D28"/>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0E5F-EDB5-442C-A81F-01076DA65977}">
  <sheetPr>
    <tabColor theme="4" tint="-0.249977111117893"/>
    <pageSetUpPr fitToPage="1"/>
  </sheetPr>
  <dimension ref="A1:P59"/>
  <sheetViews>
    <sheetView topLeftCell="A8" zoomScale="85" zoomScaleNormal="85" workbookViewId="0">
      <selection activeCell="A14" sqref="A14:D14"/>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1686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77">
        <v>1</v>
      </c>
      <c r="B16" s="81" t="s">
        <v>1674</v>
      </c>
      <c r="C16" s="79">
        <v>33400</v>
      </c>
      <c r="D16" s="80">
        <f t="shared" ref="D16" si="0">A16*C16</f>
        <v>33400</v>
      </c>
      <c r="E16" s="190"/>
      <c r="H16" s="191"/>
      <c r="I16" s="191"/>
      <c r="J16" s="191"/>
      <c r="K16" s="191"/>
      <c r="L16" s="191"/>
      <c r="M16" s="191"/>
      <c r="N16" s="191"/>
      <c r="O16" s="191"/>
      <c r="P16" s="191"/>
    </row>
    <row r="17" spans="1:16" s="191" customFormat="1" ht="15.6" x14ac:dyDescent="0.25">
      <c r="A17" s="77">
        <v>1</v>
      </c>
      <c r="B17" s="81" t="s">
        <v>1672</v>
      </c>
      <c r="C17" s="79" t="s">
        <v>1543</v>
      </c>
      <c r="D17" s="80"/>
      <c r="E17" s="190"/>
      <c r="F17" s="108"/>
      <c r="G17" s="108"/>
    </row>
    <row r="18" spans="1:16" s="191" customFormat="1" ht="15.6" x14ac:dyDescent="0.25">
      <c r="A18" s="77">
        <v>1</v>
      </c>
      <c r="B18" s="81" t="s">
        <v>1675</v>
      </c>
      <c r="C18" s="79">
        <v>33400</v>
      </c>
      <c r="D18" s="80">
        <f t="shared" ref="D18:D22" si="1">A18*C18</f>
        <v>33400</v>
      </c>
      <c r="E18" s="190"/>
      <c r="F18" s="108"/>
      <c r="G18" s="108"/>
    </row>
    <row r="19" spans="1:16" s="191" customFormat="1" ht="45" x14ac:dyDescent="0.25">
      <c r="A19" s="72">
        <v>1</v>
      </c>
      <c r="B19" s="73" t="s">
        <v>1411</v>
      </c>
      <c r="C19" s="428">
        <v>7300</v>
      </c>
      <c r="D19" s="75">
        <f t="shared" si="1"/>
        <v>7300</v>
      </c>
      <c r="E19" s="190"/>
      <c r="F19" s="108"/>
      <c r="G19" s="108"/>
      <c r="M19" s="837"/>
    </row>
    <row r="20" spans="1:16" s="191" customFormat="1" ht="30" x14ac:dyDescent="0.25">
      <c r="A20" s="77">
        <v>1</v>
      </c>
      <c r="B20" s="81" t="s">
        <v>1673</v>
      </c>
      <c r="C20" s="79">
        <f>16781</f>
        <v>16781</v>
      </c>
      <c r="D20" s="80">
        <f t="shared" si="1"/>
        <v>16781</v>
      </c>
      <c r="E20" s="190"/>
      <c r="F20" s="108"/>
      <c r="G20" s="108"/>
      <c r="M20" s="108"/>
      <c r="N20" s="108"/>
      <c r="O20" s="108"/>
      <c r="P20" s="108"/>
    </row>
    <row r="21" spans="1:16" ht="30" x14ac:dyDescent="0.25">
      <c r="A21" s="77">
        <v>2</v>
      </c>
      <c r="B21" s="81" t="s">
        <v>1676</v>
      </c>
      <c r="C21" s="79">
        <v>4380</v>
      </c>
      <c r="D21" s="80">
        <f t="shared" si="1"/>
        <v>8760</v>
      </c>
      <c r="E21" s="190"/>
      <c r="H21" s="191"/>
      <c r="I21" s="191"/>
      <c r="J21" s="191"/>
      <c r="K21" s="191"/>
      <c r="L21" s="191"/>
    </row>
    <row r="22" spans="1:16" ht="15.6" x14ac:dyDescent="0.25">
      <c r="A22" s="77">
        <v>2</v>
      </c>
      <c r="B22" s="81" t="s">
        <v>85</v>
      </c>
      <c r="C22" s="79">
        <v>2213</v>
      </c>
      <c r="D22" s="80">
        <f t="shared" si="1"/>
        <v>4426</v>
      </c>
      <c r="E22" s="190"/>
      <c r="H22" s="191"/>
      <c r="I22" s="191"/>
      <c r="J22" s="191"/>
      <c r="K22" s="191"/>
      <c r="L22" s="191"/>
    </row>
    <row r="23" spans="1:16" ht="15.6" x14ac:dyDescent="0.3">
      <c r="A23" s="867"/>
      <c r="B23" s="868"/>
      <c r="C23" s="869"/>
      <c r="D23" s="83"/>
      <c r="E23" s="190"/>
      <c r="H23" s="191"/>
      <c r="I23" s="191"/>
      <c r="J23" s="191"/>
      <c r="K23" s="191"/>
      <c r="L23" s="191"/>
      <c r="O23" s="392"/>
      <c r="P23" s="392"/>
    </row>
    <row r="24" spans="1:16" s="392" customFormat="1" ht="15.6" x14ac:dyDescent="0.3">
      <c r="A24" s="847"/>
      <c r="B24" s="847"/>
      <c r="C24" s="866" t="s">
        <v>160</v>
      </c>
      <c r="D24" s="870">
        <f>SUM(D15:D23)</f>
        <v>104067</v>
      </c>
      <c r="E24" s="189"/>
      <c r="F24" s="108"/>
      <c r="G24" s="108"/>
      <c r="H24" s="108"/>
      <c r="I24" s="108"/>
      <c r="J24" s="108"/>
      <c r="K24" s="108"/>
      <c r="L24" s="108"/>
      <c r="M24" s="108"/>
      <c r="N24" s="108"/>
      <c r="O24" s="108"/>
      <c r="P24" s="108"/>
    </row>
    <row r="25" spans="1:16" ht="15.6" x14ac:dyDescent="0.3">
      <c r="A25" s="847"/>
      <c r="B25" s="847"/>
      <c r="C25" s="849" t="s">
        <v>392</v>
      </c>
      <c r="D25" s="870">
        <f>D24*0.16</f>
        <v>16650.72</v>
      </c>
      <c r="E25" s="189"/>
    </row>
    <row r="26" spans="1:16" ht="16.2" thickBot="1" x14ac:dyDescent="0.3">
      <c r="A26" s="851"/>
      <c r="B26" s="851"/>
      <c r="C26" s="852" t="s">
        <v>162</v>
      </c>
      <c r="D26" s="871">
        <f>D24+D25</f>
        <v>120717.72</v>
      </c>
      <c r="E26" s="189"/>
    </row>
    <row r="27" spans="1:16" ht="16.2" thickBot="1" x14ac:dyDescent="0.3">
      <c r="A27" s="854"/>
      <c r="B27" s="1136" t="s">
        <v>1680</v>
      </c>
      <c r="C27" s="1137"/>
      <c r="D27" s="1138"/>
      <c r="E27" s="803"/>
      <c r="F27" s="392"/>
      <c r="G27" s="392"/>
      <c r="H27" s="392"/>
      <c r="I27" s="392"/>
      <c r="J27" s="392"/>
      <c r="K27" s="392"/>
      <c r="L27" s="392"/>
    </row>
    <row r="28" spans="1:16" x14ac:dyDescent="0.25">
      <c r="A28" s="102"/>
      <c r="B28" s="201"/>
      <c r="C28" s="253"/>
      <c r="D28" s="254"/>
      <c r="M28" s="392"/>
    </row>
    <row r="29" spans="1:16" ht="17.25" customHeight="1" x14ac:dyDescent="0.25">
      <c r="A29" s="102"/>
      <c r="B29" s="100" t="s">
        <v>9</v>
      </c>
      <c r="C29" s="104"/>
      <c r="D29" s="105"/>
      <c r="N29" s="392"/>
    </row>
    <row r="30" spans="1:16" ht="15.6" x14ac:dyDescent="0.25">
      <c r="A30" s="102"/>
      <c r="B30" s="838"/>
      <c r="C30" s="104"/>
      <c r="D30" s="105"/>
    </row>
    <row r="31" spans="1:16" ht="13.5" customHeight="1" x14ac:dyDescent="0.25">
      <c r="A31" s="106"/>
      <c r="B31" s="100" t="s">
        <v>11</v>
      </c>
      <c r="D31" s="105"/>
    </row>
    <row r="32" spans="1:16" ht="15" x14ac:dyDescent="0.25">
      <c r="A32" s="106"/>
      <c r="B32" s="121" t="s">
        <v>1620</v>
      </c>
      <c r="D32" s="105"/>
    </row>
    <row r="33" spans="1:5" ht="15" x14ac:dyDescent="0.25">
      <c r="A33" s="106"/>
      <c r="B33" s="121" t="s">
        <v>13</v>
      </c>
      <c r="D33" s="105"/>
    </row>
    <row r="34" spans="1:5" ht="15" x14ac:dyDescent="0.25">
      <c r="A34" s="106"/>
      <c r="B34" s="121" t="s">
        <v>14</v>
      </c>
      <c r="D34" s="105"/>
    </row>
    <row r="35" spans="1:5" ht="13.8" x14ac:dyDescent="0.25">
      <c r="B35" s="103" t="s">
        <v>15</v>
      </c>
    </row>
    <row r="36" spans="1:5" ht="27.6" x14ac:dyDescent="0.25">
      <c r="A36" s="106"/>
      <c r="B36" s="855" t="s">
        <v>1678</v>
      </c>
    </row>
    <row r="37" spans="1:5" ht="27.6" x14ac:dyDescent="0.25">
      <c r="A37" s="106"/>
      <c r="B37" s="125" t="s">
        <v>17</v>
      </c>
      <c r="C37" s="109"/>
      <c r="D37" s="110"/>
      <c r="E37" s="189"/>
    </row>
    <row r="38" spans="1:5" ht="15" x14ac:dyDescent="0.25">
      <c r="A38" s="106"/>
      <c r="B38" s="103" t="s">
        <v>18</v>
      </c>
      <c r="C38" s="109"/>
      <c r="D38" s="110"/>
      <c r="E38" s="189"/>
    </row>
    <row r="39" spans="1:5" ht="15" x14ac:dyDescent="0.25">
      <c r="A39" s="106"/>
      <c r="B39" s="856" t="s">
        <v>1679</v>
      </c>
      <c r="C39" s="109"/>
      <c r="D39" s="109"/>
    </row>
    <row r="40" spans="1:5" ht="15" x14ac:dyDescent="0.25">
      <c r="A40" s="106"/>
      <c r="B40" s="127" t="s">
        <v>20</v>
      </c>
      <c r="C40" s="109"/>
      <c r="D40" s="109"/>
    </row>
    <row r="41" spans="1:5" ht="13.8" x14ac:dyDescent="0.25">
      <c r="B41" s="103" t="s">
        <v>21</v>
      </c>
      <c r="D41" s="105"/>
    </row>
    <row r="42" spans="1:5" ht="15" x14ac:dyDescent="0.25">
      <c r="A42" s="106"/>
      <c r="B42" s="484" t="s">
        <v>1677</v>
      </c>
      <c r="C42" s="109"/>
      <c r="D42" s="110"/>
    </row>
    <row r="43" spans="1:5" ht="15" x14ac:dyDescent="0.25">
      <c r="A43" s="106"/>
      <c r="B43" s="121" t="s">
        <v>44</v>
      </c>
      <c r="C43" s="109"/>
      <c r="D43" s="110"/>
    </row>
    <row r="44" spans="1:5" ht="13.8" x14ac:dyDescent="0.25">
      <c r="A44" s="115" t="s">
        <v>0</v>
      </c>
      <c r="B44" s="121" t="s">
        <v>45</v>
      </c>
      <c r="C44" s="109"/>
    </row>
    <row r="45" spans="1:5" ht="50.4" x14ac:dyDescent="0.4">
      <c r="A45" s="222"/>
      <c r="B45" s="128" t="s">
        <v>169</v>
      </c>
      <c r="C45" s="220"/>
      <c r="D45" s="108"/>
    </row>
    <row r="46" spans="1:5" x14ac:dyDescent="0.25">
      <c r="A46" s="222"/>
      <c r="B46" s="181"/>
      <c r="C46" s="181"/>
      <c r="D46" s="108"/>
    </row>
    <row r="47" spans="1:5" x14ac:dyDescent="0.25">
      <c r="A47" s="222"/>
      <c r="B47" s="181"/>
      <c r="C47" s="181"/>
      <c r="D47" s="108"/>
    </row>
    <row r="48" spans="1:5" x14ac:dyDescent="0.25">
      <c r="A48" s="225"/>
      <c r="B48" s="223"/>
      <c r="C48" s="181"/>
      <c r="D48" s="108"/>
    </row>
    <row r="49" spans="1:4" ht="15" x14ac:dyDescent="0.35">
      <c r="A49" s="226" t="s">
        <v>0</v>
      </c>
      <c r="B49" s="224"/>
      <c r="C49" s="181"/>
      <c r="D49" s="181"/>
    </row>
    <row r="50" spans="1:4" ht="12.75" customHeight="1" x14ac:dyDescent="0.25">
      <c r="A50" s="108" t="s">
        <v>0</v>
      </c>
    </row>
    <row r="54" spans="1:4" ht="16.5" customHeight="1" x14ac:dyDescent="0.25"/>
    <row r="58" spans="1:4" ht="15.75" customHeight="1" x14ac:dyDescent="0.25"/>
    <row r="59" spans="1:4" ht="15" customHeight="1" x14ac:dyDescent="0.25"/>
  </sheetData>
  <mergeCells count="3">
    <mergeCell ref="A4:D4"/>
    <mergeCell ref="A14:D14"/>
    <mergeCell ref="B27:D27"/>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EF7A-6610-4B52-8F3A-5AC82DC5299D}">
  <sheetPr>
    <tabColor theme="4" tint="-0.249977111117893"/>
    <pageSetUpPr fitToPage="1"/>
  </sheetPr>
  <dimension ref="A1:P53"/>
  <sheetViews>
    <sheetView topLeftCell="A5" zoomScale="85" zoomScaleNormal="85" workbookViewId="0">
      <selection activeCell="C21" sqref="C21"/>
    </sheetView>
  </sheetViews>
  <sheetFormatPr baseColWidth="10" defaultColWidth="11.44140625" defaultRowHeight="13.2" x14ac:dyDescent="0.25"/>
  <cols>
    <col min="1" max="1" width="6" style="108" customWidth="1"/>
    <col min="2" max="2" width="88.5546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1699</v>
      </c>
      <c r="B8" s="228"/>
      <c r="C8" s="229"/>
      <c r="D8" s="229"/>
    </row>
    <row r="9" spans="1:16" s="10" customFormat="1" ht="19.2" x14ac:dyDescent="0.45">
      <c r="A9" s="227" t="s">
        <v>1700</v>
      </c>
      <c r="B9" s="228"/>
      <c r="C9" s="229"/>
      <c r="D9" s="229"/>
    </row>
    <row r="10" spans="1:16" s="10" customFormat="1" ht="19.2" x14ac:dyDescent="0.45">
      <c r="A10" s="227" t="s">
        <v>1047</v>
      </c>
      <c r="B10" s="228"/>
      <c r="C10" s="229"/>
      <c r="D10" s="229"/>
    </row>
    <row r="11" spans="1:16" s="10" customFormat="1" ht="19.2" x14ac:dyDescent="0.45">
      <c r="A11" s="227" t="s">
        <v>1701</v>
      </c>
      <c r="B11" s="228"/>
      <c r="C11" s="230"/>
      <c r="D11" s="229"/>
    </row>
    <row r="12" spans="1:16" s="10" customFormat="1" ht="15" customHeight="1" x14ac:dyDescent="0.45">
      <c r="A12" s="227" t="s">
        <v>6</v>
      </c>
      <c r="B12" s="228"/>
      <c r="C12" s="230"/>
      <c r="D12" s="229"/>
    </row>
    <row r="13" spans="1:16" s="10" customFormat="1" ht="15" customHeight="1" x14ac:dyDescent="0.45">
      <c r="A13" s="234" t="s">
        <v>1686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ht="13.5" customHeight="1" x14ac:dyDescent="0.25">
      <c r="A15" s="198"/>
      <c r="B15" s="198"/>
      <c r="C15" s="201"/>
      <c r="D15" s="202"/>
    </row>
    <row r="16" spans="1:16" x14ac:dyDescent="0.25">
      <c r="A16" s="145" t="s">
        <v>29</v>
      </c>
      <c r="B16" s="145" t="s">
        <v>30</v>
      </c>
      <c r="C16" s="146" t="s">
        <v>31</v>
      </c>
      <c r="D16" s="146" t="s">
        <v>32</v>
      </c>
      <c r="E16" s="189"/>
    </row>
    <row r="17" spans="1:5" x14ac:dyDescent="0.25">
      <c r="A17" s="148"/>
      <c r="B17" s="149"/>
      <c r="C17" s="150"/>
      <c r="D17" s="150"/>
      <c r="E17" s="189"/>
    </row>
    <row r="18" spans="1:5" x14ac:dyDescent="0.25">
      <c r="A18" s="162">
        <v>1</v>
      </c>
      <c r="B18" s="163" t="s">
        <v>1703</v>
      </c>
      <c r="C18" s="184">
        <f>(12107)*(1.5)</f>
        <v>18160.5</v>
      </c>
      <c r="D18" s="165">
        <f t="shared" ref="D18:D21" si="0">A18*C18</f>
        <v>18160.5</v>
      </c>
    </row>
    <row r="19" spans="1:5" x14ac:dyDescent="0.25">
      <c r="A19" s="162">
        <v>1</v>
      </c>
      <c r="B19" s="163" t="s">
        <v>1702</v>
      </c>
      <c r="C19" s="184">
        <f>(11671)*(1.5)</f>
        <v>17506.5</v>
      </c>
      <c r="D19" s="165">
        <f t="shared" ref="D19" si="1">A19*C19</f>
        <v>17506.5</v>
      </c>
    </row>
    <row r="20" spans="1:5" x14ac:dyDescent="0.25">
      <c r="A20" s="162">
        <v>1</v>
      </c>
      <c r="B20" s="163" t="s">
        <v>1704</v>
      </c>
      <c r="C20" s="184">
        <f>23775*1.3</f>
        <v>30907.5</v>
      </c>
      <c r="D20" s="165">
        <f t="shared" si="0"/>
        <v>30907.5</v>
      </c>
    </row>
    <row r="21" spans="1:5" ht="26.4" x14ac:dyDescent="0.25">
      <c r="A21" s="157">
        <v>1</v>
      </c>
      <c r="B21" s="158" t="s">
        <v>1705</v>
      </c>
      <c r="C21" s="159">
        <f>(1897*20.5)*1.34</f>
        <v>52110.590000000004</v>
      </c>
      <c r="D21" s="161">
        <f t="shared" si="0"/>
        <v>52110.590000000004</v>
      </c>
    </row>
    <row r="22" spans="1:5" ht="26.4" x14ac:dyDescent="0.25">
      <c r="A22" s="878"/>
      <c r="B22" s="881" t="s">
        <v>1706</v>
      </c>
      <c r="C22" s="879"/>
      <c r="D22" s="880"/>
    </row>
    <row r="23" spans="1:5" x14ac:dyDescent="0.25">
      <c r="A23" s="204"/>
      <c r="B23" s="204"/>
      <c r="C23" s="205"/>
      <c r="D23" s="205"/>
    </row>
    <row r="24" spans="1:5" x14ac:dyDescent="0.25">
      <c r="A24" s="145" t="s">
        <v>29</v>
      </c>
      <c r="B24" s="145" t="s">
        <v>30</v>
      </c>
      <c r="C24" s="146" t="s">
        <v>31</v>
      </c>
      <c r="D24" s="146" t="s">
        <v>32</v>
      </c>
    </row>
    <row r="25" spans="1:5" x14ac:dyDescent="0.25">
      <c r="A25" s="148"/>
      <c r="B25" s="149"/>
      <c r="C25" s="150"/>
      <c r="D25" s="150"/>
    </row>
    <row r="26" spans="1:5" x14ac:dyDescent="0.25">
      <c r="A26" s="162">
        <v>270</v>
      </c>
      <c r="B26" s="163" t="s">
        <v>134</v>
      </c>
      <c r="C26" s="164">
        <f>(596)*(1.33)</f>
        <v>792.68000000000006</v>
      </c>
      <c r="D26" s="165">
        <f>A26*C26</f>
        <v>214023.6</v>
      </c>
    </row>
    <row r="27" spans="1:5" x14ac:dyDescent="0.25">
      <c r="A27" s="162">
        <v>270</v>
      </c>
      <c r="B27" s="163" t="s">
        <v>80</v>
      </c>
      <c r="C27" s="164">
        <f>(736)*(1.33)</f>
        <v>978.88000000000011</v>
      </c>
      <c r="D27" s="165">
        <f>A27*C27</f>
        <v>264297.60000000003</v>
      </c>
    </row>
    <row r="28" spans="1:5" x14ac:dyDescent="0.25">
      <c r="A28" s="162">
        <v>270</v>
      </c>
      <c r="B28" s="163" t="s">
        <v>135</v>
      </c>
      <c r="C28" s="164">
        <f>(842)*(1.3)</f>
        <v>1094.6000000000001</v>
      </c>
      <c r="D28" s="165">
        <f>A28*C28</f>
        <v>295542.00000000006</v>
      </c>
    </row>
    <row r="29" spans="1:5" x14ac:dyDescent="0.25">
      <c r="A29" s="162">
        <v>270</v>
      </c>
      <c r="B29" s="163" t="s">
        <v>136</v>
      </c>
      <c r="C29" s="164">
        <f>(1050)*(1.47)</f>
        <v>1543.5</v>
      </c>
      <c r="D29" s="165">
        <f>A29*C29</f>
        <v>416745</v>
      </c>
    </row>
    <row r="30" spans="1:5" x14ac:dyDescent="0.25">
      <c r="A30" s="204"/>
      <c r="B30" s="206"/>
      <c r="C30" s="207"/>
      <c r="D30" s="205"/>
    </row>
    <row r="31" spans="1:5" x14ac:dyDescent="0.25">
      <c r="A31" s="145" t="s">
        <v>29</v>
      </c>
      <c r="B31" s="145" t="s">
        <v>30</v>
      </c>
      <c r="C31" s="146" t="s">
        <v>31</v>
      </c>
      <c r="D31" s="146" t="s">
        <v>32</v>
      </c>
    </row>
    <row r="32" spans="1:5" x14ac:dyDescent="0.25">
      <c r="A32" s="148"/>
      <c r="B32" s="149"/>
      <c r="C32" s="150"/>
      <c r="D32" s="150"/>
    </row>
    <row r="33" spans="1:4" x14ac:dyDescent="0.25">
      <c r="A33" s="157">
        <v>1</v>
      </c>
      <c r="B33" s="158" t="s">
        <v>1698</v>
      </c>
      <c r="C33" s="159">
        <f>(5400)*(1.5)</f>
        <v>8100</v>
      </c>
      <c r="D33" s="154">
        <f t="shared" ref="D33:D35" si="2">A33*C33</f>
        <v>8100</v>
      </c>
    </row>
    <row r="34" spans="1:4" ht="12.75" customHeight="1" x14ac:dyDescent="0.25">
      <c r="A34" s="157">
        <v>1</v>
      </c>
      <c r="B34" s="158" t="s">
        <v>208</v>
      </c>
      <c r="C34" s="159">
        <f>(8900)*(1.51)</f>
        <v>13439</v>
      </c>
      <c r="D34" s="154">
        <f t="shared" si="2"/>
        <v>13439</v>
      </c>
    </row>
    <row r="35" spans="1:4" x14ac:dyDescent="0.25">
      <c r="A35" s="162">
        <v>1</v>
      </c>
      <c r="B35" s="163" t="s">
        <v>460</v>
      </c>
      <c r="C35" s="184">
        <f>(1328*19)*1.3</f>
        <v>32801.599999999999</v>
      </c>
      <c r="D35" s="165">
        <f t="shared" si="2"/>
        <v>32801.599999999999</v>
      </c>
    </row>
    <row r="36" spans="1:4" x14ac:dyDescent="0.25">
      <c r="A36" s="208"/>
      <c r="B36" s="204"/>
      <c r="C36" s="205"/>
      <c r="D36" s="209"/>
    </row>
    <row r="37" spans="1:4" ht="26.4" x14ac:dyDescent="0.25">
      <c r="A37" s="162">
        <v>1</v>
      </c>
      <c r="B37" s="163" t="s">
        <v>138</v>
      </c>
      <c r="C37" s="210">
        <v>35627</v>
      </c>
      <c r="D37" s="165">
        <f>A37*C37</f>
        <v>35627</v>
      </c>
    </row>
    <row r="38" spans="1:4" ht="39.6" x14ac:dyDescent="0.25">
      <c r="A38" s="162">
        <v>1</v>
      </c>
      <c r="B38" s="163" t="s">
        <v>139</v>
      </c>
      <c r="C38" s="210">
        <v>37861</v>
      </c>
      <c r="D38" s="165">
        <f>A38*C38</f>
        <v>37861</v>
      </c>
    </row>
    <row r="39" spans="1:4" x14ac:dyDescent="0.25">
      <c r="A39" s="162">
        <v>1</v>
      </c>
      <c r="B39" s="163" t="s">
        <v>140</v>
      </c>
      <c r="C39" s="184">
        <f>(2576.78*21)*(1.3)</f>
        <v>70346.094000000012</v>
      </c>
      <c r="D39" s="165">
        <f>A39*C39</f>
        <v>70346.094000000012</v>
      </c>
    </row>
    <row r="40" spans="1:4" x14ac:dyDescent="0.25">
      <c r="A40" s="211">
        <v>1</v>
      </c>
      <c r="B40" s="212" t="s">
        <v>141</v>
      </c>
      <c r="C40" s="210">
        <f>9650*1.32</f>
        <v>12738</v>
      </c>
      <c r="D40" s="213">
        <f>A40*C40</f>
        <v>12738</v>
      </c>
    </row>
    <row r="41" spans="1:4" ht="26.4" x14ac:dyDescent="0.25">
      <c r="A41" s="211"/>
      <c r="B41" s="212" t="s">
        <v>142</v>
      </c>
      <c r="C41" s="210"/>
      <c r="D41" s="213"/>
    </row>
    <row r="42" spans="1:4" ht="15.75" customHeight="1" x14ac:dyDescent="0.25">
      <c r="A42" s="204"/>
      <c r="B42" s="206"/>
      <c r="C42" s="214"/>
      <c r="D42" s="215"/>
    </row>
    <row r="43" spans="1:4" ht="15" customHeight="1" x14ac:dyDescent="0.25">
      <c r="B43" s="103" t="s">
        <v>15</v>
      </c>
    </row>
    <row r="44" spans="1:4" ht="15" x14ac:dyDescent="0.25">
      <c r="A44" s="106"/>
      <c r="B44" s="216" t="s">
        <v>42</v>
      </c>
    </row>
    <row r="45" spans="1:4" ht="41.4" x14ac:dyDescent="0.25">
      <c r="A45" s="106"/>
      <c r="B45" s="216" t="s">
        <v>143</v>
      </c>
      <c r="C45" s="109"/>
      <c r="D45" s="110"/>
    </row>
    <row r="46" spans="1:4" ht="15" x14ac:dyDescent="0.25">
      <c r="A46" s="106"/>
      <c r="B46" s="103" t="s">
        <v>18</v>
      </c>
      <c r="C46" s="109"/>
      <c r="D46" s="110"/>
    </row>
    <row r="47" spans="1:4" ht="15" x14ac:dyDescent="0.25">
      <c r="A47" s="106"/>
      <c r="B47" s="188" t="s">
        <v>144</v>
      </c>
      <c r="C47" s="109"/>
      <c r="D47" s="109"/>
    </row>
    <row r="48" spans="1:4" ht="15" x14ac:dyDescent="0.25">
      <c r="A48" s="106"/>
      <c r="B48" s="217" t="s">
        <v>20</v>
      </c>
      <c r="C48" s="109"/>
      <c r="D48" s="109"/>
    </row>
    <row r="49" spans="1:4" ht="13.8" x14ac:dyDescent="0.25">
      <c r="B49" s="103" t="s">
        <v>21</v>
      </c>
      <c r="D49" s="105"/>
    </row>
    <row r="50" spans="1:4" ht="15" x14ac:dyDescent="0.25">
      <c r="A50" s="106"/>
      <c r="B50" s="180" t="s">
        <v>145</v>
      </c>
      <c r="C50" s="109"/>
      <c r="D50" s="110"/>
    </row>
    <row r="51" spans="1:4" ht="15" x14ac:dyDescent="0.25">
      <c r="A51" s="106"/>
      <c r="B51" s="180" t="s">
        <v>44</v>
      </c>
      <c r="C51" s="109"/>
      <c r="D51" s="110"/>
    </row>
    <row r="52" spans="1:4" ht="15" x14ac:dyDescent="0.25">
      <c r="A52" s="106"/>
      <c r="B52" s="180" t="s">
        <v>45</v>
      </c>
      <c r="D52" s="181"/>
    </row>
    <row r="53" spans="1:4" ht="50.4" x14ac:dyDescent="0.4">
      <c r="A53" s="106"/>
      <c r="B53" s="218" t="s">
        <v>23</v>
      </c>
      <c r="C53" s="109"/>
      <c r="D53" s="109"/>
    </row>
  </sheetData>
  <mergeCells count="2">
    <mergeCell ref="A4:D4"/>
    <mergeCell ref="A14:D14"/>
  </mergeCells>
  <printOptions horizontalCentered="1"/>
  <pageMargins left="0" right="0" top="0" bottom="0" header="0" footer="0"/>
  <pageSetup paperSize="9" scale="82" fitToWidth="0" orientation="portrait" r:id="rId1"/>
  <headerFooter alignWithMargins="0">
    <oddFooter>Página &amp;P de &amp;N</oddFooter>
  </headerFooter>
  <drawing r:id="rId2"/>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D93F-887C-482F-BFDC-4EF02A25456C}">
  <sheetPr>
    <tabColor theme="4" tint="-0.249977111117893"/>
    <pageSetUpPr fitToPage="1"/>
  </sheetPr>
  <dimension ref="A1:G62"/>
  <sheetViews>
    <sheetView topLeftCell="A24" zoomScaleNormal="100" workbookViewId="0">
      <selection activeCell="D37" sqref="D37"/>
    </sheetView>
  </sheetViews>
  <sheetFormatPr baseColWidth="10" defaultColWidth="10.33203125" defaultRowHeight="13.2" x14ac:dyDescent="0.25"/>
  <cols>
    <col min="1" max="1" width="5.44140625" style="108" customWidth="1"/>
    <col min="2" max="2" width="95.5546875" style="108" customWidth="1"/>
    <col min="3" max="3" width="14.88671875" style="107" bestFit="1" customWidth="1"/>
    <col min="4" max="4" width="15.44140625" style="107"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1646</v>
      </c>
      <c r="C7" s="58"/>
      <c r="D7" s="58"/>
    </row>
    <row r="8" spans="1:7" s="10" customFormat="1" ht="16.8" x14ac:dyDescent="0.4">
      <c r="A8" s="57" t="s">
        <v>1647</v>
      </c>
      <c r="C8" s="58"/>
      <c r="D8" s="58"/>
    </row>
    <row r="9" spans="1:7" s="10" customFormat="1" ht="16.8" x14ac:dyDescent="0.4">
      <c r="A9" s="57" t="s">
        <v>1648</v>
      </c>
      <c r="C9" s="58"/>
      <c r="D9" s="58"/>
    </row>
    <row r="10" spans="1:7" s="10" customFormat="1" ht="16.8" x14ac:dyDescent="0.4">
      <c r="A10" s="57" t="s">
        <v>1649</v>
      </c>
      <c r="C10" s="59"/>
      <c r="D10" s="58"/>
    </row>
    <row r="11" spans="1:7" s="10" customFormat="1" ht="16.8" x14ac:dyDescent="0.4">
      <c r="A11" s="60" t="s">
        <v>1643</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45" x14ac:dyDescent="0.4">
      <c r="A15" s="72">
        <v>1</v>
      </c>
      <c r="B15" s="624" t="s">
        <v>1667</v>
      </c>
      <c r="C15" s="625">
        <v>9000</v>
      </c>
      <c r="D15" s="75">
        <f t="shared" ref="D15:D18" si="0">A15*C15</f>
        <v>9000</v>
      </c>
      <c r="E15" s="190"/>
      <c r="G15" s="10"/>
    </row>
    <row r="16" spans="1:7" ht="15.6" x14ac:dyDescent="0.25">
      <c r="A16" s="72">
        <v>1</v>
      </c>
      <c r="B16" s="624" t="s">
        <v>745</v>
      </c>
      <c r="C16" s="625">
        <v>3280</v>
      </c>
      <c r="D16" s="75">
        <f>A16*C16</f>
        <v>3280</v>
      </c>
    </row>
    <row r="17" spans="1:7" s="191" customFormat="1" ht="15.6" x14ac:dyDescent="0.25">
      <c r="A17" s="72">
        <v>0.5</v>
      </c>
      <c r="B17" s="672" t="s">
        <v>751</v>
      </c>
      <c r="C17" s="625">
        <f>1870*1.15</f>
        <v>2150.5</v>
      </c>
      <c r="D17" s="75">
        <f>A17*C17</f>
        <v>1075.25</v>
      </c>
      <c r="E17" s="108"/>
      <c r="F17" s="108"/>
      <c r="G17" s="108"/>
    </row>
    <row r="18" spans="1:7" ht="15.6" x14ac:dyDescent="0.25">
      <c r="A18" s="72">
        <v>115</v>
      </c>
      <c r="B18" s="624" t="s">
        <v>1665</v>
      </c>
      <c r="C18" s="625">
        <v>18.899999999999999</v>
      </c>
      <c r="D18" s="75">
        <f t="shared" si="0"/>
        <v>2173.5</v>
      </c>
    </row>
    <row r="19" spans="1:7" ht="15.6" x14ac:dyDescent="0.25">
      <c r="A19" s="668"/>
      <c r="B19" s="768"/>
      <c r="C19" s="629" t="s">
        <v>188</v>
      </c>
      <c r="D19" s="630">
        <f>SUM(D15:D18)</f>
        <v>15528.75</v>
      </c>
    </row>
    <row r="20" spans="1:7" ht="15.6" x14ac:dyDescent="0.3">
      <c r="A20" s="453"/>
      <c r="B20" s="768"/>
      <c r="C20" s="631" t="s">
        <v>90</v>
      </c>
      <c r="D20" s="632">
        <f>D19*0.16</f>
        <v>2484.6</v>
      </c>
    </row>
    <row r="21" spans="1:7" ht="16.2" thickBot="1" x14ac:dyDescent="0.35">
      <c r="A21" s="276"/>
      <c r="B21" s="673"/>
      <c r="C21" s="633" t="s">
        <v>40</v>
      </c>
      <c r="D21" s="634">
        <f>D19+D20</f>
        <v>18013.349999999999</v>
      </c>
    </row>
    <row r="22" spans="1:7" ht="16.2" thickBot="1" x14ac:dyDescent="0.3">
      <c r="A22" s="102"/>
      <c r="B22" s="635" t="s">
        <v>1666</v>
      </c>
      <c r="C22" s="553"/>
      <c r="D22" s="461"/>
    </row>
    <row r="23" spans="1:7" ht="26.4" x14ac:dyDescent="0.25">
      <c r="A23" s="145" t="s">
        <v>29</v>
      </c>
      <c r="B23" s="145" t="s">
        <v>30</v>
      </c>
      <c r="C23" s="146" t="s">
        <v>31</v>
      </c>
      <c r="D23" s="146" t="s">
        <v>32</v>
      </c>
    </row>
    <row r="24" spans="1:7" x14ac:dyDescent="0.25">
      <c r="A24" s="148"/>
      <c r="B24" s="149"/>
      <c r="C24" s="150"/>
      <c r="D24" s="150"/>
    </row>
    <row r="25" spans="1:7" ht="45" x14ac:dyDescent="0.25">
      <c r="A25" s="72">
        <v>1</v>
      </c>
      <c r="B25" s="624" t="s">
        <v>1668</v>
      </c>
      <c r="C25" s="625">
        <f>170*70+2300</f>
        <v>14200</v>
      </c>
      <c r="D25" s="75">
        <f t="shared" ref="D25" si="1">A25*C25</f>
        <v>14200</v>
      </c>
    </row>
    <row r="26" spans="1:7" ht="15.6" x14ac:dyDescent="0.25">
      <c r="A26" s="72">
        <v>1</v>
      </c>
      <c r="B26" s="624" t="s">
        <v>745</v>
      </c>
      <c r="C26" s="625">
        <v>3680</v>
      </c>
      <c r="D26" s="75">
        <f>A26*C26</f>
        <v>3680</v>
      </c>
    </row>
    <row r="27" spans="1:7" ht="15.6" x14ac:dyDescent="0.25">
      <c r="A27" s="72">
        <v>1</v>
      </c>
      <c r="B27" s="672" t="s">
        <v>751</v>
      </c>
      <c r="C27" s="625">
        <f>1870*1.15</f>
        <v>2150.5</v>
      </c>
      <c r="D27" s="75">
        <f>A27*C27</f>
        <v>2150.5</v>
      </c>
    </row>
    <row r="28" spans="1:7" ht="15.6" x14ac:dyDescent="0.25">
      <c r="A28" s="72">
        <v>180</v>
      </c>
      <c r="B28" s="624" t="s">
        <v>1665</v>
      </c>
      <c r="C28" s="625">
        <v>18.899999999999999</v>
      </c>
      <c r="D28" s="75">
        <f t="shared" ref="D28" si="2">A28*C28</f>
        <v>3401.9999999999995</v>
      </c>
    </row>
    <row r="29" spans="1:7" ht="15.6" x14ac:dyDescent="0.25">
      <c r="A29" s="668"/>
      <c r="B29" s="768"/>
      <c r="C29" s="629" t="s">
        <v>188</v>
      </c>
      <c r="D29" s="630">
        <f>SUM(D25:D28)</f>
        <v>23432.5</v>
      </c>
    </row>
    <row r="30" spans="1:7" ht="15.6" x14ac:dyDescent="0.3">
      <c r="A30" s="453"/>
      <c r="B30" s="768"/>
      <c r="C30" s="631" t="s">
        <v>90</v>
      </c>
      <c r="D30" s="632">
        <f>D29*0.16</f>
        <v>3749.2000000000003</v>
      </c>
    </row>
    <row r="31" spans="1:7" ht="16.2" thickBot="1" x14ac:dyDescent="0.35">
      <c r="A31" s="276"/>
      <c r="B31" s="673"/>
      <c r="C31" s="633" t="s">
        <v>40</v>
      </c>
      <c r="D31" s="634">
        <f>D29+D30</f>
        <v>27181.7</v>
      </c>
    </row>
    <row r="32" spans="1:7" ht="16.2" thickBot="1" x14ac:dyDescent="0.3">
      <c r="A32" s="102"/>
      <c r="B32" s="635" t="s">
        <v>1669</v>
      </c>
      <c r="C32" s="553"/>
      <c r="D32" s="461"/>
    </row>
    <row r="33" spans="1:5" ht="13.8" x14ac:dyDescent="0.25">
      <c r="A33" s="33"/>
      <c r="B33" s="173" t="s">
        <v>9</v>
      </c>
      <c r="C33" s="174"/>
      <c r="D33" s="666"/>
    </row>
    <row r="34" spans="1:5" ht="17.399999999999999" x14ac:dyDescent="0.25">
      <c r="A34" s="176"/>
      <c r="B34" s="177" t="s">
        <v>10</v>
      </c>
      <c r="C34" s="861"/>
      <c r="D34" s="862"/>
    </row>
    <row r="35" spans="1:5" ht="15.6" x14ac:dyDescent="0.25">
      <c r="A35" s="178"/>
      <c r="B35" s="35" t="s">
        <v>11</v>
      </c>
      <c r="C35" s="864" t="s">
        <v>699</v>
      </c>
      <c r="D35" s="865">
        <f>D21+D31</f>
        <v>45195.05</v>
      </c>
      <c r="E35" s="189"/>
    </row>
    <row r="36" spans="1:5" ht="15.6" x14ac:dyDescent="0.25">
      <c r="A36" s="178"/>
      <c r="B36" s="131" t="s">
        <v>1620</v>
      </c>
      <c r="C36" s="864" t="s">
        <v>250</v>
      </c>
      <c r="D36" s="865">
        <v>5195.05</v>
      </c>
    </row>
    <row r="37" spans="1:5" ht="15.6" x14ac:dyDescent="0.25">
      <c r="A37" s="178"/>
      <c r="B37" s="131" t="s">
        <v>13</v>
      </c>
      <c r="C37" s="864" t="s">
        <v>1707</v>
      </c>
      <c r="D37" s="865">
        <f>D35-D36</f>
        <v>40000</v>
      </c>
    </row>
    <row r="38" spans="1:5" ht="13.8" x14ac:dyDescent="0.25">
      <c r="A38" s="129"/>
      <c r="B38" s="40" t="s">
        <v>15</v>
      </c>
      <c r="C38" s="3"/>
      <c r="D38" s="109"/>
    </row>
    <row r="39" spans="1:5" ht="15" x14ac:dyDescent="0.25">
      <c r="A39" s="178"/>
      <c r="B39" s="36" t="s">
        <v>42</v>
      </c>
      <c r="C39" s="3"/>
      <c r="D39" s="105"/>
    </row>
    <row r="40" spans="1:5" ht="41.4" x14ac:dyDescent="0.25">
      <c r="A40" s="178"/>
      <c r="B40" s="36" t="s">
        <v>43</v>
      </c>
      <c r="C40" s="38"/>
      <c r="D40" s="110"/>
    </row>
    <row r="41" spans="1:5" ht="15" x14ac:dyDescent="0.25">
      <c r="A41" s="178"/>
      <c r="B41" s="40" t="s">
        <v>18</v>
      </c>
      <c r="C41" s="38"/>
      <c r="D41" s="110"/>
    </row>
    <row r="42" spans="1:5" ht="15" x14ac:dyDescent="0.25">
      <c r="A42" s="178"/>
      <c r="B42" s="134" t="s">
        <v>1670</v>
      </c>
      <c r="C42" s="38"/>
    </row>
    <row r="43" spans="1:5" ht="15" x14ac:dyDescent="0.25">
      <c r="A43" s="178"/>
      <c r="B43" s="135" t="s">
        <v>20</v>
      </c>
      <c r="C43" s="38"/>
      <c r="D43" s="108"/>
    </row>
    <row r="44" spans="1:5" ht="13.8" x14ac:dyDescent="0.25">
      <c r="A44" s="129"/>
      <c r="B44" s="40" t="s">
        <v>21</v>
      </c>
      <c r="C44" s="3"/>
      <c r="D44" s="108"/>
    </row>
    <row r="45" spans="1:5" ht="15" x14ac:dyDescent="0.25">
      <c r="A45" s="178"/>
      <c r="B45" s="179" t="s">
        <v>1663</v>
      </c>
      <c r="C45" s="38"/>
      <c r="D45" s="108"/>
    </row>
    <row r="46" spans="1:5" ht="15" x14ac:dyDescent="0.25">
      <c r="A46" s="178"/>
      <c r="B46" s="131" t="s">
        <v>44</v>
      </c>
      <c r="C46" s="38"/>
      <c r="D46" s="108"/>
    </row>
    <row r="47" spans="1:5" ht="15" x14ac:dyDescent="0.25">
      <c r="A47" s="106"/>
      <c r="B47" s="180" t="s">
        <v>45</v>
      </c>
      <c r="D47" s="181"/>
    </row>
    <row r="48" spans="1:5" ht="33.6" x14ac:dyDescent="0.25">
      <c r="A48" s="182" t="s">
        <v>0</v>
      </c>
      <c r="B48" s="183" t="s">
        <v>23</v>
      </c>
      <c r="C48" s="38"/>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75" fitToWidth="0" orientation="portrait" r:id="rId1"/>
  <headerFooter alignWithMargins="0">
    <oddFooter>Página &amp;P de &amp;N</oddFooter>
  </headerFooter>
  <drawing r:id="rId2"/>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2484-144B-4EB2-A1BD-8B8032851F62}">
  <sheetPr>
    <tabColor theme="4" tint="-0.249977111117893"/>
    <pageSetUpPr fitToPage="1"/>
  </sheetPr>
  <dimension ref="A1:G62"/>
  <sheetViews>
    <sheetView zoomScaleNormal="100" workbookViewId="0">
      <selection activeCell="B35" sqref="B35"/>
    </sheetView>
  </sheetViews>
  <sheetFormatPr baseColWidth="10" defaultColWidth="10.33203125" defaultRowHeight="13.2" x14ac:dyDescent="0.25"/>
  <cols>
    <col min="1" max="1" width="5.44140625" style="108" customWidth="1"/>
    <col min="2" max="2" width="95.5546875" style="108" customWidth="1"/>
    <col min="3" max="3" width="14.88671875" style="107" bestFit="1" customWidth="1"/>
    <col min="4" max="4" width="15.44140625" style="107"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1646</v>
      </c>
      <c r="C7" s="58"/>
      <c r="D7" s="58"/>
    </row>
    <row r="8" spans="1:7" s="10" customFormat="1" ht="16.8" x14ac:dyDescent="0.4">
      <c r="A8" s="57" t="s">
        <v>1647</v>
      </c>
      <c r="C8" s="58"/>
      <c r="D8" s="58"/>
    </row>
    <row r="9" spans="1:7" s="10" customFormat="1" ht="16.8" x14ac:dyDescent="0.4">
      <c r="A9" s="57" t="s">
        <v>1648</v>
      </c>
      <c r="C9" s="58"/>
      <c r="D9" s="58"/>
    </row>
    <row r="10" spans="1:7" s="10" customFormat="1" ht="16.8" x14ac:dyDescent="0.4">
      <c r="A10" s="57" t="s">
        <v>1649</v>
      </c>
      <c r="C10" s="59"/>
      <c r="D10" s="58"/>
    </row>
    <row r="11" spans="1:7" s="10" customFormat="1" ht="16.8" x14ac:dyDescent="0.4">
      <c r="A11" s="60" t="s">
        <v>1722</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08"/>
      <c r="F13" s="108"/>
      <c r="G13" s="108"/>
    </row>
    <row r="14" spans="1:7" s="10" customFormat="1" ht="16.8" x14ac:dyDescent="0.4">
      <c r="A14" s="148"/>
      <c r="B14" s="149"/>
      <c r="C14" s="150"/>
      <c r="D14" s="150"/>
      <c r="E14" s="108"/>
      <c r="F14" s="108"/>
      <c r="G14" s="108"/>
    </row>
    <row r="15" spans="1:7" s="188" customFormat="1" ht="15.6" x14ac:dyDescent="0.25">
      <c r="A15" s="84">
        <v>1</v>
      </c>
      <c r="B15" s="85" t="s">
        <v>1723</v>
      </c>
      <c r="C15" s="88">
        <v>5200</v>
      </c>
      <c r="D15" s="83">
        <f t="shared" ref="D15:D16" si="0">A15*C15</f>
        <v>5200</v>
      </c>
      <c r="E15" s="108"/>
      <c r="F15" s="108"/>
      <c r="G15" s="108"/>
    </row>
    <row r="16" spans="1:7" ht="15.6" x14ac:dyDescent="0.25">
      <c r="A16" s="84">
        <v>1</v>
      </c>
      <c r="B16" s="85" t="s">
        <v>507</v>
      </c>
      <c r="C16" s="88">
        <v>6021.6</v>
      </c>
      <c r="D16" s="83">
        <f t="shared" si="0"/>
        <v>6021.6</v>
      </c>
    </row>
    <row r="17" spans="1:7" s="191" customFormat="1" ht="15.6" x14ac:dyDescent="0.25">
      <c r="A17" s="72">
        <v>1</v>
      </c>
      <c r="B17" s="624" t="s">
        <v>745</v>
      </c>
      <c r="C17" s="625">
        <v>3680</v>
      </c>
      <c r="D17" s="75">
        <f>A17*C17</f>
        <v>3680</v>
      </c>
      <c r="E17" s="108"/>
      <c r="F17" s="108"/>
      <c r="G17" s="108"/>
    </row>
    <row r="18" spans="1:7" ht="15.6" x14ac:dyDescent="0.25">
      <c r="A18" s="668"/>
      <c r="B18" s="768"/>
      <c r="C18" s="629" t="s">
        <v>188</v>
      </c>
      <c r="D18" s="630">
        <f>SUM(D15:D17)</f>
        <v>14901.6</v>
      </c>
    </row>
    <row r="19" spans="1:7" ht="15.6" x14ac:dyDescent="0.3">
      <c r="A19" s="453"/>
      <c r="B19" s="768"/>
      <c r="C19" s="631" t="s">
        <v>90</v>
      </c>
      <c r="D19" s="632">
        <f>D18*0.16</f>
        <v>2384.2560000000003</v>
      </c>
    </row>
    <row r="20" spans="1:7" ht="16.2" thickBot="1" x14ac:dyDescent="0.35">
      <c r="A20" s="276"/>
      <c r="B20" s="673"/>
      <c r="C20" s="633" t="s">
        <v>40</v>
      </c>
      <c r="D20" s="634">
        <f>D18+D19</f>
        <v>17285.856</v>
      </c>
    </row>
    <row r="21" spans="1:7" ht="16.2" thickBot="1" x14ac:dyDescent="0.3">
      <c r="A21" s="102"/>
      <c r="B21" s="635" t="s">
        <v>1724</v>
      </c>
      <c r="C21" s="553"/>
      <c r="D21" s="461"/>
    </row>
    <row r="22" spans="1:7" ht="13.8" x14ac:dyDescent="0.25">
      <c r="A22" s="33"/>
      <c r="B22" s="173" t="s">
        <v>9</v>
      </c>
      <c r="C22" s="174"/>
      <c r="D22" s="666"/>
      <c r="E22" s="189"/>
    </row>
    <row r="23" spans="1:7" ht="17.399999999999999" x14ac:dyDescent="0.25">
      <c r="A23" s="176"/>
      <c r="B23" s="177" t="s">
        <v>10</v>
      </c>
      <c r="C23" s="861"/>
      <c r="D23" s="862"/>
    </row>
    <row r="24" spans="1:7" ht="15" x14ac:dyDescent="0.25">
      <c r="A24" s="178"/>
      <c r="B24" s="35" t="s">
        <v>11</v>
      </c>
      <c r="C24" s="108"/>
      <c r="D24" s="108"/>
    </row>
    <row r="25" spans="1:7" ht="15" x14ac:dyDescent="0.25">
      <c r="A25" s="178"/>
      <c r="B25" s="131" t="s">
        <v>1620</v>
      </c>
      <c r="C25" s="108"/>
      <c r="D25" s="108"/>
    </row>
    <row r="26" spans="1:7" ht="15" x14ac:dyDescent="0.25">
      <c r="A26" s="178"/>
      <c r="B26" s="131" t="s">
        <v>13</v>
      </c>
      <c r="C26" s="108"/>
      <c r="D26" s="108"/>
    </row>
    <row r="27" spans="1:7" ht="13.8" x14ac:dyDescent="0.25">
      <c r="A27" s="129"/>
      <c r="B27" s="40" t="s">
        <v>15</v>
      </c>
      <c r="C27" s="3"/>
      <c r="D27" s="109"/>
    </row>
    <row r="28" spans="1:7" ht="15" x14ac:dyDescent="0.25">
      <c r="A28" s="178"/>
      <c r="B28" s="36" t="s">
        <v>42</v>
      </c>
      <c r="C28" s="3"/>
      <c r="D28" s="105"/>
    </row>
    <row r="29" spans="1:7" ht="41.4" x14ac:dyDescent="0.25">
      <c r="A29" s="178"/>
      <c r="B29" s="36" t="s">
        <v>43</v>
      </c>
      <c r="C29" s="38"/>
      <c r="D29" s="110"/>
    </row>
    <row r="30" spans="1:7" ht="15" x14ac:dyDescent="0.25">
      <c r="A30" s="178"/>
      <c r="B30" s="40" t="s">
        <v>18</v>
      </c>
      <c r="C30" s="38"/>
      <c r="D30" s="110"/>
    </row>
    <row r="31" spans="1:7" ht="15" x14ac:dyDescent="0.25">
      <c r="A31" s="178"/>
      <c r="B31" s="134" t="s">
        <v>1670</v>
      </c>
      <c r="C31" s="38"/>
    </row>
    <row r="32" spans="1:7" ht="15" x14ac:dyDescent="0.25">
      <c r="A32" s="178"/>
      <c r="B32" s="135" t="s">
        <v>20</v>
      </c>
      <c r="C32" s="38"/>
      <c r="D32" s="108"/>
    </row>
    <row r="33" spans="1:4" ht="13.8" x14ac:dyDescent="0.25">
      <c r="A33" s="129"/>
      <c r="B33" s="40" t="s">
        <v>21</v>
      </c>
      <c r="C33" s="3"/>
      <c r="D33" s="108"/>
    </row>
    <row r="34" spans="1:4" ht="15" x14ac:dyDescent="0.25">
      <c r="A34" s="178"/>
      <c r="B34" s="179" t="s">
        <v>194</v>
      </c>
      <c r="C34" s="38"/>
      <c r="D34" s="108"/>
    </row>
    <row r="35" spans="1:4" ht="15" x14ac:dyDescent="0.25">
      <c r="A35" s="178"/>
      <c r="B35" s="131" t="s">
        <v>44</v>
      </c>
      <c r="C35" s="38"/>
      <c r="D35" s="108"/>
    </row>
    <row r="36" spans="1:4" ht="15" x14ac:dyDescent="0.25">
      <c r="A36" s="106"/>
      <c r="B36" s="180" t="s">
        <v>45</v>
      </c>
      <c r="D36" s="181"/>
    </row>
    <row r="37" spans="1:4" ht="33.6" x14ac:dyDescent="0.25">
      <c r="A37" s="182" t="s">
        <v>0</v>
      </c>
      <c r="B37" s="183" t="s">
        <v>23</v>
      </c>
      <c r="C37" s="38"/>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60" orientation="portrait" r:id="rId1"/>
  <headerFooter alignWithMargins="0">
    <oddFooter>Página &amp;P de &amp;N</oddFooter>
  </headerFooter>
  <drawing r:id="rId2"/>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B567-B2F3-4B94-B7A2-05FAE1C69817}">
  <sheetPr>
    <tabColor theme="4" tint="-0.249977111117893"/>
    <pageSetUpPr fitToPage="1"/>
  </sheetPr>
  <dimension ref="A1:P59"/>
  <sheetViews>
    <sheetView topLeftCell="A6" zoomScale="85" zoomScaleNormal="85" workbookViewId="0">
      <selection activeCell="B44" sqref="B44"/>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1725</v>
      </c>
      <c r="B8" s="228"/>
      <c r="C8" s="229"/>
      <c r="D8" s="229"/>
    </row>
    <row r="9" spans="1:16" s="10" customFormat="1" ht="19.2" x14ac:dyDescent="0.45">
      <c r="A9" s="227" t="s">
        <v>1726</v>
      </c>
      <c r="B9" s="228"/>
      <c r="C9" s="229"/>
      <c r="D9" s="229"/>
    </row>
    <row r="10" spans="1:16" s="10" customFormat="1" ht="19.2" x14ac:dyDescent="0.45">
      <c r="A10" s="227" t="s">
        <v>938</v>
      </c>
      <c r="B10" s="228"/>
      <c r="C10" s="229"/>
      <c r="D10" s="229"/>
    </row>
    <row r="11" spans="1:16" s="10" customFormat="1" ht="19.2" x14ac:dyDescent="0.45">
      <c r="A11" s="227" t="s">
        <v>1727</v>
      </c>
      <c r="B11" s="228"/>
      <c r="C11" s="230"/>
      <c r="D11" s="229"/>
    </row>
    <row r="12" spans="1:16" s="10" customFormat="1" ht="15" customHeight="1" x14ac:dyDescent="0.45">
      <c r="A12" s="227" t="s">
        <v>6</v>
      </c>
      <c r="B12" s="228"/>
      <c r="C12" s="230"/>
      <c r="D12" s="229"/>
    </row>
    <row r="13" spans="1:16" s="10" customFormat="1" ht="15" customHeight="1" x14ac:dyDescent="0.45">
      <c r="A13" s="234" t="s">
        <v>1742</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30" x14ac:dyDescent="0.25">
      <c r="A16" s="77">
        <v>1</v>
      </c>
      <c r="B16" s="81" t="s">
        <v>1728</v>
      </c>
      <c r="C16" s="79">
        <v>22000</v>
      </c>
      <c r="D16" s="80">
        <f t="shared" ref="D16:D19" si="0">A16*C16</f>
        <v>22000</v>
      </c>
      <c r="E16" s="190"/>
      <c r="H16" s="191"/>
      <c r="I16" s="191"/>
      <c r="J16" s="191"/>
      <c r="K16" s="191"/>
      <c r="L16" s="191"/>
      <c r="M16" s="191"/>
      <c r="N16" s="191"/>
      <c r="O16" s="191"/>
      <c r="P16" s="191"/>
    </row>
    <row r="17" spans="1:16" s="191" customFormat="1" ht="15.6" x14ac:dyDescent="0.25">
      <c r="A17" s="77">
        <v>1</v>
      </c>
      <c r="B17" s="81" t="s">
        <v>1672</v>
      </c>
      <c r="C17" s="79" t="s">
        <v>1543</v>
      </c>
      <c r="D17" s="80"/>
      <c r="E17" s="190"/>
      <c r="F17" s="108"/>
      <c r="G17" s="108"/>
    </row>
    <row r="18" spans="1:16" s="191" customFormat="1" ht="15.6" x14ac:dyDescent="0.25">
      <c r="A18" s="77">
        <v>5</v>
      </c>
      <c r="B18" s="81" t="s">
        <v>1729</v>
      </c>
      <c r="C18" s="79">
        <v>900</v>
      </c>
      <c r="D18" s="80">
        <f t="shared" si="0"/>
        <v>4500</v>
      </c>
      <c r="E18" s="190"/>
      <c r="F18" s="108"/>
      <c r="G18" s="108"/>
    </row>
    <row r="19" spans="1:16" s="191" customFormat="1" ht="30" x14ac:dyDescent="0.25">
      <c r="A19" s="77">
        <v>1</v>
      </c>
      <c r="B19" s="81" t="s">
        <v>1730</v>
      </c>
      <c r="C19" s="79">
        <v>2800</v>
      </c>
      <c r="D19" s="80">
        <f t="shared" si="0"/>
        <v>2800</v>
      </c>
      <c r="E19" s="190"/>
      <c r="F19" s="108"/>
      <c r="G19" s="108"/>
      <c r="M19" s="837"/>
    </row>
    <row r="20" spans="1:16" s="191" customFormat="1" ht="15.6" x14ac:dyDescent="0.25">
      <c r="A20" s="77">
        <v>1</v>
      </c>
      <c r="B20" s="81" t="s">
        <v>1731</v>
      </c>
      <c r="C20" s="79">
        <v>14000</v>
      </c>
      <c r="D20" s="80">
        <f t="shared" ref="D20:D23" si="1">A20*C20</f>
        <v>14000</v>
      </c>
      <c r="E20" s="190"/>
      <c r="F20" s="108"/>
      <c r="G20" s="108"/>
      <c r="M20" s="108"/>
      <c r="N20" s="108"/>
      <c r="O20" s="108"/>
      <c r="P20" s="108"/>
    </row>
    <row r="21" spans="1:16" ht="30" x14ac:dyDescent="0.25">
      <c r="A21" s="77">
        <v>2</v>
      </c>
      <c r="B21" s="81" t="s">
        <v>1676</v>
      </c>
      <c r="C21" s="79">
        <v>3850</v>
      </c>
      <c r="D21" s="80">
        <f t="shared" si="1"/>
        <v>7700</v>
      </c>
      <c r="E21" s="190"/>
      <c r="H21" s="191"/>
      <c r="I21" s="191"/>
      <c r="J21" s="191"/>
      <c r="K21" s="191"/>
      <c r="L21" s="191"/>
    </row>
    <row r="22" spans="1:16" ht="15.6" x14ac:dyDescent="0.25">
      <c r="A22" s="84">
        <v>1</v>
      </c>
      <c r="B22" s="85" t="s">
        <v>1698</v>
      </c>
      <c r="C22" s="88">
        <f>(5400)*(1.5)*1.16</f>
        <v>9396</v>
      </c>
      <c r="D22" s="83">
        <f t="shared" si="1"/>
        <v>9396</v>
      </c>
      <c r="E22" s="190"/>
      <c r="H22" s="191"/>
      <c r="I22" s="191"/>
      <c r="J22" s="191"/>
      <c r="K22" s="191"/>
      <c r="L22" s="191"/>
    </row>
    <row r="23" spans="1:16" ht="15.6" x14ac:dyDescent="0.25">
      <c r="A23" s="77">
        <v>1</v>
      </c>
      <c r="B23" s="81" t="s">
        <v>1739</v>
      </c>
      <c r="C23" s="79">
        <v>2300</v>
      </c>
      <c r="D23" s="83">
        <f t="shared" si="1"/>
        <v>2300</v>
      </c>
      <c r="E23" s="190"/>
      <c r="H23" s="191"/>
      <c r="I23" s="191"/>
      <c r="J23" s="191"/>
      <c r="K23" s="191"/>
      <c r="L23" s="191"/>
      <c r="O23" s="392"/>
      <c r="P23" s="392"/>
    </row>
    <row r="24" spans="1:16" s="392" customFormat="1" ht="15.6" x14ac:dyDescent="0.3">
      <c r="A24" s="867"/>
      <c r="B24" s="868"/>
      <c r="C24" s="869"/>
      <c r="D24" s="83"/>
      <c r="E24" s="190"/>
      <c r="F24" s="108"/>
      <c r="G24" s="108"/>
      <c r="H24" s="191"/>
      <c r="I24" s="191"/>
      <c r="J24" s="191"/>
      <c r="K24" s="191"/>
      <c r="L24" s="191"/>
      <c r="M24" s="108"/>
      <c r="N24" s="108"/>
      <c r="O24" s="108"/>
      <c r="P24" s="108"/>
    </row>
    <row r="25" spans="1:16" ht="15.6" x14ac:dyDescent="0.3">
      <c r="A25" s="847"/>
      <c r="B25" s="847"/>
      <c r="C25" s="866" t="s">
        <v>160</v>
      </c>
      <c r="D25" s="870">
        <f>SUM(D15:D24)</f>
        <v>62696</v>
      </c>
      <c r="E25" s="189"/>
    </row>
    <row r="26" spans="1:16" ht="15.6" x14ac:dyDescent="0.3">
      <c r="A26" s="847"/>
      <c r="B26" s="847"/>
      <c r="C26" s="849" t="s">
        <v>1740</v>
      </c>
      <c r="D26" s="870">
        <f>-15000</f>
        <v>-15000</v>
      </c>
      <c r="E26" s="189"/>
    </row>
    <row r="27" spans="1:16" ht="16.2" thickBot="1" x14ac:dyDescent="0.3">
      <c r="A27" s="851"/>
      <c r="B27" s="851"/>
      <c r="C27" s="852" t="s">
        <v>162</v>
      </c>
      <c r="D27" s="871">
        <f>D25+D26</f>
        <v>47696</v>
      </c>
      <c r="E27" s="189"/>
    </row>
    <row r="28" spans="1:16" ht="16.2" thickBot="1" x14ac:dyDescent="0.3">
      <c r="A28" s="854"/>
      <c r="B28" s="1136" t="s">
        <v>1741</v>
      </c>
      <c r="C28" s="1137"/>
      <c r="D28" s="1138"/>
      <c r="E28" s="803"/>
      <c r="F28" s="392"/>
      <c r="G28" s="392"/>
      <c r="H28" s="392"/>
      <c r="I28" s="392"/>
      <c r="J28" s="392"/>
      <c r="K28" s="392"/>
      <c r="L28" s="392"/>
    </row>
    <row r="29" spans="1:16" ht="17.25" customHeight="1" x14ac:dyDescent="0.25">
      <c r="A29" s="102"/>
      <c r="B29" s="201"/>
      <c r="C29" s="253"/>
      <c r="D29" s="254"/>
      <c r="N29" s="392"/>
    </row>
    <row r="30" spans="1:16" ht="13.8" x14ac:dyDescent="0.25">
      <c r="A30" s="102"/>
      <c r="B30" s="100" t="s">
        <v>9</v>
      </c>
      <c r="C30" s="104"/>
      <c r="D30" s="105"/>
      <c r="M30" s="392"/>
    </row>
    <row r="31" spans="1:16" ht="13.5" customHeight="1" x14ac:dyDescent="0.25">
      <c r="A31" s="102"/>
      <c r="B31" s="901" t="s">
        <v>1734</v>
      </c>
      <c r="C31" s="104"/>
      <c r="D31" s="105"/>
    </row>
    <row r="32" spans="1:16" ht="15" x14ac:dyDescent="0.25">
      <c r="A32" s="106"/>
      <c r="B32" s="100" t="s">
        <v>11</v>
      </c>
      <c r="D32" s="105"/>
    </row>
    <row r="33" spans="1:5" ht="15" x14ac:dyDescent="0.25">
      <c r="A33" s="106"/>
      <c r="B33" s="121" t="s">
        <v>1620</v>
      </c>
      <c r="D33" s="105"/>
    </row>
    <row r="34" spans="1:5" ht="15" x14ac:dyDescent="0.25">
      <c r="A34" s="106"/>
      <c r="B34" s="121" t="s">
        <v>13</v>
      </c>
      <c r="D34" s="105"/>
    </row>
    <row r="35" spans="1:5" ht="15" x14ac:dyDescent="0.25">
      <c r="A35" s="106"/>
      <c r="B35" s="121" t="s">
        <v>14</v>
      </c>
      <c r="D35" s="105"/>
    </row>
    <row r="36" spans="1:5" ht="13.8" x14ac:dyDescent="0.25">
      <c r="B36" s="103" t="s">
        <v>15</v>
      </c>
    </row>
    <row r="37" spans="1:5" ht="27.6" x14ac:dyDescent="0.25">
      <c r="A37" s="106"/>
      <c r="B37" s="855" t="s">
        <v>1732</v>
      </c>
    </row>
    <row r="38" spans="1:5" ht="27.6" x14ac:dyDescent="0.25">
      <c r="A38" s="106"/>
      <c r="B38" s="125" t="s">
        <v>17</v>
      </c>
      <c r="C38" s="109"/>
      <c r="D38" s="110"/>
      <c r="E38" s="189"/>
    </row>
    <row r="39" spans="1:5" ht="15" x14ac:dyDescent="0.25">
      <c r="A39" s="106"/>
      <c r="B39" s="103" t="s">
        <v>18</v>
      </c>
      <c r="C39" s="109"/>
      <c r="D39" s="110"/>
      <c r="E39" s="189"/>
    </row>
    <row r="40" spans="1:5" ht="15" x14ac:dyDescent="0.25">
      <c r="A40" s="106"/>
      <c r="B40" s="856" t="s">
        <v>1622</v>
      </c>
      <c r="C40" s="109"/>
      <c r="D40" s="109"/>
    </row>
    <row r="41" spans="1:5" ht="15" x14ac:dyDescent="0.25">
      <c r="A41" s="106"/>
      <c r="B41" s="127" t="s">
        <v>20</v>
      </c>
      <c r="C41" s="109"/>
      <c r="D41" s="109"/>
    </row>
    <row r="42" spans="1:5" ht="13.8" x14ac:dyDescent="0.25">
      <c r="B42" s="103" t="s">
        <v>21</v>
      </c>
      <c r="D42" s="105"/>
    </row>
    <row r="43" spans="1:5" ht="15" x14ac:dyDescent="0.25">
      <c r="A43" s="106"/>
      <c r="B43" s="484" t="s">
        <v>194</v>
      </c>
      <c r="C43" s="109"/>
      <c r="D43" s="110"/>
    </row>
    <row r="44" spans="1:5" ht="15" x14ac:dyDescent="0.25">
      <c r="A44" s="106"/>
      <c r="B44" s="121" t="s">
        <v>44</v>
      </c>
      <c r="C44" s="109"/>
      <c r="D44" s="110"/>
    </row>
    <row r="45" spans="1:5" ht="13.8" x14ac:dyDescent="0.25">
      <c r="A45" s="115" t="s">
        <v>0</v>
      </c>
      <c r="B45" s="121" t="s">
        <v>45</v>
      </c>
      <c r="C45" s="109"/>
    </row>
    <row r="46" spans="1:5" ht="50.4" x14ac:dyDescent="0.4">
      <c r="A46" s="222"/>
      <c r="B46" s="128" t="s">
        <v>169</v>
      </c>
      <c r="C46" s="220"/>
      <c r="D46" s="108"/>
    </row>
    <row r="47" spans="1:5" x14ac:dyDescent="0.25">
      <c r="A47" s="222"/>
      <c r="B47" s="181"/>
      <c r="C47" s="181"/>
      <c r="D47" s="108"/>
    </row>
    <row r="48" spans="1:5" x14ac:dyDescent="0.25">
      <c r="A48" s="222"/>
      <c r="B48" s="181"/>
      <c r="C48" s="181"/>
      <c r="D48" s="108"/>
    </row>
    <row r="49" spans="1:4" x14ac:dyDescent="0.25">
      <c r="A49" s="225"/>
      <c r="B49" s="223"/>
      <c r="C49" s="181"/>
      <c r="D49" s="108"/>
    </row>
    <row r="50" spans="1:4" ht="12.75" customHeight="1" x14ac:dyDescent="0.35">
      <c r="A50" s="226" t="s">
        <v>0</v>
      </c>
      <c r="B50" s="224"/>
      <c r="C50" s="181"/>
      <c r="D50" s="181"/>
    </row>
    <row r="51" spans="1:4" x14ac:dyDescent="0.25">
      <c r="A51" s="108" t="s">
        <v>0</v>
      </c>
    </row>
    <row r="54" spans="1:4" ht="16.5" customHeight="1" x14ac:dyDescent="0.25"/>
    <row r="58" spans="1:4" ht="15.75" customHeight="1" x14ac:dyDescent="0.25"/>
    <row r="59" spans="1:4" ht="15" customHeight="1" x14ac:dyDescent="0.25"/>
  </sheetData>
  <mergeCells count="3">
    <mergeCell ref="A4:D4"/>
    <mergeCell ref="A14:D14"/>
    <mergeCell ref="B28:D28"/>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6FE1-5FDC-4572-85AF-DBE533E193B7}">
  <sheetPr>
    <pageSetUpPr fitToPage="1"/>
  </sheetPr>
  <dimension ref="A1:F69"/>
  <sheetViews>
    <sheetView topLeftCell="A14" zoomScaleNormal="100" workbookViewId="0">
      <selection activeCell="A13" sqref="A13:D13"/>
    </sheetView>
  </sheetViews>
  <sheetFormatPr baseColWidth="10" defaultColWidth="11.44140625" defaultRowHeight="13.2" x14ac:dyDescent="0.25"/>
  <cols>
    <col min="1" max="1" width="6" style="52" customWidth="1"/>
    <col min="2" max="2" width="109.109375" style="52" customWidth="1"/>
    <col min="3" max="3" width="15.88671875" style="54" customWidth="1"/>
    <col min="4" max="4" width="15.44140625" style="54" customWidth="1"/>
    <col min="5" max="16384" width="11.44140625" style="52"/>
  </cols>
  <sheetData>
    <row r="1" spans="1:5" ht="81" customHeight="1" x14ac:dyDescent="0.25">
      <c r="A1" s="52" t="s">
        <v>0</v>
      </c>
      <c r="C1" s="53"/>
    </row>
    <row r="2" spans="1:5" ht="9" customHeight="1" x14ac:dyDescent="0.25">
      <c r="C2" s="53"/>
    </row>
    <row r="3" spans="1:5" ht="9" customHeight="1" x14ac:dyDescent="0.25">
      <c r="C3" s="53"/>
    </row>
    <row r="4" spans="1:5" s="55" customFormat="1" ht="16.8" x14ac:dyDescent="0.4">
      <c r="A4" s="1026"/>
      <c r="B4" s="1026"/>
      <c r="C4" s="1026"/>
      <c r="D4" s="1026"/>
    </row>
    <row r="5" spans="1:5" s="55" customFormat="1" ht="16.8" x14ac:dyDescent="0.4">
      <c r="A5" s="12"/>
      <c r="C5" s="56"/>
      <c r="D5" s="56"/>
    </row>
    <row r="6" spans="1:5" s="55" customFormat="1" ht="16.8" x14ac:dyDescent="0.4">
      <c r="A6" s="12"/>
      <c r="C6" s="56"/>
      <c r="D6" s="56"/>
    </row>
    <row r="7" spans="1:5" s="55" customFormat="1" ht="16.8" x14ac:dyDescent="0.4">
      <c r="A7" s="12"/>
      <c r="C7" s="56"/>
      <c r="D7" s="56"/>
    </row>
    <row r="8" spans="1:5" s="55" customFormat="1" ht="16.8" x14ac:dyDescent="0.4">
      <c r="A8" s="57" t="s">
        <v>1045</v>
      </c>
      <c r="B8" s="10"/>
      <c r="C8" s="58"/>
      <c r="D8" s="58"/>
    </row>
    <row r="9" spans="1:5" s="55" customFormat="1" ht="16.8" x14ac:dyDescent="0.4">
      <c r="A9" s="57" t="s">
        <v>1046</v>
      </c>
      <c r="B9" s="10"/>
      <c r="C9" s="58"/>
      <c r="D9" s="58"/>
    </row>
    <row r="10" spans="1:5" s="55" customFormat="1" ht="16.8" x14ac:dyDescent="0.4">
      <c r="A10" s="57" t="s">
        <v>1047</v>
      </c>
      <c r="B10" s="10"/>
      <c r="C10" s="58"/>
      <c r="D10" s="58"/>
    </row>
    <row r="11" spans="1:5" s="55" customFormat="1" ht="16.8" x14ac:dyDescent="0.4">
      <c r="A11" s="57" t="s">
        <v>1048</v>
      </c>
      <c r="B11" s="10"/>
      <c r="C11" s="59"/>
      <c r="D11" s="58"/>
    </row>
    <row r="12" spans="1:5" s="55" customFormat="1" ht="15" customHeight="1" x14ac:dyDescent="0.4">
      <c r="A12" s="60" t="s">
        <v>1738</v>
      </c>
      <c r="B12" s="61"/>
      <c r="C12" s="62"/>
      <c r="D12" s="63"/>
    </row>
    <row r="13" spans="1:5" s="55" customFormat="1" ht="16.8" x14ac:dyDescent="0.4">
      <c r="A13" s="1027" t="s">
        <v>28</v>
      </c>
      <c r="B13" s="1028"/>
      <c r="C13" s="1029"/>
      <c r="D13" s="1030"/>
    </row>
    <row r="14" spans="1:5" s="55" customFormat="1" ht="16.8" x14ac:dyDescent="0.4">
      <c r="A14" s="64" t="s">
        <v>29</v>
      </c>
      <c r="B14" s="64" t="s">
        <v>30</v>
      </c>
      <c r="C14" s="65" t="s">
        <v>31</v>
      </c>
      <c r="D14" s="65" t="s">
        <v>32</v>
      </c>
      <c r="E14" s="66"/>
    </row>
    <row r="15" spans="1:5" s="71" customFormat="1" ht="13.8" x14ac:dyDescent="0.25">
      <c r="A15" s="67"/>
      <c r="B15" s="68"/>
      <c r="C15" s="69"/>
      <c r="D15" s="69"/>
      <c r="E15" s="70"/>
    </row>
    <row r="16" spans="1:5" ht="46.8" x14ac:dyDescent="0.25">
      <c r="A16" s="77">
        <v>1</v>
      </c>
      <c r="B16" s="78" t="s">
        <v>1055</v>
      </c>
      <c r="C16" s="79">
        <f>(8500+4500)+22400</f>
        <v>35400</v>
      </c>
      <c r="D16" s="80">
        <f>A16*C16</f>
        <v>35400</v>
      </c>
      <c r="E16" s="76"/>
    </row>
    <row r="17" spans="1:6" ht="15.6" x14ac:dyDescent="0.25">
      <c r="A17" s="903">
        <v>1</v>
      </c>
      <c r="B17" s="904" t="s">
        <v>1033</v>
      </c>
      <c r="C17" s="424">
        <f>90*200</f>
        <v>18000</v>
      </c>
      <c r="D17" s="425">
        <f>A17*C17</f>
        <v>18000</v>
      </c>
      <c r="E17" s="76"/>
    </row>
    <row r="18" spans="1:6" ht="15.6" x14ac:dyDescent="0.25">
      <c r="A18" s="793"/>
      <c r="B18" s="905" t="s">
        <v>374</v>
      </c>
      <c r="C18" s="424"/>
      <c r="D18" s="425"/>
      <c r="E18" s="76"/>
    </row>
    <row r="19" spans="1:6" ht="15.6" x14ac:dyDescent="0.25">
      <c r="A19" s="793"/>
      <c r="B19" s="905" t="s">
        <v>376</v>
      </c>
      <c r="C19" s="424"/>
      <c r="D19" s="425"/>
      <c r="E19" s="309"/>
    </row>
    <row r="20" spans="1:6" ht="15.6" x14ac:dyDescent="0.25">
      <c r="A20" s="793"/>
      <c r="B20" s="905" t="s">
        <v>986</v>
      </c>
      <c r="C20" s="424"/>
      <c r="D20" s="425"/>
      <c r="E20" s="309"/>
    </row>
    <row r="21" spans="1:6" ht="15.6" x14ac:dyDescent="0.25">
      <c r="A21" s="422">
        <v>1</v>
      </c>
      <c r="B21" s="905" t="s">
        <v>1032</v>
      </c>
      <c r="C21" s="779">
        <v>7200</v>
      </c>
      <c r="D21" s="425">
        <f>A21*C21</f>
        <v>7200</v>
      </c>
      <c r="E21" s="76"/>
    </row>
    <row r="22" spans="1:6" ht="15.6" x14ac:dyDescent="0.25">
      <c r="A22" s="422"/>
      <c r="B22" s="905" t="s">
        <v>1040</v>
      </c>
      <c r="C22" s="779"/>
      <c r="D22" s="425"/>
      <c r="E22" s="76"/>
    </row>
    <row r="23" spans="1:6" ht="15.6" x14ac:dyDescent="0.25">
      <c r="A23" s="422"/>
      <c r="B23" s="905" t="s">
        <v>1039</v>
      </c>
      <c r="C23" s="779"/>
      <c r="D23" s="425"/>
      <c r="E23" s="76"/>
    </row>
    <row r="24" spans="1:6" ht="15.6" x14ac:dyDescent="0.25">
      <c r="A24" s="286"/>
      <c r="B24" s="206"/>
      <c r="C24" s="629" t="s">
        <v>188</v>
      </c>
      <c r="D24" s="630">
        <f>SUM(D16:D23)</f>
        <v>60600</v>
      </c>
      <c r="E24" s="76"/>
    </row>
    <row r="25" spans="1:6" ht="15.6" x14ac:dyDescent="0.3">
      <c r="A25" s="102"/>
      <c r="B25" s="383"/>
      <c r="C25" s="631" t="s">
        <v>1380</v>
      </c>
      <c r="D25" s="632">
        <v>10000</v>
      </c>
      <c r="E25" s="76"/>
    </row>
    <row r="26" spans="1:6" ht="15.6" x14ac:dyDescent="0.3">
      <c r="A26" s="102"/>
      <c r="B26" s="385"/>
      <c r="C26" s="631" t="s">
        <v>699</v>
      </c>
      <c r="D26" s="632">
        <f>D24-D25</f>
        <v>50600</v>
      </c>
      <c r="E26" s="76"/>
    </row>
    <row r="27" spans="1:6" ht="15.6" x14ac:dyDescent="0.25">
      <c r="A27" s="102"/>
      <c r="B27" s="429" t="s">
        <v>1735</v>
      </c>
      <c r="C27" s="830"/>
      <c r="D27" s="831"/>
    </row>
    <row r="28" spans="1:6" ht="15.6" x14ac:dyDescent="0.25">
      <c r="B28" s="902" t="s">
        <v>9</v>
      </c>
      <c r="C28" s="494"/>
      <c r="D28" s="833"/>
      <c r="F28" s="96"/>
    </row>
    <row r="29" spans="1:6" s="96" customFormat="1" ht="17.399999999999999" x14ac:dyDescent="0.25">
      <c r="A29" s="834"/>
      <c r="B29" s="829" t="s">
        <v>1736</v>
      </c>
      <c r="C29" s="369"/>
      <c r="D29" s="52"/>
      <c r="E29" s="52"/>
      <c r="F29" s="52"/>
    </row>
    <row r="30" spans="1:6" s="96" customFormat="1" ht="15.75" customHeight="1" x14ac:dyDescent="0.25">
      <c r="A30" s="494"/>
      <c r="B30" s="76"/>
      <c r="C30" s="52"/>
      <c r="D30" s="52"/>
      <c r="E30" s="52"/>
      <c r="F30" s="52"/>
    </row>
    <row r="31" spans="1:6" ht="13.5" customHeight="1" x14ac:dyDescent="0.25">
      <c r="A31" s="369"/>
      <c r="B31" s="370" t="s">
        <v>11</v>
      </c>
      <c r="C31" s="52"/>
      <c r="D31" s="52"/>
    </row>
    <row r="32" spans="1:6" ht="15" x14ac:dyDescent="0.25">
      <c r="A32" s="101"/>
      <c r="B32" s="123" t="s">
        <v>12</v>
      </c>
      <c r="C32" s="52"/>
      <c r="D32" s="52"/>
    </row>
    <row r="33" spans="1:4" ht="15" x14ac:dyDescent="0.25">
      <c r="A33" s="101"/>
      <c r="B33" s="123" t="s">
        <v>13</v>
      </c>
      <c r="C33" s="52"/>
      <c r="D33" s="105"/>
    </row>
    <row r="34" spans="1:4" ht="15" x14ac:dyDescent="0.25">
      <c r="A34" s="101"/>
      <c r="B34" s="123" t="s">
        <v>14</v>
      </c>
      <c r="C34" s="104"/>
      <c r="D34" s="105"/>
    </row>
    <row r="35" spans="1:4" ht="13.8" x14ac:dyDescent="0.25">
      <c r="A35" s="102"/>
      <c r="B35" s="103" t="s">
        <v>15</v>
      </c>
      <c r="C35" s="104"/>
      <c r="D35" s="105"/>
    </row>
    <row r="36" spans="1:4" ht="13.5" customHeight="1" x14ac:dyDescent="0.25">
      <c r="A36" s="102"/>
      <c r="B36" s="295" t="s">
        <v>42</v>
      </c>
      <c r="C36" s="107"/>
      <c r="D36" s="105"/>
    </row>
    <row r="37" spans="1:4" ht="27.6" x14ac:dyDescent="0.25">
      <c r="A37" s="106"/>
      <c r="B37" s="295" t="s">
        <v>43</v>
      </c>
      <c r="C37" s="107"/>
      <c r="D37" s="105"/>
    </row>
    <row r="38" spans="1:4" ht="13.5" customHeight="1" x14ac:dyDescent="0.25">
      <c r="A38" s="106"/>
      <c r="B38" s="103" t="s">
        <v>18</v>
      </c>
      <c r="C38" s="107"/>
      <c r="D38" s="105"/>
    </row>
    <row r="39" spans="1:4" ht="13.5" customHeight="1" x14ac:dyDescent="0.25">
      <c r="A39" s="106"/>
      <c r="B39" s="313" t="s">
        <v>1737</v>
      </c>
      <c r="C39" s="107"/>
      <c r="D39" s="107"/>
    </row>
    <row r="40" spans="1:4" ht="13.5" customHeight="1" x14ac:dyDescent="0.25">
      <c r="A40" s="106"/>
      <c r="B40" s="297" t="s">
        <v>20</v>
      </c>
      <c r="C40" s="107"/>
      <c r="D40" s="107"/>
    </row>
    <row r="41" spans="1:4" ht="13.8" x14ac:dyDescent="0.25">
      <c r="A41" s="108"/>
      <c r="B41" s="103" t="s">
        <v>21</v>
      </c>
      <c r="C41" s="107"/>
      <c r="D41" s="110"/>
    </row>
    <row r="42" spans="1:4" ht="15" x14ac:dyDescent="0.25">
      <c r="A42" s="106"/>
      <c r="B42" s="122" t="s">
        <v>194</v>
      </c>
      <c r="C42" s="109"/>
      <c r="D42" s="110"/>
    </row>
    <row r="43" spans="1:4" ht="15" x14ac:dyDescent="0.25">
      <c r="A43" s="106"/>
      <c r="B43" s="123" t="s">
        <v>44</v>
      </c>
      <c r="C43" s="109"/>
      <c r="D43" s="109"/>
    </row>
    <row r="44" spans="1:4" ht="15" x14ac:dyDescent="0.25">
      <c r="A44" s="106"/>
      <c r="B44" s="123" t="s">
        <v>45</v>
      </c>
      <c r="C44" s="109"/>
      <c r="D44" s="109"/>
    </row>
    <row r="45" spans="1:4" ht="33.6" x14ac:dyDescent="0.25">
      <c r="A45" s="106"/>
      <c r="B45" s="314" t="s">
        <v>23</v>
      </c>
      <c r="C45" s="109"/>
      <c r="D45" s="105"/>
    </row>
    <row r="46" spans="1:4" ht="16.8" x14ac:dyDescent="0.4">
      <c r="A46" s="106"/>
      <c r="B46" s="111"/>
      <c r="C46" s="107"/>
      <c r="D46" s="110"/>
    </row>
    <row r="47" spans="1:4" ht="13.8" x14ac:dyDescent="0.25">
      <c r="A47" s="108"/>
      <c r="B47" s="112"/>
      <c r="C47" s="109"/>
      <c r="D47" s="110"/>
    </row>
    <row r="48" spans="1:4" ht="15" x14ac:dyDescent="0.25">
      <c r="A48" s="106"/>
      <c r="B48" s="112"/>
      <c r="C48" s="109"/>
      <c r="D48" s="110"/>
    </row>
    <row r="49" spans="1:4" ht="15" x14ac:dyDescent="0.25">
      <c r="A49" s="106"/>
      <c r="B49" s="113"/>
      <c r="C49" s="109"/>
      <c r="D49" s="109"/>
    </row>
    <row r="50" spans="1:4" ht="16.2" x14ac:dyDescent="0.35">
      <c r="A50" s="106"/>
      <c r="B50" s="114"/>
      <c r="C50" s="109"/>
      <c r="D50" s="118"/>
    </row>
    <row r="51" spans="1:4" ht="13.8" x14ac:dyDescent="0.25">
      <c r="A51" s="115" t="s">
        <v>0</v>
      </c>
      <c r="C51" s="118"/>
      <c r="D51" s="52"/>
    </row>
    <row r="52" spans="1:4" ht="13.8" x14ac:dyDescent="0.25">
      <c r="A52" s="116"/>
      <c r="C52" s="112"/>
      <c r="D52" s="52"/>
    </row>
    <row r="53" spans="1:4" x14ac:dyDescent="0.25">
      <c r="A53" s="117"/>
      <c r="C53" s="112"/>
      <c r="D53" s="52"/>
    </row>
    <row r="54" spans="1:4" x14ac:dyDescent="0.25">
      <c r="A54" s="117"/>
      <c r="C54" s="112"/>
      <c r="D54" s="112"/>
    </row>
    <row r="55" spans="1:4" x14ac:dyDescent="0.25">
      <c r="A55" s="119"/>
      <c r="C55" s="112"/>
    </row>
    <row r="56" spans="1:4" x14ac:dyDescent="0.25">
      <c r="A56" s="120" t="s">
        <v>0</v>
      </c>
    </row>
    <row r="57" spans="1:4" x14ac:dyDescent="0.25">
      <c r="A57" s="52" t="s">
        <v>0</v>
      </c>
    </row>
    <row r="60" spans="1:4" ht="15.75" customHeight="1" x14ac:dyDescent="0.25"/>
    <row r="64" spans="1:4" ht="16.5" customHeight="1" x14ac:dyDescent="0.25"/>
    <row r="68" ht="24" customHeight="1" x14ac:dyDescent="0.25"/>
    <row r="69" ht="24" customHeight="1" x14ac:dyDescent="0.25"/>
  </sheetData>
  <mergeCells count="2">
    <mergeCell ref="A4:D4"/>
    <mergeCell ref="A13:D13"/>
  </mergeCells>
  <pageMargins left="0.25" right="0.25" top="0.75" bottom="0.75" header="0.3" footer="0.3"/>
  <pageSetup scale="60" orientation="portrait" r:id="rId1"/>
  <drawing r:id="rId2"/>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AB18-2785-4F4D-A53E-18DD14A19F5D}">
  <sheetPr>
    <tabColor theme="4" tint="-0.249977111117893"/>
    <pageSetUpPr fitToPage="1"/>
  </sheetPr>
  <dimension ref="A1:P59"/>
  <sheetViews>
    <sheetView topLeftCell="A9" zoomScale="85" zoomScaleNormal="85" workbookViewId="0">
      <selection activeCell="A14" sqref="A14:D14"/>
    </sheetView>
  </sheetViews>
  <sheetFormatPr baseColWidth="10" defaultColWidth="11.44140625" defaultRowHeight="13.2" x14ac:dyDescent="0.25"/>
  <cols>
    <col min="1" max="1" width="6" style="108" customWidth="1"/>
    <col min="2" max="2" width="83.44140625" style="108" customWidth="1"/>
    <col min="3" max="3" width="12.109375" style="107" customWidth="1"/>
    <col min="4" max="4" width="14.777343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1742</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84">
        <v>1</v>
      </c>
      <c r="B16" s="85" t="s">
        <v>208</v>
      </c>
      <c r="C16" s="88">
        <f>(8900)*(1.51)</f>
        <v>13439</v>
      </c>
      <c r="D16" s="83">
        <f t="shared" ref="D16" si="0">A16*C16</f>
        <v>13439</v>
      </c>
      <c r="E16" s="190"/>
      <c r="H16" s="191"/>
      <c r="I16" s="191"/>
      <c r="J16" s="191"/>
      <c r="K16" s="191"/>
      <c r="L16" s="191"/>
      <c r="M16" s="191"/>
      <c r="N16" s="191"/>
      <c r="O16" s="191"/>
      <c r="P16" s="191"/>
    </row>
    <row r="17" spans="1:16" s="191" customFormat="1" ht="45" x14ac:dyDescent="0.25">
      <c r="A17" s="422">
        <v>1</v>
      </c>
      <c r="B17" s="423" t="s">
        <v>139</v>
      </c>
      <c r="C17" s="74">
        <v>37861</v>
      </c>
      <c r="D17" s="425">
        <f>A17*C17</f>
        <v>37861</v>
      </c>
      <c r="E17" s="190"/>
      <c r="F17" s="108"/>
      <c r="G17" s="108"/>
    </row>
    <row r="18" spans="1:16" s="191" customFormat="1" ht="15.6" x14ac:dyDescent="0.3">
      <c r="A18" s="867"/>
      <c r="B18" s="868"/>
      <c r="C18" s="869"/>
      <c r="D18" s="83"/>
      <c r="E18" s="190"/>
      <c r="F18" s="108"/>
      <c r="G18" s="108"/>
    </row>
    <row r="19" spans="1:16" s="191" customFormat="1" ht="15.6" x14ac:dyDescent="0.3">
      <c r="A19" s="847"/>
      <c r="B19" s="847"/>
      <c r="C19" s="866" t="s">
        <v>160</v>
      </c>
      <c r="D19" s="870">
        <f>SUM(D15:D18)</f>
        <v>51300</v>
      </c>
      <c r="E19" s="189"/>
      <c r="F19" s="108"/>
      <c r="G19" s="108"/>
      <c r="H19" s="108"/>
      <c r="I19" s="108"/>
      <c r="J19" s="108"/>
      <c r="K19" s="108"/>
      <c r="L19" s="108"/>
      <c r="M19" s="837"/>
    </row>
    <row r="20" spans="1:16" s="191" customFormat="1" ht="15.6" x14ac:dyDescent="0.3">
      <c r="A20" s="847"/>
      <c r="B20" s="847"/>
      <c r="C20" s="849" t="s">
        <v>392</v>
      </c>
      <c r="D20" s="870">
        <f>D19*0.16</f>
        <v>8208</v>
      </c>
      <c r="E20" s="189"/>
      <c r="F20" s="108"/>
      <c r="G20" s="108"/>
      <c r="H20" s="108"/>
      <c r="I20" s="108"/>
      <c r="J20" s="108"/>
      <c r="K20" s="108"/>
      <c r="L20" s="108"/>
      <c r="M20" s="108"/>
      <c r="N20" s="108"/>
      <c r="O20" s="108"/>
      <c r="P20" s="108"/>
    </row>
    <row r="21" spans="1:16" ht="16.2" thickBot="1" x14ac:dyDescent="0.3">
      <c r="A21" s="851"/>
      <c r="B21" s="851"/>
      <c r="C21" s="852" t="s">
        <v>162</v>
      </c>
      <c r="D21" s="871">
        <f>D19+D20</f>
        <v>59508</v>
      </c>
      <c r="E21" s="189"/>
    </row>
    <row r="22" spans="1:16" ht="16.2" thickBot="1" x14ac:dyDescent="0.3">
      <c r="A22" s="854"/>
      <c r="B22" s="1136" t="s">
        <v>1680</v>
      </c>
      <c r="C22" s="1137"/>
      <c r="D22" s="1138"/>
      <c r="E22" s="803"/>
      <c r="F22" s="392"/>
      <c r="G22" s="392"/>
      <c r="H22" s="392"/>
      <c r="I22" s="392"/>
      <c r="J22" s="392"/>
      <c r="K22" s="392"/>
      <c r="L22" s="392"/>
    </row>
    <row r="23" spans="1:16" x14ac:dyDescent="0.25">
      <c r="A23" s="102"/>
      <c r="B23" s="201"/>
      <c r="C23" s="253"/>
      <c r="D23" s="254"/>
      <c r="O23" s="392"/>
      <c r="P23" s="392"/>
    </row>
    <row r="24" spans="1:16" s="392" customFormat="1" ht="13.8" x14ac:dyDescent="0.25">
      <c r="A24" s="102"/>
      <c r="B24" s="100" t="s">
        <v>9</v>
      </c>
      <c r="C24" s="104"/>
      <c r="D24" s="105"/>
      <c r="E24" s="108"/>
      <c r="F24" s="108"/>
      <c r="G24" s="108"/>
      <c r="H24" s="108"/>
      <c r="I24" s="108"/>
      <c r="J24" s="108"/>
      <c r="K24" s="108"/>
      <c r="L24" s="108"/>
      <c r="M24" s="108"/>
      <c r="N24" s="108"/>
      <c r="O24" s="108"/>
      <c r="P24" s="108"/>
    </row>
    <row r="25" spans="1:16" ht="15.6" x14ac:dyDescent="0.25">
      <c r="A25" s="102"/>
      <c r="B25" s="838"/>
      <c r="C25" s="104"/>
      <c r="D25" s="105"/>
    </row>
    <row r="26" spans="1:16" ht="15" x14ac:dyDescent="0.25">
      <c r="A26" s="106"/>
      <c r="B26" s="100" t="s">
        <v>11</v>
      </c>
      <c r="D26" s="105"/>
    </row>
    <row r="27" spans="1:16" ht="15" x14ac:dyDescent="0.25">
      <c r="A27" s="106"/>
      <c r="B27" s="121" t="s">
        <v>1620</v>
      </c>
      <c r="D27" s="105"/>
    </row>
    <row r="28" spans="1:16" ht="15" x14ac:dyDescent="0.25">
      <c r="A28" s="106"/>
      <c r="B28" s="121" t="s">
        <v>13</v>
      </c>
      <c r="D28" s="105"/>
      <c r="M28" s="392"/>
    </row>
    <row r="29" spans="1:16" ht="17.25" customHeight="1" x14ac:dyDescent="0.25">
      <c r="A29" s="106"/>
      <c r="B29" s="121" t="s">
        <v>14</v>
      </c>
      <c r="D29" s="105"/>
      <c r="N29" s="392"/>
    </row>
    <row r="30" spans="1:16" ht="13.8" x14ac:dyDescent="0.25">
      <c r="B30" s="103" t="s">
        <v>15</v>
      </c>
    </row>
    <row r="31" spans="1:16" ht="13.5" customHeight="1" x14ac:dyDescent="0.25">
      <c r="A31" s="106"/>
      <c r="B31" s="855" t="s">
        <v>1678</v>
      </c>
    </row>
    <row r="32" spans="1:16" ht="27.6" x14ac:dyDescent="0.25">
      <c r="A32" s="106"/>
      <c r="B32" s="125" t="s">
        <v>17</v>
      </c>
      <c r="C32" s="109"/>
      <c r="D32" s="110"/>
      <c r="E32" s="189"/>
    </row>
    <row r="33" spans="1:5" ht="15" x14ac:dyDescent="0.25">
      <c r="A33" s="106"/>
      <c r="B33" s="103" t="s">
        <v>18</v>
      </c>
      <c r="C33" s="109"/>
      <c r="D33" s="110"/>
      <c r="E33" s="189"/>
    </row>
    <row r="34" spans="1:5" ht="27.6" x14ac:dyDescent="0.25">
      <c r="A34" s="106"/>
      <c r="B34" s="856" t="s">
        <v>1622</v>
      </c>
      <c r="C34" s="109"/>
      <c r="D34" s="109"/>
    </row>
    <row r="35" spans="1:5" ht="15" x14ac:dyDescent="0.25">
      <c r="A35" s="106"/>
      <c r="B35" s="127" t="s">
        <v>20</v>
      </c>
      <c r="C35" s="109"/>
      <c r="D35" s="109"/>
    </row>
    <row r="36" spans="1:5" ht="13.8" x14ac:dyDescent="0.25">
      <c r="B36" s="103" t="s">
        <v>21</v>
      </c>
      <c r="D36" s="105"/>
    </row>
    <row r="37" spans="1:5" ht="15" x14ac:dyDescent="0.25">
      <c r="A37" s="106"/>
      <c r="B37" s="484" t="s">
        <v>52</v>
      </c>
      <c r="C37" s="109"/>
      <c r="D37" s="110"/>
    </row>
    <row r="38" spans="1:5" ht="15" x14ac:dyDescent="0.25">
      <c r="A38" s="106"/>
      <c r="B38" s="121" t="s">
        <v>44</v>
      </c>
      <c r="C38" s="109"/>
      <c r="D38" s="110"/>
    </row>
    <row r="39" spans="1:5" ht="13.8" x14ac:dyDescent="0.25">
      <c r="A39" s="115" t="s">
        <v>0</v>
      </c>
      <c r="B39" s="121" t="s">
        <v>45</v>
      </c>
      <c r="C39" s="109"/>
    </row>
    <row r="40" spans="1:5" ht="50.4" x14ac:dyDescent="0.4">
      <c r="A40" s="222"/>
      <c r="B40" s="128" t="s">
        <v>169</v>
      </c>
      <c r="C40" s="220"/>
      <c r="D40" s="108"/>
    </row>
    <row r="41" spans="1:5" x14ac:dyDescent="0.25">
      <c r="A41" s="222"/>
      <c r="B41" s="181"/>
      <c r="C41" s="181"/>
      <c r="D41" s="108"/>
    </row>
    <row r="42" spans="1:5" x14ac:dyDescent="0.25">
      <c r="A42" s="222"/>
      <c r="B42" s="181"/>
      <c r="C42" s="181"/>
      <c r="D42" s="108"/>
    </row>
    <row r="43" spans="1:5" x14ac:dyDescent="0.25">
      <c r="A43" s="225"/>
      <c r="B43" s="223"/>
      <c r="C43" s="181"/>
      <c r="D43" s="108"/>
    </row>
    <row r="44" spans="1:5" ht="15" x14ac:dyDescent="0.35">
      <c r="A44" s="226" t="s">
        <v>0</v>
      </c>
      <c r="B44" s="224"/>
      <c r="C44" s="181"/>
      <c r="D44" s="181"/>
    </row>
    <row r="45" spans="1:5" x14ac:dyDescent="0.25">
      <c r="A45" s="108" t="s">
        <v>0</v>
      </c>
    </row>
    <row r="50" ht="12.75" customHeight="1" x14ac:dyDescent="0.25"/>
    <row r="54" ht="16.5" customHeight="1" x14ac:dyDescent="0.25"/>
    <row r="58" ht="15.75" customHeight="1" x14ac:dyDescent="0.25"/>
    <row r="59" ht="15" customHeight="1" x14ac:dyDescent="0.25"/>
  </sheetData>
  <mergeCells count="3">
    <mergeCell ref="A4:D4"/>
    <mergeCell ref="A14:D14"/>
    <mergeCell ref="B22:D22"/>
  </mergeCells>
  <printOptions horizontalCentered="1"/>
  <pageMargins left="0.25" right="0.25" top="0.75" bottom="0.75" header="0.3" footer="0.3"/>
  <pageSetup paperSize="9" scale="84" fitToWidth="0" orientation="portrait" r:id="rId1"/>
  <headerFooter alignWithMargins="0">
    <oddFooter>Página &amp;P de &amp;N</oddFooter>
  </headerFooter>
  <drawing r:id="rId2"/>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1ED7-1C0F-44A9-A25F-1DABFE8B4F3F}">
  <sheetPr>
    <tabColor theme="4" tint="-0.249977111117893"/>
    <pageSetUpPr fitToPage="1"/>
  </sheetPr>
  <dimension ref="A1:P59"/>
  <sheetViews>
    <sheetView topLeftCell="A19" zoomScale="85" zoomScaleNormal="85" workbookViewId="0">
      <selection activeCell="A45" sqref="A45:D45"/>
    </sheetView>
  </sheetViews>
  <sheetFormatPr baseColWidth="10" defaultColWidth="11.44140625" defaultRowHeight="13.2" x14ac:dyDescent="0.25"/>
  <cols>
    <col min="1" max="1" width="6" style="108" customWidth="1"/>
    <col min="2" max="2" width="88"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1686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x14ac:dyDescent="0.25">
      <c r="A16" s="151">
        <v>1</v>
      </c>
      <c r="B16" s="152" t="s">
        <v>126</v>
      </c>
      <c r="C16" s="153">
        <f>(112297)*(1.35)</f>
        <v>151600.95000000001</v>
      </c>
      <c r="D16" s="154">
        <f t="shared" ref="D16" si="0">A16*C16</f>
        <v>151600.95000000001</v>
      </c>
      <c r="E16" s="190"/>
      <c r="H16" s="191"/>
      <c r="I16" s="191"/>
      <c r="J16" s="191"/>
      <c r="K16" s="191"/>
      <c r="L16" s="191"/>
      <c r="M16" s="191"/>
      <c r="N16" s="191"/>
      <c r="O16" s="191"/>
      <c r="P16" s="191"/>
    </row>
    <row r="17" spans="1:16" s="191" customFormat="1" x14ac:dyDescent="0.25">
      <c r="A17" s="155"/>
      <c r="B17" s="156" t="s">
        <v>1688</v>
      </c>
      <c r="C17" s="153"/>
      <c r="D17" s="154"/>
      <c r="E17" s="190"/>
      <c r="F17" s="108"/>
      <c r="G17" s="108"/>
    </row>
    <row r="18" spans="1:16" s="191" customFormat="1" x14ac:dyDescent="0.25">
      <c r="A18" s="151">
        <v>1</v>
      </c>
      <c r="B18" s="152" t="s">
        <v>1690</v>
      </c>
      <c r="C18" s="153">
        <f>(95212)*(1.35)</f>
        <v>128536.20000000001</v>
      </c>
      <c r="D18" s="154">
        <f t="shared" ref="D18" si="1">A18*C18</f>
        <v>128536.20000000001</v>
      </c>
      <c r="E18" s="190"/>
      <c r="F18" s="108"/>
      <c r="G18" s="108"/>
    </row>
    <row r="19" spans="1:16" s="191" customFormat="1" x14ac:dyDescent="0.25">
      <c r="A19" s="155"/>
      <c r="B19" s="156" t="s">
        <v>1687</v>
      </c>
      <c r="C19" s="153"/>
      <c r="D19" s="154"/>
      <c r="E19" s="190"/>
      <c r="F19" s="108"/>
      <c r="G19" s="108"/>
    </row>
    <row r="20" spans="1:16" s="191" customFormat="1" x14ac:dyDescent="0.25">
      <c r="A20" s="193">
        <v>1</v>
      </c>
      <c r="B20" s="194" t="s">
        <v>124</v>
      </c>
      <c r="C20" s="164">
        <f>(4769.5*19)*(1.36)</f>
        <v>123243.88</v>
      </c>
      <c r="D20" s="165">
        <f>A20*C20</f>
        <v>123243.88</v>
      </c>
      <c r="E20" s="190"/>
      <c r="F20" s="108"/>
      <c r="G20" s="108"/>
      <c r="M20" s="837"/>
      <c r="N20" s="108"/>
      <c r="O20" s="108"/>
      <c r="P20" s="108"/>
    </row>
    <row r="21" spans="1:16" x14ac:dyDescent="0.25">
      <c r="A21" s="195"/>
      <c r="B21" s="163" t="s">
        <v>1691</v>
      </c>
      <c r="C21" s="164"/>
      <c r="D21" s="165"/>
      <c r="E21" s="189"/>
    </row>
    <row r="22" spans="1:16" x14ac:dyDescent="0.25">
      <c r="A22" s="151">
        <v>1</v>
      </c>
      <c r="B22" s="152" t="s">
        <v>1693</v>
      </c>
      <c r="C22" s="153">
        <f>(7671*19)*(1.35)</f>
        <v>196761.15000000002</v>
      </c>
      <c r="D22" s="154">
        <f t="shared" ref="D22" si="2">A22*C22</f>
        <v>196761.15000000002</v>
      </c>
      <c r="E22" s="190"/>
      <c r="H22" s="191"/>
      <c r="I22" s="191"/>
      <c r="J22" s="191"/>
      <c r="K22" s="191"/>
      <c r="L22" s="191"/>
    </row>
    <row r="23" spans="1:16" x14ac:dyDescent="0.25">
      <c r="A23" s="155"/>
      <c r="B23" s="156" t="s">
        <v>1697</v>
      </c>
      <c r="C23" s="153"/>
      <c r="D23" s="154"/>
      <c r="E23" s="190"/>
      <c r="H23" s="191"/>
      <c r="I23" s="191"/>
      <c r="J23" s="191"/>
      <c r="K23" s="191"/>
      <c r="L23" s="191"/>
      <c r="O23" s="392"/>
      <c r="P23" s="392"/>
    </row>
    <row r="24" spans="1:16" s="392" customFormat="1" x14ac:dyDescent="0.25">
      <c r="A24" s="151">
        <v>1</v>
      </c>
      <c r="B24" s="152" t="s">
        <v>122</v>
      </c>
      <c r="C24" s="153">
        <f>(85321)*(1.35)</f>
        <v>115183.35</v>
      </c>
      <c r="D24" s="154">
        <f t="shared" ref="D24" si="3">A24*C24</f>
        <v>115183.35</v>
      </c>
      <c r="E24" s="190"/>
      <c r="F24" s="108"/>
      <c r="G24" s="108"/>
      <c r="H24" s="191"/>
      <c r="I24" s="191"/>
      <c r="J24" s="191"/>
      <c r="K24" s="191"/>
      <c r="L24" s="191"/>
      <c r="M24" s="108"/>
      <c r="N24" s="108"/>
      <c r="O24" s="108"/>
      <c r="P24" s="108"/>
    </row>
    <row r="25" spans="1:16" x14ac:dyDescent="0.25">
      <c r="A25" s="155"/>
      <c r="B25" s="156" t="s">
        <v>1689</v>
      </c>
      <c r="C25" s="153"/>
      <c r="D25" s="154"/>
      <c r="E25" s="190"/>
      <c r="H25" s="191"/>
      <c r="I25" s="191"/>
      <c r="J25" s="191"/>
      <c r="K25" s="191"/>
      <c r="L25" s="191"/>
    </row>
    <row r="26" spans="1:16" x14ac:dyDescent="0.25">
      <c r="A26" s="193">
        <v>1</v>
      </c>
      <c r="B26" s="194" t="s">
        <v>1694</v>
      </c>
      <c r="C26" s="164">
        <f>(21967*19)*(1.36)</f>
        <v>567627.28</v>
      </c>
      <c r="D26" s="165">
        <f>A26*C26</f>
        <v>567627.28</v>
      </c>
      <c r="E26" s="190"/>
      <c r="H26" s="191"/>
      <c r="I26" s="191"/>
      <c r="J26" s="191"/>
      <c r="K26" s="191"/>
      <c r="L26" s="191"/>
    </row>
    <row r="27" spans="1:16" x14ac:dyDescent="0.25">
      <c r="A27" s="195"/>
      <c r="B27" s="163" t="s">
        <v>1696</v>
      </c>
      <c r="C27" s="164"/>
      <c r="D27" s="165"/>
      <c r="E27" s="189"/>
    </row>
    <row r="28" spans="1:16" x14ac:dyDescent="0.25">
      <c r="A28" s="193">
        <v>1</v>
      </c>
      <c r="B28" s="194" t="s">
        <v>1692</v>
      </c>
      <c r="C28" s="164">
        <f>(15456.5*19)*(1.36)</f>
        <v>399395.96</v>
      </c>
      <c r="D28" s="165">
        <f>A28*C28</f>
        <v>399395.96</v>
      </c>
      <c r="E28" s="189"/>
    </row>
    <row r="29" spans="1:16" ht="17.25" customHeight="1" x14ac:dyDescent="0.25">
      <c r="A29" s="195"/>
      <c r="B29" s="163" t="s">
        <v>1695</v>
      </c>
      <c r="C29" s="164"/>
      <c r="D29" s="165"/>
      <c r="E29" s="189"/>
      <c r="M29" s="392"/>
      <c r="N29" s="392"/>
    </row>
    <row r="30" spans="1:16" x14ac:dyDescent="0.25">
      <c r="A30" s="196"/>
      <c r="B30" s="1039"/>
      <c r="C30" s="1039"/>
      <c r="D30" s="1039"/>
      <c r="E30" s="803"/>
      <c r="F30" s="392"/>
      <c r="G30" s="392"/>
      <c r="H30" s="392"/>
      <c r="I30" s="392"/>
      <c r="J30" s="392"/>
      <c r="K30" s="392"/>
      <c r="L30" s="392"/>
    </row>
    <row r="31" spans="1:16" ht="13.5" customHeight="1" x14ac:dyDescent="0.25">
      <c r="A31" s="145" t="s">
        <v>29</v>
      </c>
      <c r="B31" s="145" t="s">
        <v>30</v>
      </c>
      <c r="C31" s="146" t="s">
        <v>31</v>
      </c>
      <c r="D31" s="146" t="s">
        <v>32</v>
      </c>
    </row>
    <row r="32" spans="1:16" x14ac:dyDescent="0.25">
      <c r="A32" s="148"/>
      <c r="B32" s="149"/>
      <c r="C32" s="150"/>
      <c r="D32" s="150"/>
    </row>
    <row r="33" spans="1:4" x14ac:dyDescent="0.25">
      <c r="A33" s="162">
        <v>270</v>
      </c>
      <c r="B33" s="163" t="s">
        <v>134</v>
      </c>
      <c r="C33" s="164">
        <f>(596)*(1.33)</f>
        <v>792.68000000000006</v>
      </c>
      <c r="D33" s="165">
        <f>A33*C33</f>
        <v>214023.6</v>
      </c>
    </row>
    <row r="34" spans="1:4" x14ac:dyDescent="0.25">
      <c r="A34" s="162">
        <v>270</v>
      </c>
      <c r="B34" s="163" t="s">
        <v>80</v>
      </c>
      <c r="C34" s="164">
        <f>(736)*(1.33)</f>
        <v>978.88000000000011</v>
      </c>
      <c r="D34" s="165">
        <f>A34*C34</f>
        <v>264297.60000000003</v>
      </c>
    </row>
    <row r="35" spans="1:4" x14ac:dyDescent="0.25">
      <c r="A35" s="162">
        <v>270</v>
      </c>
      <c r="B35" s="163" t="s">
        <v>135</v>
      </c>
      <c r="C35" s="164">
        <f>(880)*(1.3)</f>
        <v>1144</v>
      </c>
      <c r="D35" s="165">
        <f>A35*C35</f>
        <v>308880</v>
      </c>
    </row>
    <row r="36" spans="1:4" x14ac:dyDescent="0.25">
      <c r="A36" s="162">
        <v>270</v>
      </c>
      <c r="B36" s="163" t="s">
        <v>136</v>
      </c>
      <c r="C36" s="164">
        <f>(1100)*(1.3)</f>
        <v>1430</v>
      </c>
      <c r="D36" s="165">
        <f>A36*C36</f>
        <v>386100</v>
      </c>
    </row>
    <row r="37" spans="1:4" x14ac:dyDescent="0.25">
      <c r="A37" s="204"/>
      <c r="B37" s="206"/>
      <c r="C37" s="207"/>
      <c r="D37" s="205"/>
    </row>
    <row r="38" spans="1:4" x14ac:dyDescent="0.25">
      <c r="A38" s="145" t="s">
        <v>29</v>
      </c>
      <c r="B38" s="145" t="s">
        <v>30</v>
      </c>
      <c r="C38" s="146" t="s">
        <v>31</v>
      </c>
      <c r="D38" s="146" t="s">
        <v>32</v>
      </c>
    </row>
    <row r="39" spans="1:4" x14ac:dyDescent="0.25">
      <c r="A39" s="148"/>
      <c r="B39" s="149"/>
      <c r="C39" s="150"/>
      <c r="D39" s="150"/>
    </row>
    <row r="40" spans="1:4" x14ac:dyDescent="0.25">
      <c r="A40" s="157">
        <v>1</v>
      </c>
      <c r="B40" s="158" t="s">
        <v>1698</v>
      </c>
      <c r="C40" s="159">
        <f>(5400)*(1.5)</f>
        <v>8100</v>
      </c>
      <c r="D40" s="154">
        <f t="shared" ref="D40:D42" si="4">A40*C40</f>
        <v>8100</v>
      </c>
    </row>
    <row r="41" spans="1:4" x14ac:dyDescent="0.25">
      <c r="A41" s="157">
        <v>1</v>
      </c>
      <c r="B41" s="158" t="s">
        <v>208</v>
      </c>
      <c r="C41" s="159">
        <f>(8900)*(1.51)</f>
        <v>13439</v>
      </c>
      <c r="D41" s="154">
        <f t="shared" si="4"/>
        <v>13439</v>
      </c>
    </row>
    <row r="42" spans="1:4" x14ac:dyDescent="0.25">
      <c r="A42" s="162">
        <v>1</v>
      </c>
      <c r="B42" s="163" t="s">
        <v>460</v>
      </c>
      <c r="C42" s="184">
        <f>(1328*19)*1.3</f>
        <v>32801.599999999999</v>
      </c>
      <c r="D42" s="165">
        <f t="shared" si="4"/>
        <v>32801.599999999999</v>
      </c>
    </row>
    <row r="43" spans="1:4" x14ac:dyDescent="0.25">
      <c r="A43" s="208"/>
      <c r="B43" s="204"/>
      <c r="C43" s="205"/>
      <c r="D43" s="209"/>
    </row>
    <row r="44" spans="1:4" ht="26.4" x14ac:dyDescent="0.25">
      <c r="A44" s="162">
        <v>1</v>
      </c>
      <c r="B44" s="163" t="s">
        <v>138</v>
      </c>
      <c r="C44" s="210">
        <v>35627</v>
      </c>
      <c r="D44" s="165">
        <f>A44*C44</f>
        <v>35627</v>
      </c>
    </row>
    <row r="45" spans="1:4" ht="39.6" x14ac:dyDescent="0.25">
      <c r="A45" s="162">
        <v>1</v>
      </c>
      <c r="B45" s="163" t="s">
        <v>139</v>
      </c>
      <c r="C45" s="210">
        <v>37861</v>
      </c>
      <c r="D45" s="165">
        <f>A45*C45</f>
        <v>37861</v>
      </c>
    </row>
    <row r="46" spans="1:4" x14ac:dyDescent="0.25">
      <c r="A46" s="162">
        <v>1</v>
      </c>
      <c r="B46" s="163" t="s">
        <v>140</v>
      </c>
      <c r="C46" s="184">
        <f>(2576.78*21)*(1.3)</f>
        <v>70346.094000000012</v>
      </c>
      <c r="D46" s="165">
        <f>A46*C46</f>
        <v>70346.094000000012</v>
      </c>
    </row>
    <row r="47" spans="1:4" x14ac:dyDescent="0.25">
      <c r="A47" s="875"/>
      <c r="B47" s="206"/>
      <c r="C47" s="876"/>
      <c r="D47" s="877"/>
    </row>
    <row r="48" spans="1:4" ht="13.8" x14ac:dyDescent="0.25">
      <c r="B48" s="103" t="s">
        <v>15</v>
      </c>
    </row>
    <row r="49" spans="1:4" ht="15" x14ac:dyDescent="0.25">
      <c r="A49" s="106"/>
      <c r="B49" s="125" t="s">
        <v>42</v>
      </c>
    </row>
    <row r="50" spans="1:4" ht="12.75" customHeight="1" x14ac:dyDescent="0.25">
      <c r="A50" s="106"/>
      <c r="B50" s="125" t="s">
        <v>143</v>
      </c>
      <c r="C50" s="109"/>
      <c r="D50" s="110"/>
    </row>
    <row r="51" spans="1:4" ht="15" x14ac:dyDescent="0.25">
      <c r="A51" s="106"/>
      <c r="B51" s="103" t="s">
        <v>18</v>
      </c>
      <c r="C51" s="109"/>
      <c r="D51" s="110"/>
    </row>
    <row r="52" spans="1:4" ht="15" x14ac:dyDescent="0.25">
      <c r="A52" s="106"/>
      <c r="B52" s="126" t="s">
        <v>144</v>
      </c>
      <c r="C52" s="109"/>
      <c r="D52" s="109"/>
    </row>
    <row r="53" spans="1:4" ht="15" x14ac:dyDescent="0.25">
      <c r="A53" s="106"/>
      <c r="B53" s="127" t="s">
        <v>20</v>
      </c>
      <c r="C53" s="109"/>
      <c r="D53" s="109"/>
    </row>
    <row r="54" spans="1:4" ht="16.5" customHeight="1" x14ac:dyDescent="0.25">
      <c r="B54" s="103" t="s">
        <v>21</v>
      </c>
      <c r="D54" s="105"/>
    </row>
    <row r="55" spans="1:4" ht="15" x14ac:dyDescent="0.25">
      <c r="A55" s="106"/>
      <c r="B55" s="121" t="s">
        <v>145</v>
      </c>
      <c r="C55" s="109"/>
      <c r="D55" s="110"/>
    </row>
    <row r="56" spans="1:4" ht="15" x14ac:dyDescent="0.25">
      <c r="A56" s="106"/>
      <c r="B56" s="121" t="s">
        <v>44</v>
      </c>
      <c r="C56" s="109"/>
      <c r="D56" s="110"/>
    </row>
    <row r="57" spans="1:4" ht="15" x14ac:dyDescent="0.25">
      <c r="A57" s="106"/>
      <c r="B57" s="121" t="s">
        <v>45</v>
      </c>
      <c r="D57" s="181"/>
    </row>
    <row r="58" spans="1:4" ht="15.75" customHeight="1" x14ac:dyDescent="0.4">
      <c r="A58" s="106"/>
      <c r="B58" s="128" t="s">
        <v>23</v>
      </c>
      <c r="C58" s="109"/>
      <c r="D58" s="109"/>
    </row>
    <row r="59" spans="1:4" ht="15" customHeight="1" x14ac:dyDescent="0.25"/>
  </sheetData>
  <mergeCells count="3">
    <mergeCell ref="A4:D4"/>
    <mergeCell ref="A14:D14"/>
    <mergeCell ref="B30:D30"/>
  </mergeCells>
  <printOptions horizontalCentered="1"/>
  <pageMargins left="0" right="0" top="0" bottom="0" header="0" footer="0"/>
  <pageSetup paperSize="9" scale="82" fitToWidth="0" orientation="portrait" r:id="rId1"/>
  <headerFooter alignWithMargins="0">
    <oddFooter>Página &amp;P de &amp;N</oddFooter>
  </headerFooter>
  <drawing r:id="rId2"/>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9791-AB99-4216-AD3F-D035300469B4}">
  <sheetPr>
    <tabColor theme="4" tint="-0.249977111117893"/>
    <pageSetUpPr fitToPage="1"/>
  </sheetPr>
  <dimension ref="A1:P60"/>
  <sheetViews>
    <sheetView topLeftCell="A12" zoomScale="85" zoomScaleNormal="85" workbookViewId="0">
      <selection activeCell="B38" sqref="B38"/>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1686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882">
        <v>1</v>
      </c>
      <c r="B16" s="883" t="s">
        <v>1674</v>
      </c>
      <c r="C16" s="884">
        <v>33400</v>
      </c>
      <c r="D16" s="885">
        <f t="shared" ref="D16:D18" si="0">A16*C16</f>
        <v>33400</v>
      </c>
      <c r="E16" s="190"/>
      <c r="H16" s="191"/>
      <c r="I16" s="191"/>
      <c r="J16" s="191"/>
      <c r="K16" s="191"/>
      <c r="L16" s="191"/>
      <c r="M16" s="191"/>
      <c r="N16" s="191"/>
      <c r="O16" s="191"/>
      <c r="P16" s="191"/>
    </row>
    <row r="17" spans="1:16" s="191" customFormat="1" ht="15.6" x14ac:dyDescent="0.25">
      <c r="A17" s="882"/>
      <c r="B17" s="895" t="s">
        <v>1716</v>
      </c>
      <c r="C17" s="884"/>
      <c r="D17" s="885"/>
      <c r="E17" s="190"/>
      <c r="F17" s="108"/>
      <c r="G17" s="108"/>
    </row>
    <row r="18" spans="1:16" s="191" customFormat="1" ht="15.6" x14ac:dyDescent="0.3">
      <c r="A18" s="894">
        <v>1</v>
      </c>
      <c r="B18" s="890" t="s">
        <v>1708</v>
      </c>
      <c r="C18" s="892">
        <f>2892*1.3</f>
        <v>3759.6</v>
      </c>
      <c r="D18" s="885">
        <f t="shared" si="0"/>
        <v>3759.6</v>
      </c>
      <c r="E18" s="190"/>
      <c r="F18" s="108"/>
      <c r="G18" s="108"/>
    </row>
    <row r="19" spans="1:16" s="191" customFormat="1" ht="15.6" x14ac:dyDescent="0.3">
      <c r="A19" s="894">
        <v>9</v>
      </c>
      <c r="B19" s="890" t="s">
        <v>1709</v>
      </c>
      <c r="C19" s="891">
        <f>450*1.3</f>
        <v>585</v>
      </c>
      <c r="D19" s="893">
        <f t="shared" ref="D19:D26" si="1">A19*C19</f>
        <v>5265</v>
      </c>
      <c r="E19" s="190"/>
      <c r="F19" s="108"/>
      <c r="G19" s="108"/>
      <c r="M19" s="837"/>
    </row>
    <row r="20" spans="1:16" s="191" customFormat="1" ht="15.6" x14ac:dyDescent="0.3">
      <c r="A20" s="894">
        <v>9</v>
      </c>
      <c r="B20" s="890" t="s">
        <v>1710</v>
      </c>
      <c r="C20" s="891">
        <f>2200*1.3</f>
        <v>2860</v>
      </c>
      <c r="D20" s="893">
        <f t="shared" si="1"/>
        <v>25740</v>
      </c>
      <c r="E20" s="190"/>
      <c r="F20" s="108"/>
      <c r="G20" s="108"/>
      <c r="M20" s="108"/>
      <c r="N20" s="108"/>
      <c r="O20" s="108"/>
      <c r="P20" s="108"/>
    </row>
    <row r="21" spans="1:16" ht="15.6" x14ac:dyDescent="0.3">
      <c r="A21" s="894">
        <v>9</v>
      </c>
      <c r="B21" s="890" t="s">
        <v>1711</v>
      </c>
      <c r="C21" s="892">
        <f>410*1.3</f>
        <v>533</v>
      </c>
      <c r="D21" s="893">
        <f t="shared" si="1"/>
        <v>4797</v>
      </c>
      <c r="E21" s="190"/>
      <c r="H21" s="191"/>
      <c r="I21" s="191"/>
      <c r="J21" s="191"/>
      <c r="K21" s="191"/>
      <c r="L21" s="191"/>
    </row>
    <row r="22" spans="1:16" ht="15.6" x14ac:dyDescent="0.3">
      <c r="A22" s="894">
        <v>1</v>
      </c>
      <c r="B22" s="890" t="s">
        <v>1712</v>
      </c>
      <c r="C22" s="892">
        <f>1382*1.3</f>
        <v>1796.6000000000001</v>
      </c>
      <c r="D22" s="893">
        <f t="shared" si="1"/>
        <v>1796.6000000000001</v>
      </c>
      <c r="E22" s="190"/>
      <c r="H22" s="191"/>
      <c r="I22" s="191"/>
      <c r="J22" s="191"/>
      <c r="K22" s="191"/>
      <c r="L22" s="191"/>
    </row>
    <row r="23" spans="1:16" ht="15.6" x14ac:dyDescent="0.3">
      <c r="A23" s="894">
        <v>1</v>
      </c>
      <c r="B23" s="890" t="s">
        <v>1713</v>
      </c>
      <c r="C23" s="892">
        <f>970*1.3</f>
        <v>1261</v>
      </c>
      <c r="D23" s="893">
        <f t="shared" si="1"/>
        <v>1261</v>
      </c>
      <c r="E23" s="190"/>
      <c r="H23" s="191"/>
      <c r="I23" s="191"/>
      <c r="J23" s="191"/>
      <c r="K23" s="191"/>
      <c r="L23" s="191"/>
      <c r="O23" s="392"/>
      <c r="P23" s="392"/>
    </row>
    <row r="24" spans="1:16" s="392" customFormat="1" ht="15.6" x14ac:dyDescent="0.3">
      <c r="A24" s="894">
        <v>1</v>
      </c>
      <c r="B24" s="890" t="s">
        <v>1714</v>
      </c>
      <c r="C24" s="892">
        <f>5800*1.3</f>
        <v>7540</v>
      </c>
      <c r="D24" s="893">
        <f t="shared" si="1"/>
        <v>7540</v>
      </c>
      <c r="E24" s="190"/>
      <c r="F24" s="108"/>
      <c r="G24" s="108"/>
      <c r="H24" s="191"/>
      <c r="I24" s="191"/>
      <c r="J24" s="191"/>
      <c r="K24" s="191"/>
      <c r="L24" s="191"/>
      <c r="M24" s="108"/>
      <c r="N24" s="108"/>
      <c r="O24" s="108"/>
      <c r="P24" s="108"/>
    </row>
    <row r="25" spans="1:16" ht="15.6" x14ac:dyDescent="0.3">
      <c r="A25" s="894">
        <v>1</v>
      </c>
      <c r="B25" s="890" t="s">
        <v>1715</v>
      </c>
      <c r="C25" s="892">
        <f>850*1.3</f>
        <v>1105</v>
      </c>
      <c r="D25" s="893">
        <f t="shared" si="1"/>
        <v>1105</v>
      </c>
      <c r="E25" s="189"/>
    </row>
    <row r="26" spans="1:16" ht="15.6" x14ac:dyDescent="0.3">
      <c r="A26" s="896">
        <v>1</v>
      </c>
      <c r="B26" s="897" t="s">
        <v>1719</v>
      </c>
      <c r="C26" s="898">
        <f>2580*2</f>
        <v>5160</v>
      </c>
      <c r="D26" s="893">
        <f t="shared" si="1"/>
        <v>5160</v>
      </c>
      <c r="E26" s="189"/>
    </row>
    <row r="27" spans="1:16" ht="15.6" x14ac:dyDescent="0.25">
      <c r="A27" s="886">
        <v>1</v>
      </c>
      <c r="B27" s="887" t="s">
        <v>1675</v>
      </c>
      <c r="C27" s="888">
        <v>33400</v>
      </c>
      <c r="D27" s="889">
        <f>A27*C27</f>
        <v>33400</v>
      </c>
      <c r="E27" s="189"/>
    </row>
    <row r="28" spans="1:16" ht="45" x14ac:dyDescent="0.25">
      <c r="A28" s="77">
        <v>1</v>
      </c>
      <c r="B28" s="73" t="s">
        <v>1411</v>
      </c>
      <c r="C28" s="428">
        <v>7300</v>
      </c>
      <c r="D28" s="889">
        <f t="shared" ref="D28:D31" si="2">A28*C28</f>
        <v>7300</v>
      </c>
      <c r="E28" s="803"/>
      <c r="F28" s="392"/>
      <c r="G28" s="392"/>
      <c r="H28" s="392"/>
      <c r="I28" s="392"/>
      <c r="J28" s="392"/>
      <c r="K28" s="392"/>
      <c r="L28" s="392"/>
      <c r="M28" s="392"/>
    </row>
    <row r="29" spans="1:16" ht="30" x14ac:dyDescent="0.25">
      <c r="A29" s="72">
        <v>1</v>
      </c>
      <c r="B29" s="81" t="s">
        <v>1673</v>
      </c>
      <c r="C29" s="79">
        <f>16781</f>
        <v>16781</v>
      </c>
      <c r="D29" s="889">
        <f t="shared" si="2"/>
        <v>16781</v>
      </c>
      <c r="N29" s="392"/>
    </row>
    <row r="30" spans="1:16" ht="30" x14ac:dyDescent="0.25">
      <c r="A30" s="77">
        <v>2</v>
      </c>
      <c r="B30" s="81" t="s">
        <v>1676</v>
      </c>
      <c r="C30" s="79">
        <v>4380</v>
      </c>
      <c r="D30" s="889">
        <f t="shared" si="2"/>
        <v>8760</v>
      </c>
    </row>
    <row r="31" spans="1:16" ht="15.6" x14ac:dyDescent="0.25">
      <c r="A31" s="77">
        <v>2</v>
      </c>
      <c r="B31" s="81" t="s">
        <v>85</v>
      </c>
      <c r="C31" s="79">
        <v>2213</v>
      </c>
      <c r="D31" s="889">
        <f t="shared" si="2"/>
        <v>4426</v>
      </c>
    </row>
    <row r="32" spans="1:16" ht="15.6" x14ac:dyDescent="0.25">
      <c r="A32" s="77"/>
      <c r="B32" s="868"/>
      <c r="C32" s="869"/>
      <c r="D32" s="83"/>
    </row>
    <row r="33" spans="1:5" ht="15.6" x14ac:dyDescent="0.3">
      <c r="A33" s="867"/>
      <c r="B33" s="899" t="s">
        <v>1717</v>
      </c>
      <c r="C33" s="475" t="s">
        <v>160</v>
      </c>
      <c r="D33" s="900">
        <f>SUM(D15:D32)</f>
        <v>160491.20000000001</v>
      </c>
      <c r="E33" s="189"/>
    </row>
    <row r="34" spans="1:5" ht="15.6" x14ac:dyDescent="0.3">
      <c r="A34" s="847"/>
      <c r="B34" s="899" t="s">
        <v>1718</v>
      </c>
      <c r="C34" s="475" t="s">
        <v>392</v>
      </c>
      <c r="D34" s="900">
        <f>D33*0.16</f>
        <v>25678.592000000004</v>
      </c>
      <c r="E34" s="189"/>
    </row>
    <row r="35" spans="1:5" ht="16.2" thickBot="1" x14ac:dyDescent="0.35">
      <c r="A35" s="847"/>
      <c r="B35" s="851"/>
      <c r="C35" s="475" t="s">
        <v>162</v>
      </c>
      <c r="D35" s="900">
        <f>D33+D34</f>
        <v>186169.79200000002</v>
      </c>
      <c r="E35" s="189"/>
    </row>
    <row r="36" spans="1:5" ht="16.2" thickBot="1" x14ac:dyDescent="0.3">
      <c r="A36" s="851"/>
      <c r="B36" s="872" t="s">
        <v>1720</v>
      </c>
      <c r="C36" s="873"/>
      <c r="D36" s="874"/>
    </row>
    <row r="37" spans="1:5" ht="15" x14ac:dyDescent="0.25">
      <c r="A37" s="854"/>
      <c r="B37" s="201"/>
      <c r="C37" s="253"/>
      <c r="D37" s="254"/>
    </row>
    <row r="38" spans="1:5" ht="13.8" x14ac:dyDescent="0.25">
      <c r="A38" s="102"/>
      <c r="B38" s="100" t="s">
        <v>9</v>
      </c>
      <c r="C38" s="104"/>
      <c r="D38" s="105"/>
      <c r="E38" s="189"/>
    </row>
    <row r="39" spans="1:5" ht="15.6" x14ac:dyDescent="0.25">
      <c r="A39" s="102"/>
      <c r="B39" s="838"/>
      <c r="C39" s="104"/>
      <c r="D39" s="105"/>
      <c r="E39" s="189"/>
    </row>
    <row r="40" spans="1:5" ht="13.8" x14ac:dyDescent="0.25">
      <c r="A40" s="102"/>
      <c r="B40" s="100" t="s">
        <v>11</v>
      </c>
      <c r="D40" s="105"/>
    </row>
    <row r="41" spans="1:5" ht="15" x14ac:dyDescent="0.25">
      <c r="A41" s="106"/>
      <c r="B41" s="121" t="s">
        <v>1620</v>
      </c>
      <c r="D41" s="105"/>
    </row>
    <row r="42" spans="1:5" ht="15" x14ac:dyDescent="0.25">
      <c r="A42" s="106"/>
      <c r="B42" s="121" t="s">
        <v>13</v>
      </c>
      <c r="D42" s="105"/>
    </row>
    <row r="43" spans="1:5" ht="15" x14ac:dyDescent="0.25">
      <c r="A43" s="106"/>
      <c r="B43" s="121" t="s">
        <v>14</v>
      </c>
      <c r="D43" s="105"/>
    </row>
    <row r="44" spans="1:5" ht="15" x14ac:dyDescent="0.25">
      <c r="A44" s="106"/>
      <c r="B44" s="103" t="s">
        <v>15</v>
      </c>
    </row>
    <row r="45" spans="1:5" ht="27.6" x14ac:dyDescent="0.25">
      <c r="B45" s="855" t="s">
        <v>1678</v>
      </c>
    </row>
    <row r="46" spans="1:5" ht="27.6" x14ac:dyDescent="0.25">
      <c r="A46" s="106"/>
      <c r="B46" s="125" t="s">
        <v>17</v>
      </c>
      <c r="C46" s="109"/>
      <c r="D46" s="110"/>
    </row>
    <row r="47" spans="1:5" ht="15" x14ac:dyDescent="0.25">
      <c r="A47" s="106"/>
      <c r="B47" s="103" t="s">
        <v>18</v>
      </c>
      <c r="C47" s="109"/>
      <c r="D47" s="110"/>
    </row>
    <row r="48" spans="1:5" ht="15" x14ac:dyDescent="0.25">
      <c r="A48" s="106"/>
      <c r="B48" s="856" t="s">
        <v>1721</v>
      </c>
      <c r="C48" s="109"/>
      <c r="D48" s="109"/>
    </row>
    <row r="49" spans="1:4" ht="15" x14ac:dyDescent="0.25">
      <c r="A49" s="106"/>
      <c r="B49" s="127" t="s">
        <v>20</v>
      </c>
      <c r="C49" s="109"/>
      <c r="D49" s="109"/>
    </row>
    <row r="50" spans="1:4" ht="12.75" customHeight="1" x14ac:dyDescent="0.25">
      <c r="A50" s="106"/>
      <c r="B50" s="103" t="s">
        <v>21</v>
      </c>
      <c r="D50" s="105"/>
    </row>
    <row r="51" spans="1:4" ht="13.8" x14ac:dyDescent="0.25">
      <c r="B51" s="484" t="s">
        <v>1677</v>
      </c>
      <c r="C51" s="109"/>
      <c r="D51" s="110"/>
    </row>
    <row r="52" spans="1:4" ht="15" x14ac:dyDescent="0.25">
      <c r="A52" s="106"/>
      <c r="B52" s="121" t="s">
        <v>44</v>
      </c>
      <c r="C52" s="109"/>
      <c r="D52" s="110"/>
    </row>
    <row r="53" spans="1:4" ht="15" x14ac:dyDescent="0.25">
      <c r="A53" s="106"/>
      <c r="B53" s="121" t="s">
        <v>45</v>
      </c>
      <c r="C53" s="109"/>
    </row>
    <row r="54" spans="1:4" ht="16.5" customHeight="1" x14ac:dyDescent="0.4">
      <c r="A54" s="115" t="s">
        <v>0</v>
      </c>
      <c r="B54" s="128" t="s">
        <v>169</v>
      </c>
      <c r="C54" s="220"/>
      <c r="D54" s="108"/>
    </row>
    <row r="55" spans="1:4" x14ac:dyDescent="0.25">
      <c r="A55" s="222"/>
      <c r="B55" s="181"/>
      <c r="C55" s="181"/>
      <c r="D55" s="108"/>
    </row>
    <row r="56" spans="1:4" x14ac:dyDescent="0.25">
      <c r="A56" s="222"/>
      <c r="B56" s="181"/>
      <c r="C56" s="181"/>
      <c r="D56" s="108"/>
    </row>
    <row r="57" spans="1:4" x14ac:dyDescent="0.25">
      <c r="A57" s="222"/>
      <c r="B57" s="223"/>
      <c r="C57" s="181"/>
      <c r="D57" s="108"/>
    </row>
    <row r="58" spans="1:4" ht="15.75" customHeight="1" x14ac:dyDescent="0.35">
      <c r="A58" s="225"/>
      <c r="B58" s="224"/>
      <c r="C58" s="181"/>
      <c r="D58" s="181"/>
    </row>
    <row r="59" spans="1:4" ht="15" customHeight="1" x14ac:dyDescent="0.25">
      <c r="A59" s="226" t="s">
        <v>0</v>
      </c>
    </row>
    <row r="60" spans="1:4" x14ac:dyDescent="0.25">
      <c r="A60" s="108" t="s">
        <v>0</v>
      </c>
    </row>
  </sheetData>
  <mergeCells count="2">
    <mergeCell ref="A4:D4"/>
    <mergeCell ref="A14:D14"/>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A6F5-DE02-409B-8170-2CA484D195B5}">
  <sheetPr>
    <tabColor theme="4" tint="-0.249977111117893"/>
    <pageSetUpPr fitToPage="1"/>
  </sheetPr>
  <dimension ref="A1:P59"/>
  <sheetViews>
    <sheetView zoomScale="85" zoomScaleNormal="85" workbookViewId="0">
      <selection activeCell="B20" sqref="B20"/>
    </sheetView>
  </sheetViews>
  <sheetFormatPr baseColWidth="10" defaultColWidth="11.44140625" defaultRowHeight="13.2" x14ac:dyDescent="0.25"/>
  <cols>
    <col min="1" max="1" width="6" style="108" customWidth="1"/>
    <col min="2" max="2" width="92.5546875" style="108" customWidth="1"/>
    <col min="3" max="3" width="14.109375" style="107" customWidth="1"/>
    <col min="4" max="4" width="16.664062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1746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72">
        <v>4</v>
      </c>
      <c r="B16" s="624" t="s">
        <v>1743</v>
      </c>
      <c r="C16" s="625">
        <f>8200*1.4</f>
        <v>11480</v>
      </c>
      <c r="D16" s="75">
        <f t="shared" ref="D16:D20" si="0">A16*C16</f>
        <v>45920</v>
      </c>
      <c r="E16" s="190"/>
      <c r="H16" s="191"/>
      <c r="I16" s="191"/>
      <c r="J16" s="191"/>
      <c r="K16" s="191"/>
      <c r="L16" s="191"/>
      <c r="M16" s="191"/>
      <c r="N16" s="191"/>
      <c r="O16" s="191"/>
      <c r="P16" s="191"/>
    </row>
    <row r="17" spans="1:16" s="191" customFormat="1" ht="15.6" x14ac:dyDescent="0.25">
      <c r="A17" s="72">
        <v>60</v>
      </c>
      <c r="B17" s="624" t="s">
        <v>1744</v>
      </c>
      <c r="C17" s="625">
        <f>880*1.35</f>
        <v>1188</v>
      </c>
      <c r="D17" s="75">
        <f t="shared" si="0"/>
        <v>71280</v>
      </c>
      <c r="E17" s="190"/>
      <c r="F17" s="108"/>
      <c r="G17" s="108"/>
    </row>
    <row r="18" spans="1:16" s="191" customFormat="1" ht="15.6" x14ac:dyDescent="0.25">
      <c r="A18" s="72">
        <v>2</v>
      </c>
      <c r="B18" s="624" t="s">
        <v>745</v>
      </c>
      <c r="C18" s="625">
        <v>4100</v>
      </c>
      <c r="D18" s="75">
        <f t="shared" si="0"/>
        <v>8200</v>
      </c>
      <c r="E18" s="190"/>
      <c r="F18" s="108"/>
      <c r="G18" s="108"/>
    </row>
    <row r="19" spans="1:16" s="191" customFormat="1" ht="15.6" x14ac:dyDescent="0.25">
      <c r="A19" s="72">
        <v>1</v>
      </c>
      <c r="B19" s="624" t="s">
        <v>1745</v>
      </c>
      <c r="C19" s="625">
        <v>12000</v>
      </c>
      <c r="D19" s="75">
        <f t="shared" si="0"/>
        <v>12000</v>
      </c>
      <c r="E19" s="190"/>
      <c r="F19" s="108"/>
      <c r="G19" s="108"/>
    </row>
    <row r="20" spans="1:16" s="191" customFormat="1" ht="15.6" x14ac:dyDescent="0.25">
      <c r="A20" s="72">
        <v>3</v>
      </c>
      <c r="B20" s="624" t="s">
        <v>1747</v>
      </c>
      <c r="C20" s="625">
        <f>(1430*1.45)+700</f>
        <v>2773.5</v>
      </c>
      <c r="D20" s="75">
        <f t="shared" si="0"/>
        <v>8320.5</v>
      </c>
      <c r="E20" s="108"/>
      <c r="F20" s="108"/>
      <c r="G20" s="108"/>
      <c r="H20" s="108"/>
      <c r="I20" s="108"/>
      <c r="J20" s="108"/>
      <c r="K20" s="108"/>
      <c r="L20" s="108"/>
      <c r="M20" s="837"/>
      <c r="N20" s="108"/>
      <c r="O20" s="108"/>
      <c r="P20" s="108"/>
    </row>
    <row r="21" spans="1:16" ht="15.6" x14ac:dyDescent="0.25">
      <c r="A21" s="72"/>
      <c r="B21" s="624"/>
      <c r="C21" s="625"/>
      <c r="D21" s="75"/>
      <c r="E21" s="189"/>
    </row>
    <row r="22" spans="1:16" ht="15.6" x14ac:dyDescent="0.25">
      <c r="A22" s="77"/>
      <c r="B22" s="868"/>
      <c r="C22" s="869"/>
      <c r="D22" s="83"/>
      <c r="E22" s="189"/>
    </row>
    <row r="23" spans="1:16" ht="15.6" x14ac:dyDescent="0.3">
      <c r="A23" s="906"/>
      <c r="B23" s="907"/>
      <c r="C23" s="475" t="s">
        <v>160</v>
      </c>
      <c r="D23" s="900">
        <f>SUM(D15:D22)</f>
        <v>145720.5</v>
      </c>
      <c r="E23" s="189"/>
      <c r="O23" s="392"/>
      <c r="P23" s="392"/>
    </row>
    <row r="24" spans="1:16" s="392" customFormat="1" ht="15.6" x14ac:dyDescent="0.3">
      <c r="A24" s="908"/>
      <c r="B24" s="907"/>
      <c r="C24" s="475" t="s">
        <v>392</v>
      </c>
      <c r="D24" s="900">
        <f>D23*0.16</f>
        <v>23315.279999999999</v>
      </c>
      <c r="E24" s="189"/>
      <c r="F24" s="108"/>
      <c r="G24" s="108"/>
      <c r="H24" s="108"/>
      <c r="I24" s="108"/>
      <c r="J24" s="108"/>
      <c r="K24" s="108"/>
      <c r="L24" s="108"/>
      <c r="M24" s="108"/>
      <c r="N24" s="108"/>
      <c r="O24" s="108"/>
      <c r="P24" s="108"/>
    </row>
    <row r="25" spans="1:16" ht="16.2" thickBot="1" x14ac:dyDescent="0.35">
      <c r="A25" s="847"/>
      <c r="B25" s="851"/>
      <c r="C25" s="475" t="s">
        <v>162</v>
      </c>
      <c r="D25" s="900">
        <f>D23+D24</f>
        <v>169035.78</v>
      </c>
    </row>
    <row r="26" spans="1:16" ht="16.2" thickBot="1" x14ac:dyDescent="0.3">
      <c r="A26" s="851"/>
      <c r="B26" s="872" t="s">
        <v>1748</v>
      </c>
      <c r="C26" s="873"/>
      <c r="D26" s="874"/>
    </row>
    <row r="27" spans="1:16" ht="15" x14ac:dyDescent="0.25">
      <c r="A27" s="854"/>
      <c r="B27" s="201"/>
      <c r="C27" s="253"/>
      <c r="D27" s="254"/>
      <c r="E27" s="189"/>
    </row>
    <row r="28" spans="1:16" ht="13.8" x14ac:dyDescent="0.25">
      <c r="A28" s="102"/>
      <c r="B28" s="100" t="s">
        <v>9</v>
      </c>
      <c r="C28" s="104"/>
      <c r="D28" s="105"/>
      <c r="E28" s="189"/>
    </row>
    <row r="29" spans="1:16" ht="15.6" x14ac:dyDescent="0.25">
      <c r="A29" s="102"/>
      <c r="B29" s="838"/>
      <c r="C29" s="104"/>
      <c r="D29" s="105"/>
      <c r="N29" s="392"/>
    </row>
    <row r="30" spans="1:16" ht="13.8" x14ac:dyDescent="0.25">
      <c r="A30" s="102"/>
      <c r="B30" s="100" t="s">
        <v>11</v>
      </c>
      <c r="D30" s="105"/>
    </row>
    <row r="31" spans="1:16" ht="15" x14ac:dyDescent="0.25">
      <c r="A31" s="106"/>
      <c r="B31" s="121" t="s">
        <v>394</v>
      </c>
      <c r="D31" s="105"/>
    </row>
    <row r="32" spans="1:16" ht="15" x14ac:dyDescent="0.25">
      <c r="A32" s="106"/>
      <c r="B32" s="121" t="s">
        <v>13</v>
      </c>
      <c r="D32" s="105"/>
    </row>
    <row r="33" spans="1:4" ht="15" x14ac:dyDescent="0.25">
      <c r="A33" s="106"/>
      <c r="B33" s="121" t="s">
        <v>14</v>
      </c>
      <c r="D33" s="105"/>
    </row>
    <row r="34" spans="1:4" ht="15" x14ac:dyDescent="0.25">
      <c r="A34" s="106"/>
      <c r="B34" s="103" t="s">
        <v>15</v>
      </c>
    </row>
    <row r="35" spans="1:4" ht="27.6" x14ac:dyDescent="0.25">
      <c r="A35" s="106"/>
      <c r="B35" s="125" t="s">
        <v>17</v>
      </c>
      <c r="C35" s="109"/>
    </row>
    <row r="36" spans="1:4" ht="15" x14ac:dyDescent="0.25">
      <c r="A36" s="106"/>
      <c r="B36" s="103" t="s">
        <v>18</v>
      </c>
      <c r="C36" s="109"/>
      <c r="D36" s="110"/>
    </row>
    <row r="37" spans="1:4" ht="15" x14ac:dyDescent="0.25">
      <c r="A37" s="106"/>
      <c r="B37" s="856" t="s">
        <v>1721</v>
      </c>
      <c r="C37" s="109"/>
      <c r="D37" s="110"/>
    </row>
    <row r="38" spans="1:4" ht="15" x14ac:dyDescent="0.25">
      <c r="A38" s="106"/>
      <c r="B38" s="127" t="s">
        <v>20</v>
      </c>
      <c r="C38" s="109"/>
      <c r="D38" s="109"/>
    </row>
    <row r="39" spans="1:4" ht="15" x14ac:dyDescent="0.25">
      <c r="A39" s="106"/>
      <c r="B39" s="103" t="s">
        <v>21</v>
      </c>
      <c r="D39" s="109"/>
    </row>
    <row r="40" spans="1:4" ht="13.8" x14ac:dyDescent="0.25">
      <c r="B40" s="484" t="s">
        <v>1677</v>
      </c>
      <c r="C40" s="109"/>
      <c r="D40" s="105"/>
    </row>
    <row r="41" spans="1:4" ht="15" x14ac:dyDescent="0.25">
      <c r="A41" s="106"/>
      <c r="B41" s="121" t="s">
        <v>44</v>
      </c>
      <c r="C41" s="109"/>
      <c r="D41" s="110"/>
    </row>
    <row r="42" spans="1:4" ht="15" x14ac:dyDescent="0.25">
      <c r="A42" s="106"/>
      <c r="B42" s="121" t="s">
        <v>45</v>
      </c>
      <c r="C42" s="109"/>
      <c r="D42" s="110"/>
    </row>
    <row r="43" spans="1:4" ht="50.4" x14ac:dyDescent="0.4">
      <c r="A43" s="115" t="s">
        <v>0</v>
      </c>
      <c r="B43" s="128" t="s">
        <v>169</v>
      </c>
      <c r="C43" s="220"/>
    </row>
    <row r="44" spans="1:4" x14ac:dyDescent="0.25">
      <c r="A44" s="222"/>
      <c r="B44" s="181"/>
      <c r="C44" s="181"/>
      <c r="D44" s="108"/>
    </row>
    <row r="45" spans="1:4" x14ac:dyDescent="0.25">
      <c r="A45" s="222"/>
      <c r="B45" s="181"/>
      <c r="C45" s="181"/>
      <c r="D45" s="108"/>
    </row>
    <row r="46" spans="1:4" x14ac:dyDescent="0.25">
      <c r="A46" s="222"/>
      <c r="B46" s="223"/>
      <c r="C46" s="181"/>
      <c r="D46" s="108"/>
    </row>
    <row r="47" spans="1:4" ht="15" x14ac:dyDescent="0.35">
      <c r="A47" s="225"/>
      <c r="B47" s="224"/>
      <c r="C47" s="181"/>
      <c r="D47" s="108"/>
    </row>
    <row r="48" spans="1:4" x14ac:dyDescent="0.25">
      <c r="A48" s="226" t="s">
        <v>0</v>
      </c>
      <c r="D48" s="181"/>
    </row>
    <row r="49" spans="1:1" x14ac:dyDescent="0.25">
      <c r="A49" s="108" t="s">
        <v>0</v>
      </c>
    </row>
    <row r="50" spans="1:1" ht="12.75" customHeight="1" x14ac:dyDescent="0.25"/>
    <row r="54" spans="1:1" ht="16.5" customHeight="1" x14ac:dyDescent="0.25"/>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68" fitToWidth="0" orientation="portrait" r:id="rId1"/>
  <headerFooter alignWithMargins="0">
    <oddFooter>Página &amp;P de &amp;N</oddFooter>
  </headerFooter>
  <drawing r:id="rId2"/>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00BF-D925-46AC-AABA-EBBC6D8C2A99}">
  <sheetPr>
    <tabColor theme="4" tint="-0.249977111117893"/>
    <pageSetUpPr fitToPage="1"/>
  </sheetPr>
  <dimension ref="A1:P68"/>
  <sheetViews>
    <sheetView topLeftCell="A9" zoomScale="85" zoomScaleNormal="85" workbookViewId="0">
      <selection activeCell="B19" sqref="B19"/>
    </sheetView>
  </sheetViews>
  <sheetFormatPr baseColWidth="10" defaultColWidth="11.44140625" defaultRowHeight="13.2" x14ac:dyDescent="0.25"/>
  <cols>
    <col min="1" max="1" width="6" style="108" customWidth="1"/>
    <col min="2" max="2" width="107.77734375" style="108" customWidth="1"/>
    <col min="3" max="3" width="14.109375" style="107"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1681</v>
      </c>
      <c r="B8" s="228"/>
      <c r="C8" s="229"/>
      <c r="D8" s="229"/>
    </row>
    <row r="9" spans="1:16" s="10" customFormat="1" ht="19.2" x14ac:dyDescent="0.45">
      <c r="A9" s="227" t="s">
        <v>1682</v>
      </c>
      <c r="B9" s="228"/>
      <c r="C9" s="229"/>
      <c r="D9" s="229"/>
    </row>
    <row r="10" spans="1:16" s="10" customFormat="1" ht="19.2" x14ac:dyDescent="0.45">
      <c r="A10" s="227" t="s">
        <v>1683</v>
      </c>
      <c r="B10" s="228"/>
      <c r="C10" s="229"/>
      <c r="D10" s="229"/>
    </row>
    <row r="11" spans="1:16" s="10" customFormat="1" ht="19.2" x14ac:dyDescent="0.45">
      <c r="A11" s="227" t="s">
        <v>1684</v>
      </c>
      <c r="B11" s="228"/>
      <c r="C11" s="230"/>
      <c r="D11" s="229"/>
    </row>
    <row r="12" spans="1:16" s="10" customFormat="1" ht="15" customHeight="1" x14ac:dyDescent="0.45">
      <c r="A12" s="227" t="s">
        <v>6</v>
      </c>
      <c r="B12" s="228"/>
      <c r="C12" s="230"/>
      <c r="D12" s="229"/>
    </row>
    <row r="13" spans="1:16" s="10" customFormat="1" ht="15" customHeight="1" x14ac:dyDescent="0.45">
      <c r="A13" s="234" t="s">
        <v>1686</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882">
        <v>1</v>
      </c>
      <c r="B16" s="883" t="s">
        <v>1674</v>
      </c>
      <c r="C16" s="884">
        <v>33400</v>
      </c>
      <c r="D16" s="885">
        <f t="shared" ref="D16:D28" si="0">A16*C16</f>
        <v>33400</v>
      </c>
      <c r="E16" s="190"/>
      <c r="H16" s="191"/>
      <c r="I16" s="191"/>
      <c r="J16" s="191"/>
      <c r="K16" s="191"/>
      <c r="L16" s="191"/>
      <c r="M16" s="191"/>
      <c r="N16" s="191"/>
      <c r="O16" s="191"/>
      <c r="P16" s="191"/>
    </row>
    <row r="17" spans="1:16" s="191" customFormat="1" ht="15.6" x14ac:dyDescent="0.3">
      <c r="A17" s="894">
        <v>1</v>
      </c>
      <c r="B17" s="909" t="s">
        <v>1750</v>
      </c>
      <c r="C17" s="82">
        <f>(112297)*(1.35)</f>
        <v>151600.95000000001</v>
      </c>
      <c r="D17" s="83">
        <f t="shared" si="0"/>
        <v>151600.95000000001</v>
      </c>
      <c r="E17" s="190"/>
      <c r="F17" s="108"/>
      <c r="G17" s="108"/>
    </row>
    <row r="18" spans="1:16" s="191" customFormat="1" ht="15.6" x14ac:dyDescent="0.25">
      <c r="A18" s="77"/>
      <c r="B18" s="81" t="s">
        <v>1749</v>
      </c>
      <c r="C18" s="82"/>
      <c r="D18" s="83"/>
      <c r="E18" s="190"/>
      <c r="F18" s="108"/>
      <c r="G18" s="108"/>
    </row>
    <row r="19" spans="1:16" s="191" customFormat="1" ht="15.6" x14ac:dyDescent="0.25">
      <c r="A19" s="882"/>
      <c r="B19" s="895" t="s">
        <v>1716</v>
      </c>
      <c r="C19" s="884"/>
      <c r="D19" s="885"/>
      <c r="E19" s="190"/>
      <c r="F19" s="108"/>
      <c r="G19" s="108"/>
      <c r="M19" s="837"/>
    </row>
    <row r="20" spans="1:16" s="191" customFormat="1" ht="15.6" x14ac:dyDescent="0.3">
      <c r="A20" s="894">
        <v>1</v>
      </c>
      <c r="B20" s="890" t="s">
        <v>1708</v>
      </c>
      <c r="C20" s="892">
        <f>2892*1.3</f>
        <v>3759.6</v>
      </c>
      <c r="D20" s="885">
        <f t="shared" si="0"/>
        <v>3759.6</v>
      </c>
      <c r="E20" s="190"/>
      <c r="F20" s="108"/>
      <c r="G20" s="108"/>
      <c r="M20" s="108"/>
      <c r="N20" s="108"/>
      <c r="O20" s="108"/>
      <c r="P20" s="108"/>
    </row>
    <row r="21" spans="1:16" ht="15.6" x14ac:dyDescent="0.3">
      <c r="A21" s="894">
        <v>9</v>
      </c>
      <c r="B21" s="890" t="s">
        <v>1709</v>
      </c>
      <c r="C21" s="891">
        <f>450*1.3</f>
        <v>585</v>
      </c>
      <c r="D21" s="893">
        <f t="shared" si="0"/>
        <v>5265</v>
      </c>
      <c r="E21" s="190"/>
      <c r="H21" s="191"/>
      <c r="I21" s="191"/>
      <c r="J21" s="191"/>
      <c r="K21" s="191"/>
      <c r="L21" s="191"/>
    </row>
    <row r="22" spans="1:16" ht="15.6" x14ac:dyDescent="0.3">
      <c r="A22" s="894">
        <v>9</v>
      </c>
      <c r="B22" s="890" t="s">
        <v>1710</v>
      </c>
      <c r="C22" s="891">
        <f>2200*1.3</f>
        <v>2860</v>
      </c>
      <c r="D22" s="893">
        <f t="shared" si="0"/>
        <v>25740</v>
      </c>
      <c r="E22" s="190"/>
      <c r="H22" s="191"/>
      <c r="I22" s="191"/>
      <c r="J22" s="191"/>
      <c r="K22" s="191"/>
      <c r="L22" s="191"/>
    </row>
    <row r="23" spans="1:16" ht="15.6" x14ac:dyDescent="0.3">
      <c r="A23" s="894">
        <v>9</v>
      </c>
      <c r="B23" s="890" t="s">
        <v>1711</v>
      </c>
      <c r="C23" s="892">
        <f>410*1.3</f>
        <v>533</v>
      </c>
      <c r="D23" s="893">
        <f t="shared" si="0"/>
        <v>4797</v>
      </c>
      <c r="E23" s="190"/>
      <c r="H23" s="191"/>
      <c r="I23" s="191"/>
      <c r="J23" s="191"/>
      <c r="K23" s="191"/>
      <c r="L23" s="191"/>
      <c r="O23" s="392"/>
      <c r="P23" s="392"/>
    </row>
    <row r="24" spans="1:16" s="392" customFormat="1" ht="15.6" x14ac:dyDescent="0.3">
      <c r="A24" s="894">
        <v>1</v>
      </c>
      <c r="B24" s="890" t="s">
        <v>1712</v>
      </c>
      <c r="C24" s="892">
        <f>1382*1.3</f>
        <v>1796.6000000000001</v>
      </c>
      <c r="D24" s="893">
        <f t="shared" si="0"/>
        <v>1796.6000000000001</v>
      </c>
      <c r="E24" s="190"/>
      <c r="F24" s="108"/>
      <c r="G24" s="108"/>
      <c r="H24" s="191"/>
      <c r="I24" s="191"/>
      <c r="J24" s="191"/>
      <c r="K24" s="191"/>
      <c r="L24" s="191"/>
      <c r="M24" s="108"/>
      <c r="N24" s="108"/>
      <c r="O24" s="108"/>
      <c r="P24" s="108"/>
    </row>
    <row r="25" spans="1:16" ht="15.6" x14ac:dyDescent="0.3">
      <c r="A25" s="894">
        <v>1</v>
      </c>
      <c r="B25" s="890" t="s">
        <v>1713</v>
      </c>
      <c r="C25" s="892">
        <f>970*1.3</f>
        <v>1261</v>
      </c>
      <c r="D25" s="893">
        <f t="shared" si="0"/>
        <v>1261</v>
      </c>
      <c r="E25" s="189"/>
    </row>
    <row r="26" spans="1:16" ht="15.6" x14ac:dyDescent="0.3">
      <c r="A26" s="894">
        <v>1</v>
      </c>
      <c r="B26" s="890" t="s">
        <v>1714</v>
      </c>
      <c r="C26" s="892">
        <f>5800*1.3</f>
        <v>7540</v>
      </c>
      <c r="D26" s="893">
        <f t="shared" si="0"/>
        <v>7540</v>
      </c>
      <c r="E26" s="189"/>
    </row>
    <row r="27" spans="1:16" ht="15.6" x14ac:dyDescent="0.3">
      <c r="A27" s="894">
        <v>1</v>
      </c>
      <c r="B27" s="890" t="s">
        <v>1715</v>
      </c>
      <c r="C27" s="892">
        <f>850*1.3</f>
        <v>1105</v>
      </c>
      <c r="D27" s="893">
        <f t="shared" si="0"/>
        <v>1105</v>
      </c>
      <c r="E27" s="189"/>
    </row>
    <row r="28" spans="1:16" ht="15.6" x14ac:dyDescent="0.3">
      <c r="A28" s="896">
        <v>1</v>
      </c>
      <c r="B28" s="897" t="s">
        <v>1719</v>
      </c>
      <c r="C28" s="898">
        <f>2580*2</f>
        <v>5160</v>
      </c>
      <c r="D28" s="893">
        <f t="shared" si="0"/>
        <v>5160</v>
      </c>
      <c r="E28" s="803"/>
      <c r="F28" s="392"/>
      <c r="G28" s="392"/>
      <c r="H28" s="392"/>
      <c r="I28" s="392"/>
      <c r="J28" s="392"/>
      <c r="K28" s="392"/>
      <c r="L28" s="392"/>
      <c r="M28" s="392"/>
    </row>
    <row r="29" spans="1:16" ht="15.6" x14ac:dyDescent="0.25">
      <c r="A29" s="886">
        <v>1</v>
      </c>
      <c r="B29" s="887" t="s">
        <v>1675</v>
      </c>
      <c r="C29" s="888">
        <v>33400</v>
      </c>
      <c r="D29" s="889">
        <f>A29*C29</f>
        <v>33400</v>
      </c>
      <c r="N29" s="392"/>
    </row>
    <row r="30" spans="1:16" ht="30" x14ac:dyDescent="0.25">
      <c r="A30" s="77">
        <v>1</v>
      </c>
      <c r="B30" s="73" t="s">
        <v>1411</v>
      </c>
      <c r="C30" s="428">
        <v>7300</v>
      </c>
      <c r="D30" s="889">
        <f t="shared" ref="D30" si="1">A30*C30</f>
        <v>7300</v>
      </c>
    </row>
    <row r="31" spans="1:16" ht="30" x14ac:dyDescent="0.3">
      <c r="A31" s="72">
        <v>1</v>
      </c>
      <c r="B31" s="81" t="s">
        <v>1673</v>
      </c>
      <c r="C31" s="79">
        <f>16781</f>
        <v>16781</v>
      </c>
      <c r="D31" s="889">
        <f>A31*C31</f>
        <v>16781</v>
      </c>
      <c r="M31"/>
    </row>
    <row r="32" spans="1:16" ht="45" x14ac:dyDescent="0.25">
      <c r="A32" s="72">
        <v>1</v>
      </c>
      <c r="B32" s="81" t="s">
        <v>1751</v>
      </c>
      <c r="C32" s="79">
        <v>76000</v>
      </c>
      <c r="D32" s="889">
        <f t="shared" ref="D32:D36" si="2">A32*C32</f>
        <v>76000</v>
      </c>
    </row>
    <row r="33" spans="1:5" ht="15.6" x14ac:dyDescent="0.25">
      <c r="A33" s="72">
        <v>3</v>
      </c>
      <c r="B33" s="81" t="s">
        <v>1752</v>
      </c>
      <c r="C33" s="79">
        <v>6493.5</v>
      </c>
      <c r="D33" s="889">
        <f t="shared" si="2"/>
        <v>19480.5</v>
      </c>
      <c r="E33" s="189"/>
    </row>
    <row r="34" spans="1:5" ht="15.6" x14ac:dyDescent="0.25">
      <c r="A34" s="72">
        <v>2</v>
      </c>
      <c r="B34" s="81" t="s">
        <v>1753</v>
      </c>
      <c r="C34" s="79">
        <v>2832</v>
      </c>
      <c r="D34" s="889">
        <f t="shared" si="2"/>
        <v>5664</v>
      </c>
      <c r="E34" s="189"/>
    </row>
    <row r="35" spans="1:5" ht="15.6" x14ac:dyDescent="0.25">
      <c r="A35" s="72">
        <v>2</v>
      </c>
      <c r="B35" s="81" t="s">
        <v>1754</v>
      </c>
      <c r="C35" s="79">
        <v>320</v>
      </c>
      <c r="D35" s="889">
        <f t="shared" si="2"/>
        <v>640</v>
      </c>
      <c r="E35" s="189"/>
    </row>
    <row r="36" spans="1:5" ht="15.6" x14ac:dyDescent="0.25">
      <c r="A36" s="84">
        <v>1</v>
      </c>
      <c r="B36" s="85" t="s">
        <v>208</v>
      </c>
      <c r="C36" s="88">
        <f>(8900)*(1.51)</f>
        <v>13439</v>
      </c>
      <c r="D36" s="889">
        <f t="shared" si="2"/>
        <v>13439</v>
      </c>
    </row>
    <row r="37" spans="1:5" ht="45" x14ac:dyDescent="0.25">
      <c r="A37" s="422">
        <v>1</v>
      </c>
      <c r="B37" s="423" t="s">
        <v>139</v>
      </c>
      <c r="C37" s="74">
        <v>37861</v>
      </c>
      <c r="D37" s="425">
        <f>A37*C37</f>
        <v>37861</v>
      </c>
    </row>
    <row r="38" spans="1:5" ht="30" x14ac:dyDescent="0.25">
      <c r="A38" s="77">
        <v>2</v>
      </c>
      <c r="B38" s="81" t="s">
        <v>1676</v>
      </c>
      <c r="C38" s="79">
        <v>4380</v>
      </c>
      <c r="D38" s="889">
        <f>A38*C38</f>
        <v>8760</v>
      </c>
      <c r="E38" s="189"/>
    </row>
    <row r="39" spans="1:5" ht="15.6" x14ac:dyDescent="0.25">
      <c r="A39" s="77">
        <v>2</v>
      </c>
      <c r="B39" s="81" t="s">
        <v>85</v>
      </c>
      <c r="C39" s="79">
        <v>2213</v>
      </c>
      <c r="D39" s="889">
        <f>A39*C39</f>
        <v>4426</v>
      </c>
      <c r="E39" s="189"/>
    </row>
    <row r="40" spans="1:5" ht="15.6" x14ac:dyDescent="0.25">
      <c r="A40" s="77"/>
      <c r="B40" s="868"/>
      <c r="C40" s="869"/>
      <c r="D40" s="83"/>
    </row>
    <row r="41" spans="1:5" ht="15.6" x14ac:dyDescent="0.3">
      <c r="A41" s="867"/>
      <c r="B41" s="899" t="s">
        <v>1717</v>
      </c>
      <c r="C41" s="475" t="s">
        <v>160</v>
      </c>
      <c r="D41" s="900">
        <f>SUM(D15:D40)</f>
        <v>465176.65</v>
      </c>
    </row>
    <row r="42" spans="1:5" ht="15.6" x14ac:dyDescent="0.3">
      <c r="A42" s="847"/>
      <c r="B42" s="899" t="s">
        <v>1718</v>
      </c>
      <c r="C42" s="475" t="s">
        <v>392</v>
      </c>
      <c r="D42" s="900">
        <f>D41*0.16</f>
        <v>74428.26400000001</v>
      </c>
    </row>
    <row r="43" spans="1:5" ht="16.2" thickBot="1" x14ac:dyDescent="0.35">
      <c r="A43" s="847"/>
      <c r="B43" s="851"/>
      <c r="C43" s="475" t="s">
        <v>162</v>
      </c>
      <c r="D43" s="900">
        <f>D41+D42</f>
        <v>539604.91399999999</v>
      </c>
    </row>
    <row r="44" spans="1:5" ht="16.2" thickBot="1" x14ac:dyDescent="0.3">
      <c r="A44" s="851"/>
      <c r="B44" s="872" t="s">
        <v>1720</v>
      </c>
      <c r="C44" s="873"/>
      <c r="D44" s="874"/>
    </row>
    <row r="45" spans="1:5" ht="15" x14ac:dyDescent="0.25">
      <c r="A45" s="854"/>
      <c r="B45" s="201"/>
      <c r="C45" s="911"/>
      <c r="D45" s="912"/>
    </row>
    <row r="46" spans="1:5" ht="15.6" x14ac:dyDescent="0.25">
      <c r="A46" s="102"/>
      <c r="B46" s="910" t="s">
        <v>9</v>
      </c>
      <c r="C46" s="913" t="s">
        <v>1755</v>
      </c>
      <c r="D46" s="913">
        <v>48157.279999999999</v>
      </c>
      <c r="E46" s="189"/>
    </row>
    <row r="47" spans="1:5" ht="15.6" x14ac:dyDescent="0.25">
      <c r="A47" s="102"/>
      <c r="B47" s="838"/>
      <c r="C47" s="913" t="s">
        <v>1756</v>
      </c>
      <c r="D47" s="913">
        <v>123100</v>
      </c>
      <c r="E47" s="189"/>
    </row>
    <row r="48" spans="1:5" ht="15.6" x14ac:dyDescent="0.3">
      <c r="A48" s="102"/>
      <c r="B48" s="100" t="s">
        <v>11</v>
      </c>
      <c r="C48" s="914" t="s">
        <v>1757</v>
      </c>
      <c r="D48" s="919">
        <f>SUM(D46:D47)</f>
        <v>171257.28</v>
      </c>
    </row>
    <row r="49" spans="1:5" ht="15" x14ac:dyDescent="0.25">
      <c r="A49" s="106"/>
      <c r="B49" s="121" t="s">
        <v>1620</v>
      </c>
      <c r="D49" s="105"/>
    </row>
    <row r="50" spans="1:5" ht="12.75" customHeight="1" thickBot="1" x14ac:dyDescent="0.3">
      <c r="A50" s="106"/>
      <c r="B50" s="121" t="s">
        <v>13</v>
      </c>
      <c r="C50" s="862"/>
      <c r="D50" s="916"/>
    </row>
    <row r="51" spans="1:5" ht="18" thickBot="1" x14ac:dyDescent="0.3">
      <c r="A51" s="106"/>
      <c r="B51" s="915" t="s">
        <v>14</v>
      </c>
      <c r="C51" s="917" t="s">
        <v>1758</v>
      </c>
      <c r="D51" s="918">
        <f>D43-D48</f>
        <v>368347.63399999996</v>
      </c>
      <c r="E51" s="189"/>
    </row>
    <row r="52" spans="1:5" ht="15" x14ac:dyDescent="0.25">
      <c r="A52" s="106"/>
      <c r="B52" s="103" t="s">
        <v>15</v>
      </c>
      <c r="C52" s="462"/>
      <c r="D52" s="462"/>
    </row>
    <row r="53" spans="1:5" ht="13.8" x14ac:dyDescent="0.25">
      <c r="B53" s="855"/>
    </row>
    <row r="54" spans="1:5" ht="27.6" x14ac:dyDescent="0.25">
      <c r="A54" s="106"/>
      <c r="B54" s="125" t="s">
        <v>17</v>
      </c>
      <c r="C54" s="109"/>
      <c r="D54" s="110"/>
    </row>
    <row r="55" spans="1:5" ht="15" x14ac:dyDescent="0.25">
      <c r="A55" s="106"/>
      <c r="B55" s="103" t="s">
        <v>18</v>
      </c>
      <c r="C55" s="109"/>
      <c r="D55" s="110"/>
    </row>
    <row r="56" spans="1:5" ht="15" x14ac:dyDescent="0.25">
      <c r="A56" s="106"/>
      <c r="B56" s="856" t="s">
        <v>1760</v>
      </c>
      <c r="C56" s="109"/>
      <c r="D56" s="109"/>
    </row>
    <row r="57" spans="1:5" ht="15" x14ac:dyDescent="0.25">
      <c r="A57" s="106"/>
      <c r="B57" s="127" t="s">
        <v>20</v>
      </c>
      <c r="C57" s="109"/>
      <c r="D57" s="109"/>
    </row>
    <row r="58" spans="1:5" ht="15.75" customHeight="1" x14ac:dyDescent="0.25">
      <c r="A58" s="106"/>
      <c r="B58" s="103" t="s">
        <v>21</v>
      </c>
      <c r="D58" s="105"/>
    </row>
    <row r="59" spans="1:5" ht="15" customHeight="1" x14ac:dyDescent="0.25">
      <c r="B59" s="484" t="s">
        <v>1759</v>
      </c>
      <c r="C59" s="109"/>
      <c r="D59" s="110"/>
    </row>
    <row r="60" spans="1:5" ht="15" x14ac:dyDescent="0.25">
      <c r="A60" s="106"/>
      <c r="B60" s="121" t="s">
        <v>44</v>
      </c>
      <c r="C60" s="109"/>
      <c r="D60" s="110"/>
    </row>
    <row r="61" spans="1:5" ht="15" x14ac:dyDescent="0.25">
      <c r="A61" s="106"/>
      <c r="B61" s="121" t="s">
        <v>45</v>
      </c>
      <c r="C61" s="109"/>
    </row>
    <row r="62" spans="1:5" ht="33.6" x14ac:dyDescent="0.4">
      <c r="A62" s="115" t="s">
        <v>0</v>
      </c>
      <c r="B62" s="128" t="s">
        <v>169</v>
      </c>
      <c r="C62" s="220"/>
      <c r="D62" s="108"/>
    </row>
    <row r="63" spans="1:5" x14ac:dyDescent="0.25">
      <c r="A63" s="222"/>
      <c r="B63" s="181"/>
      <c r="C63" s="181"/>
      <c r="D63" s="108"/>
    </row>
    <row r="64" spans="1:5" x14ac:dyDescent="0.25">
      <c r="A64" s="222"/>
      <c r="B64" s="181"/>
      <c r="C64" s="181"/>
      <c r="D64" s="108"/>
    </row>
    <row r="65" spans="1:4" x14ac:dyDescent="0.25">
      <c r="A65" s="222"/>
      <c r="B65" s="223"/>
      <c r="C65" s="181"/>
      <c r="D65" s="108"/>
    </row>
    <row r="66" spans="1:4" ht="15" x14ac:dyDescent="0.35">
      <c r="A66" s="225"/>
      <c r="B66" s="224"/>
      <c r="C66" s="181"/>
      <c r="D66" s="181"/>
    </row>
    <row r="67" spans="1:4" x14ac:dyDescent="0.25">
      <c r="A67" s="226" t="s">
        <v>0</v>
      </c>
    </row>
    <row r="68" spans="1:4" x14ac:dyDescent="0.25">
      <c r="A68" s="108" t="s">
        <v>0</v>
      </c>
    </row>
  </sheetData>
  <mergeCells count="2">
    <mergeCell ref="A4:D4"/>
    <mergeCell ref="A14:D14"/>
  </mergeCells>
  <printOptions horizontalCentered="1"/>
  <pageMargins left="0.25" right="0.25" top="0.75" bottom="0.75" header="0.3" footer="0.3"/>
  <pageSetup paperSize="9" scale="54" fitToWidth="0" orientation="portrait" r:id="rId1"/>
  <headerFooter alignWithMargins="0">
    <oddFooter>Página &amp;P de &amp;N</oddFooter>
  </headerFooter>
  <drawing r:id="rId2"/>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5363-9099-4909-9817-57ACEF5FB317}">
  <sheetPr>
    <tabColor theme="4" tint="-0.249977111117893"/>
    <pageSetUpPr fitToPage="1"/>
  </sheetPr>
  <dimension ref="A1:P59"/>
  <sheetViews>
    <sheetView topLeftCell="A4" zoomScale="85" zoomScaleNormal="85" workbookViewId="0">
      <selection activeCell="L22" sqref="L22"/>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982</v>
      </c>
      <c r="B8" s="228"/>
      <c r="C8" s="229"/>
      <c r="D8" s="229"/>
      <c r="E8" s="228"/>
      <c r="F8" s="228"/>
    </row>
    <row r="9" spans="1:16" s="10" customFormat="1" ht="19.2" x14ac:dyDescent="0.45">
      <c r="A9" s="227" t="s">
        <v>983</v>
      </c>
      <c r="B9" s="228"/>
      <c r="C9" s="229"/>
      <c r="D9" s="229"/>
      <c r="E9" s="228"/>
      <c r="F9" s="228"/>
    </row>
    <row r="10" spans="1:16" s="10" customFormat="1" ht="19.2" x14ac:dyDescent="0.45">
      <c r="A10" s="227" t="s">
        <v>984</v>
      </c>
      <c r="B10" s="228"/>
      <c r="C10" s="230"/>
      <c r="D10" s="229"/>
      <c r="E10" s="228"/>
      <c r="F10" s="228"/>
    </row>
    <row r="11" spans="1:16" s="10" customFormat="1" ht="19.2" x14ac:dyDescent="0.45">
      <c r="A11" s="227" t="s">
        <v>985</v>
      </c>
      <c r="B11" s="228"/>
      <c r="C11" s="230"/>
      <c r="D11" s="229"/>
      <c r="E11" s="228"/>
      <c r="F11" s="228"/>
    </row>
    <row r="12" spans="1:16" s="10" customFormat="1" ht="15" customHeight="1" x14ac:dyDescent="0.45">
      <c r="A12" s="227" t="s">
        <v>6</v>
      </c>
      <c r="B12" s="231"/>
      <c r="C12" s="232"/>
      <c r="D12" s="233"/>
      <c r="E12" s="228"/>
      <c r="F12" s="228"/>
    </row>
    <row r="13" spans="1:16" s="10" customFormat="1" ht="15" customHeight="1" x14ac:dyDescent="0.45">
      <c r="A13" s="234" t="s">
        <v>1768</v>
      </c>
      <c r="B13" s="231"/>
      <c r="C13" s="232"/>
      <c r="D13" s="233"/>
      <c r="E13" s="228"/>
      <c r="F13" s="22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882">
        <v>1</v>
      </c>
      <c r="B16" s="883" t="s">
        <v>1761</v>
      </c>
      <c r="C16" s="884">
        <v>12500</v>
      </c>
      <c r="D16" s="885">
        <f t="shared" ref="D16:D25" si="0">A16*C16</f>
        <v>12500</v>
      </c>
      <c r="E16" s="190"/>
      <c r="H16" s="191"/>
      <c r="I16" s="191"/>
      <c r="J16" s="191"/>
      <c r="K16" s="191"/>
      <c r="L16" s="191"/>
      <c r="M16" s="191"/>
      <c r="N16" s="191"/>
      <c r="O16" s="191"/>
      <c r="P16" s="191"/>
    </row>
    <row r="17" spans="1:16" s="191" customFormat="1" ht="15.6" x14ac:dyDescent="0.25">
      <c r="A17" s="882"/>
      <c r="B17" s="895" t="s">
        <v>1716</v>
      </c>
      <c r="C17" s="884"/>
      <c r="D17" s="885"/>
      <c r="E17" s="190"/>
      <c r="F17" s="108"/>
      <c r="G17" s="108"/>
    </row>
    <row r="18" spans="1:16" s="191" customFormat="1" ht="15.6" x14ac:dyDescent="0.3">
      <c r="A18" s="894">
        <v>1</v>
      </c>
      <c r="B18" s="890" t="s">
        <v>1708</v>
      </c>
      <c r="C18" s="892">
        <f>6800*3</f>
        <v>20400</v>
      </c>
      <c r="D18" s="885">
        <f t="shared" si="0"/>
        <v>20400</v>
      </c>
      <c r="E18" s="190"/>
      <c r="F18" s="108"/>
      <c r="G18" s="108"/>
    </row>
    <row r="19" spans="1:16" s="191" customFormat="1" ht="15.6" x14ac:dyDescent="0.3">
      <c r="A19" s="894"/>
      <c r="B19" s="890" t="s">
        <v>1709</v>
      </c>
      <c r="C19" s="891"/>
      <c r="D19" s="893"/>
      <c r="E19" s="190"/>
      <c r="F19" s="108"/>
      <c r="G19" s="108"/>
      <c r="M19" s="837"/>
    </row>
    <row r="20" spans="1:16" s="191" customFormat="1" ht="15.6" x14ac:dyDescent="0.3">
      <c r="A20" s="894"/>
      <c r="B20" s="890" t="s">
        <v>1710</v>
      </c>
      <c r="C20" s="891"/>
      <c r="D20" s="893"/>
      <c r="E20" s="190"/>
      <c r="F20" s="108"/>
      <c r="G20" s="108"/>
      <c r="M20" s="108"/>
      <c r="N20" s="108"/>
      <c r="O20" s="108"/>
      <c r="P20" s="108"/>
    </row>
    <row r="21" spans="1:16" ht="15.6" x14ac:dyDescent="0.3">
      <c r="A21" s="894"/>
      <c r="B21" s="890" t="s">
        <v>1711</v>
      </c>
      <c r="C21" s="892"/>
      <c r="D21" s="893"/>
      <c r="E21" s="190"/>
      <c r="H21" s="191"/>
      <c r="I21" s="191"/>
      <c r="J21" s="191"/>
      <c r="K21" s="191"/>
      <c r="L21" s="191"/>
    </row>
    <row r="22" spans="1:16" ht="15.6" x14ac:dyDescent="0.3">
      <c r="A22" s="894"/>
      <c r="B22" s="890" t="s">
        <v>1712</v>
      </c>
      <c r="C22" s="892"/>
      <c r="D22" s="893"/>
      <c r="E22" s="190"/>
      <c r="H22" s="191"/>
      <c r="I22" s="191"/>
      <c r="J22" s="191"/>
      <c r="K22" s="191"/>
      <c r="L22" s="191"/>
    </row>
    <row r="23" spans="1:16" ht="15.6" x14ac:dyDescent="0.3">
      <c r="A23" s="894"/>
      <c r="B23" s="890" t="s">
        <v>1714</v>
      </c>
      <c r="C23" s="892"/>
      <c r="D23" s="893"/>
      <c r="E23" s="190"/>
      <c r="H23" s="191"/>
      <c r="I23" s="191"/>
      <c r="J23" s="191"/>
      <c r="K23" s="191"/>
      <c r="L23" s="191"/>
      <c r="O23" s="392"/>
      <c r="P23" s="392"/>
    </row>
    <row r="24" spans="1:16" s="392" customFormat="1" ht="15.6" x14ac:dyDescent="0.3">
      <c r="A24" s="894"/>
      <c r="B24" s="890" t="s">
        <v>1715</v>
      </c>
      <c r="C24" s="892"/>
      <c r="D24" s="893"/>
      <c r="E24" s="189"/>
      <c r="F24" s="108"/>
      <c r="G24" s="108"/>
      <c r="H24" s="108"/>
      <c r="I24" s="108"/>
      <c r="J24" s="108"/>
      <c r="K24" s="108"/>
      <c r="L24" s="108"/>
      <c r="M24" s="108"/>
      <c r="N24" s="108"/>
      <c r="O24" s="108"/>
      <c r="P24" s="108"/>
    </row>
    <row r="25" spans="1:16" ht="15.6" x14ac:dyDescent="0.3">
      <c r="A25" s="896">
        <v>1</v>
      </c>
      <c r="B25" s="897" t="s">
        <v>1719</v>
      </c>
      <c r="C25" s="898">
        <f>3500*2+1300</f>
        <v>8300</v>
      </c>
      <c r="D25" s="893">
        <f t="shared" si="0"/>
        <v>8300</v>
      </c>
      <c r="E25" s="189"/>
    </row>
    <row r="26" spans="1:16" ht="15.6" x14ac:dyDescent="0.25">
      <c r="A26" s="886">
        <v>1</v>
      </c>
      <c r="B26" s="883" t="s">
        <v>1762</v>
      </c>
      <c r="C26" s="888">
        <v>12500</v>
      </c>
      <c r="D26" s="889">
        <f>A26*C26</f>
        <v>12500</v>
      </c>
      <c r="E26" s="189"/>
    </row>
    <row r="27" spans="1:16" ht="30" x14ac:dyDescent="0.25">
      <c r="A27" s="77">
        <v>1</v>
      </c>
      <c r="B27" s="81" t="s">
        <v>1676</v>
      </c>
      <c r="C27" s="79">
        <v>3580</v>
      </c>
      <c r="D27" s="889">
        <f t="shared" ref="D27:D29" si="1">A27*C27</f>
        <v>3580</v>
      </c>
    </row>
    <row r="28" spans="1:16" ht="15.6" x14ac:dyDescent="0.25">
      <c r="A28" s="77">
        <v>1</v>
      </c>
      <c r="B28" s="81" t="s">
        <v>1763</v>
      </c>
      <c r="C28" s="79">
        <v>3150</v>
      </c>
      <c r="D28" s="889">
        <f t="shared" si="1"/>
        <v>3150</v>
      </c>
      <c r="N28" s="392"/>
    </row>
    <row r="29" spans="1:16" ht="15.6" x14ac:dyDescent="0.25">
      <c r="A29" s="77">
        <v>1</v>
      </c>
      <c r="B29" s="81" t="s">
        <v>1764</v>
      </c>
      <c r="C29" s="79">
        <v>1670</v>
      </c>
      <c r="D29" s="889">
        <f t="shared" si="1"/>
        <v>1670</v>
      </c>
    </row>
    <row r="30" spans="1:16" ht="15.6" x14ac:dyDescent="0.25">
      <c r="A30" s="77"/>
      <c r="B30" s="868"/>
      <c r="C30" s="869"/>
      <c r="D30" s="83"/>
      <c r="E30" s="189"/>
    </row>
    <row r="31" spans="1:16" ht="15.6" x14ac:dyDescent="0.3">
      <c r="A31" s="867"/>
      <c r="B31" s="899" t="s">
        <v>1765</v>
      </c>
      <c r="C31" s="475" t="s">
        <v>160</v>
      </c>
      <c r="D31" s="900">
        <f>SUM(D15:D30)</f>
        <v>62100</v>
      </c>
      <c r="E31" s="189"/>
    </row>
    <row r="32" spans="1:16" ht="15.6" x14ac:dyDescent="0.3">
      <c r="A32" s="847"/>
      <c r="B32" s="899" t="s">
        <v>1766</v>
      </c>
      <c r="C32" s="475" t="s">
        <v>392</v>
      </c>
      <c r="D32" s="900">
        <f>D31*0.16</f>
        <v>9936</v>
      </c>
      <c r="E32" s="189"/>
    </row>
    <row r="33" spans="1:5" ht="16.2" thickBot="1" x14ac:dyDescent="0.35">
      <c r="A33" s="847"/>
      <c r="B33" s="851"/>
      <c r="C33" s="475" t="s">
        <v>162</v>
      </c>
      <c r="D33" s="900">
        <f>D31+D32</f>
        <v>72036</v>
      </c>
    </row>
    <row r="34" spans="1:5" ht="16.2" thickBot="1" x14ac:dyDescent="0.3">
      <c r="A34" s="851"/>
      <c r="B34" s="872" t="s">
        <v>1767</v>
      </c>
      <c r="C34" s="873"/>
      <c r="D34" s="874"/>
    </row>
    <row r="35" spans="1:5" ht="15" x14ac:dyDescent="0.25">
      <c r="A35" s="854"/>
      <c r="B35" s="201"/>
      <c r="C35" s="253"/>
      <c r="D35" s="254"/>
      <c r="E35" s="189"/>
    </row>
    <row r="36" spans="1:5" ht="13.8" x14ac:dyDescent="0.25">
      <c r="A36" s="102"/>
      <c r="B36" s="100" t="s">
        <v>9</v>
      </c>
      <c r="C36" s="104"/>
      <c r="D36" s="105"/>
      <c r="E36" s="189"/>
    </row>
    <row r="37" spans="1:5" ht="15.6" x14ac:dyDescent="0.25">
      <c r="A37" s="102"/>
      <c r="B37" s="838"/>
      <c r="C37" s="104"/>
      <c r="D37" s="105"/>
    </row>
    <row r="38" spans="1:5" ht="13.8" x14ac:dyDescent="0.25">
      <c r="A38" s="102"/>
      <c r="B38" s="100" t="s">
        <v>11</v>
      </c>
      <c r="D38" s="105"/>
    </row>
    <row r="39" spans="1:5" ht="15" x14ac:dyDescent="0.25">
      <c r="A39" s="106"/>
      <c r="B39" s="121" t="s">
        <v>394</v>
      </c>
      <c r="D39" s="105"/>
    </row>
    <row r="40" spans="1:5" ht="15" x14ac:dyDescent="0.25">
      <c r="A40" s="106"/>
      <c r="B40" s="121" t="s">
        <v>13</v>
      </c>
      <c r="D40" s="105"/>
    </row>
    <row r="41" spans="1:5" ht="15" x14ac:dyDescent="0.25">
      <c r="A41" s="106"/>
      <c r="B41" s="121" t="s">
        <v>14</v>
      </c>
      <c r="D41" s="105"/>
    </row>
    <row r="42" spans="1:5" ht="15" x14ac:dyDescent="0.25">
      <c r="A42" s="106"/>
      <c r="B42" s="103" t="s">
        <v>15</v>
      </c>
    </row>
    <row r="43" spans="1:5" ht="27.6" x14ac:dyDescent="0.25">
      <c r="B43" s="855" t="s">
        <v>1678</v>
      </c>
    </row>
    <row r="44" spans="1:5" ht="27.6" x14ac:dyDescent="0.25">
      <c r="A44" s="106"/>
      <c r="B44" s="125" t="s">
        <v>17</v>
      </c>
      <c r="C44" s="109"/>
      <c r="D44" s="110"/>
    </row>
    <row r="45" spans="1:5" ht="15" x14ac:dyDescent="0.25">
      <c r="A45" s="106"/>
      <c r="B45" s="103" t="s">
        <v>18</v>
      </c>
      <c r="C45" s="109"/>
      <c r="D45" s="110"/>
    </row>
    <row r="46" spans="1:5" ht="15" x14ac:dyDescent="0.25">
      <c r="A46" s="106"/>
      <c r="B46" s="856" t="s">
        <v>1721</v>
      </c>
      <c r="C46" s="109"/>
      <c r="D46" s="109"/>
    </row>
    <row r="47" spans="1:5" ht="15" x14ac:dyDescent="0.25">
      <c r="A47" s="106"/>
      <c r="B47" s="127" t="s">
        <v>20</v>
      </c>
      <c r="C47" s="109"/>
      <c r="D47" s="109"/>
    </row>
    <row r="48" spans="1:5" ht="15" x14ac:dyDescent="0.25">
      <c r="A48" s="106"/>
      <c r="B48" s="103" t="s">
        <v>21</v>
      </c>
      <c r="D48" s="105"/>
    </row>
    <row r="49" spans="1:4" ht="13.8" x14ac:dyDescent="0.25">
      <c r="B49" s="484" t="s">
        <v>1677</v>
      </c>
      <c r="C49" s="109"/>
      <c r="D49" s="110"/>
    </row>
    <row r="50" spans="1:4" ht="12.75" customHeight="1" x14ac:dyDescent="0.25">
      <c r="A50" s="106"/>
      <c r="B50" s="121" t="s">
        <v>44</v>
      </c>
      <c r="C50" s="109"/>
      <c r="D50" s="110"/>
    </row>
    <row r="51" spans="1:4" ht="15" x14ac:dyDescent="0.25">
      <c r="A51" s="106"/>
      <c r="B51" s="121" t="s">
        <v>45</v>
      </c>
      <c r="C51" s="109"/>
    </row>
    <row r="52" spans="1:4" ht="50.4" x14ac:dyDescent="0.4">
      <c r="A52" s="115" t="s">
        <v>0</v>
      </c>
      <c r="B52" s="128" t="s">
        <v>169</v>
      </c>
      <c r="C52" s="220"/>
      <c r="D52" s="108"/>
    </row>
    <row r="53" spans="1:4" x14ac:dyDescent="0.25">
      <c r="A53" s="222"/>
      <c r="B53" s="181"/>
      <c r="C53" s="181"/>
      <c r="D53" s="108"/>
    </row>
    <row r="54" spans="1:4" ht="16.5" customHeight="1" x14ac:dyDescent="0.25">
      <c r="A54" s="222"/>
      <c r="B54" s="181"/>
      <c r="C54" s="181"/>
      <c r="D54" s="108"/>
    </row>
    <row r="55" spans="1:4" x14ac:dyDescent="0.25">
      <c r="A55" s="222"/>
      <c r="B55" s="223"/>
      <c r="C55" s="181"/>
      <c r="D55" s="108"/>
    </row>
    <row r="56" spans="1:4" ht="15" x14ac:dyDescent="0.35">
      <c r="A56" s="225"/>
      <c r="B56" s="224"/>
      <c r="C56" s="181"/>
      <c r="D56" s="181"/>
    </row>
    <row r="57" spans="1:4" x14ac:dyDescent="0.25">
      <c r="A57" s="226" t="s">
        <v>0</v>
      </c>
    </row>
    <row r="58" spans="1:4" ht="15.75" customHeight="1" x14ac:dyDescent="0.25">
      <c r="A58" s="108" t="s">
        <v>0</v>
      </c>
    </row>
    <row r="59" spans="1:4" ht="15" customHeight="1" x14ac:dyDescent="0.25"/>
  </sheetData>
  <mergeCells count="2">
    <mergeCell ref="A4:D4"/>
    <mergeCell ref="A14:D14"/>
  </mergeCells>
  <printOptions horizontalCentered="1"/>
  <pageMargins left="0" right="0" top="0" bottom="0" header="0" footer="0"/>
  <pageSetup paperSize="9" scale="74" fitToWidth="0" orientation="portrait" r:id="rId1"/>
  <headerFooter alignWithMargins="0">
    <oddFooter>Página &amp;P de &amp;N</oddFooter>
  </headerFooter>
  <drawing r:id="rId2"/>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5C84-5AC0-4E7A-9131-71E908395329}">
  <sheetPr>
    <tabColor theme="4" tint="-0.249977111117893"/>
    <pageSetUpPr fitToPage="1"/>
  </sheetPr>
  <dimension ref="A1:P59"/>
  <sheetViews>
    <sheetView zoomScale="85" zoomScaleNormal="85" workbookViewId="0">
      <selection activeCell="A18" sqref="A18:D18"/>
    </sheetView>
  </sheetViews>
  <sheetFormatPr baseColWidth="10" defaultColWidth="11.44140625" defaultRowHeight="13.2" x14ac:dyDescent="0.25"/>
  <cols>
    <col min="1" max="1" width="6" style="108" customWidth="1"/>
    <col min="2" max="2" width="107.777343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1809</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3">
      <c r="A16" s="894">
        <v>1</v>
      </c>
      <c r="B16" s="909" t="s">
        <v>1789</v>
      </c>
      <c r="C16" s="82">
        <f>(94505)*(1.35)</f>
        <v>127581.75000000001</v>
      </c>
      <c r="D16" s="83">
        <f t="shared" ref="D16:D18" si="0">A16*C16</f>
        <v>127581.75000000001</v>
      </c>
      <c r="E16" s="190"/>
      <c r="H16" s="191"/>
      <c r="I16" s="191"/>
      <c r="J16" s="191"/>
      <c r="K16" s="191"/>
      <c r="L16" s="191"/>
      <c r="M16" s="191"/>
      <c r="N16" s="191"/>
      <c r="O16" s="191"/>
      <c r="P16" s="191"/>
    </row>
    <row r="17" spans="1:16" s="191" customFormat="1" ht="15.6" x14ac:dyDescent="0.25">
      <c r="A17" s="77"/>
      <c r="B17" s="81" t="s">
        <v>1790</v>
      </c>
      <c r="C17" s="82"/>
      <c r="D17" s="83"/>
      <c r="E17" s="190"/>
      <c r="F17" s="108"/>
      <c r="G17" s="108"/>
    </row>
    <row r="18" spans="1:16" s="191" customFormat="1" ht="15.6" x14ac:dyDescent="0.3">
      <c r="A18" s="894">
        <v>1</v>
      </c>
      <c r="B18" s="890" t="s">
        <v>1791</v>
      </c>
      <c r="C18" s="892">
        <f>77216*1.3</f>
        <v>100380.8</v>
      </c>
      <c r="D18" s="885">
        <f t="shared" si="0"/>
        <v>100380.8</v>
      </c>
      <c r="E18" s="190"/>
      <c r="F18" s="108"/>
      <c r="G18" s="108"/>
      <c r="M18" s="837"/>
    </row>
    <row r="19" spans="1:16" s="191" customFormat="1" ht="15.6" x14ac:dyDescent="0.3">
      <c r="A19" s="896">
        <v>135</v>
      </c>
      <c r="B19" s="897" t="s">
        <v>1793</v>
      </c>
      <c r="C19" s="961"/>
      <c r="D19" s="80"/>
      <c r="E19" s="190"/>
      <c r="F19" s="108"/>
      <c r="G19" s="108"/>
      <c r="M19" s="108"/>
    </row>
    <row r="20" spans="1:16" s="191" customFormat="1" ht="15.6" x14ac:dyDescent="0.3">
      <c r="A20" s="896">
        <v>120</v>
      </c>
      <c r="B20" s="897" t="s">
        <v>1794</v>
      </c>
      <c r="C20" s="961"/>
      <c r="D20" s="80"/>
      <c r="E20" s="190"/>
      <c r="F20" s="108"/>
      <c r="G20" s="108"/>
      <c r="M20" s="108"/>
      <c r="N20" s="108"/>
      <c r="O20" s="108"/>
      <c r="P20" s="108"/>
    </row>
    <row r="21" spans="1:16" ht="15.6" x14ac:dyDescent="0.3">
      <c r="A21" s="896"/>
      <c r="B21" s="897" t="s">
        <v>1795</v>
      </c>
      <c r="C21" s="961"/>
      <c r="D21" s="80"/>
      <c r="E21" s="190"/>
      <c r="H21" s="191"/>
      <c r="I21" s="191"/>
      <c r="J21" s="191"/>
      <c r="K21" s="191"/>
      <c r="L21" s="191"/>
    </row>
    <row r="22" spans="1:16" ht="15.6" x14ac:dyDescent="0.3">
      <c r="A22" s="896"/>
      <c r="B22" s="897" t="s">
        <v>1796</v>
      </c>
      <c r="C22" s="961"/>
      <c r="D22" s="80"/>
      <c r="E22" s="190"/>
      <c r="H22" s="191"/>
      <c r="I22" s="191"/>
      <c r="J22" s="191"/>
      <c r="K22" s="191"/>
      <c r="L22" s="191"/>
      <c r="M22"/>
    </row>
    <row r="23" spans="1:16" ht="15.6" x14ac:dyDescent="0.3">
      <c r="A23" s="896"/>
      <c r="B23" s="897" t="s">
        <v>1797</v>
      </c>
      <c r="C23" s="961"/>
      <c r="D23" s="80"/>
      <c r="E23" s="190"/>
      <c r="H23" s="191"/>
      <c r="I23" s="191"/>
      <c r="J23" s="191"/>
      <c r="K23" s="191"/>
      <c r="L23" s="191"/>
      <c r="O23" s="392"/>
      <c r="P23" s="392"/>
    </row>
    <row r="24" spans="1:16" s="392" customFormat="1" ht="15.6" x14ac:dyDescent="0.25">
      <c r="A24" s="886">
        <v>1</v>
      </c>
      <c r="B24" s="887" t="s">
        <v>1792</v>
      </c>
      <c r="C24" s="962">
        <f>130*90+4000</f>
        <v>15700</v>
      </c>
      <c r="D24" s="80">
        <f>A24*C24</f>
        <v>15700</v>
      </c>
      <c r="E24" s="189"/>
      <c r="F24" s="108"/>
      <c r="G24" s="108"/>
      <c r="H24" s="108"/>
      <c r="I24" s="108"/>
      <c r="J24" s="108"/>
      <c r="K24" s="108"/>
      <c r="L24" s="108"/>
      <c r="M24" s="108"/>
      <c r="N24" s="108"/>
      <c r="O24" s="108"/>
      <c r="P24" s="108"/>
    </row>
    <row r="25" spans="1:16" ht="30" x14ac:dyDescent="0.25">
      <c r="A25" s="77">
        <v>1</v>
      </c>
      <c r="B25" s="81" t="s">
        <v>1676</v>
      </c>
      <c r="C25" s="79">
        <v>4380</v>
      </c>
      <c r="D25" s="889">
        <f>A25*C25</f>
        <v>4380</v>
      </c>
      <c r="E25" s="189"/>
    </row>
    <row r="26" spans="1:16" ht="15.6" x14ac:dyDescent="0.25">
      <c r="A26" s="77">
        <v>1</v>
      </c>
      <c r="B26" s="81" t="s">
        <v>85</v>
      </c>
      <c r="C26" s="79">
        <v>2213</v>
      </c>
      <c r="D26" s="889">
        <f>A26*C26</f>
        <v>2213</v>
      </c>
      <c r="E26" s="189"/>
    </row>
    <row r="27" spans="1:16" ht="15.6" x14ac:dyDescent="0.25">
      <c r="A27" s="77"/>
      <c r="B27" s="868"/>
      <c r="C27" s="869"/>
      <c r="D27" s="83"/>
    </row>
    <row r="28" spans="1:16" ht="15.6" x14ac:dyDescent="0.3">
      <c r="A28" s="906"/>
      <c r="B28" s="907"/>
      <c r="C28" s="475" t="s">
        <v>160</v>
      </c>
      <c r="D28" s="900">
        <f>SUM(D15:D27)</f>
        <v>250255.55000000002</v>
      </c>
    </row>
    <row r="29" spans="1:16" ht="15.6" x14ac:dyDescent="0.3">
      <c r="A29" s="847"/>
      <c r="B29" s="907"/>
      <c r="C29" s="475" t="s">
        <v>392</v>
      </c>
      <c r="D29" s="900">
        <f>D28*0.16</f>
        <v>40040.888000000006</v>
      </c>
      <c r="N29" s="392"/>
    </row>
    <row r="30" spans="1:16" ht="16.2" thickBot="1" x14ac:dyDescent="0.35">
      <c r="A30" s="847"/>
      <c r="B30" s="851"/>
      <c r="C30" s="475" t="s">
        <v>162</v>
      </c>
      <c r="D30" s="900">
        <f>D28+D29</f>
        <v>290296.43800000002</v>
      </c>
    </row>
    <row r="31" spans="1:16" ht="16.2" thickBot="1" x14ac:dyDescent="0.3">
      <c r="A31" s="851"/>
      <c r="B31" s="872" t="s">
        <v>1720</v>
      </c>
      <c r="C31" s="873"/>
      <c r="D31" s="874"/>
    </row>
    <row r="32" spans="1:16" ht="15" x14ac:dyDescent="0.25">
      <c r="A32" s="854"/>
      <c r="B32" s="201"/>
      <c r="C32" s="911"/>
      <c r="D32" s="912"/>
    </row>
    <row r="33" spans="1:4" ht="13.8" x14ac:dyDescent="0.25">
      <c r="A33" s="102"/>
      <c r="B33" s="910" t="s">
        <v>9</v>
      </c>
      <c r="C33" s="189"/>
      <c r="D33" s="108"/>
    </row>
    <row r="34" spans="1:4" ht="15.6" x14ac:dyDescent="0.25">
      <c r="A34" s="102"/>
      <c r="B34" s="838"/>
      <c r="C34" s="189"/>
      <c r="D34" s="108"/>
    </row>
    <row r="35" spans="1:4" ht="13.8" x14ac:dyDescent="0.25">
      <c r="A35" s="102"/>
      <c r="B35" s="100" t="s">
        <v>11</v>
      </c>
      <c r="C35" s="108"/>
      <c r="D35" s="108"/>
    </row>
    <row r="36" spans="1:4" ht="15" x14ac:dyDescent="0.25">
      <c r="A36" s="106"/>
      <c r="B36" s="121" t="s">
        <v>1620</v>
      </c>
      <c r="C36" s="108"/>
      <c r="D36" s="108"/>
    </row>
    <row r="37" spans="1:4" ht="15" x14ac:dyDescent="0.25">
      <c r="A37" s="106"/>
      <c r="B37" s="121" t="s">
        <v>13</v>
      </c>
      <c r="C37" s="108"/>
      <c r="D37" s="108"/>
    </row>
    <row r="38" spans="1:4" ht="15" x14ac:dyDescent="0.25">
      <c r="A38" s="106"/>
      <c r="B38" s="915" t="s">
        <v>14</v>
      </c>
      <c r="C38" s="189"/>
      <c r="D38" s="108"/>
    </row>
    <row r="39" spans="1:4" ht="15" x14ac:dyDescent="0.25">
      <c r="A39" s="106"/>
      <c r="B39" s="103" t="s">
        <v>15</v>
      </c>
      <c r="C39" s="462"/>
      <c r="D39" s="462"/>
    </row>
    <row r="40" spans="1:4" ht="13.8" x14ac:dyDescent="0.25">
      <c r="B40" s="855"/>
    </row>
    <row r="41" spans="1:4" ht="27.6" x14ac:dyDescent="0.25">
      <c r="A41" s="106"/>
      <c r="B41" s="125" t="s">
        <v>17</v>
      </c>
      <c r="C41" s="109"/>
      <c r="D41" s="110"/>
    </row>
    <row r="42" spans="1:4" ht="15" x14ac:dyDescent="0.25">
      <c r="A42" s="106"/>
      <c r="B42" s="103" t="s">
        <v>18</v>
      </c>
      <c r="C42" s="109"/>
      <c r="D42" s="110"/>
    </row>
    <row r="43" spans="1:4" ht="15" x14ac:dyDescent="0.25">
      <c r="A43" s="106"/>
      <c r="B43" s="856" t="s">
        <v>1798</v>
      </c>
      <c r="C43" s="109"/>
      <c r="D43" s="109"/>
    </row>
    <row r="44" spans="1:4" ht="15" x14ac:dyDescent="0.25">
      <c r="A44" s="106"/>
      <c r="B44" s="127" t="s">
        <v>20</v>
      </c>
      <c r="C44" s="109"/>
      <c r="D44" s="109"/>
    </row>
    <row r="45" spans="1:4" ht="15" x14ac:dyDescent="0.25">
      <c r="A45" s="106"/>
      <c r="B45" s="103" t="s">
        <v>21</v>
      </c>
      <c r="D45" s="105"/>
    </row>
    <row r="46" spans="1:4" ht="13.8" x14ac:dyDescent="0.25">
      <c r="B46" s="484" t="s">
        <v>1799</v>
      </c>
      <c r="C46" s="109"/>
      <c r="D46" s="110"/>
    </row>
    <row r="47" spans="1:4" ht="15" x14ac:dyDescent="0.25">
      <c r="A47" s="106"/>
      <c r="B47" s="121" t="s">
        <v>44</v>
      </c>
      <c r="C47" s="109"/>
      <c r="D47" s="110"/>
    </row>
    <row r="48" spans="1:4" ht="15" x14ac:dyDescent="0.25">
      <c r="A48" s="106"/>
      <c r="B48" s="121" t="s">
        <v>45</v>
      </c>
      <c r="C48" s="109"/>
    </row>
    <row r="49" spans="1:4" ht="33.6" x14ac:dyDescent="0.4">
      <c r="A49" s="115" t="s">
        <v>0</v>
      </c>
      <c r="B49" s="128" t="s">
        <v>169</v>
      </c>
      <c r="C49" s="220"/>
      <c r="D49" s="108"/>
    </row>
    <row r="50" spans="1:4" ht="12.75" customHeight="1" x14ac:dyDescent="0.25">
      <c r="A50" s="222"/>
      <c r="B50" s="181"/>
      <c r="C50" s="181"/>
      <c r="D50" s="108"/>
    </row>
    <row r="51" spans="1:4" x14ac:dyDescent="0.25">
      <c r="A51" s="222"/>
      <c r="B51" s="181"/>
      <c r="C51" s="181"/>
      <c r="D51" s="108"/>
    </row>
    <row r="52" spans="1:4" x14ac:dyDescent="0.25">
      <c r="A52" s="222"/>
      <c r="B52" s="223"/>
      <c r="C52" s="181"/>
      <c r="D52" s="108"/>
    </row>
    <row r="53" spans="1:4" ht="15" x14ac:dyDescent="0.35">
      <c r="A53" s="225"/>
      <c r="B53" s="224"/>
      <c r="C53" s="181"/>
      <c r="D53" s="181"/>
    </row>
    <row r="54" spans="1:4" x14ac:dyDescent="0.25">
      <c r="A54" s="226" t="s">
        <v>0</v>
      </c>
    </row>
    <row r="55" spans="1:4" x14ac:dyDescent="0.25">
      <c r="A55" s="108"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54" fitToWidth="0" orientation="portrait" r:id="rId1"/>
  <headerFooter alignWithMargins="0">
    <oddFooter>Página &amp;P de &amp;N</oddFooter>
  </headerFooter>
  <drawing r:id="rId2"/>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B915-DE6D-487C-9417-70E45721378D}">
  <sheetPr>
    <tabColor theme="4" tint="-0.249977111117893"/>
    <pageSetUpPr fitToPage="1"/>
  </sheetPr>
  <dimension ref="A1:P59"/>
  <sheetViews>
    <sheetView topLeftCell="A7" zoomScale="85" zoomScaleNormal="85" workbookViewId="0">
      <selection activeCell="A18" sqref="A18:D18"/>
    </sheetView>
  </sheetViews>
  <sheetFormatPr baseColWidth="10" defaultColWidth="11.44140625" defaultRowHeight="13.2" x14ac:dyDescent="0.25"/>
  <cols>
    <col min="1" max="1" width="6" style="108" customWidth="1"/>
    <col min="2" max="2" width="107.777343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1809</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3">
      <c r="A16" s="894">
        <v>1</v>
      </c>
      <c r="B16" s="909" t="s">
        <v>1800</v>
      </c>
      <c r="C16" s="82">
        <f>(57038)*(1.35)</f>
        <v>77001.3</v>
      </c>
      <c r="D16" s="83">
        <f t="shared" ref="D16:D18" si="0">A16*C16</f>
        <v>77001.3</v>
      </c>
      <c r="E16" s="190"/>
      <c r="H16" s="191"/>
      <c r="I16" s="191"/>
      <c r="J16" s="191"/>
      <c r="K16" s="191"/>
      <c r="L16" s="191"/>
      <c r="M16" s="191"/>
      <c r="N16" s="191"/>
      <c r="O16" s="191"/>
      <c r="P16" s="191"/>
    </row>
    <row r="17" spans="1:16" s="191" customFormat="1" ht="15.6" x14ac:dyDescent="0.25">
      <c r="A17" s="77"/>
      <c r="B17" s="81" t="s">
        <v>1801</v>
      </c>
      <c r="C17" s="82"/>
      <c r="D17" s="83"/>
      <c r="E17" s="190"/>
      <c r="F17" s="108"/>
      <c r="G17" s="108"/>
    </row>
    <row r="18" spans="1:16" s="191" customFormat="1" ht="15.6" x14ac:dyDescent="0.3">
      <c r="A18" s="894">
        <v>1</v>
      </c>
      <c r="B18" s="890" t="s">
        <v>1802</v>
      </c>
      <c r="C18" s="892">
        <f>35037*1.3</f>
        <v>45548.1</v>
      </c>
      <c r="D18" s="885">
        <f t="shared" si="0"/>
        <v>45548.1</v>
      </c>
      <c r="E18" s="190"/>
      <c r="F18" s="108"/>
      <c r="G18" s="108"/>
      <c r="M18" s="837"/>
    </row>
    <row r="19" spans="1:16" s="191" customFormat="1" ht="15.6" x14ac:dyDescent="0.3">
      <c r="A19" s="896">
        <v>135</v>
      </c>
      <c r="B19" s="897" t="s">
        <v>1803</v>
      </c>
      <c r="C19" s="961"/>
      <c r="D19" s="80"/>
      <c r="E19" s="190"/>
      <c r="F19" s="108"/>
      <c r="G19" s="108"/>
      <c r="M19" s="108"/>
    </row>
    <row r="20" spans="1:16" s="191" customFormat="1" ht="15.6" x14ac:dyDescent="0.3">
      <c r="A20" s="896">
        <v>20</v>
      </c>
      <c r="B20" s="897" t="s">
        <v>1804</v>
      </c>
      <c r="C20" s="961"/>
      <c r="D20" s="80"/>
      <c r="E20" s="190"/>
      <c r="F20" s="108"/>
      <c r="G20" s="108"/>
      <c r="M20" s="108"/>
      <c r="N20" s="108"/>
      <c r="O20" s="108"/>
      <c r="P20" s="108"/>
    </row>
    <row r="21" spans="1:16" ht="15.6" x14ac:dyDescent="0.25">
      <c r="A21" s="886">
        <v>1</v>
      </c>
      <c r="B21" s="887" t="s">
        <v>1792</v>
      </c>
      <c r="C21" s="962">
        <f>130*90+4000</f>
        <v>15700</v>
      </c>
      <c r="D21" s="80">
        <f>A21*C21</f>
        <v>15700</v>
      </c>
      <c r="E21" s="189"/>
    </row>
    <row r="22" spans="1:16" ht="30" x14ac:dyDescent="0.25">
      <c r="A22" s="77">
        <v>1</v>
      </c>
      <c r="B22" s="81" t="s">
        <v>1676</v>
      </c>
      <c r="C22" s="79">
        <v>4380</v>
      </c>
      <c r="D22" s="889">
        <f>A22*C22</f>
        <v>4380</v>
      </c>
      <c r="E22" s="189"/>
    </row>
    <row r="23" spans="1:16" ht="15.6" x14ac:dyDescent="0.25">
      <c r="A23" s="77">
        <v>1</v>
      </c>
      <c r="B23" s="81" t="s">
        <v>85</v>
      </c>
      <c r="C23" s="79">
        <v>2213</v>
      </c>
      <c r="D23" s="889">
        <f>A23*C23</f>
        <v>2213</v>
      </c>
      <c r="E23" s="189"/>
      <c r="O23" s="392"/>
      <c r="P23" s="392"/>
    </row>
    <row r="24" spans="1:16" s="392" customFormat="1" ht="15.6" x14ac:dyDescent="0.25">
      <c r="A24" s="77"/>
      <c r="B24" s="868"/>
      <c r="C24" s="869"/>
      <c r="D24" s="83"/>
      <c r="E24" s="108"/>
      <c r="F24" s="108"/>
      <c r="G24" s="108"/>
      <c r="H24" s="108"/>
      <c r="I24" s="108"/>
      <c r="J24" s="108"/>
      <c r="K24" s="108"/>
      <c r="L24" s="108"/>
      <c r="M24" s="108"/>
      <c r="N24" s="108"/>
      <c r="O24" s="108"/>
      <c r="P24" s="108"/>
    </row>
    <row r="25" spans="1:16" ht="15.6" x14ac:dyDescent="0.3">
      <c r="A25" s="906"/>
      <c r="B25" s="907"/>
      <c r="C25" s="475" t="s">
        <v>160</v>
      </c>
      <c r="D25" s="900">
        <f>SUM(D15:D24)</f>
        <v>144842.4</v>
      </c>
    </row>
    <row r="26" spans="1:16" ht="15.6" x14ac:dyDescent="0.3">
      <c r="A26" s="847"/>
      <c r="B26" s="907"/>
      <c r="C26" s="475" t="s">
        <v>392</v>
      </c>
      <c r="D26" s="900">
        <f>D25*0.16</f>
        <v>23174.784</v>
      </c>
      <c r="N26" s="392"/>
    </row>
    <row r="27" spans="1:16" ht="16.2" thickBot="1" x14ac:dyDescent="0.35">
      <c r="A27" s="847"/>
      <c r="B27" s="851"/>
      <c r="C27" s="475" t="s">
        <v>162</v>
      </c>
      <c r="D27" s="900">
        <f>D25+D26</f>
        <v>168017.18400000001</v>
      </c>
    </row>
    <row r="28" spans="1:16" ht="16.2" thickBot="1" x14ac:dyDescent="0.3">
      <c r="A28" s="851"/>
      <c r="B28" s="872" t="s">
        <v>1720</v>
      </c>
      <c r="C28" s="873"/>
      <c r="D28" s="874"/>
    </row>
    <row r="29" spans="1:16" ht="15" x14ac:dyDescent="0.25">
      <c r="A29" s="854"/>
      <c r="B29" s="201"/>
      <c r="C29" s="911"/>
      <c r="D29" s="912"/>
    </row>
    <row r="30" spans="1:16" ht="13.8" x14ac:dyDescent="0.25">
      <c r="A30" s="102"/>
      <c r="B30" s="910" t="s">
        <v>9</v>
      </c>
      <c r="C30" s="189"/>
      <c r="D30" s="108"/>
    </row>
    <row r="31" spans="1:16" ht="15.6" x14ac:dyDescent="0.25">
      <c r="A31" s="102"/>
      <c r="B31" s="838"/>
      <c r="C31" s="189"/>
      <c r="D31" s="108"/>
    </row>
    <row r="32" spans="1:16" ht="13.8" x14ac:dyDescent="0.25">
      <c r="A32" s="102"/>
      <c r="B32" s="100" t="s">
        <v>11</v>
      </c>
      <c r="C32" s="108"/>
      <c r="D32" s="108"/>
    </row>
    <row r="33" spans="1:4" ht="15" x14ac:dyDescent="0.25">
      <c r="A33" s="106"/>
      <c r="B33" s="121" t="s">
        <v>1620</v>
      </c>
      <c r="C33" s="108"/>
      <c r="D33" s="108"/>
    </row>
    <row r="34" spans="1:4" ht="15" x14ac:dyDescent="0.25">
      <c r="A34" s="106"/>
      <c r="B34" s="121" t="s">
        <v>13</v>
      </c>
      <c r="C34" s="108"/>
      <c r="D34" s="108"/>
    </row>
    <row r="35" spans="1:4" ht="15" x14ac:dyDescent="0.25">
      <c r="A35" s="106"/>
      <c r="B35" s="915" t="s">
        <v>14</v>
      </c>
      <c r="C35" s="189"/>
      <c r="D35" s="108"/>
    </row>
    <row r="36" spans="1:4" ht="15" x14ac:dyDescent="0.25">
      <c r="A36" s="106"/>
      <c r="B36" s="103" t="s">
        <v>15</v>
      </c>
      <c r="C36" s="462"/>
      <c r="D36" s="462"/>
    </row>
    <row r="37" spans="1:4" ht="13.8" x14ac:dyDescent="0.25">
      <c r="B37" s="855"/>
    </row>
    <row r="38" spans="1:4" ht="27.6" x14ac:dyDescent="0.25">
      <c r="A38" s="106"/>
      <c r="B38" s="125" t="s">
        <v>17</v>
      </c>
      <c r="C38" s="109"/>
      <c r="D38" s="110"/>
    </row>
    <row r="39" spans="1:4" ht="15" x14ac:dyDescent="0.25">
      <c r="A39" s="106"/>
      <c r="B39" s="103" t="s">
        <v>18</v>
      </c>
      <c r="C39" s="109"/>
      <c r="D39" s="110"/>
    </row>
    <row r="40" spans="1:4" ht="15" x14ac:dyDescent="0.25">
      <c r="A40" s="106"/>
      <c r="B40" s="856" t="s">
        <v>1798</v>
      </c>
      <c r="C40" s="109"/>
      <c r="D40" s="109"/>
    </row>
    <row r="41" spans="1:4" ht="15" x14ac:dyDescent="0.25">
      <c r="A41" s="106"/>
      <c r="B41" s="127" t="s">
        <v>20</v>
      </c>
      <c r="C41" s="109"/>
      <c r="D41" s="109"/>
    </row>
    <row r="42" spans="1:4" ht="15" x14ac:dyDescent="0.25">
      <c r="A42" s="106"/>
      <c r="B42" s="103" t="s">
        <v>21</v>
      </c>
      <c r="D42" s="105"/>
    </row>
    <row r="43" spans="1:4" ht="13.8" x14ac:dyDescent="0.25">
      <c r="B43" s="484" t="s">
        <v>1799</v>
      </c>
      <c r="C43" s="109"/>
      <c r="D43" s="110"/>
    </row>
    <row r="44" spans="1:4" ht="15" x14ac:dyDescent="0.25">
      <c r="A44" s="106"/>
      <c r="B44" s="121" t="s">
        <v>44</v>
      </c>
      <c r="C44" s="109"/>
      <c r="D44" s="110"/>
    </row>
    <row r="45" spans="1:4" ht="15" x14ac:dyDescent="0.25">
      <c r="A45" s="106"/>
      <c r="B45" s="121" t="s">
        <v>45</v>
      </c>
      <c r="C45" s="109"/>
    </row>
    <row r="46" spans="1:4" ht="33.6" x14ac:dyDescent="0.4">
      <c r="A46" s="115" t="s">
        <v>0</v>
      </c>
      <c r="B46" s="128" t="s">
        <v>169</v>
      </c>
      <c r="C46" s="220"/>
      <c r="D46" s="108"/>
    </row>
    <row r="47" spans="1:4" x14ac:dyDescent="0.25">
      <c r="A47" s="222"/>
      <c r="B47" s="181"/>
      <c r="C47" s="181"/>
      <c r="D47" s="108"/>
    </row>
    <row r="48" spans="1:4" x14ac:dyDescent="0.25">
      <c r="A48" s="222"/>
      <c r="B48" s="181"/>
      <c r="C48" s="181"/>
      <c r="D48" s="108"/>
    </row>
    <row r="49" spans="1:4" x14ac:dyDescent="0.25">
      <c r="A49" s="222"/>
      <c r="B49" s="223"/>
      <c r="C49" s="181"/>
      <c r="D49" s="108"/>
    </row>
    <row r="50" spans="1:4" ht="12.75" customHeight="1" x14ac:dyDescent="0.35">
      <c r="A50" s="225"/>
      <c r="B50" s="224"/>
      <c r="C50" s="181"/>
      <c r="D50" s="181"/>
    </row>
    <row r="51" spans="1:4" x14ac:dyDescent="0.25">
      <c r="A51" s="226" t="s">
        <v>0</v>
      </c>
    </row>
    <row r="52" spans="1:4" x14ac:dyDescent="0.25">
      <c r="A52" s="108" t="s">
        <v>0</v>
      </c>
    </row>
    <row r="58" spans="1:4" ht="15.75" customHeight="1" x14ac:dyDescent="0.25"/>
    <row r="59" spans="1:4" ht="15" customHeight="1" x14ac:dyDescent="0.25"/>
  </sheetData>
  <mergeCells count="2">
    <mergeCell ref="A4:D4"/>
    <mergeCell ref="A14:D14"/>
  </mergeCells>
  <printOptions horizontalCentered="1"/>
  <pageMargins left="0.25" right="0.25" top="0.75" bottom="0.75" header="0.3" footer="0.3"/>
  <pageSetup paperSize="9" scale="54" fitToWidth="0" orientation="portrait" r:id="rId1"/>
  <headerFooter alignWithMargins="0">
    <oddFooter>Página &amp;P de &amp;N</oddFooter>
  </headerFooter>
  <drawing r:id="rId2"/>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D2348-6207-4E55-A0FF-861280C9C795}">
  <sheetPr>
    <tabColor theme="4" tint="-0.249977111117893"/>
    <pageSetUpPr fitToPage="1"/>
  </sheetPr>
  <dimension ref="A1:F73"/>
  <sheetViews>
    <sheetView topLeftCell="A27" zoomScaleNormal="100" workbookViewId="0">
      <selection activeCell="A36" sqref="A36:E36"/>
    </sheetView>
  </sheetViews>
  <sheetFormatPr baseColWidth="10" defaultColWidth="11.44140625" defaultRowHeight="13.2" x14ac:dyDescent="0.25"/>
  <cols>
    <col min="1" max="1" width="6" style="108" customWidth="1"/>
    <col min="2" max="2" width="100.33203125" style="108" customWidth="1"/>
    <col min="3" max="3" width="14.88671875" style="107" bestFit="1" customWidth="1"/>
    <col min="4" max="4" width="14.5546875" style="107" customWidth="1"/>
    <col min="5" max="16384" width="11.44140625" style="108"/>
  </cols>
  <sheetData>
    <row r="1" spans="1:5" ht="81" customHeight="1" x14ac:dyDescent="0.25">
      <c r="A1" s="108" t="s">
        <v>0</v>
      </c>
      <c r="C1" s="185"/>
    </row>
    <row r="2" spans="1:5" ht="9" customHeight="1" x14ac:dyDescent="0.25">
      <c r="C2" s="185"/>
    </row>
    <row r="3" spans="1:5" ht="9" customHeight="1" x14ac:dyDescent="0.25">
      <c r="C3" s="185"/>
    </row>
    <row r="4" spans="1:5" s="10" customFormat="1" ht="16.8" x14ac:dyDescent="0.4">
      <c r="A4" s="1038"/>
      <c r="B4" s="1038"/>
      <c r="C4" s="1038"/>
      <c r="D4" s="1038"/>
    </row>
    <row r="5" spans="1:5" s="10" customFormat="1" ht="16.8" x14ac:dyDescent="0.4">
      <c r="A5" s="57"/>
      <c r="C5" s="58"/>
      <c r="D5" s="58"/>
    </row>
    <row r="6" spans="1:5" s="10" customFormat="1" ht="16.8" x14ac:dyDescent="0.4">
      <c r="A6" s="57"/>
      <c r="C6" s="58"/>
      <c r="D6" s="58"/>
    </row>
    <row r="7" spans="1:5" s="10" customFormat="1" ht="16.8" x14ac:dyDescent="0.4">
      <c r="A7" s="57"/>
      <c r="C7" s="58"/>
      <c r="D7" s="58"/>
    </row>
    <row r="8" spans="1:5" s="10" customFormat="1" ht="19.2" x14ac:dyDescent="0.45">
      <c r="A8" s="227" t="s">
        <v>1808</v>
      </c>
      <c r="B8" s="228"/>
      <c r="C8" s="58"/>
      <c r="D8" s="58"/>
    </row>
    <row r="9" spans="1:5" s="10" customFormat="1" ht="19.2" x14ac:dyDescent="0.45">
      <c r="A9" s="227" t="s">
        <v>1805</v>
      </c>
      <c r="B9" s="228"/>
      <c r="C9" s="58"/>
      <c r="D9" s="58"/>
    </row>
    <row r="10" spans="1:5" s="10" customFormat="1" ht="19.2" x14ac:dyDescent="0.45">
      <c r="A10" s="227" t="s">
        <v>1806</v>
      </c>
      <c r="B10" s="228"/>
      <c r="C10" s="58"/>
      <c r="D10" s="58"/>
    </row>
    <row r="11" spans="1:5" s="10" customFormat="1" ht="19.2" x14ac:dyDescent="0.45">
      <c r="A11" s="227" t="s">
        <v>1807</v>
      </c>
      <c r="B11" s="228"/>
      <c r="C11" s="59"/>
      <c r="D11" s="58"/>
    </row>
    <row r="12" spans="1:5" s="10" customFormat="1" ht="15" customHeight="1" x14ac:dyDescent="0.45">
      <c r="A12" s="227" t="s">
        <v>6</v>
      </c>
      <c r="B12" s="228"/>
      <c r="C12" s="62"/>
      <c r="D12" s="63"/>
    </row>
    <row r="13" spans="1:5" s="10" customFormat="1" ht="15" customHeight="1" x14ac:dyDescent="0.45">
      <c r="A13" s="234" t="s">
        <v>1818</v>
      </c>
      <c r="B13" s="231"/>
      <c r="C13" s="142"/>
      <c r="D13" s="143"/>
    </row>
    <row r="14" spans="1:5" s="10" customFormat="1" ht="16.8" x14ac:dyDescent="0.4">
      <c r="A14" s="144" t="s">
        <v>455</v>
      </c>
      <c r="B14" s="141"/>
      <c r="C14" s="142"/>
      <c r="D14" s="143"/>
      <c r="E14" s="186"/>
    </row>
    <row r="15" spans="1:5" s="188" customFormat="1" ht="13.8" x14ac:dyDescent="0.25">
      <c r="A15" s="148"/>
      <c r="B15" s="149"/>
      <c r="C15" s="150"/>
      <c r="D15" s="150"/>
      <c r="E15" s="187"/>
    </row>
    <row r="16" spans="1:5" ht="15.6" x14ac:dyDescent="0.3">
      <c r="A16" s="894">
        <v>1</v>
      </c>
      <c r="B16" s="909" t="s">
        <v>1789</v>
      </c>
      <c r="C16" s="82">
        <f>(94505)*(1.35)</f>
        <v>127581.75000000001</v>
      </c>
      <c r="D16" s="83">
        <f t="shared" ref="D16:D18" si="0">A16*C16</f>
        <v>127581.75000000001</v>
      </c>
      <c r="E16" s="190"/>
    </row>
    <row r="17" spans="1:6" s="191" customFormat="1" ht="15.75" customHeight="1" x14ac:dyDescent="0.25">
      <c r="A17" s="77"/>
      <c r="B17" s="81" t="s">
        <v>1790</v>
      </c>
      <c r="C17" s="82"/>
      <c r="D17" s="83"/>
      <c r="E17" s="190"/>
    </row>
    <row r="18" spans="1:6" ht="13.5" customHeight="1" x14ac:dyDescent="0.3">
      <c r="A18" s="894">
        <v>1</v>
      </c>
      <c r="B18" s="909" t="s">
        <v>1810</v>
      </c>
      <c r="C18" s="82">
        <f>(3897*19)*(1.3)</f>
        <v>96255.900000000009</v>
      </c>
      <c r="D18" s="83">
        <f t="shared" si="0"/>
        <v>96255.900000000009</v>
      </c>
      <c r="E18" s="190"/>
    </row>
    <row r="19" spans="1:6" ht="13.5" customHeight="1" x14ac:dyDescent="0.25">
      <c r="A19" s="77"/>
      <c r="B19" s="81" t="s">
        <v>1827</v>
      </c>
      <c r="C19" s="82"/>
      <c r="D19" s="83"/>
      <c r="E19" s="189"/>
    </row>
    <row r="20" spans="1:6" ht="13.5" customHeight="1" x14ac:dyDescent="0.3">
      <c r="A20" s="894">
        <v>1</v>
      </c>
      <c r="B20" s="909" t="s">
        <v>1811</v>
      </c>
      <c r="C20" s="82">
        <f>(9841*19)*(1.3)</f>
        <v>243072.7</v>
      </c>
      <c r="D20" s="83">
        <f t="shared" ref="D20" si="1">A20*C20</f>
        <v>243072.7</v>
      </c>
      <c r="E20" s="190"/>
    </row>
    <row r="21" spans="1:6" ht="13.5" customHeight="1" x14ac:dyDescent="0.25">
      <c r="A21" s="77"/>
      <c r="B21" s="81" t="s">
        <v>1829</v>
      </c>
      <c r="C21" s="82"/>
      <c r="D21" s="83"/>
      <c r="E21" s="189"/>
      <c r="F21" s="192"/>
    </row>
    <row r="22" spans="1:6" ht="13.5" customHeight="1" x14ac:dyDescent="0.3">
      <c r="A22" s="894">
        <v>1</v>
      </c>
      <c r="B22" s="909" t="s">
        <v>1810</v>
      </c>
      <c r="C22" s="82">
        <f>(2683*19)*(1.3)</f>
        <v>66270.100000000006</v>
      </c>
      <c r="D22" s="83">
        <f t="shared" ref="D22" si="2">A22*C22</f>
        <v>66270.100000000006</v>
      </c>
      <c r="E22" s="189"/>
    </row>
    <row r="23" spans="1:6" ht="13.5" customHeight="1" x14ac:dyDescent="0.25">
      <c r="A23" s="77"/>
      <c r="B23" s="81" t="s">
        <v>1828</v>
      </c>
      <c r="C23" s="82"/>
      <c r="D23" s="83"/>
    </row>
    <row r="24" spans="1:6" ht="13.5" customHeight="1" x14ac:dyDescent="0.3">
      <c r="A24" s="894">
        <v>1</v>
      </c>
      <c r="B24" s="909" t="s">
        <v>1800</v>
      </c>
      <c r="C24" s="82">
        <f>(57038)*(1.35)</f>
        <v>77001.3</v>
      </c>
      <c r="D24" s="83">
        <f t="shared" ref="D24" si="3">A24*C24</f>
        <v>77001.3</v>
      </c>
      <c r="E24" s="189"/>
    </row>
    <row r="25" spans="1:6" ht="15.6" customHeight="1" x14ac:dyDescent="0.25">
      <c r="A25" s="77"/>
      <c r="B25" s="81" t="s">
        <v>1801</v>
      </c>
      <c r="C25" s="82"/>
      <c r="D25" s="83"/>
      <c r="E25" s="189"/>
    </row>
    <row r="26" spans="1:6" x14ac:dyDescent="0.25">
      <c r="A26" s="198"/>
      <c r="B26" s="199"/>
      <c r="C26" s="197"/>
      <c r="D26" s="200"/>
      <c r="E26" s="189"/>
    </row>
    <row r="27" spans="1:6" ht="13.5" customHeight="1" x14ac:dyDescent="0.25">
      <c r="A27" s="145" t="s">
        <v>29</v>
      </c>
      <c r="B27" s="145" t="s">
        <v>30</v>
      </c>
      <c r="C27" s="146" t="s">
        <v>31</v>
      </c>
      <c r="D27" s="146" t="s">
        <v>32</v>
      </c>
      <c r="E27" s="189"/>
    </row>
    <row r="28" spans="1:6" x14ac:dyDescent="0.25">
      <c r="A28" s="148"/>
      <c r="B28" s="149"/>
      <c r="C28" s="150"/>
      <c r="D28" s="150"/>
      <c r="E28" s="189"/>
    </row>
    <row r="29" spans="1:6" ht="15.6" x14ac:dyDescent="0.25">
      <c r="A29" s="77">
        <v>1</v>
      </c>
      <c r="B29" s="81" t="s">
        <v>1830</v>
      </c>
      <c r="C29" s="82">
        <f>(1800*19*1.3)</f>
        <v>44460</v>
      </c>
      <c r="D29" s="83">
        <f t="shared" ref="D29:D31" si="4">A29*C29</f>
        <v>44460</v>
      </c>
      <c r="E29" s="189"/>
    </row>
    <row r="30" spans="1:6" ht="15.6" x14ac:dyDescent="0.3">
      <c r="A30" s="894">
        <v>1</v>
      </c>
      <c r="B30" s="890" t="s">
        <v>1831</v>
      </c>
      <c r="C30" s="892">
        <f>35037*1.3</f>
        <v>45548.1</v>
      </c>
      <c r="D30" s="885">
        <f t="shared" si="4"/>
        <v>45548.1</v>
      </c>
      <c r="E30" s="189"/>
    </row>
    <row r="31" spans="1:6" ht="15.6" x14ac:dyDescent="0.3">
      <c r="A31" s="894">
        <v>1</v>
      </c>
      <c r="B31" s="890" t="s">
        <v>1832</v>
      </c>
      <c r="C31" s="892">
        <f>77216*1.3</f>
        <v>100380.8</v>
      </c>
      <c r="D31" s="885">
        <f t="shared" si="4"/>
        <v>100380.8</v>
      </c>
      <c r="E31" s="189"/>
    </row>
    <row r="32" spans="1:6" x14ac:dyDescent="0.25">
      <c r="A32" s="198"/>
      <c r="B32" s="198"/>
      <c r="C32" s="201"/>
      <c r="D32" s="202"/>
      <c r="E32" s="189"/>
    </row>
    <row r="33" spans="1:5" x14ac:dyDescent="0.25">
      <c r="A33" s="145" t="s">
        <v>29</v>
      </c>
      <c r="B33" s="145" t="s">
        <v>30</v>
      </c>
      <c r="C33" s="146" t="s">
        <v>31</v>
      </c>
      <c r="D33" s="146" t="s">
        <v>32</v>
      </c>
      <c r="E33" s="189"/>
    </row>
    <row r="34" spans="1:5" x14ac:dyDescent="0.25">
      <c r="A34" s="148"/>
      <c r="B34" s="149"/>
      <c r="C34" s="150"/>
      <c r="D34" s="150"/>
    </row>
    <row r="35" spans="1:5" x14ac:dyDescent="0.25">
      <c r="A35" s="157">
        <v>260</v>
      </c>
      <c r="B35" s="158" t="s">
        <v>34</v>
      </c>
      <c r="C35" s="160">
        <v>18.899999999999999</v>
      </c>
      <c r="D35" s="161">
        <f>A35*C35</f>
        <v>4914</v>
      </c>
    </row>
    <row r="36" spans="1:5" x14ac:dyDescent="0.25">
      <c r="A36" s="157">
        <v>260</v>
      </c>
      <c r="B36" s="158" t="s">
        <v>86</v>
      </c>
      <c r="C36" s="160">
        <v>36.869999999999997</v>
      </c>
      <c r="D36" s="161">
        <f t="shared" ref="D36" si="5">A36*C36</f>
        <v>9586.1999999999989</v>
      </c>
    </row>
    <row r="37" spans="1:5" x14ac:dyDescent="0.25">
      <c r="A37" s="204"/>
      <c r="B37" s="204"/>
      <c r="C37" s="205"/>
      <c r="D37" s="205"/>
      <c r="E37" s="189"/>
    </row>
    <row r="38" spans="1:5" x14ac:dyDescent="0.25">
      <c r="A38" s="145" t="s">
        <v>29</v>
      </c>
      <c r="B38" s="145" t="s">
        <v>30</v>
      </c>
      <c r="C38" s="146" t="s">
        <v>31</v>
      </c>
      <c r="D38" s="146" t="s">
        <v>32</v>
      </c>
      <c r="E38" s="189"/>
    </row>
    <row r="39" spans="1:5" x14ac:dyDescent="0.25">
      <c r="A39" s="148"/>
      <c r="B39" s="149"/>
      <c r="C39" s="150"/>
      <c r="D39" s="150"/>
      <c r="E39" s="189"/>
    </row>
    <row r="40" spans="1:5" x14ac:dyDescent="0.25">
      <c r="A40" s="162">
        <v>135</v>
      </c>
      <c r="B40" s="163" t="s">
        <v>246</v>
      </c>
      <c r="C40" s="164">
        <f>(365)*(1.33)</f>
        <v>485.45000000000005</v>
      </c>
      <c r="D40" s="165">
        <f>A40*C40</f>
        <v>65535.750000000007</v>
      </c>
    </row>
    <row r="41" spans="1:5" x14ac:dyDescent="0.25">
      <c r="A41" s="162">
        <v>135</v>
      </c>
      <c r="B41" s="163" t="s">
        <v>134</v>
      </c>
      <c r="C41" s="164">
        <f>(596)*(1.33)</f>
        <v>792.68000000000006</v>
      </c>
      <c r="D41" s="165">
        <f>A41*C41</f>
        <v>107011.8</v>
      </c>
      <c r="E41" s="189"/>
    </row>
    <row r="42" spans="1:5" x14ac:dyDescent="0.25">
      <c r="A42" s="204"/>
      <c r="B42" s="206"/>
      <c r="C42" s="207"/>
      <c r="D42" s="205"/>
    </row>
    <row r="43" spans="1:5" x14ac:dyDescent="0.25">
      <c r="A43" s="145" t="s">
        <v>29</v>
      </c>
      <c r="B43" s="145" t="s">
        <v>30</v>
      </c>
      <c r="C43" s="146" t="s">
        <v>31</v>
      </c>
      <c r="D43" s="146" t="s">
        <v>32</v>
      </c>
    </row>
    <row r="44" spans="1:5" x14ac:dyDescent="0.25">
      <c r="A44" s="148"/>
      <c r="B44" s="149"/>
      <c r="C44" s="150"/>
      <c r="D44" s="150"/>
    </row>
    <row r="45" spans="1:5" x14ac:dyDescent="0.25">
      <c r="A45" s="157">
        <v>1</v>
      </c>
      <c r="B45" s="158" t="s">
        <v>35</v>
      </c>
      <c r="C45" s="159">
        <f>(5150)*(2)</f>
        <v>10300</v>
      </c>
      <c r="D45" s="154">
        <f t="shared" ref="D45:D47" si="6">A45*C45</f>
        <v>10300</v>
      </c>
    </row>
    <row r="46" spans="1:5" x14ac:dyDescent="0.25">
      <c r="A46" s="157">
        <v>1</v>
      </c>
      <c r="B46" s="158" t="s">
        <v>208</v>
      </c>
      <c r="C46" s="159">
        <f>(11896)*(1.51)</f>
        <v>17962.96</v>
      </c>
      <c r="D46" s="154">
        <f t="shared" si="6"/>
        <v>17962.96</v>
      </c>
    </row>
    <row r="47" spans="1:5" x14ac:dyDescent="0.25">
      <c r="A47" s="162">
        <v>1</v>
      </c>
      <c r="B47" s="163" t="s">
        <v>460</v>
      </c>
      <c r="C47" s="184">
        <f>(1109*20.5)*1.3</f>
        <v>29554.850000000002</v>
      </c>
      <c r="D47" s="165">
        <f t="shared" si="6"/>
        <v>29554.850000000002</v>
      </c>
    </row>
    <row r="48" spans="1:5" x14ac:dyDescent="0.25">
      <c r="A48" s="208"/>
      <c r="B48" s="204"/>
      <c r="C48" s="205"/>
      <c r="D48" s="209"/>
    </row>
    <row r="49" spans="1:4" ht="26.4" x14ac:dyDescent="0.25">
      <c r="A49" s="162">
        <v>1</v>
      </c>
      <c r="B49" s="163" t="s">
        <v>138</v>
      </c>
      <c r="C49" s="210">
        <v>35627</v>
      </c>
      <c r="D49" s="165">
        <f>A49*C49</f>
        <v>35627</v>
      </c>
    </row>
    <row r="50" spans="1:4" ht="26.4" x14ac:dyDescent="0.25">
      <c r="A50" s="162">
        <v>1</v>
      </c>
      <c r="B50" s="163" t="s">
        <v>139</v>
      </c>
      <c r="C50" s="210">
        <v>37861</v>
      </c>
      <c r="D50" s="165">
        <f>A50*C50</f>
        <v>37861</v>
      </c>
    </row>
    <row r="51" spans="1:4" x14ac:dyDescent="0.25">
      <c r="A51" s="162">
        <v>1</v>
      </c>
      <c r="B51" s="163" t="s">
        <v>140</v>
      </c>
      <c r="C51" s="184">
        <f>(2576.78*21)*(1.3)</f>
        <v>70346.094000000012</v>
      </c>
      <c r="D51" s="165">
        <f>A51*C51</f>
        <v>70346.094000000012</v>
      </c>
    </row>
    <row r="52" spans="1:4" x14ac:dyDescent="0.25">
      <c r="A52" s="211">
        <v>1</v>
      </c>
      <c r="B52" s="212" t="s">
        <v>141</v>
      </c>
      <c r="C52" s="210">
        <v>7300</v>
      </c>
      <c r="D52" s="213">
        <f>A52*C52</f>
        <v>7300</v>
      </c>
    </row>
    <row r="53" spans="1:4" ht="26.4" x14ac:dyDescent="0.25">
      <c r="A53" s="211"/>
      <c r="B53" s="212" t="s">
        <v>142</v>
      </c>
      <c r="C53" s="210"/>
      <c r="D53" s="213"/>
    </row>
    <row r="54" spans="1:4" x14ac:dyDescent="0.25">
      <c r="A54" s="204"/>
      <c r="B54" s="206"/>
      <c r="C54" s="214"/>
      <c r="D54" s="215"/>
    </row>
    <row r="55" spans="1:4" ht="13.8" x14ac:dyDescent="0.25">
      <c r="B55" s="103" t="s">
        <v>15</v>
      </c>
    </row>
    <row r="56" spans="1:4" ht="15" x14ac:dyDescent="0.25">
      <c r="A56" s="106"/>
      <c r="B56" s="295" t="s">
        <v>42</v>
      </c>
    </row>
    <row r="57" spans="1:4" ht="41.4" x14ac:dyDescent="0.25">
      <c r="A57" s="106"/>
      <c r="B57" s="295" t="s">
        <v>143</v>
      </c>
      <c r="C57" s="109"/>
      <c r="D57" s="110"/>
    </row>
    <row r="58" spans="1:4" ht="15" x14ac:dyDescent="0.25">
      <c r="A58" s="106"/>
      <c r="B58" s="103" t="s">
        <v>18</v>
      </c>
      <c r="C58" s="109"/>
      <c r="D58" s="110"/>
    </row>
    <row r="59" spans="1:4" ht="15" x14ac:dyDescent="0.25">
      <c r="A59" s="106"/>
      <c r="B59" s="313" t="s">
        <v>144</v>
      </c>
      <c r="C59" s="109"/>
      <c r="D59" s="109"/>
    </row>
    <row r="60" spans="1:4" ht="15" x14ac:dyDescent="0.25">
      <c r="A60" s="106"/>
      <c r="B60" s="297" t="s">
        <v>20</v>
      </c>
      <c r="C60" s="109"/>
      <c r="D60" s="109"/>
    </row>
    <row r="61" spans="1:4" ht="13.8" x14ac:dyDescent="0.25">
      <c r="B61" s="103" t="s">
        <v>21</v>
      </c>
      <c r="D61" s="105"/>
    </row>
    <row r="62" spans="1:4" ht="15" x14ac:dyDescent="0.25">
      <c r="A62" s="106"/>
      <c r="B62" s="123" t="s">
        <v>145</v>
      </c>
      <c r="C62" s="109"/>
      <c r="D62" s="110"/>
    </row>
    <row r="63" spans="1:4" ht="15" x14ac:dyDescent="0.25">
      <c r="A63" s="106"/>
      <c r="B63" s="123" t="s">
        <v>44</v>
      </c>
      <c r="C63" s="109"/>
      <c r="D63" s="110"/>
    </row>
    <row r="64" spans="1:4" ht="15" x14ac:dyDescent="0.25">
      <c r="A64" s="106"/>
      <c r="B64" s="123" t="s">
        <v>45</v>
      </c>
      <c r="D64" s="181"/>
    </row>
    <row r="65" spans="1:4" ht="33.6" x14ac:dyDescent="0.4">
      <c r="A65" s="106"/>
      <c r="B65" s="218" t="s">
        <v>23</v>
      </c>
      <c r="C65" s="109"/>
      <c r="D65" s="109"/>
    </row>
    <row r="66" spans="1:4" ht="16.8" x14ac:dyDescent="0.4">
      <c r="A66" s="106"/>
      <c r="B66" s="219"/>
      <c r="C66" s="220"/>
      <c r="D66" s="220"/>
    </row>
    <row r="67" spans="1:4" ht="13.8" x14ac:dyDescent="0.25">
      <c r="A67" s="115" t="s">
        <v>0</v>
      </c>
      <c r="B67" s="181"/>
      <c r="C67" s="181"/>
      <c r="D67" s="108"/>
    </row>
    <row r="68" spans="1:4" ht="13.8" x14ac:dyDescent="0.25">
      <c r="A68" s="221"/>
      <c r="B68" s="181"/>
      <c r="C68" s="181"/>
      <c r="D68" s="108"/>
    </row>
    <row r="69" spans="1:4" x14ac:dyDescent="0.25">
      <c r="A69" s="222"/>
      <c r="B69" s="223"/>
      <c r="C69" s="181"/>
      <c r="D69" s="108"/>
    </row>
    <row r="70" spans="1:4" ht="15" x14ac:dyDescent="0.35">
      <c r="A70" s="222"/>
      <c r="B70" s="224"/>
      <c r="C70" s="181"/>
      <c r="D70" s="181"/>
    </row>
    <row r="71" spans="1:4" x14ac:dyDescent="0.25">
      <c r="A71" s="225"/>
    </row>
    <row r="72" spans="1:4" x14ac:dyDescent="0.25">
      <c r="A72" s="226" t="s">
        <v>0</v>
      </c>
    </row>
    <row r="73" spans="1:4" x14ac:dyDescent="0.25">
      <c r="A73" s="108" t="s">
        <v>0</v>
      </c>
    </row>
  </sheetData>
  <mergeCells count="1">
    <mergeCell ref="A4:D4"/>
  </mergeCells>
  <printOptions horizontalCentered="1"/>
  <pageMargins left="0.59055118110236227" right="0.59055118110236227" top="0.19685039370078741" bottom="0.19685039370078741" header="0.19685039370078741" footer="0.19685039370078741"/>
  <pageSetup paperSize="9" scale="63" fitToWidth="0" orientation="portrait" r:id="rId1"/>
  <headerFooter alignWithMargins="0">
    <oddFooter>Página &amp;P de &amp;N</oddFooter>
  </headerFooter>
  <drawing r:id="rId2"/>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63CB-B011-4B25-BCE2-E154146187E5}">
  <sheetPr>
    <tabColor theme="4" tint="-0.249977111117893"/>
    <pageSetUpPr fitToPage="1"/>
  </sheetPr>
  <dimension ref="A1:P59"/>
  <sheetViews>
    <sheetView topLeftCell="A17" zoomScale="85" zoomScaleNormal="85" workbookViewId="0">
      <selection activeCell="D27" sqref="D27"/>
    </sheetView>
  </sheetViews>
  <sheetFormatPr baseColWidth="10" defaultColWidth="11.44140625" defaultRowHeight="13.2" x14ac:dyDescent="0.25"/>
  <cols>
    <col min="1" max="1" width="6" style="108" customWidth="1"/>
    <col min="2" max="2" width="100.886718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1855</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7.399999999999999" x14ac:dyDescent="0.25">
      <c r="A15" s="148"/>
      <c r="B15" s="979" t="s">
        <v>1857</v>
      </c>
      <c r="C15" s="150"/>
      <c r="D15" s="150"/>
      <c r="E15" s="190"/>
      <c r="F15" s="191"/>
      <c r="G15" s="191"/>
      <c r="H15" s="108"/>
      <c r="I15" s="108"/>
      <c r="J15" s="108"/>
      <c r="K15" s="108"/>
      <c r="L15" s="108"/>
      <c r="M15" s="108"/>
      <c r="N15" s="108"/>
      <c r="O15" s="108"/>
      <c r="P15" s="108"/>
    </row>
    <row r="16" spans="1:16" ht="15.6" x14ac:dyDescent="0.3">
      <c r="A16" s="896">
        <v>120</v>
      </c>
      <c r="B16" s="897" t="s">
        <v>1814</v>
      </c>
      <c r="C16" s="961">
        <f>733*1.35</f>
        <v>989.55000000000007</v>
      </c>
      <c r="D16" s="80">
        <f t="shared" ref="D16:D21" si="0">A16*C16</f>
        <v>118746.00000000001</v>
      </c>
      <c r="E16" s="190"/>
      <c r="H16" s="191"/>
      <c r="I16" s="191"/>
      <c r="J16" s="191"/>
      <c r="K16" s="191"/>
      <c r="L16" s="191"/>
      <c r="N16" s="191"/>
      <c r="O16" s="191"/>
      <c r="P16" s="191"/>
    </row>
    <row r="17" spans="1:16" s="191" customFormat="1" ht="15.6" x14ac:dyDescent="0.3">
      <c r="A17" s="896">
        <v>2</v>
      </c>
      <c r="B17" s="897" t="s">
        <v>1825</v>
      </c>
      <c r="C17" s="961">
        <f>9774*1.35</f>
        <v>13194.900000000001</v>
      </c>
      <c r="D17" s="80">
        <f t="shared" si="0"/>
        <v>26389.800000000003</v>
      </c>
      <c r="E17" s="190"/>
      <c r="F17" s="108"/>
      <c r="G17" s="108"/>
      <c r="M17" s="108"/>
    </row>
    <row r="18" spans="1:16" s="191" customFormat="1" ht="15.6" x14ac:dyDescent="0.3">
      <c r="A18" s="896">
        <v>4</v>
      </c>
      <c r="B18" s="897" t="s">
        <v>1813</v>
      </c>
      <c r="C18" s="961">
        <f>699*1.35</f>
        <v>943.65000000000009</v>
      </c>
      <c r="D18" s="80">
        <f t="shared" si="0"/>
        <v>3774.6000000000004</v>
      </c>
      <c r="E18" s="190"/>
      <c r="F18" s="108"/>
      <c r="G18" s="108"/>
      <c r="M18"/>
    </row>
    <row r="19" spans="1:16" s="191" customFormat="1" ht="15.6" x14ac:dyDescent="0.3">
      <c r="A19" s="896">
        <v>120</v>
      </c>
      <c r="B19" s="897" t="s">
        <v>1812</v>
      </c>
      <c r="C19" s="961">
        <f>24*1.35</f>
        <v>32.400000000000006</v>
      </c>
      <c r="D19" s="80">
        <f t="shared" si="0"/>
        <v>3888.0000000000009</v>
      </c>
      <c r="E19" s="190"/>
      <c r="F19" s="108"/>
      <c r="G19" s="108"/>
      <c r="M19" s="108"/>
    </row>
    <row r="20" spans="1:16" s="191" customFormat="1" ht="15.6" x14ac:dyDescent="0.3">
      <c r="A20" s="896">
        <v>60</v>
      </c>
      <c r="B20" s="897" t="s">
        <v>1797</v>
      </c>
      <c r="C20" s="961">
        <f>54*1.35</f>
        <v>72.900000000000006</v>
      </c>
      <c r="D20" s="80">
        <f t="shared" si="0"/>
        <v>4374</v>
      </c>
      <c r="E20" s="190"/>
      <c r="F20" s="108"/>
      <c r="G20" s="108"/>
      <c r="M20" s="108"/>
      <c r="N20" s="108"/>
      <c r="O20" s="108"/>
      <c r="P20" s="108"/>
    </row>
    <row r="21" spans="1:16" ht="15.6" x14ac:dyDescent="0.3">
      <c r="A21" s="896">
        <v>1</v>
      </c>
      <c r="B21" s="897" t="s">
        <v>1819</v>
      </c>
      <c r="C21" s="961">
        <v>5640</v>
      </c>
      <c r="D21" s="80">
        <f t="shared" si="0"/>
        <v>5640</v>
      </c>
      <c r="E21" s="190"/>
      <c r="H21" s="191"/>
      <c r="I21" s="191"/>
      <c r="J21" s="191"/>
      <c r="K21" s="191"/>
      <c r="L21" s="191"/>
    </row>
    <row r="22" spans="1:16" ht="15.6" x14ac:dyDescent="0.25">
      <c r="A22" s="77"/>
      <c r="B22" s="974"/>
      <c r="C22" s="869"/>
      <c r="D22" s="83"/>
      <c r="E22" s="189"/>
    </row>
    <row r="23" spans="1:16" ht="15.6" x14ac:dyDescent="0.3">
      <c r="A23" s="972"/>
      <c r="B23" s="975" t="s">
        <v>1856</v>
      </c>
      <c r="C23" s="973" t="s">
        <v>160</v>
      </c>
      <c r="D23" s="900">
        <f>SUM(D15:D22)</f>
        <v>162812.40000000002</v>
      </c>
      <c r="O23" s="392"/>
      <c r="P23" s="392"/>
    </row>
    <row r="24" spans="1:16" s="392" customFormat="1" ht="15.6" x14ac:dyDescent="0.3">
      <c r="A24" s="971"/>
      <c r="B24" s="975" t="s">
        <v>1816</v>
      </c>
      <c r="C24" s="475" t="s">
        <v>392</v>
      </c>
      <c r="D24" s="900">
        <f>D23*0.08</f>
        <v>13024.992000000002</v>
      </c>
      <c r="E24" s="108"/>
      <c r="F24" s="108"/>
      <c r="G24" s="108"/>
      <c r="H24" s="108"/>
      <c r="I24" s="108"/>
      <c r="J24" s="108"/>
      <c r="K24" s="108"/>
      <c r="L24" s="108"/>
      <c r="M24" s="108"/>
      <c r="N24" s="108"/>
      <c r="O24" s="108"/>
      <c r="P24" s="108"/>
    </row>
    <row r="25" spans="1:16" ht="15.6" x14ac:dyDescent="0.3">
      <c r="A25" s="971"/>
      <c r="B25" s="907"/>
      <c r="C25" s="475" t="s">
        <v>1860</v>
      </c>
      <c r="D25" s="900">
        <f>SUM(D23:D24)</f>
        <v>175837.39200000002</v>
      </c>
    </row>
    <row r="26" spans="1:16" ht="18" thickBot="1" x14ac:dyDescent="0.3">
      <c r="A26" s="851"/>
      <c r="B26" s="979" t="s">
        <v>1858</v>
      </c>
      <c r="C26" s="873"/>
      <c r="D26" s="874"/>
    </row>
    <row r="27" spans="1:16" ht="15.6" x14ac:dyDescent="0.25">
      <c r="A27" s="422">
        <v>135</v>
      </c>
      <c r="B27" s="423" t="s">
        <v>246</v>
      </c>
      <c r="C27" s="779">
        <f>(365)*(1.33)</f>
        <v>485.45000000000005</v>
      </c>
      <c r="D27" s="425">
        <f>A27*C27</f>
        <v>65535.750000000007</v>
      </c>
    </row>
    <row r="28" spans="1:16" ht="15.6" x14ac:dyDescent="0.25">
      <c r="A28" s="976"/>
      <c r="B28" s="977"/>
      <c r="C28" s="973" t="s">
        <v>160</v>
      </c>
      <c r="D28" s="900">
        <f>SUM(D27)</f>
        <v>65535.750000000007</v>
      </c>
    </row>
    <row r="29" spans="1:16" ht="15.6" x14ac:dyDescent="0.25">
      <c r="A29" s="976"/>
      <c r="B29" s="977"/>
      <c r="C29" s="475" t="s">
        <v>392</v>
      </c>
      <c r="D29" s="900">
        <f>D28*0.16</f>
        <v>10485.720000000001</v>
      </c>
      <c r="N29" s="392"/>
    </row>
    <row r="30" spans="1:16" ht="15.6" x14ac:dyDescent="0.25">
      <c r="A30" s="976"/>
      <c r="B30" s="977"/>
      <c r="C30" s="475" t="s">
        <v>1860</v>
      </c>
      <c r="D30" s="900">
        <f>SUM(D28:D29)</f>
        <v>76021.47</v>
      </c>
    </row>
    <row r="31" spans="1:16" ht="17.399999999999999" x14ac:dyDescent="0.25">
      <c r="A31" s="976"/>
      <c r="B31" s="981" t="s">
        <v>1859</v>
      </c>
      <c r="C31" s="978"/>
      <c r="D31" s="425"/>
    </row>
    <row r="32" spans="1:16" ht="15.6" x14ac:dyDescent="0.25">
      <c r="A32" s="886">
        <v>1</v>
      </c>
      <c r="B32" s="887" t="s">
        <v>1792</v>
      </c>
      <c r="C32" s="962">
        <f>130*90+6000</f>
        <v>17700</v>
      </c>
      <c r="D32" s="80">
        <f>A32*C32</f>
        <v>17700</v>
      </c>
    </row>
    <row r="33" spans="1:5" ht="15.6" x14ac:dyDescent="0.25">
      <c r="A33" s="84">
        <v>120</v>
      </c>
      <c r="B33" s="85" t="s">
        <v>86</v>
      </c>
      <c r="C33" s="86">
        <v>36.869999999999997</v>
      </c>
      <c r="D33" s="87">
        <f>A33*C33</f>
        <v>4424.3999999999996</v>
      </c>
    </row>
    <row r="34" spans="1:5" ht="15.6" x14ac:dyDescent="0.25">
      <c r="A34" s="886">
        <v>1</v>
      </c>
      <c r="B34" s="887" t="s">
        <v>1854</v>
      </c>
      <c r="C34" s="962">
        <v>1025</v>
      </c>
      <c r="D34" s="87">
        <f>A34*C34</f>
        <v>1025</v>
      </c>
    </row>
    <row r="35" spans="1:5" ht="15.6" x14ac:dyDescent="0.25">
      <c r="A35" s="965"/>
      <c r="B35" s="966"/>
      <c r="C35" s="983" t="s">
        <v>1860</v>
      </c>
      <c r="D35" s="982">
        <f>SUM(D32:D34)</f>
        <v>23149.4</v>
      </c>
      <c r="E35" s="189"/>
    </row>
    <row r="36" spans="1:5" ht="15.6" x14ac:dyDescent="0.25">
      <c r="A36" s="965"/>
      <c r="B36" s="966"/>
      <c r="C36" s="967"/>
      <c r="D36" s="980"/>
    </row>
    <row r="37" spans="1:5" ht="15" x14ac:dyDescent="0.25">
      <c r="A37" s="854"/>
      <c r="B37" s="201"/>
      <c r="C37" s="911"/>
      <c r="D37" s="912"/>
    </row>
    <row r="38" spans="1:5" ht="13.8" x14ac:dyDescent="0.25">
      <c r="A38" s="102"/>
      <c r="B38" s="910" t="s">
        <v>9</v>
      </c>
      <c r="C38" s="984"/>
      <c r="D38" s="192"/>
    </row>
    <row r="39" spans="1:5" ht="17.399999999999999" x14ac:dyDescent="0.3">
      <c r="A39" s="102"/>
      <c r="B39" s="838"/>
      <c r="C39" s="985" t="s">
        <v>699</v>
      </c>
      <c r="D39" s="986">
        <f>SUM(D25+D30+D35)</f>
        <v>275008.26200000005</v>
      </c>
      <c r="E39" s="189"/>
    </row>
    <row r="40" spans="1:5" ht="17.399999999999999" x14ac:dyDescent="0.3">
      <c r="A40" s="102"/>
      <c r="B40" s="100" t="s">
        <v>11</v>
      </c>
      <c r="C40" s="985" t="s">
        <v>250</v>
      </c>
      <c r="D40" s="986">
        <v>7500</v>
      </c>
    </row>
    <row r="41" spans="1:5" ht="17.399999999999999" x14ac:dyDescent="0.3">
      <c r="A41" s="106"/>
      <c r="B41" s="121" t="s">
        <v>1620</v>
      </c>
      <c r="C41" s="985" t="s">
        <v>699</v>
      </c>
      <c r="D41" s="986">
        <f>SUM(D40-D39)</f>
        <v>-267508.26200000005</v>
      </c>
    </row>
    <row r="42" spans="1:5" ht="15" x14ac:dyDescent="0.25">
      <c r="A42" s="106"/>
      <c r="B42" s="964" t="s">
        <v>1817</v>
      </c>
      <c r="C42" s="108"/>
      <c r="D42" s="108"/>
    </row>
    <row r="43" spans="1:5" ht="15" x14ac:dyDescent="0.25">
      <c r="A43" s="106"/>
      <c r="B43" s="915" t="s">
        <v>14</v>
      </c>
      <c r="C43" s="984"/>
      <c r="D43" s="192"/>
    </row>
    <row r="44" spans="1:5" ht="15" x14ac:dyDescent="0.25">
      <c r="A44" s="106"/>
      <c r="B44" s="987" t="s">
        <v>15</v>
      </c>
      <c r="C44" s="989" t="s">
        <v>1861</v>
      </c>
      <c r="D44" s="989">
        <f>282985.04-267508.26</f>
        <v>15476.77999999997</v>
      </c>
      <c r="E44" s="189"/>
    </row>
    <row r="45" spans="1:5" ht="27.6" x14ac:dyDescent="0.25">
      <c r="A45" s="106"/>
      <c r="B45" s="125" t="s">
        <v>17</v>
      </c>
      <c r="C45" s="988"/>
      <c r="D45" s="863"/>
    </row>
    <row r="46" spans="1:5" ht="15" x14ac:dyDescent="0.25">
      <c r="A46" s="106"/>
      <c r="B46" s="103" t="s">
        <v>18</v>
      </c>
      <c r="C46" s="109"/>
      <c r="D46" s="110"/>
    </row>
    <row r="47" spans="1:5" ht="15" x14ac:dyDescent="0.25">
      <c r="A47" s="106"/>
      <c r="B47" s="856" t="s">
        <v>1821</v>
      </c>
      <c r="C47" s="109"/>
      <c r="D47" s="109"/>
    </row>
    <row r="48" spans="1:5" ht="15" x14ac:dyDescent="0.25">
      <c r="A48" s="106"/>
      <c r="B48" s="127" t="s">
        <v>20</v>
      </c>
      <c r="C48" s="109"/>
      <c r="D48" s="109"/>
    </row>
    <row r="49" spans="1:4" ht="15" x14ac:dyDescent="0.25">
      <c r="A49" s="106"/>
      <c r="B49" s="103" t="s">
        <v>21</v>
      </c>
      <c r="D49" s="105"/>
    </row>
    <row r="50" spans="1:4" ht="12.75" customHeight="1" x14ac:dyDescent="0.25">
      <c r="B50" s="484" t="s">
        <v>1799</v>
      </c>
      <c r="C50" s="109"/>
      <c r="D50" s="110"/>
    </row>
    <row r="51" spans="1:4" ht="15" x14ac:dyDescent="0.25">
      <c r="A51" s="106"/>
      <c r="B51" s="121" t="s">
        <v>44</v>
      </c>
      <c r="C51" s="109"/>
      <c r="D51" s="110"/>
    </row>
    <row r="52" spans="1:4" ht="15" x14ac:dyDescent="0.25">
      <c r="A52" s="106"/>
      <c r="B52" s="121" t="s">
        <v>45</v>
      </c>
      <c r="C52" s="109"/>
    </row>
    <row r="53" spans="1:4" ht="33.6" x14ac:dyDescent="0.4">
      <c r="A53" s="115" t="s">
        <v>0</v>
      </c>
      <c r="B53" s="128" t="s">
        <v>169</v>
      </c>
      <c r="C53" s="220"/>
      <c r="D53" s="108"/>
    </row>
    <row r="54" spans="1:4" x14ac:dyDescent="0.25">
      <c r="A54" s="222"/>
      <c r="B54" s="181"/>
      <c r="C54" s="181"/>
      <c r="D54" s="108"/>
    </row>
    <row r="55" spans="1:4" x14ac:dyDescent="0.25">
      <c r="A55" s="222"/>
      <c r="B55" s="181"/>
      <c r="C55" s="181"/>
      <c r="D55" s="108"/>
    </row>
    <row r="56" spans="1:4" x14ac:dyDescent="0.25">
      <c r="A56" s="222"/>
      <c r="B56" s="223"/>
      <c r="C56" s="181"/>
      <c r="D56" s="108"/>
    </row>
    <row r="57" spans="1:4" ht="15" x14ac:dyDescent="0.35">
      <c r="A57" s="225"/>
      <c r="B57" s="224"/>
      <c r="C57" s="181"/>
      <c r="D57" s="181"/>
    </row>
    <row r="58" spans="1:4" ht="15.75" customHeight="1" x14ac:dyDescent="0.25">
      <c r="A58" s="226" t="s">
        <v>0</v>
      </c>
    </row>
    <row r="59" spans="1:4" ht="15" customHeight="1" x14ac:dyDescent="0.25">
      <c r="A59" s="108" t="s">
        <v>0</v>
      </c>
    </row>
  </sheetData>
  <mergeCells count="2">
    <mergeCell ref="A4:D4"/>
    <mergeCell ref="A14:D14"/>
  </mergeCells>
  <printOptions horizontalCentered="1"/>
  <pageMargins left="0.25" right="0.25" top="0.75" bottom="0.75" header="0.3" footer="0.3"/>
  <pageSetup paperSize="9" scale="68" fitToWidth="0" orientation="portrait" r:id="rId1"/>
  <headerFooter alignWithMargins="0">
    <oddFooter>Página &amp;P de &amp;N</oddFooter>
  </headerFooter>
  <drawing r:id="rId2"/>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E419-255F-41C6-87FC-9A1A0B087C77}">
  <sheetPr>
    <tabColor theme="4" tint="-0.249977111117893"/>
    <pageSetUpPr fitToPage="1"/>
  </sheetPr>
  <dimension ref="A1:P59"/>
  <sheetViews>
    <sheetView topLeftCell="A2" zoomScale="85" zoomScaleNormal="85" workbookViewId="0">
      <selection activeCell="B28" sqref="B28"/>
    </sheetView>
  </sheetViews>
  <sheetFormatPr baseColWidth="10" defaultColWidth="11.44140625" defaultRowHeight="13.2" x14ac:dyDescent="0.25"/>
  <cols>
    <col min="1" max="1" width="6" style="108" customWidth="1"/>
    <col min="2" max="2" width="100.886718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1818</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3">
      <c r="A16" s="896">
        <v>120</v>
      </c>
      <c r="B16" s="897" t="s">
        <v>1822</v>
      </c>
      <c r="C16" s="961">
        <f>545*1.4</f>
        <v>763</v>
      </c>
      <c r="D16" s="80">
        <f t="shared" ref="D16:D20" si="0">A16*C16</f>
        <v>91560</v>
      </c>
      <c r="E16" s="190"/>
      <c r="H16" s="191"/>
      <c r="I16" s="191"/>
      <c r="J16" s="191"/>
      <c r="K16" s="191"/>
      <c r="L16" s="191"/>
      <c r="N16" s="191"/>
      <c r="O16" s="191"/>
      <c r="P16" s="191"/>
    </row>
    <row r="17" spans="1:16" s="191" customFormat="1" ht="15.6" x14ac:dyDescent="0.3">
      <c r="A17" s="896">
        <v>2</v>
      </c>
      <c r="B17" s="897" t="s">
        <v>1823</v>
      </c>
      <c r="C17" s="961">
        <f>5242*1.4</f>
        <v>7338.7999999999993</v>
      </c>
      <c r="D17" s="80">
        <f t="shared" si="0"/>
        <v>14677.599999999999</v>
      </c>
      <c r="E17" s="190"/>
      <c r="F17" s="108"/>
      <c r="G17" s="108"/>
      <c r="M17" s="108"/>
    </row>
    <row r="18" spans="1:16" s="191" customFormat="1" ht="15.6" x14ac:dyDescent="0.3">
      <c r="A18" s="896">
        <v>4</v>
      </c>
      <c r="B18" s="897" t="s">
        <v>1824</v>
      </c>
      <c r="C18" s="961">
        <f>528*1.4</f>
        <v>739.19999999999993</v>
      </c>
      <c r="D18" s="80">
        <f t="shared" si="0"/>
        <v>2956.7999999999997</v>
      </c>
      <c r="E18" s="190"/>
      <c r="F18" s="108"/>
      <c r="G18" s="108"/>
      <c r="M18"/>
    </row>
    <row r="19" spans="1:16" s="191" customFormat="1" ht="15.6" x14ac:dyDescent="0.3">
      <c r="A19" s="896">
        <v>120</v>
      </c>
      <c r="B19" s="897" t="s">
        <v>1812</v>
      </c>
      <c r="C19" s="961">
        <f>25*1.35</f>
        <v>33.75</v>
      </c>
      <c r="D19" s="80">
        <f t="shared" si="0"/>
        <v>4050</v>
      </c>
      <c r="E19" s="190"/>
      <c r="F19" s="108"/>
      <c r="G19" s="108"/>
      <c r="M19" s="108"/>
    </row>
    <row r="20" spans="1:16" s="191" customFormat="1" ht="15.6" x14ac:dyDescent="0.3">
      <c r="A20" s="896">
        <v>60</v>
      </c>
      <c r="B20" s="897" t="s">
        <v>1797</v>
      </c>
      <c r="C20" s="961">
        <f>54*1.35</f>
        <v>72.900000000000006</v>
      </c>
      <c r="D20" s="80">
        <f t="shared" si="0"/>
        <v>4374</v>
      </c>
      <c r="E20" s="190"/>
      <c r="F20" s="108"/>
      <c r="G20" s="108"/>
      <c r="M20" s="108"/>
      <c r="N20" s="108"/>
      <c r="O20" s="108"/>
      <c r="P20" s="108"/>
    </row>
    <row r="21" spans="1:16" ht="15.6" x14ac:dyDescent="0.3">
      <c r="A21" s="896">
        <v>1</v>
      </c>
      <c r="B21" s="897" t="s">
        <v>1819</v>
      </c>
      <c r="C21" s="961" t="s">
        <v>1820</v>
      </c>
      <c r="D21" s="80"/>
      <c r="E21" s="190"/>
      <c r="H21" s="191"/>
      <c r="I21" s="191"/>
      <c r="J21" s="191"/>
      <c r="K21" s="191"/>
      <c r="L21" s="191"/>
    </row>
    <row r="22" spans="1:16" ht="15.6" x14ac:dyDescent="0.25">
      <c r="A22" s="886">
        <v>1</v>
      </c>
      <c r="B22" s="887" t="s">
        <v>1792</v>
      </c>
      <c r="C22" s="962">
        <f>130*90+6000</f>
        <v>17700</v>
      </c>
      <c r="D22" s="80">
        <f>A22*C22</f>
        <v>17700</v>
      </c>
      <c r="E22" s="189"/>
    </row>
    <row r="23" spans="1:16" ht="15.6" x14ac:dyDescent="0.25">
      <c r="A23" s="77"/>
      <c r="B23" s="868"/>
      <c r="C23" s="869"/>
      <c r="D23" s="83"/>
      <c r="O23" s="392"/>
      <c r="P23" s="392"/>
    </row>
    <row r="24" spans="1:16" s="392" customFormat="1" ht="15.6" x14ac:dyDescent="0.3">
      <c r="A24" s="906"/>
      <c r="B24" s="963" t="s">
        <v>1815</v>
      </c>
      <c r="C24" s="475" t="s">
        <v>160</v>
      </c>
      <c r="D24" s="900">
        <f>SUM(D15:D23)</f>
        <v>135318.40000000002</v>
      </c>
      <c r="E24" s="108"/>
      <c r="F24" s="108"/>
      <c r="G24" s="108"/>
      <c r="H24" s="108"/>
      <c r="I24" s="108"/>
      <c r="J24" s="108"/>
      <c r="K24" s="108"/>
      <c r="L24" s="108"/>
      <c r="M24" s="108"/>
      <c r="N24" s="108"/>
      <c r="O24" s="108"/>
      <c r="P24" s="108"/>
    </row>
    <row r="25" spans="1:16" ht="15.6" x14ac:dyDescent="0.3">
      <c r="A25" s="847"/>
      <c r="B25" s="963" t="s">
        <v>1816</v>
      </c>
      <c r="C25" s="475" t="s">
        <v>392</v>
      </c>
      <c r="D25" s="900">
        <f>D24*0.16</f>
        <v>21650.944000000003</v>
      </c>
    </row>
    <row r="26" spans="1:16" ht="16.2" thickBot="1" x14ac:dyDescent="0.35">
      <c r="A26" s="847"/>
      <c r="B26" s="851"/>
      <c r="C26" s="475" t="s">
        <v>162</v>
      </c>
      <c r="D26" s="900">
        <f>D24+D25</f>
        <v>156969.34400000004</v>
      </c>
    </row>
    <row r="27" spans="1:16" ht="16.2" thickBot="1" x14ac:dyDescent="0.3">
      <c r="A27" s="851"/>
      <c r="B27" s="872" t="s">
        <v>1826</v>
      </c>
      <c r="C27" s="873"/>
      <c r="D27" s="874"/>
    </row>
    <row r="28" spans="1:16" ht="15" x14ac:dyDescent="0.25">
      <c r="A28" s="854"/>
      <c r="B28" s="201"/>
      <c r="C28" s="911"/>
      <c r="D28" s="912"/>
    </row>
    <row r="29" spans="1:16" ht="13.8" x14ac:dyDescent="0.25">
      <c r="A29" s="102"/>
      <c r="B29" s="910" t="s">
        <v>9</v>
      </c>
      <c r="C29" s="189"/>
      <c r="D29" s="108"/>
      <c r="N29" s="392"/>
    </row>
    <row r="30" spans="1:16" ht="15.6" x14ac:dyDescent="0.25">
      <c r="A30" s="102"/>
      <c r="B30" s="838"/>
      <c r="C30" s="189"/>
      <c r="D30" s="108"/>
    </row>
    <row r="31" spans="1:16" ht="13.8" x14ac:dyDescent="0.25">
      <c r="A31" s="102"/>
      <c r="B31" s="100" t="s">
        <v>11</v>
      </c>
      <c r="C31" s="108"/>
      <c r="D31" s="108"/>
    </row>
    <row r="32" spans="1:16" ht="15" x14ac:dyDescent="0.25">
      <c r="A32" s="106"/>
      <c r="B32" s="121" t="s">
        <v>1620</v>
      </c>
      <c r="C32" s="108"/>
      <c r="D32" s="108"/>
    </row>
    <row r="33" spans="1:4" ht="15" x14ac:dyDescent="0.25">
      <c r="A33" s="106"/>
      <c r="B33" s="964" t="s">
        <v>1817</v>
      </c>
      <c r="C33" s="108"/>
      <c r="D33" s="108"/>
    </row>
    <row r="34" spans="1:4" ht="15" x14ac:dyDescent="0.25">
      <c r="A34" s="106"/>
      <c r="B34" s="915" t="s">
        <v>14</v>
      </c>
      <c r="C34" s="189"/>
      <c r="D34" s="108"/>
    </row>
    <row r="35" spans="1:4" ht="15" x14ac:dyDescent="0.25">
      <c r="A35" s="106"/>
      <c r="B35" s="103" t="s">
        <v>15</v>
      </c>
      <c r="C35" s="462"/>
      <c r="D35" s="462"/>
    </row>
    <row r="36" spans="1:4" ht="27.6" x14ac:dyDescent="0.25">
      <c r="A36" s="106"/>
      <c r="B36" s="125" t="s">
        <v>17</v>
      </c>
      <c r="C36" s="109"/>
      <c r="D36" s="110"/>
    </row>
    <row r="37" spans="1:4" ht="15" x14ac:dyDescent="0.25">
      <c r="A37" s="106"/>
      <c r="B37" s="103" t="s">
        <v>18</v>
      </c>
      <c r="C37" s="109"/>
      <c r="D37" s="110"/>
    </row>
    <row r="38" spans="1:4" ht="15" x14ac:dyDescent="0.25">
      <c r="A38" s="106"/>
      <c r="B38" s="856" t="s">
        <v>1821</v>
      </c>
      <c r="C38" s="109"/>
      <c r="D38" s="109"/>
    </row>
    <row r="39" spans="1:4" ht="15" x14ac:dyDescent="0.25">
      <c r="A39" s="106"/>
      <c r="B39" s="127" t="s">
        <v>20</v>
      </c>
      <c r="C39" s="109"/>
      <c r="D39" s="109"/>
    </row>
    <row r="40" spans="1:4" ht="15" x14ac:dyDescent="0.25">
      <c r="A40" s="106"/>
      <c r="B40" s="103" t="s">
        <v>21</v>
      </c>
      <c r="D40" s="105"/>
    </row>
    <row r="41" spans="1:4" ht="13.8" x14ac:dyDescent="0.25">
      <c r="B41" s="484" t="s">
        <v>1799</v>
      </c>
      <c r="C41" s="109"/>
      <c r="D41" s="110"/>
    </row>
    <row r="42" spans="1:4" ht="15" x14ac:dyDescent="0.25">
      <c r="A42" s="106"/>
      <c r="B42" s="121" t="s">
        <v>44</v>
      </c>
      <c r="C42" s="109"/>
      <c r="D42" s="110"/>
    </row>
    <row r="43" spans="1:4" ht="15" x14ac:dyDescent="0.25">
      <c r="A43" s="106"/>
      <c r="B43" s="121" t="s">
        <v>45</v>
      </c>
      <c r="C43" s="109"/>
    </row>
    <row r="44" spans="1:4" ht="33.6" x14ac:dyDescent="0.4">
      <c r="A44" s="115" t="s">
        <v>0</v>
      </c>
      <c r="B44" s="128" t="s">
        <v>169</v>
      </c>
      <c r="C44" s="220"/>
      <c r="D44" s="108"/>
    </row>
    <row r="45" spans="1:4" x14ac:dyDescent="0.25">
      <c r="A45" s="222"/>
      <c r="B45" s="181"/>
      <c r="C45" s="181"/>
      <c r="D45" s="108"/>
    </row>
    <row r="46" spans="1:4" x14ac:dyDescent="0.25">
      <c r="A46" s="222"/>
      <c r="B46" s="181"/>
      <c r="C46" s="181"/>
      <c r="D46" s="108"/>
    </row>
    <row r="47" spans="1:4" x14ac:dyDescent="0.25">
      <c r="A47" s="222"/>
      <c r="B47" s="223"/>
      <c r="C47" s="181"/>
      <c r="D47" s="108"/>
    </row>
    <row r="48" spans="1:4" ht="15" x14ac:dyDescent="0.35">
      <c r="A48" s="225"/>
      <c r="B48" s="224"/>
      <c r="C48" s="181"/>
      <c r="D48" s="181"/>
    </row>
    <row r="49" spans="1:1" x14ac:dyDescent="0.25">
      <c r="A49" s="226" t="s">
        <v>0</v>
      </c>
    </row>
    <row r="50" spans="1:1" ht="12.75" customHeight="1" x14ac:dyDescent="0.25">
      <c r="A50" s="108" t="s">
        <v>0</v>
      </c>
    </row>
    <row r="58" spans="1:1" ht="15.75" customHeight="1" x14ac:dyDescent="0.25"/>
    <row r="59" spans="1:1" ht="15" customHeight="1" x14ac:dyDescent="0.25"/>
  </sheetData>
  <mergeCells count="2">
    <mergeCell ref="A4:D4"/>
    <mergeCell ref="A14:D14"/>
  </mergeCells>
  <printOptions horizontalCentered="1"/>
  <pageMargins left="0.25" right="0.25" top="0.75" bottom="0.75" header="0.3" footer="0.3"/>
  <pageSetup paperSize="9" scale="71" fitToWidth="0" orientation="portrait" r:id="rId1"/>
  <headerFooter alignWithMargins="0">
    <oddFooter>Página &amp;P de &amp;N</oddFooter>
  </headerFooter>
  <drawing r:id="rId2"/>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EA60-879F-4E4E-A9A4-222A5CEE801F}">
  <sheetPr>
    <tabColor theme="4" tint="-0.249977111117893"/>
    <pageSetUpPr fitToPage="1"/>
  </sheetPr>
  <dimension ref="A1:P59"/>
  <sheetViews>
    <sheetView topLeftCell="A4" zoomScale="85" zoomScaleNormal="85" workbookViewId="0">
      <selection activeCell="A18" sqref="A18:M18"/>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1770</v>
      </c>
      <c r="B8" s="228"/>
      <c r="C8" s="229"/>
      <c r="D8" s="229"/>
      <c r="E8" s="228"/>
      <c r="F8" s="228"/>
    </row>
    <row r="9" spans="1:16" s="10" customFormat="1" ht="19.2" x14ac:dyDescent="0.45">
      <c r="A9" s="227" t="s">
        <v>1771</v>
      </c>
      <c r="B9" s="228"/>
      <c r="C9" s="229"/>
      <c r="D9" s="229"/>
      <c r="E9" s="228"/>
      <c r="F9" s="228"/>
    </row>
    <row r="10" spans="1:16" s="10" customFormat="1" ht="19.2" x14ac:dyDescent="0.45">
      <c r="A10" s="227" t="s">
        <v>1772</v>
      </c>
      <c r="B10" s="228"/>
      <c r="C10" s="230"/>
      <c r="D10" s="229"/>
      <c r="E10" s="228"/>
      <c r="F10" s="228"/>
    </row>
    <row r="11" spans="1:16" s="10" customFormat="1" ht="19.2" x14ac:dyDescent="0.45">
      <c r="A11" s="227" t="s">
        <v>1773</v>
      </c>
      <c r="B11" s="228"/>
      <c r="C11" s="230"/>
      <c r="D11" s="229"/>
      <c r="E11" s="228"/>
      <c r="F11" s="228"/>
    </row>
    <row r="12" spans="1:16" s="10" customFormat="1" ht="15" customHeight="1" x14ac:dyDescent="0.45">
      <c r="A12" s="227" t="s">
        <v>6</v>
      </c>
      <c r="B12" s="231"/>
      <c r="C12" s="232"/>
      <c r="D12" s="233"/>
      <c r="E12" s="228"/>
      <c r="F12" s="228"/>
    </row>
    <row r="13" spans="1:16" s="10" customFormat="1" ht="15" customHeight="1" x14ac:dyDescent="0.45">
      <c r="A13" s="234" t="s">
        <v>1839</v>
      </c>
      <c r="B13" s="231"/>
      <c r="C13" s="232"/>
      <c r="D13" s="233"/>
      <c r="E13" s="228"/>
      <c r="F13" s="22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3">
      <c r="A16" s="894">
        <v>1</v>
      </c>
      <c r="B16" s="890" t="s">
        <v>1840</v>
      </c>
      <c r="C16" s="892">
        <f>39009*1.35</f>
        <v>52662.15</v>
      </c>
      <c r="D16" s="885">
        <f t="shared" ref="D16" si="0">A16*C16</f>
        <v>52662.15</v>
      </c>
      <c r="E16" s="190"/>
      <c r="H16" s="191"/>
      <c r="I16" s="191"/>
      <c r="J16" s="191"/>
      <c r="K16" s="191"/>
      <c r="L16" s="191"/>
      <c r="M16" s="191"/>
      <c r="N16" s="191"/>
      <c r="O16" s="191"/>
      <c r="P16" s="191"/>
    </row>
    <row r="17" spans="1:16" s="191" customFormat="1" ht="15.6" x14ac:dyDescent="0.3">
      <c r="A17" s="894"/>
      <c r="B17" s="890" t="s">
        <v>1834</v>
      </c>
      <c r="C17" s="891"/>
      <c r="D17" s="893"/>
      <c r="E17" s="190"/>
      <c r="F17" s="108"/>
      <c r="G17" s="108"/>
    </row>
    <row r="18" spans="1:16" s="191" customFormat="1" ht="15.6" x14ac:dyDescent="0.25">
      <c r="A18" s="882"/>
      <c r="B18" s="895" t="s">
        <v>1716</v>
      </c>
      <c r="C18" s="884"/>
      <c r="D18" s="885"/>
      <c r="E18" s="190"/>
      <c r="F18" s="108"/>
      <c r="G18" s="108"/>
      <c r="M18" s="837"/>
    </row>
    <row r="19" spans="1:16" s="191" customFormat="1" ht="15.6" x14ac:dyDescent="0.3">
      <c r="A19" s="894">
        <v>1</v>
      </c>
      <c r="B19" s="890" t="s">
        <v>1708</v>
      </c>
      <c r="C19" s="892">
        <f>6800*3</f>
        <v>20400</v>
      </c>
      <c r="D19" s="885">
        <f t="shared" ref="D19" si="1">A19*C19</f>
        <v>20400</v>
      </c>
      <c r="E19" s="190"/>
      <c r="F19" s="108"/>
      <c r="G19" s="108"/>
      <c r="M19" s="108"/>
    </row>
    <row r="20" spans="1:16" s="191" customFormat="1" ht="15.6" x14ac:dyDescent="0.3">
      <c r="A20" s="894"/>
      <c r="B20" s="890" t="s">
        <v>1709</v>
      </c>
      <c r="C20" s="891"/>
      <c r="D20" s="893"/>
      <c r="E20" s="190"/>
      <c r="F20" s="108"/>
      <c r="G20" s="108"/>
      <c r="M20" s="108"/>
      <c r="N20" s="108"/>
      <c r="O20" s="108"/>
      <c r="P20" s="108"/>
    </row>
    <row r="21" spans="1:16" ht="15.6" x14ac:dyDescent="0.3">
      <c r="A21" s="894"/>
      <c r="B21" s="890" t="s">
        <v>1710</v>
      </c>
      <c r="C21" s="891"/>
      <c r="D21" s="893"/>
      <c r="E21" s="190"/>
      <c r="H21" s="191"/>
      <c r="I21" s="191"/>
      <c r="J21" s="191"/>
      <c r="K21" s="191"/>
      <c r="L21" s="191"/>
    </row>
    <row r="22" spans="1:16" ht="15.6" x14ac:dyDescent="0.3">
      <c r="A22" s="894"/>
      <c r="B22" s="890" t="s">
        <v>1711</v>
      </c>
      <c r="C22" s="892"/>
      <c r="D22" s="893"/>
      <c r="E22" s="189"/>
    </row>
    <row r="23" spans="1:16" ht="15.6" x14ac:dyDescent="0.3">
      <c r="A23" s="894"/>
      <c r="B23" s="890" t="s">
        <v>1712</v>
      </c>
      <c r="C23" s="892"/>
      <c r="D23" s="893"/>
      <c r="E23" s="189"/>
      <c r="O23" s="392"/>
      <c r="P23" s="392"/>
    </row>
    <row r="24" spans="1:16" s="392" customFormat="1" ht="15.6" x14ac:dyDescent="0.3">
      <c r="A24" s="894"/>
      <c r="B24" s="890" t="s">
        <v>1714</v>
      </c>
      <c r="C24" s="892"/>
      <c r="D24" s="893"/>
      <c r="E24" s="189"/>
      <c r="F24" s="108"/>
      <c r="G24" s="108"/>
      <c r="H24" s="108"/>
      <c r="I24" s="108"/>
      <c r="J24" s="108"/>
      <c r="K24" s="108"/>
      <c r="L24" s="108"/>
      <c r="M24" s="108"/>
      <c r="N24" s="108"/>
      <c r="O24" s="108"/>
      <c r="P24" s="108"/>
    </row>
    <row r="25" spans="1:16" ht="15.6" x14ac:dyDescent="0.3">
      <c r="A25" s="894"/>
      <c r="B25" s="890" t="s">
        <v>1715</v>
      </c>
      <c r="C25" s="892"/>
      <c r="D25" s="893"/>
    </row>
    <row r="26" spans="1:16" ht="15.6" x14ac:dyDescent="0.3">
      <c r="A26" s="896">
        <v>1</v>
      </c>
      <c r="B26" s="897" t="s">
        <v>1841</v>
      </c>
      <c r="C26" s="898">
        <f>3100*2+1300</f>
        <v>7500</v>
      </c>
      <c r="D26" s="893">
        <f>A26*C26</f>
        <v>7500</v>
      </c>
      <c r="E26" s="190"/>
      <c r="H26" s="191"/>
      <c r="I26" s="191"/>
      <c r="J26" s="191"/>
      <c r="K26" s="191"/>
      <c r="L26" s="191"/>
    </row>
    <row r="27" spans="1:16" ht="15.6" x14ac:dyDescent="0.25">
      <c r="A27" s="77"/>
      <c r="B27" s="868"/>
      <c r="C27" s="869"/>
      <c r="D27" s="83"/>
    </row>
    <row r="28" spans="1:16" ht="15.6" x14ac:dyDescent="0.3">
      <c r="A28" s="867"/>
      <c r="B28" s="899" t="s">
        <v>1765</v>
      </c>
      <c r="C28" s="475" t="s">
        <v>160</v>
      </c>
      <c r="D28" s="900">
        <f>SUM(D15:D27)</f>
        <v>80562.149999999994</v>
      </c>
      <c r="N28" s="392"/>
    </row>
    <row r="29" spans="1:16" ht="15.6" x14ac:dyDescent="0.3">
      <c r="A29" s="847"/>
      <c r="B29" s="899" t="s">
        <v>1766</v>
      </c>
      <c r="C29" s="475" t="s">
        <v>392</v>
      </c>
      <c r="D29" s="900">
        <f>D28*0.16</f>
        <v>12889.944</v>
      </c>
      <c r="E29" s="189"/>
    </row>
    <row r="30" spans="1:16" ht="16.2" thickBot="1" x14ac:dyDescent="0.35">
      <c r="A30" s="847"/>
      <c r="B30" s="851"/>
      <c r="C30" s="475" t="s">
        <v>162</v>
      </c>
      <c r="D30" s="900">
        <f>D28+D29</f>
        <v>93452.093999999997</v>
      </c>
      <c r="E30" s="189"/>
    </row>
    <row r="31" spans="1:16" ht="16.2" thickBot="1" x14ac:dyDescent="0.3">
      <c r="A31" s="851"/>
      <c r="B31" s="872" t="s">
        <v>1767</v>
      </c>
      <c r="C31" s="873"/>
      <c r="D31" s="874"/>
    </row>
    <row r="32" spans="1:16" ht="15" x14ac:dyDescent="0.25">
      <c r="A32" s="854"/>
      <c r="B32" s="201"/>
      <c r="C32" s="253"/>
      <c r="D32" s="254"/>
    </row>
    <row r="33" spans="1:4" ht="13.8" x14ac:dyDescent="0.25">
      <c r="A33" s="102"/>
      <c r="B33" s="100" t="s">
        <v>9</v>
      </c>
      <c r="C33" s="104"/>
      <c r="D33" s="105"/>
    </row>
    <row r="34" spans="1:4" ht="15.6" x14ac:dyDescent="0.25">
      <c r="A34" s="102"/>
      <c r="B34" s="838"/>
      <c r="C34" s="104"/>
      <c r="D34" s="105"/>
    </row>
    <row r="35" spans="1:4" ht="13.8" x14ac:dyDescent="0.25">
      <c r="A35" s="102"/>
      <c r="B35" s="100" t="s">
        <v>11</v>
      </c>
      <c r="D35" s="105"/>
    </row>
    <row r="36" spans="1:4" ht="15" x14ac:dyDescent="0.25">
      <c r="A36" s="106"/>
      <c r="B36" s="121" t="s">
        <v>394</v>
      </c>
      <c r="D36" s="105"/>
    </row>
    <row r="37" spans="1:4" ht="15" x14ac:dyDescent="0.25">
      <c r="A37" s="106"/>
      <c r="B37" s="121" t="s">
        <v>13</v>
      </c>
      <c r="D37" s="105"/>
    </row>
    <row r="38" spans="1:4" ht="15" x14ac:dyDescent="0.25">
      <c r="A38" s="106"/>
      <c r="B38" s="121" t="s">
        <v>14</v>
      </c>
      <c r="D38" s="105"/>
    </row>
    <row r="39" spans="1:4" ht="15" x14ac:dyDescent="0.25">
      <c r="A39" s="106"/>
      <c r="B39" s="103" t="s">
        <v>15</v>
      </c>
    </row>
    <row r="40" spans="1:4" ht="27.6" x14ac:dyDescent="0.25">
      <c r="B40" s="855" t="s">
        <v>1678</v>
      </c>
    </row>
    <row r="41" spans="1:4" ht="27.6" x14ac:dyDescent="0.25">
      <c r="A41" s="106"/>
      <c r="B41" s="125" t="s">
        <v>17</v>
      </c>
      <c r="C41" s="109"/>
      <c r="D41" s="110"/>
    </row>
    <row r="42" spans="1:4" ht="15" x14ac:dyDescent="0.25">
      <c r="A42" s="106"/>
      <c r="B42" s="103" t="s">
        <v>18</v>
      </c>
      <c r="C42" s="109"/>
      <c r="D42" s="110"/>
    </row>
    <row r="43" spans="1:4" ht="15" x14ac:dyDescent="0.25">
      <c r="A43" s="106"/>
      <c r="B43" s="856" t="s">
        <v>1721</v>
      </c>
      <c r="C43" s="109"/>
      <c r="D43" s="109"/>
    </row>
    <row r="44" spans="1:4" ht="15" x14ac:dyDescent="0.25">
      <c r="A44" s="106"/>
      <c r="B44" s="127" t="s">
        <v>20</v>
      </c>
      <c r="C44" s="109"/>
      <c r="D44" s="109"/>
    </row>
    <row r="45" spans="1:4" ht="15" x14ac:dyDescent="0.25">
      <c r="A45" s="106"/>
      <c r="B45" s="103" t="s">
        <v>21</v>
      </c>
      <c r="D45" s="105"/>
    </row>
    <row r="46" spans="1:4" ht="13.8" x14ac:dyDescent="0.25">
      <c r="B46" s="484" t="s">
        <v>1677</v>
      </c>
      <c r="C46" s="109"/>
      <c r="D46" s="110"/>
    </row>
    <row r="47" spans="1:4" ht="15" x14ac:dyDescent="0.25">
      <c r="A47" s="106"/>
      <c r="B47" s="121" t="s">
        <v>44</v>
      </c>
      <c r="C47" s="109"/>
      <c r="D47" s="110"/>
    </row>
    <row r="48" spans="1:4" ht="15" x14ac:dyDescent="0.25">
      <c r="A48" s="106"/>
      <c r="B48" s="121" t="s">
        <v>45</v>
      </c>
      <c r="C48" s="109"/>
    </row>
    <row r="49" spans="1:4" ht="50.4" x14ac:dyDescent="0.4">
      <c r="A49" s="115" t="s">
        <v>0</v>
      </c>
      <c r="B49" s="128" t="s">
        <v>169</v>
      </c>
      <c r="C49" s="220"/>
      <c r="D49" s="108"/>
    </row>
    <row r="50" spans="1:4" ht="12.75" customHeight="1" x14ac:dyDescent="0.25">
      <c r="A50" s="222"/>
      <c r="B50" s="181"/>
      <c r="C50" s="181"/>
      <c r="D50" s="108"/>
    </row>
    <row r="51" spans="1:4" x14ac:dyDescent="0.25">
      <c r="A51" s="222"/>
      <c r="B51" s="181"/>
      <c r="C51" s="181"/>
      <c r="D51" s="108"/>
    </row>
    <row r="52" spans="1:4" x14ac:dyDescent="0.25">
      <c r="A52" s="222"/>
      <c r="B52" s="223"/>
      <c r="C52" s="181"/>
      <c r="D52" s="108"/>
    </row>
    <row r="53" spans="1:4" ht="15" x14ac:dyDescent="0.35">
      <c r="A53" s="225"/>
      <c r="B53" s="224"/>
      <c r="C53" s="181"/>
      <c r="D53" s="181"/>
    </row>
    <row r="54" spans="1:4" ht="16.5" customHeight="1" x14ac:dyDescent="0.25">
      <c r="A54" s="226" t="s">
        <v>0</v>
      </c>
    </row>
    <row r="55" spans="1:4" x14ac:dyDescent="0.25">
      <c r="A55" s="108" t="s">
        <v>0</v>
      </c>
    </row>
    <row r="58" spans="1:4" ht="15.75" customHeight="1" x14ac:dyDescent="0.25"/>
    <row r="59" spans="1:4" ht="15" customHeight="1" x14ac:dyDescent="0.25"/>
  </sheetData>
  <mergeCells count="2">
    <mergeCell ref="A4:D4"/>
    <mergeCell ref="A14:D14"/>
  </mergeCells>
  <printOptions horizontalCentered="1"/>
  <pageMargins left="0" right="0" top="0" bottom="0" header="0" footer="0"/>
  <pageSetup paperSize="9" scale="74" fitToWidth="0" orientation="portrait" r:id="rId1"/>
  <headerFooter alignWithMargins="0">
    <oddFooter>Página &amp;P de &amp;N</oddFooter>
  </headerFooter>
  <drawing r:id="rId2"/>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9223-9803-4004-9648-0EE14AD4BAF8}">
  <sheetPr>
    <tabColor theme="4" tint="-0.249977111117893"/>
    <pageSetUpPr fitToPage="1"/>
  </sheetPr>
  <dimension ref="A1:P59"/>
  <sheetViews>
    <sheetView zoomScale="85" zoomScaleNormal="85" workbookViewId="0">
      <selection activeCell="B39" sqref="B39:B41"/>
    </sheetView>
  </sheetViews>
  <sheetFormatPr baseColWidth="10" defaultColWidth="11.44140625" defaultRowHeight="13.2" x14ac:dyDescent="0.25"/>
  <cols>
    <col min="1" max="1" width="6" style="108" customWidth="1"/>
    <col min="2" max="2" width="82.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982</v>
      </c>
      <c r="B8" s="228"/>
      <c r="C8" s="229"/>
      <c r="D8" s="229"/>
      <c r="E8" s="228"/>
      <c r="F8" s="228"/>
    </row>
    <row r="9" spans="1:16" s="10" customFormat="1" ht="19.2" x14ac:dyDescent="0.45">
      <c r="A9" s="227" t="s">
        <v>983</v>
      </c>
      <c r="B9" s="228"/>
      <c r="C9" s="229"/>
      <c r="D9" s="229"/>
      <c r="E9" s="228"/>
      <c r="F9" s="228"/>
    </row>
    <row r="10" spans="1:16" s="10" customFormat="1" ht="19.2" x14ac:dyDescent="0.45">
      <c r="A10" s="227" t="s">
        <v>984</v>
      </c>
      <c r="B10" s="228"/>
      <c r="C10" s="230"/>
      <c r="D10" s="229"/>
      <c r="E10" s="228"/>
      <c r="F10" s="228"/>
    </row>
    <row r="11" spans="1:16" s="10" customFormat="1" ht="19.2" x14ac:dyDescent="0.45">
      <c r="A11" s="227" t="s">
        <v>985</v>
      </c>
      <c r="B11" s="228"/>
      <c r="C11" s="230"/>
      <c r="D11" s="229"/>
      <c r="E11" s="228"/>
      <c r="F11" s="228"/>
    </row>
    <row r="12" spans="1:16" s="10" customFormat="1" ht="15" customHeight="1" x14ac:dyDescent="0.45">
      <c r="A12" s="227" t="s">
        <v>6</v>
      </c>
      <c r="B12" s="231"/>
      <c r="C12" s="232"/>
      <c r="D12" s="233"/>
      <c r="E12" s="228"/>
      <c r="F12" s="228"/>
    </row>
    <row r="13" spans="1:16" s="10" customFormat="1" ht="15" customHeight="1" x14ac:dyDescent="0.45">
      <c r="A13" s="234" t="s">
        <v>1818</v>
      </c>
      <c r="B13" s="231"/>
      <c r="C13" s="232"/>
      <c r="D13" s="233"/>
      <c r="E13" s="228"/>
      <c r="F13" s="22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15.6" x14ac:dyDescent="0.25">
      <c r="A16" s="882"/>
      <c r="B16" s="895" t="s">
        <v>1833</v>
      </c>
      <c r="C16" s="884"/>
      <c r="D16" s="885"/>
      <c r="E16" s="190"/>
      <c r="H16" s="191"/>
      <c r="I16" s="191"/>
      <c r="J16" s="191"/>
      <c r="K16" s="191"/>
      <c r="L16" s="191"/>
      <c r="M16" s="191"/>
      <c r="N16" s="191"/>
      <c r="O16" s="191"/>
      <c r="P16" s="191"/>
    </row>
    <row r="17" spans="1:16" s="191" customFormat="1" ht="15.6" x14ac:dyDescent="0.3">
      <c r="A17" s="894">
        <v>1</v>
      </c>
      <c r="B17" s="890" t="s">
        <v>1840</v>
      </c>
      <c r="C17" s="892">
        <f>39009*1.35</f>
        <v>52662.15</v>
      </c>
      <c r="D17" s="885">
        <f t="shared" ref="D17:D19" si="0">A17*C17</f>
        <v>52662.15</v>
      </c>
      <c r="E17" s="190"/>
      <c r="F17" s="108"/>
      <c r="G17" s="108"/>
    </row>
    <row r="18" spans="1:16" s="191" customFormat="1" ht="15.6" x14ac:dyDescent="0.3">
      <c r="A18" s="894"/>
      <c r="B18" s="890" t="s">
        <v>1834</v>
      </c>
      <c r="C18" s="891"/>
      <c r="D18" s="893"/>
      <c r="E18" s="190"/>
      <c r="F18" s="108"/>
      <c r="G18" s="108"/>
      <c r="M18" s="837"/>
    </row>
    <row r="19" spans="1:16" s="191" customFormat="1" ht="15.6" x14ac:dyDescent="0.3">
      <c r="A19" s="896">
        <v>1</v>
      </c>
      <c r="B19" s="897" t="s">
        <v>1719</v>
      </c>
      <c r="C19" s="898">
        <f>1800*2+1300</f>
        <v>4900</v>
      </c>
      <c r="D19" s="893">
        <f t="shared" si="0"/>
        <v>4900</v>
      </c>
      <c r="E19" s="189"/>
      <c r="F19" s="108"/>
      <c r="G19" s="108"/>
      <c r="H19" s="108"/>
      <c r="I19" s="108"/>
      <c r="J19" s="108"/>
      <c r="K19" s="108"/>
      <c r="L19" s="108"/>
      <c r="M19" s="108"/>
      <c r="N19" s="108"/>
    </row>
    <row r="20" spans="1:16" s="191" customFormat="1" ht="15.6" x14ac:dyDescent="0.25">
      <c r="A20" s="77"/>
      <c r="B20" s="868"/>
      <c r="C20" s="869"/>
      <c r="D20" s="83"/>
      <c r="E20" s="189"/>
      <c r="F20" s="108"/>
      <c r="G20" s="108"/>
      <c r="H20" s="108"/>
      <c r="I20" s="108"/>
      <c r="J20" s="108"/>
      <c r="K20" s="108"/>
      <c r="L20" s="108"/>
      <c r="M20" s="108"/>
      <c r="N20" s="108"/>
      <c r="O20" s="108"/>
      <c r="P20" s="108"/>
    </row>
    <row r="21" spans="1:16" ht="15.6" x14ac:dyDescent="0.3">
      <c r="A21" s="867"/>
      <c r="B21" s="899" t="s">
        <v>1835</v>
      </c>
      <c r="C21" s="475" t="s">
        <v>160</v>
      </c>
      <c r="D21" s="900">
        <f>SUM(D15:D20)</f>
        <v>57562.15</v>
      </c>
      <c r="E21" s="189"/>
    </row>
    <row r="22" spans="1:16" ht="15.6" x14ac:dyDescent="0.3">
      <c r="A22" s="847"/>
      <c r="B22" s="899" t="s">
        <v>1836</v>
      </c>
      <c r="C22" s="475" t="s">
        <v>392</v>
      </c>
      <c r="D22" s="900">
        <f>D21*0.16</f>
        <v>9209.9440000000013</v>
      </c>
      <c r="E22" s="189"/>
    </row>
    <row r="23" spans="1:16" ht="16.2" thickBot="1" x14ac:dyDescent="0.35">
      <c r="A23" s="847"/>
      <c r="B23" s="851"/>
      <c r="C23" s="475" t="s">
        <v>162</v>
      </c>
      <c r="D23" s="900">
        <f>D21+D22</f>
        <v>66772.093999999997</v>
      </c>
      <c r="N23" s="392"/>
      <c r="O23" s="392"/>
      <c r="P23" s="392"/>
    </row>
    <row r="24" spans="1:16" s="392" customFormat="1" ht="16.2" thickBot="1" x14ac:dyDescent="0.3">
      <c r="A24" s="851"/>
      <c r="B24" s="872" t="s">
        <v>1838</v>
      </c>
      <c r="C24" s="873"/>
      <c r="D24" s="874"/>
      <c r="E24" s="108"/>
      <c r="F24" s="108"/>
      <c r="G24" s="108"/>
      <c r="H24" s="108"/>
      <c r="I24" s="108"/>
      <c r="J24" s="108"/>
      <c r="K24" s="108"/>
      <c r="L24" s="108"/>
      <c r="M24" s="108"/>
      <c r="N24" s="108"/>
      <c r="O24" s="108"/>
      <c r="P24" s="108"/>
    </row>
    <row r="25" spans="1:16" ht="15" x14ac:dyDescent="0.25">
      <c r="A25" s="854"/>
      <c r="B25" s="201"/>
      <c r="C25" s="253"/>
      <c r="D25" s="254"/>
      <c r="E25" s="189"/>
    </row>
    <row r="26" spans="1:16" ht="13.8" x14ac:dyDescent="0.25">
      <c r="A26" s="102"/>
      <c r="B26" s="100" t="s">
        <v>9</v>
      </c>
      <c r="C26" s="104"/>
      <c r="D26" s="105"/>
      <c r="E26" s="189"/>
    </row>
    <row r="27" spans="1:16" ht="15.6" x14ac:dyDescent="0.25">
      <c r="A27" s="102"/>
      <c r="B27" s="838"/>
      <c r="C27" s="104"/>
      <c r="D27" s="105"/>
    </row>
    <row r="28" spans="1:16" ht="13.8" x14ac:dyDescent="0.25">
      <c r="A28" s="102"/>
      <c r="B28" s="100" t="s">
        <v>11</v>
      </c>
      <c r="D28" s="105"/>
    </row>
    <row r="29" spans="1:16" ht="15" x14ac:dyDescent="0.25">
      <c r="A29" s="106"/>
      <c r="B29" s="121" t="s">
        <v>394</v>
      </c>
      <c r="D29" s="105"/>
    </row>
    <row r="30" spans="1:16" ht="15" x14ac:dyDescent="0.25">
      <c r="A30" s="106"/>
      <c r="B30" s="121" t="s">
        <v>13</v>
      </c>
      <c r="D30" s="105"/>
    </row>
    <row r="31" spans="1:16" ht="15" x14ac:dyDescent="0.25">
      <c r="A31" s="106"/>
      <c r="B31" s="121" t="s">
        <v>14</v>
      </c>
      <c r="D31" s="105"/>
    </row>
    <row r="32" spans="1:16" ht="15" x14ac:dyDescent="0.25">
      <c r="A32" s="106"/>
      <c r="B32" s="103" t="s">
        <v>15</v>
      </c>
    </row>
    <row r="33" spans="1:4" ht="13.8" x14ac:dyDescent="0.25">
      <c r="B33" s="855"/>
    </row>
    <row r="34" spans="1:4" ht="27.6" x14ac:dyDescent="0.25">
      <c r="A34" s="106"/>
      <c r="B34" s="125" t="s">
        <v>17</v>
      </c>
      <c r="C34" s="109"/>
      <c r="D34" s="110"/>
    </row>
    <row r="35" spans="1:4" ht="15" x14ac:dyDescent="0.25">
      <c r="A35" s="106"/>
      <c r="B35" s="103" t="s">
        <v>18</v>
      </c>
      <c r="C35" s="109"/>
      <c r="D35" s="110"/>
    </row>
    <row r="36" spans="1:4" ht="27.6" x14ac:dyDescent="0.25">
      <c r="A36" s="106"/>
      <c r="B36" s="856" t="s">
        <v>1837</v>
      </c>
      <c r="C36" s="109"/>
      <c r="D36" s="109"/>
    </row>
    <row r="37" spans="1:4" ht="15" x14ac:dyDescent="0.25">
      <c r="A37" s="106"/>
      <c r="B37" s="127" t="s">
        <v>20</v>
      </c>
      <c r="C37" s="109"/>
      <c r="D37" s="109"/>
    </row>
    <row r="38" spans="1:4" ht="15" x14ac:dyDescent="0.25">
      <c r="A38" s="106"/>
      <c r="B38" s="103" t="s">
        <v>21</v>
      </c>
      <c r="D38" s="105"/>
    </row>
    <row r="39" spans="1:4" ht="13.8" x14ac:dyDescent="0.25">
      <c r="B39" s="484" t="s">
        <v>1677</v>
      </c>
      <c r="C39" s="109"/>
      <c r="D39" s="110"/>
    </row>
    <row r="40" spans="1:4" ht="15" x14ac:dyDescent="0.25">
      <c r="A40" s="106"/>
      <c r="B40" s="121" t="s">
        <v>44</v>
      </c>
      <c r="C40" s="109"/>
      <c r="D40" s="110"/>
    </row>
    <row r="41" spans="1:4" ht="15" x14ac:dyDescent="0.25">
      <c r="A41" s="106"/>
      <c r="B41" s="121" t="s">
        <v>45</v>
      </c>
      <c r="C41" s="109"/>
    </row>
    <row r="42" spans="1:4" ht="50.4" x14ac:dyDescent="0.4">
      <c r="A42" s="115" t="s">
        <v>0</v>
      </c>
      <c r="B42" s="128" t="s">
        <v>169</v>
      </c>
      <c r="C42" s="220"/>
      <c r="D42" s="108"/>
    </row>
    <row r="43" spans="1:4" x14ac:dyDescent="0.25">
      <c r="A43" s="222"/>
      <c r="B43" s="181"/>
      <c r="C43" s="181"/>
      <c r="D43" s="108"/>
    </row>
    <row r="44" spans="1:4" x14ac:dyDescent="0.25">
      <c r="A44" s="222"/>
      <c r="B44" s="181"/>
      <c r="C44" s="181"/>
      <c r="D44" s="108"/>
    </row>
    <row r="45" spans="1:4" x14ac:dyDescent="0.25">
      <c r="A45" s="222"/>
      <c r="B45" s="223"/>
      <c r="C45" s="181"/>
      <c r="D45" s="108"/>
    </row>
    <row r="46" spans="1:4" ht="15" x14ac:dyDescent="0.35">
      <c r="A46" s="225"/>
      <c r="B46" s="224"/>
      <c r="C46" s="181"/>
      <c r="D46" s="181"/>
    </row>
    <row r="47" spans="1:4" x14ac:dyDescent="0.25">
      <c r="A47" s="226" t="s">
        <v>0</v>
      </c>
    </row>
    <row r="48" spans="1:4" x14ac:dyDescent="0.25">
      <c r="A48" s="108" t="s">
        <v>0</v>
      </c>
    </row>
    <row r="50" ht="12.75" customHeight="1" x14ac:dyDescent="0.25"/>
    <row r="54" ht="16.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82" fitToWidth="0" orientation="portrait" r:id="rId1"/>
  <headerFooter alignWithMargins="0">
    <oddFooter>Página &amp;P de &amp;N</oddFooter>
  </headerFooter>
  <drawing r:id="rId2"/>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3D47-EF52-4B70-B847-3395680F09C1}">
  <sheetPr>
    <tabColor theme="4" tint="-0.249977111117893"/>
    <pageSetUpPr fitToPage="1"/>
  </sheetPr>
  <dimension ref="A1:P59"/>
  <sheetViews>
    <sheetView topLeftCell="A21" zoomScale="85" zoomScaleNormal="85" workbookViewId="0">
      <selection activeCell="B42" sqref="B42:B44"/>
    </sheetView>
  </sheetViews>
  <sheetFormatPr baseColWidth="10" defaultColWidth="11.44140625" defaultRowHeight="13.2" x14ac:dyDescent="0.25"/>
  <cols>
    <col min="1" max="1" width="6" style="108" customWidth="1"/>
    <col min="2" max="2" width="96.88671875" style="108" customWidth="1"/>
    <col min="3" max="3" width="14.109375" style="107" customWidth="1"/>
    <col min="4" max="4" width="14.5546875" style="107"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1846</v>
      </c>
      <c r="B8" s="228"/>
      <c r="C8" s="229"/>
      <c r="D8" s="229"/>
    </row>
    <row r="9" spans="1:16" s="10" customFormat="1" ht="19.2" x14ac:dyDescent="0.45">
      <c r="A9" s="227" t="s">
        <v>1847</v>
      </c>
      <c r="B9" s="228"/>
      <c r="C9" s="229"/>
      <c r="D9" s="229"/>
    </row>
    <row r="10" spans="1:16" s="10" customFormat="1" ht="19.2" x14ac:dyDescent="0.45">
      <c r="A10" s="227" t="s">
        <v>1848</v>
      </c>
      <c r="B10" s="228"/>
      <c r="C10" s="229"/>
      <c r="D10" s="229"/>
    </row>
    <row r="11" spans="1:16" s="10" customFormat="1" ht="19.2" x14ac:dyDescent="0.45">
      <c r="A11" s="227" t="s">
        <v>1849</v>
      </c>
      <c r="B11" s="228"/>
      <c r="C11" s="230"/>
      <c r="D11" s="229"/>
    </row>
    <row r="12" spans="1:16" s="10" customFormat="1" ht="15" customHeight="1" x14ac:dyDescent="0.45">
      <c r="A12" s="227" t="s">
        <v>6</v>
      </c>
      <c r="B12" s="228"/>
      <c r="C12" s="230"/>
      <c r="D12" s="229"/>
    </row>
    <row r="13" spans="1:16" s="10" customFormat="1" ht="15" customHeight="1" x14ac:dyDescent="0.45">
      <c r="A13" s="234" t="s">
        <v>1818</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3.8" x14ac:dyDescent="0.25">
      <c r="A15" s="148"/>
      <c r="B15" s="149"/>
      <c r="C15" s="150"/>
      <c r="D15" s="150"/>
      <c r="E15" s="190"/>
      <c r="F15" s="191"/>
      <c r="G15" s="191"/>
      <c r="H15" s="108"/>
      <c r="I15" s="108"/>
      <c r="J15" s="108"/>
      <c r="K15" s="108"/>
      <c r="L15" s="108"/>
      <c r="M15" s="108"/>
      <c r="N15" s="108"/>
      <c r="O15" s="108"/>
      <c r="P15" s="108"/>
    </row>
    <row r="16" spans="1:16" ht="30" x14ac:dyDescent="0.25">
      <c r="A16" s="77">
        <v>1</v>
      </c>
      <c r="B16" s="81" t="s">
        <v>1842</v>
      </c>
      <c r="C16" s="79">
        <f>470*120</f>
        <v>56400</v>
      </c>
      <c r="D16" s="80">
        <f t="shared" ref="D16:D22" si="0">A16*C16</f>
        <v>56400</v>
      </c>
      <c r="E16" s="190"/>
      <c r="H16" s="191"/>
      <c r="I16" s="191"/>
      <c r="J16" s="191"/>
      <c r="K16" s="191"/>
      <c r="L16" s="191"/>
      <c r="M16" s="191"/>
      <c r="N16" s="191"/>
      <c r="O16" s="191"/>
      <c r="P16" s="191"/>
    </row>
    <row r="17" spans="1:16" s="191" customFormat="1" ht="30" x14ac:dyDescent="0.25">
      <c r="A17" s="77">
        <v>1</v>
      </c>
      <c r="B17" s="81" t="s">
        <v>1843</v>
      </c>
      <c r="C17" s="79">
        <f>470*80</f>
        <v>37600</v>
      </c>
      <c r="D17" s="80">
        <f t="shared" si="0"/>
        <v>37600</v>
      </c>
      <c r="E17" s="190"/>
      <c r="F17" s="108"/>
      <c r="G17" s="108"/>
    </row>
    <row r="18" spans="1:16" s="191" customFormat="1" ht="30" x14ac:dyDescent="0.25">
      <c r="A18" s="77">
        <v>1</v>
      </c>
      <c r="B18" s="81" t="s">
        <v>1844</v>
      </c>
      <c r="C18" s="79">
        <f>470*80</f>
        <v>37600</v>
      </c>
      <c r="D18" s="80">
        <f t="shared" si="0"/>
        <v>37600</v>
      </c>
      <c r="E18" s="190"/>
      <c r="F18" s="108"/>
      <c r="G18" s="108"/>
    </row>
    <row r="19" spans="1:16" s="191" customFormat="1" ht="30" x14ac:dyDescent="0.25">
      <c r="A19" s="77">
        <v>1</v>
      </c>
      <c r="B19" s="81" t="s">
        <v>1845</v>
      </c>
      <c r="C19" s="79">
        <f>470*120</f>
        <v>56400</v>
      </c>
      <c r="D19" s="80">
        <f t="shared" si="0"/>
        <v>56400</v>
      </c>
      <c r="E19" s="190"/>
      <c r="F19" s="108"/>
      <c r="G19" s="108"/>
      <c r="M19" s="837"/>
    </row>
    <row r="20" spans="1:16" s="191" customFormat="1" ht="30" x14ac:dyDescent="0.25">
      <c r="A20" s="77">
        <v>1</v>
      </c>
      <c r="B20" s="81" t="s">
        <v>1676</v>
      </c>
      <c r="C20" s="79"/>
      <c r="D20" s="80">
        <f t="shared" si="0"/>
        <v>0</v>
      </c>
      <c r="E20" s="190"/>
      <c r="F20" s="108"/>
      <c r="G20" s="108"/>
      <c r="M20" s="108"/>
      <c r="N20" s="108"/>
      <c r="O20" s="108"/>
      <c r="P20" s="108"/>
    </row>
    <row r="21" spans="1:16" ht="15.6" x14ac:dyDescent="0.25">
      <c r="A21" s="84">
        <v>1</v>
      </c>
      <c r="B21" s="85" t="s">
        <v>1698</v>
      </c>
      <c r="C21" s="88"/>
      <c r="D21" s="83">
        <f t="shared" si="0"/>
        <v>0</v>
      </c>
      <c r="E21" s="190"/>
      <c r="H21" s="191"/>
      <c r="I21" s="191"/>
      <c r="J21" s="191"/>
      <c r="K21" s="191"/>
      <c r="L21" s="191"/>
    </row>
    <row r="22" spans="1:16" ht="15.6" x14ac:dyDescent="0.25">
      <c r="A22" s="77">
        <v>1</v>
      </c>
      <c r="B22" s="81" t="s">
        <v>1739</v>
      </c>
      <c r="C22" s="79"/>
      <c r="D22" s="83">
        <f t="shared" si="0"/>
        <v>0</v>
      </c>
      <c r="E22" s="190"/>
      <c r="H22" s="191"/>
      <c r="I22" s="191"/>
      <c r="J22" s="191"/>
      <c r="K22" s="191"/>
      <c r="L22" s="191"/>
    </row>
    <row r="23" spans="1:16" ht="15.6" x14ac:dyDescent="0.3">
      <c r="A23" s="867"/>
      <c r="B23" s="868"/>
      <c r="C23" s="869"/>
      <c r="D23" s="83"/>
      <c r="E23" s="190"/>
      <c r="H23" s="191"/>
      <c r="I23" s="191"/>
      <c r="J23" s="191"/>
      <c r="K23" s="191"/>
      <c r="L23" s="191"/>
      <c r="O23" s="392"/>
      <c r="P23" s="392"/>
    </row>
    <row r="24" spans="1:16" s="392" customFormat="1" ht="15.6" x14ac:dyDescent="0.3">
      <c r="A24" s="847"/>
      <c r="B24" s="847"/>
      <c r="C24" s="866" t="s">
        <v>160</v>
      </c>
      <c r="D24" s="870">
        <f>SUM(D15:D23)</f>
        <v>188000</v>
      </c>
      <c r="E24" s="189"/>
      <c r="F24" s="108"/>
      <c r="G24" s="108"/>
      <c r="H24" s="108"/>
      <c r="I24" s="108"/>
      <c r="J24" s="108"/>
      <c r="K24" s="108"/>
      <c r="L24" s="108"/>
      <c r="M24" s="108"/>
      <c r="N24" s="108"/>
      <c r="O24" s="108"/>
      <c r="P24" s="108"/>
    </row>
    <row r="25" spans="1:16" ht="15.6" x14ac:dyDescent="0.3">
      <c r="A25" s="847"/>
      <c r="B25" s="847"/>
      <c r="C25" s="849" t="s">
        <v>1850</v>
      </c>
      <c r="D25" s="870">
        <f>D24*0.16</f>
        <v>30080</v>
      </c>
      <c r="E25" s="189"/>
    </row>
    <row r="26" spans="1:16" ht="16.2" thickBot="1" x14ac:dyDescent="0.3">
      <c r="A26" s="851"/>
      <c r="B26" s="851"/>
      <c r="C26" s="852" t="s">
        <v>162</v>
      </c>
      <c r="D26" s="871">
        <f>D24+D25</f>
        <v>218080</v>
      </c>
      <c r="E26" s="189"/>
    </row>
    <row r="27" spans="1:16" ht="16.2" thickBot="1" x14ac:dyDescent="0.3">
      <c r="A27" s="854"/>
      <c r="B27" s="1136" t="s">
        <v>1741</v>
      </c>
      <c r="C27" s="1137"/>
      <c r="D27" s="1138"/>
      <c r="E27" s="803"/>
      <c r="F27" s="392"/>
      <c r="G27" s="392"/>
      <c r="H27" s="392"/>
      <c r="I27" s="392"/>
      <c r="J27" s="392"/>
      <c r="K27" s="392"/>
      <c r="L27" s="392"/>
    </row>
    <row r="28" spans="1:16" x14ac:dyDescent="0.25">
      <c r="A28" s="102"/>
      <c r="B28" s="201"/>
      <c r="C28" s="253"/>
      <c r="D28" s="254"/>
    </row>
    <row r="29" spans="1:16" ht="17.25" customHeight="1" x14ac:dyDescent="0.25">
      <c r="A29" s="102"/>
      <c r="B29" s="100" t="s">
        <v>9</v>
      </c>
      <c r="C29" s="104"/>
      <c r="D29" s="105"/>
      <c r="N29" s="392"/>
    </row>
    <row r="30" spans="1:16" ht="15.6" x14ac:dyDescent="0.25">
      <c r="A30" s="102"/>
      <c r="B30" s="901"/>
      <c r="C30" s="104"/>
      <c r="D30" s="105"/>
      <c r="M30" s="392"/>
    </row>
    <row r="31" spans="1:16" ht="13.5" customHeight="1" x14ac:dyDescent="0.25">
      <c r="A31" s="106"/>
      <c r="B31" s="100" t="s">
        <v>11</v>
      </c>
      <c r="D31" s="105"/>
    </row>
    <row r="32" spans="1:16" ht="15" x14ac:dyDescent="0.25">
      <c r="A32" s="106"/>
      <c r="B32" s="121" t="s">
        <v>1620</v>
      </c>
      <c r="D32" s="105"/>
    </row>
    <row r="33" spans="1:5" ht="15" x14ac:dyDescent="0.25">
      <c r="A33" s="106"/>
      <c r="B33" s="121" t="s">
        <v>13</v>
      </c>
      <c r="D33" s="105"/>
    </row>
    <row r="34" spans="1:5" ht="15" x14ac:dyDescent="0.25">
      <c r="A34" s="106"/>
      <c r="B34" s="121" t="s">
        <v>14</v>
      </c>
      <c r="D34" s="105"/>
    </row>
    <row r="35" spans="1:5" ht="13.8" x14ac:dyDescent="0.25">
      <c r="B35" s="103" t="s">
        <v>15</v>
      </c>
    </row>
    <row r="36" spans="1:5" ht="27.6" x14ac:dyDescent="0.25">
      <c r="A36" s="106"/>
      <c r="B36" s="855" t="s">
        <v>1732</v>
      </c>
    </row>
    <row r="37" spans="1:5" ht="27.6" x14ac:dyDescent="0.25">
      <c r="A37" s="106"/>
      <c r="B37" s="125" t="s">
        <v>17</v>
      </c>
      <c r="C37" s="109"/>
      <c r="D37" s="110"/>
      <c r="E37" s="189"/>
    </row>
    <row r="38" spans="1:5" ht="15" x14ac:dyDescent="0.25">
      <c r="A38" s="106"/>
      <c r="B38" s="103" t="s">
        <v>18</v>
      </c>
      <c r="C38" s="109"/>
      <c r="D38" s="110"/>
      <c r="E38" s="189"/>
    </row>
    <row r="39" spans="1:5" ht="15" x14ac:dyDescent="0.25">
      <c r="A39" s="106"/>
      <c r="B39" s="856" t="s">
        <v>1622</v>
      </c>
      <c r="C39" s="109"/>
      <c r="D39" s="109"/>
    </row>
    <row r="40" spans="1:5" ht="15" x14ac:dyDescent="0.25">
      <c r="A40" s="106"/>
      <c r="B40" s="127" t="s">
        <v>20</v>
      </c>
      <c r="C40" s="109"/>
      <c r="D40" s="109"/>
    </row>
    <row r="41" spans="1:5" ht="13.8" x14ac:dyDescent="0.25">
      <c r="B41" s="103" t="s">
        <v>21</v>
      </c>
      <c r="D41" s="105"/>
    </row>
    <row r="42" spans="1:5" ht="15" x14ac:dyDescent="0.25">
      <c r="A42" s="106"/>
      <c r="B42" s="484" t="s">
        <v>1677</v>
      </c>
      <c r="C42" s="109"/>
      <c r="D42" s="110"/>
    </row>
    <row r="43" spans="1:5" ht="15" x14ac:dyDescent="0.25">
      <c r="A43" s="106"/>
      <c r="B43" s="121" t="s">
        <v>44</v>
      </c>
      <c r="C43" s="109"/>
      <c r="D43" s="110"/>
    </row>
    <row r="44" spans="1:5" ht="13.8" x14ac:dyDescent="0.25">
      <c r="A44" s="115" t="s">
        <v>0</v>
      </c>
      <c r="B44" s="121" t="s">
        <v>45</v>
      </c>
      <c r="C44" s="109"/>
    </row>
    <row r="45" spans="1:5" ht="50.4" x14ac:dyDescent="0.4">
      <c r="A45" s="222"/>
      <c r="B45" s="128" t="s">
        <v>169</v>
      </c>
      <c r="C45" s="220"/>
      <c r="D45" s="108"/>
    </row>
    <row r="46" spans="1:5" x14ac:dyDescent="0.25">
      <c r="A46" s="222"/>
      <c r="B46" s="181"/>
      <c r="C46" s="181"/>
      <c r="D46" s="108"/>
    </row>
    <row r="47" spans="1:5" x14ac:dyDescent="0.25">
      <c r="A47" s="222"/>
      <c r="B47" s="181"/>
      <c r="C47" s="181"/>
      <c r="D47" s="108"/>
    </row>
    <row r="48" spans="1:5" x14ac:dyDescent="0.25">
      <c r="A48" s="225"/>
      <c r="B48" s="223"/>
      <c r="C48" s="181"/>
      <c r="D48" s="108"/>
    </row>
    <row r="49" spans="1:4" ht="15" x14ac:dyDescent="0.35">
      <c r="A49" s="226" t="s">
        <v>0</v>
      </c>
      <c r="B49" s="224"/>
      <c r="C49" s="181"/>
      <c r="D49" s="181"/>
    </row>
    <row r="50" spans="1:4" ht="12.75" customHeight="1" x14ac:dyDescent="0.25">
      <c r="A50" s="108" t="s">
        <v>0</v>
      </c>
    </row>
    <row r="54" spans="1:4" ht="16.5" customHeight="1" x14ac:dyDescent="0.25"/>
    <row r="58" spans="1:4" ht="15.75" customHeight="1" x14ac:dyDescent="0.25"/>
    <row r="59" spans="1:4" ht="15" customHeight="1" x14ac:dyDescent="0.25"/>
  </sheetData>
  <mergeCells count="3">
    <mergeCell ref="A4:D4"/>
    <mergeCell ref="A14:D14"/>
    <mergeCell ref="B27:D27"/>
  </mergeCells>
  <printOptions horizontalCentered="1"/>
  <pageMargins left="0" right="0" top="0" bottom="0" header="0" footer="0"/>
  <pageSetup paperSize="9" scale="73" fitToWidth="0" orientation="portrait" r:id="rId1"/>
  <headerFooter alignWithMargins="0">
    <oddFooter>Página &amp;P de &amp;N</oddFooter>
  </headerFooter>
  <drawing r:id="rId2"/>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343F-C295-4BC3-A923-DBC4B51F0F7E}">
  <sheetPr>
    <tabColor theme="4" tint="-0.249977111117893"/>
    <pageSetUpPr fitToPage="1"/>
  </sheetPr>
  <dimension ref="A1:G59"/>
  <sheetViews>
    <sheetView topLeftCell="A9" zoomScaleNormal="100" workbookViewId="0">
      <selection activeCell="B18" sqref="B18"/>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1769</v>
      </c>
      <c r="B8" s="228"/>
      <c r="C8" s="229"/>
      <c r="D8" s="229"/>
    </row>
    <row r="9" spans="1:7" s="10" customFormat="1" ht="19.2" x14ac:dyDescent="0.45">
      <c r="A9" s="227" t="s">
        <v>1770</v>
      </c>
      <c r="B9" s="228"/>
      <c r="C9" s="229"/>
      <c r="D9" s="229"/>
    </row>
    <row r="10" spans="1:7" s="10" customFormat="1" ht="19.2" x14ac:dyDescent="0.45">
      <c r="A10" s="227" t="s">
        <v>1771</v>
      </c>
      <c r="B10" s="228"/>
      <c r="C10" s="229"/>
      <c r="D10" s="229"/>
    </row>
    <row r="11" spans="1:7" s="10" customFormat="1" ht="19.2" x14ac:dyDescent="0.45">
      <c r="A11" s="227" t="s">
        <v>1772</v>
      </c>
      <c r="B11" s="228"/>
      <c r="C11" s="230"/>
      <c r="D11" s="229"/>
    </row>
    <row r="12" spans="1:7" s="10" customFormat="1" ht="15" customHeight="1" x14ac:dyDescent="0.45">
      <c r="A12" s="227" t="s">
        <v>1773</v>
      </c>
      <c r="B12" s="228"/>
      <c r="C12" s="230"/>
      <c r="D12" s="229"/>
    </row>
    <row r="13" spans="1:7" s="10" customFormat="1" ht="15" customHeight="1" x14ac:dyDescent="0.45">
      <c r="A13" s="227" t="s">
        <v>6</v>
      </c>
      <c r="B13" s="231"/>
      <c r="C13" s="232"/>
      <c r="D13" s="233"/>
    </row>
    <row r="14" spans="1:7" s="10" customFormat="1" ht="15" customHeight="1" x14ac:dyDescent="0.45">
      <c r="A14" s="234" t="s">
        <v>1774</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7" s="191" customFormat="1" ht="30" x14ac:dyDescent="0.25">
      <c r="A17" s="922">
        <v>1</v>
      </c>
      <c r="B17" s="932" t="s">
        <v>1871</v>
      </c>
      <c r="C17" s="923">
        <f>50664.16*1.5</f>
        <v>75996.240000000005</v>
      </c>
      <c r="D17" s="924">
        <f t="shared" ref="D17" si="0">A17*C17</f>
        <v>75996.240000000005</v>
      </c>
      <c r="E17" s="190"/>
      <c r="F17" s="108"/>
      <c r="G17" s="108"/>
    </row>
    <row r="18" spans="1:7" s="191" customFormat="1" ht="15.6" x14ac:dyDescent="0.25">
      <c r="A18" s="922"/>
      <c r="B18" s="932"/>
      <c r="C18" s="925" t="s">
        <v>161</v>
      </c>
      <c r="D18" s="926">
        <f>D17*0.16</f>
        <v>12159.398400000002</v>
      </c>
      <c r="E18" s="190"/>
      <c r="F18" s="108"/>
      <c r="G18" s="108"/>
    </row>
    <row r="19" spans="1:7" s="191" customFormat="1" ht="15.6" x14ac:dyDescent="0.25">
      <c r="A19" s="922"/>
      <c r="B19" s="932"/>
      <c r="C19" s="927" t="s">
        <v>162</v>
      </c>
      <c r="D19" s="928">
        <f>D17+D18</f>
        <v>88155.638400000011</v>
      </c>
      <c r="E19" s="190"/>
      <c r="F19" s="108"/>
      <c r="G19" s="108"/>
    </row>
    <row r="20" spans="1:7" s="191" customFormat="1" ht="45" x14ac:dyDescent="0.25">
      <c r="A20" s="922">
        <v>1</v>
      </c>
      <c r="B20" s="932" t="s">
        <v>1780</v>
      </c>
      <c r="C20" s="923">
        <v>23200</v>
      </c>
      <c r="D20" s="924">
        <f t="shared" ref="D20:D25" si="1">A20*C20</f>
        <v>23200</v>
      </c>
      <c r="E20" s="190"/>
      <c r="F20" s="108"/>
      <c r="G20" s="108"/>
    </row>
    <row r="21" spans="1:7" s="191" customFormat="1" ht="45" x14ac:dyDescent="0.25">
      <c r="A21" s="922">
        <v>1</v>
      </c>
      <c r="B21" s="932" t="s">
        <v>1781</v>
      </c>
      <c r="C21" s="923">
        <v>23200</v>
      </c>
      <c r="D21" s="924">
        <f t="shared" si="1"/>
        <v>23200</v>
      </c>
      <c r="E21" s="190"/>
      <c r="F21" s="108"/>
      <c r="G21" s="108"/>
    </row>
    <row r="22" spans="1:7" ht="45" x14ac:dyDescent="0.25">
      <c r="A22" s="922">
        <v>1</v>
      </c>
      <c r="B22" s="932" t="s">
        <v>1775</v>
      </c>
      <c r="C22" s="923">
        <v>3600</v>
      </c>
      <c r="D22" s="924">
        <f t="shared" si="1"/>
        <v>3600</v>
      </c>
      <c r="E22" s="190"/>
    </row>
    <row r="23" spans="1:7" ht="15.6" x14ac:dyDescent="0.25">
      <c r="A23" s="922">
        <v>1</v>
      </c>
      <c r="B23" s="932" t="s">
        <v>1531</v>
      </c>
      <c r="C23" s="923">
        <v>2350</v>
      </c>
      <c r="D23" s="924">
        <f t="shared" si="1"/>
        <v>2350</v>
      </c>
      <c r="E23" s="190"/>
    </row>
    <row r="24" spans="1:7" ht="30" x14ac:dyDescent="0.25">
      <c r="A24" s="922">
        <v>1</v>
      </c>
      <c r="B24" s="932" t="s">
        <v>1776</v>
      </c>
      <c r="C24" s="923">
        <v>4500</v>
      </c>
      <c r="D24" s="924">
        <f t="shared" si="1"/>
        <v>4500</v>
      </c>
      <c r="E24" s="190"/>
    </row>
    <row r="25" spans="1:7" ht="15.6" x14ac:dyDescent="0.25">
      <c r="A25" s="922">
        <v>1</v>
      </c>
      <c r="B25" s="932" t="s">
        <v>1777</v>
      </c>
      <c r="C25" s="923">
        <v>1500</v>
      </c>
      <c r="D25" s="924">
        <f t="shared" si="1"/>
        <v>1500</v>
      </c>
      <c r="E25" s="190"/>
    </row>
    <row r="26" spans="1:7" ht="15.6" x14ac:dyDescent="0.3">
      <c r="A26" s="843"/>
      <c r="B26" s="929"/>
      <c r="C26" s="930"/>
      <c r="D26" s="926"/>
      <c r="E26" s="189"/>
    </row>
    <row r="27" spans="1:7" ht="16.2" thickBot="1" x14ac:dyDescent="0.35">
      <c r="A27" s="931"/>
      <c r="B27" s="931"/>
      <c r="C27" s="925" t="s">
        <v>160</v>
      </c>
      <c r="D27" s="926">
        <f>SUM(D20:D26)</f>
        <v>58350</v>
      </c>
      <c r="E27" s="189"/>
    </row>
    <row r="28" spans="1:7" ht="16.2" thickBot="1" x14ac:dyDescent="0.3">
      <c r="A28" s="102"/>
      <c r="B28" s="1136" t="s">
        <v>1778</v>
      </c>
      <c r="C28" s="1139"/>
      <c r="D28" s="1140"/>
    </row>
    <row r="29" spans="1:7" ht="13.5" customHeight="1" x14ac:dyDescent="0.25">
      <c r="A29" s="102"/>
      <c r="B29" s="201"/>
      <c r="C29" s="253"/>
      <c r="D29" s="254"/>
    </row>
    <row r="30" spans="1:7" ht="17.25" customHeight="1" thickBot="1" x14ac:dyDescent="0.3">
      <c r="A30" s="102"/>
      <c r="B30" s="100" t="s">
        <v>9</v>
      </c>
      <c r="C30" s="933"/>
      <c r="D30" s="916"/>
    </row>
    <row r="31" spans="1:7" ht="18" thickBot="1" x14ac:dyDescent="0.3">
      <c r="A31" s="383"/>
      <c r="B31" s="936" t="s">
        <v>10</v>
      </c>
      <c r="C31" s="934" t="s">
        <v>699</v>
      </c>
      <c r="D31" s="935">
        <f>D19+D27</f>
        <v>146505.6384</v>
      </c>
      <c r="E31" s="189"/>
    </row>
    <row r="32" spans="1:7" ht="13.5" customHeight="1" x14ac:dyDescent="0.25">
      <c r="A32" s="390"/>
      <c r="B32" s="103" t="s">
        <v>11</v>
      </c>
      <c r="C32" s="462"/>
      <c r="D32" s="254"/>
    </row>
    <row r="33" spans="1:5" ht="15" x14ac:dyDescent="0.25">
      <c r="A33" s="390"/>
      <c r="B33" s="123" t="s">
        <v>1620</v>
      </c>
      <c r="D33" s="105"/>
    </row>
    <row r="34" spans="1:5" ht="15" x14ac:dyDescent="0.25">
      <c r="A34" s="390"/>
      <c r="B34" s="123" t="s">
        <v>13</v>
      </c>
      <c r="D34" s="105"/>
    </row>
    <row r="35" spans="1:5" ht="15" x14ac:dyDescent="0.25">
      <c r="A35" s="390"/>
      <c r="B35" s="123" t="s">
        <v>14</v>
      </c>
      <c r="D35" s="105"/>
    </row>
    <row r="36" spans="1:5" ht="13.8" x14ac:dyDescent="0.25">
      <c r="A36" s="392"/>
      <c r="B36" s="103" t="s">
        <v>15</v>
      </c>
      <c r="E36" s="189"/>
    </row>
    <row r="37" spans="1:5" ht="15" x14ac:dyDescent="0.25">
      <c r="A37" s="390"/>
      <c r="B37" s="295" t="s">
        <v>42</v>
      </c>
      <c r="E37" s="189"/>
    </row>
    <row r="38" spans="1:5" s="921" customFormat="1" ht="17.25" customHeight="1" x14ac:dyDescent="0.25">
      <c r="A38" s="390"/>
      <c r="B38" s="295" t="s">
        <v>165</v>
      </c>
      <c r="C38" s="109"/>
      <c r="D38" s="110"/>
      <c r="E38" s="108"/>
    </row>
    <row r="39" spans="1:5" ht="15" x14ac:dyDescent="0.25">
      <c r="A39" s="390"/>
      <c r="B39" s="103" t="s">
        <v>18</v>
      </c>
      <c r="C39" s="109"/>
      <c r="D39" s="110"/>
      <c r="E39" s="921"/>
    </row>
    <row r="40" spans="1:5" ht="15" x14ac:dyDescent="0.25">
      <c r="A40" s="390"/>
      <c r="B40" s="297" t="s">
        <v>1779</v>
      </c>
      <c r="C40" s="920"/>
      <c r="D40" s="920"/>
    </row>
    <row r="41" spans="1:5" ht="13.8" x14ac:dyDescent="0.25">
      <c r="A41" s="392"/>
      <c r="B41" s="103" t="s">
        <v>21</v>
      </c>
      <c r="D41" s="105"/>
    </row>
    <row r="42" spans="1:5" ht="15" x14ac:dyDescent="0.25">
      <c r="A42" s="390"/>
      <c r="B42" s="123" t="s">
        <v>1782</v>
      </c>
      <c r="C42" s="109"/>
      <c r="D42" s="110"/>
    </row>
    <row r="43" spans="1:5" ht="15" x14ac:dyDescent="0.25">
      <c r="A43" s="390"/>
      <c r="B43" s="123" t="s">
        <v>44</v>
      </c>
      <c r="C43" s="109"/>
      <c r="D43" s="110"/>
    </row>
    <row r="44" spans="1:5" ht="13.8" x14ac:dyDescent="0.25">
      <c r="A44" s="564" t="s">
        <v>0</v>
      </c>
      <c r="B44" s="123" t="s">
        <v>45</v>
      </c>
      <c r="C44" s="109"/>
    </row>
    <row r="45" spans="1:5" ht="50.4" x14ac:dyDescent="0.25">
      <c r="A45" s="565"/>
      <c r="B45" s="314" t="s">
        <v>169</v>
      </c>
      <c r="C45" s="220"/>
      <c r="D45" s="108"/>
    </row>
    <row r="46" spans="1:5" x14ac:dyDescent="0.25">
      <c r="A46" s="222"/>
      <c r="B46" s="181"/>
      <c r="C46" s="181"/>
      <c r="D46" s="108"/>
    </row>
    <row r="47" spans="1:5" x14ac:dyDescent="0.25">
      <c r="A47" s="222"/>
      <c r="B47" s="181"/>
      <c r="C47" s="181"/>
      <c r="D47" s="108"/>
    </row>
    <row r="48" spans="1:5" x14ac:dyDescent="0.25">
      <c r="A48" s="225"/>
      <c r="B48" s="223"/>
      <c r="C48" s="181"/>
      <c r="D48" s="108"/>
    </row>
    <row r="49" spans="1:4" ht="15" x14ac:dyDescent="0.35">
      <c r="A49" s="226" t="s">
        <v>0</v>
      </c>
      <c r="B49" s="224"/>
      <c r="C49" s="181"/>
      <c r="D49" s="181"/>
    </row>
    <row r="50" spans="1:4" ht="12.75" customHeight="1" x14ac:dyDescent="0.25">
      <c r="A50" s="108" t="s">
        <v>0</v>
      </c>
    </row>
    <row r="54" spans="1:4" ht="16.5" customHeight="1" x14ac:dyDescent="0.25"/>
    <row r="58" spans="1:4" ht="15.75" customHeight="1" x14ac:dyDescent="0.25"/>
    <row r="59" spans="1:4" ht="15" customHeight="1" x14ac:dyDescent="0.25"/>
  </sheetData>
  <mergeCells count="3">
    <mergeCell ref="A4:D4"/>
    <mergeCell ref="A15:D15"/>
    <mergeCell ref="B28:D28"/>
  </mergeCells>
  <printOptions horizontalCentered="1"/>
  <pageMargins left="0.59055118110236227" right="0.59055118110236227" top="0.19685039370078741" bottom="0.19685039370078741" header="0.19685039370078741" footer="0.19685039370078741"/>
  <pageSetup paperSize="9" scale="68" fitToWidth="0" orientation="portrait" r:id="rId1"/>
  <headerFooter alignWithMargins="0">
    <oddFooter>Página &amp;P de &amp;N</oddFooter>
  </headerFooter>
  <drawing r:id="rId2"/>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86C1-A059-4ADB-BC1F-0564933C0AA8}">
  <sheetPr>
    <tabColor theme="4" tint="-0.249977111117893"/>
    <pageSetUpPr fitToPage="1"/>
  </sheetPr>
  <dimension ref="A1:G59"/>
  <sheetViews>
    <sheetView topLeftCell="A8" zoomScaleNormal="100" workbookViewId="0">
      <selection activeCell="A23" sqref="A23:D23"/>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1769</v>
      </c>
      <c r="B8" s="228"/>
      <c r="C8" s="229"/>
      <c r="D8" s="229"/>
    </row>
    <row r="9" spans="1:7" s="10" customFormat="1" ht="19.2" x14ac:dyDescent="0.45">
      <c r="A9" s="227" t="s">
        <v>1770</v>
      </c>
      <c r="B9" s="228"/>
      <c r="C9" s="229"/>
      <c r="D9" s="229"/>
    </row>
    <row r="10" spans="1:7" s="10" customFormat="1" ht="19.2" x14ac:dyDescent="0.45">
      <c r="A10" s="227" t="s">
        <v>1771</v>
      </c>
      <c r="B10" s="228"/>
      <c r="C10" s="229"/>
      <c r="D10" s="229"/>
    </row>
    <row r="11" spans="1:7" s="10" customFormat="1" ht="19.2" x14ac:dyDescent="0.45">
      <c r="A11" s="227" t="s">
        <v>1772</v>
      </c>
      <c r="B11" s="228"/>
      <c r="C11" s="230"/>
      <c r="D11" s="229"/>
    </row>
    <row r="12" spans="1:7" s="10" customFormat="1" ht="15" customHeight="1" x14ac:dyDescent="0.45">
      <c r="A12" s="227" t="s">
        <v>1773</v>
      </c>
      <c r="B12" s="228"/>
      <c r="C12" s="230"/>
      <c r="D12" s="229"/>
    </row>
    <row r="13" spans="1:7" s="10" customFormat="1" ht="15" customHeight="1" x14ac:dyDescent="0.45">
      <c r="A13" s="227" t="s">
        <v>6</v>
      </c>
      <c r="B13" s="231"/>
      <c r="C13" s="232"/>
      <c r="D13" s="233"/>
    </row>
    <row r="14" spans="1:7" s="10" customFormat="1" ht="15" customHeight="1" x14ac:dyDescent="0.45">
      <c r="A14" s="234" t="s">
        <v>1786</v>
      </c>
      <c r="B14" s="231"/>
      <c r="C14" s="232"/>
      <c r="D14" s="233"/>
      <c r="E14" s="188"/>
      <c r="F14" s="188"/>
      <c r="G14" s="188"/>
    </row>
    <row r="15" spans="1:7" s="188" customFormat="1" ht="19.2" x14ac:dyDescent="0.25">
      <c r="A15" s="1053" t="s">
        <v>150</v>
      </c>
      <c r="B15" s="1054"/>
      <c r="C15" s="1055"/>
      <c r="D15" s="1056"/>
      <c r="E15" s="108"/>
      <c r="F15" s="108"/>
      <c r="G15" s="108"/>
    </row>
    <row r="16" spans="1:7" x14ac:dyDescent="0.25">
      <c r="A16" s="937"/>
      <c r="B16" s="938"/>
      <c r="C16" s="939"/>
      <c r="D16" s="939"/>
      <c r="E16" s="190"/>
      <c r="F16" s="191"/>
      <c r="G16" s="191"/>
    </row>
    <row r="17" spans="1:7" s="191" customFormat="1" ht="15.6" x14ac:dyDescent="0.25">
      <c r="A17" s="940">
        <v>1</v>
      </c>
      <c r="B17" s="941" t="s">
        <v>1783</v>
      </c>
      <c r="C17" s="942">
        <f>(4000*1.5)+700</f>
        <v>6700</v>
      </c>
      <c r="D17" s="943">
        <f t="shared" ref="D17:D18" si="0">A17*C17</f>
        <v>6700</v>
      </c>
      <c r="E17" s="190"/>
      <c r="F17" s="108"/>
      <c r="G17" s="108"/>
    </row>
    <row r="18" spans="1:7" s="191" customFormat="1" ht="15.6" x14ac:dyDescent="0.25">
      <c r="A18" s="944">
        <v>2</v>
      </c>
      <c r="B18" s="945" t="s">
        <v>1365</v>
      </c>
      <c r="C18" s="946">
        <f>(5530)*1.35</f>
        <v>7465.5000000000009</v>
      </c>
      <c r="D18" s="947">
        <f t="shared" si="0"/>
        <v>14931.000000000002</v>
      </c>
      <c r="E18" s="190"/>
      <c r="F18" s="108"/>
      <c r="G18" s="108"/>
    </row>
    <row r="19" spans="1:7" s="191" customFormat="1" ht="15.6" x14ac:dyDescent="0.25">
      <c r="A19" s="440"/>
      <c r="B19" s="719"/>
      <c r="C19" s="946" t="s">
        <v>1784</v>
      </c>
      <c r="D19" s="949">
        <f>SUM(D17:D18)</f>
        <v>21631</v>
      </c>
      <c r="E19" s="190"/>
      <c r="F19" s="108"/>
      <c r="G19" s="108"/>
    </row>
    <row r="20" spans="1:7" s="191" customFormat="1" ht="15.6" x14ac:dyDescent="0.25">
      <c r="A20" s="922"/>
      <c r="B20" s="948"/>
      <c r="C20" s="950" t="s">
        <v>161</v>
      </c>
      <c r="D20" s="951">
        <f>D19*0.16</f>
        <v>3460.96</v>
      </c>
      <c r="E20" s="190"/>
      <c r="F20" s="108"/>
      <c r="G20" s="108"/>
    </row>
    <row r="21" spans="1:7" s="191" customFormat="1" ht="15.6" x14ac:dyDescent="0.25">
      <c r="A21" s="952"/>
      <c r="B21" s="953"/>
      <c r="C21" s="954" t="s">
        <v>162</v>
      </c>
      <c r="D21" s="955">
        <f>D19+D20</f>
        <v>25091.96</v>
      </c>
      <c r="E21" s="190"/>
      <c r="F21" s="108"/>
      <c r="G21" s="108"/>
    </row>
    <row r="22" spans="1:7" ht="45" x14ac:dyDescent="0.25">
      <c r="A22" s="940">
        <v>1</v>
      </c>
      <c r="B22" s="941" t="s">
        <v>1775</v>
      </c>
      <c r="C22" s="942">
        <v>3600</v>
      </c>
      <c r="D22" s="943">
        <f t="shared" ref="D22:D23" si="1">A22*C22</f>
        <v>3600</v>
      </c>
      <c r="E22" s="190"/>
    </row>
    <row r="23" spans="1:7" ht="15.6" x14ac:dyDescent="0.25">
      <c r="A23" s="940">
        <v>2</v>
      </c>
      <c r="B23" s="941" t="s">
        <v>1785</v>
      </c>
      <c r="C23" s="942">
        <v>1820</v>
      </c>
      <c r="D23" s="943">
        <f t="shared" si="1"/>
        <v>3640</v>
      </c>
      <c r="E23" s="190"/>
    </row>
    <row r="24" spans="1:7" ht="15.6" x14ac:dyDescent="0.3">
      <c r="A24" s="957"/>
      <c r="B24" s="959" t="s">
        <v>1787</v>
      </c>
      <c r="C24" s="958"/>
      <c r="D24" s="951"/>
      <c r="E24" s="189"/>
    </row>
    <row r="25" spans="1:7" ht="16.2" thickBot="1" x14ac:dyDescent="0.35">
      <c r="A25" s="956"/>
      <c r="B25" s="960" t="s">
        <v>1788</v>
      </c>
      <c r="C25" s="954" t="s">
        <v>160</v>
      </c>
      <c r="D25" s="955">
        <f>SUM(D22:D24)</f>
        <v>7240</v>
      </c>
      <c r="E25" s="189"/>
    </row>
    <row r="26" spans="1:7" ht="16.2" thickBot="1" x14ac:dyDescent="0.3">
      <c r="A26" s="102"/>
      <c r="B26" s="1141" t="s">
        <v>1778</v>
      </c>
      <c r="C26" s="1142"/>
      <c r="D26" s="1143"/>
      <c r="E26" s="189"/>
    </row>
    <row r="27" spans="1:7" x14ac:dyDescent="0.25">
      <c r="A27" s="102"/>
      <c r="B27" s="201"/>
      <c r="C27" s="253"/>
      <c r="D27" s="254"/>
    </row>
    <row r="28" spans="1:7" ht="14.4" thickBot="1" x14ac:dyDescent="0.3">
      <c r="A28" s="102"/>
      <c r="B28" s="100" t="s">
        <v>9</v>
      </c>
      <c r="C28" s="933"/>
      <c r="D28" s="916"/>
      <c r="E28" s="189"/>
    </row>
    <row r="29" spans="1:7" ht="13.5" customHeight="1" thickBot="1" x14ac:dyDescent="0.3">
      <c r="A29" s="383"/>
      <c r="B29" s="936" t="s">
        <v>10</v>
      </c>
      <c r="C29" s="934" t="s">
        <v>699</v>
      </c>
      <c r="D29" s="935">
        <f>D21+D25</f>
        <v>32331.96</v>
      </c>
    </row>
    <row r="30" spans="1:7" ht="17.25" customHeight="1" x14ac:dyDescent="0.25">
      <c r="A30" s="390"/>
      <c r="B30" s="103" t="s">
        <v>11</v>
      </c>
      <c r="C30" s="462"/>
      <c r="D30" s="254"/>
    </row>
    <row r="31" spans="1:7" ht="15" x14ac:dyDescent="0.25">
      <c r="A31" s="390"/>
      <c r="B31" s="123" t="s">
        <v>1620</v>
      </c>
      <c r="D31" s="105"/>
    </row>
    <row r="32" spans="1:7" ht="13.5" customHeight="1" x14ac:dyDescent="0.25">
      <c r="A32" s="390"/>
      <c r="B32" s="123" t="s">
        <v>13</v>
      </c>
      <c r="D32" s="105"/>
    </row>
    <row r="33" spans="1:5" ht="15" x14ac:dyDescent="0.25">
      <c r="A33" s="390"/>
      <c r="B33" s="123" t="s">
        <v>14</v>
      </c>
      <c r="D33" s="105"/>
      <c r="E33" s="189"/>
    </row>
    <row r="34" spans="1:5" ht="13.8" x14ac:dyDescent="0.25">
      <c r="A34" s="392"/>
      <c r="B34" s="103" t="s">
        <v>15</v>
      </c>
      <c r="E34" s="189"/>
    </row>
    <row r="35" spans="1:5" ht="15" x14ac:dyDescent="0.25">
      <c r="A35" s="390"/>
      <c r="B35" s="295" t="s">
        <v>42</v>
      </c>
    </row>
    <row r="36" spans="1:5" ht="41.4" x14ac:dyDescent="0.25">
      <c r="A36" s="390"/>
      <c r="B36" s="295" t="s">
        <v>165</v>
      </c>
      <c r="C36" s="109"/>
      <c r="D36" s="110"/>
      <c r="E36" s="921"/>
    </row>
    <row r="37" spans="1:5" ht="15" x14ac:dyDescent="0.25">
      <c r="A37" s="390"/>
      <c r="B37" s="103" t="s">
        <v>18</v>
      </c>
      <c r="C37" s="109"/>
      <c r="D37" s="110"/>
    </row>
    <row r="38" spans="1:5" s="921" customFormat="1" ht="17.25" customHeight="1" x14ac:dyDescent="0.25">
      <c r="A38" s="390"/>
      <c r="B38" s="297" t="s">
        <v>1779</v>
      </c>
      <c r="C38" s="920"/>
      <c r="D38" s="920"/>
      <c r="E38" s="108"/>
    </row>
    <row r="39" spans="1:5" ht="13.8" x14ac:dyDescent="0.25">
      <c r="A39" s="392"/>
      <c r="B39" s="103" t="s">
        <v>21</v>
      </c>
      <c r="D39" s="105"/>
    </row>
    <row r="40" spans="1:5" ht="15" x14ac:dyDescent="0.25">
      <c r="A40" s="390"/>
      <c r="B40" s="123" t="s">
        <v>1782</v>
      </c>
      <c r="C40" s="109"/>
      <c r="D40" s="110"/>
    </row>
    <row r="41" spans="1:5" ht="15" x14ac:dyDescent="0.25">
      <c r="A41" s="390"/>
      <c r="B41" s="123" t="s">
        <v>44</v>
      </c>
      <c r="C41" s="109"/>
      <c r="D41" s="110"/>
    </row>
    <row r="42" spans="1:5" ht="13.8" x14ac:dyDescent="0.25">
      <c r="A42" s="564" t="s">
        <v>0</v>
      </c>
      <c r="B42" s="123" t="s">
        <v>45</v>
      </c>
      <c r="C42" s="109"/>
    </row>
    <row r="43" spans="1:5" ht="50.4" x14ac:dyDescent="0.25">
      <c r="A43" s="565"/>
      <c r="B43" s="314" t="s">
        <v>169</v>
      </c>
      <c r="C43" s="220"/>
      <c r="D43" s="108"/>
    </row>
    <row r="44" spans="1:5" x14ac:dyDescent="0.25">
      <c r="A44" s="222"/>
      <c r="B44" s="181"/>
      <c r="C44" s="181"/>
      <c r="D44" s="108"/>
    </row>
    <row r="45" spans="1:5" x14ac:dyDescent="0.25">
      <c r="A45" s="222"/>
      <c r="B45" s="181"/>
      <c r="C45" s="181"/>
      <c r="D45" s="108"/>
    </row>
    <row r="46" spans="1:5" x14ac:dyDescent="0.25">
      <c r="A46" s="225"/>
      <c r="B46" s="223"/>
      <c r="C46" s="181"/>
      <c r="D46" s="108"/>
    </row>
    <row r="47" spans="1:5" ht="15" x14ac:dyDescent="0.35">
      <c r="A47" s="226" t="s">
        <v>0</v>
      </c>
      <c r="B47" s="224"/>
      <c r="C47" s="181"/>
      <c r="D47" s="181"/>
    </row>
    <row r="48" spans="1:5" x14ac:dyDescent="0.25">
      <c r="A48" s="108" t="s">
        <v>0</v>
      </c>
    </row>
    <row r="50" ht="12.75" customHeight="1" x14ac:dyDescent="0.25"/>
    <row r="54" ht="16.5" customHeight="1" x14ac:dyDescent="0.25"/>
    <row r="58" ht="15.75" customHeight="1" x14ac:dyDescent="0.25"/>
    <row r="59" ht="15" customHeight="1" x14ac:dyDescent="0.25"/>
  </sheetData>
  <mergeCells count="3">
    <mergeCell ref="A4:D4"/>
    <mergeCell ref="A15:D15"/>
    <mergeCell ref="B26:D26"/>
  </mergeCells>
  <printOptions horizontalCentered="1"/>
  <pageMargins left="0.59055118110236227" right="0.59055118110236227" top="0.19685039370078741" bottom="0.19685039370078741" header="0.19685039370078741" footer="0.19685039370078741"/>
  <pageSetup paperSize="9" scale="56" fitToHeight="0" orientation="portrait" r:id="rId1"/>
  <headerFooter alignWithMargins="0">
    <oddFooter>Página &amp;P de &amp;N</oddFooter>
  </headerFooter>
  <drawing r:id="rId2"/>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C0C3D-8A66-4B06-8AE7-5B40891C2ADE}">
  <sheetPr>
    <tabColor theme="4" tint="-0.249977111117893"/>
    <pageSetUpPr fitToPage="1"/>
  </sheetPr>
  <dimension ref="A1:G59"/>
  <sheetViews>
    <sheetView topLeftCell="A12" zoomScaleNormal="100" workbookViewId="0">
      <selection activeCell="B18" sqref="B18"/>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1769</v>
      </c>
      <c r="B8" s="228"/>
      <c r="C8" s="229"/>
      <c r="D8" s="229"/>
    </row>
    <row r="9" spans="1:7" s="10" customFormat="1" ht="19.2" x14ac:dyDescent="0.45">
      <c r="A9" s="227" t="s">
        <v>1770</v>
      </c>
      <c r="B9" s="228"/>
      <c r="C9" s="229"/>
      <c r="D9" s="229"/>
    </row>
    <row r="10" spans="1:7" s="10" customFormat="1" ht="19.2" x14ac:dyDescent="0.45">
      <c r="A10" s="227" t="s">
        <v>1771</v>
      </c>
      <c r="B10" s="228"/>
      <c r="C10" s="229"/>
      <c r="D10" s="229"/>
    </row>
    <row r="11" spans="1:7" s="10" customFormat="1" ht="19.2" x14ac:dyDescent="0.45">
      <c r="A11" s="227" t="s">
        <v>1772</v>
      </c>
      <c r="B11" s="228"/>
      <c r="C11" s="230"/>
      <c r="D11" s="229"/>
    </row>
    <row r="12" spans="1:7" s="10" customFormat="1" ht="15" customHeight="1" x14ac:dyDescent="0.45">
      <c r="A12" s="227" t="s">
        <v>1773</v>
      </c>
      <c r="B12" s="228"/>
      <c r="C12" s="230"/>
      <c r="D12" s="229"/>
    </row>
    <row r="13" spans="1:7" s="10" customFormat="1" ht="15" customHeight="1" x14ac:dyDescent="0.45">
      <c r="A13" s="227" t="s">
        <v>6</v>
      </c>
      <c r="B13" s="231"/>
      <c r="C13" s="232"/>
      <c r="D13" s="233"/>
    </row>
    <row r="14" spans="1:7" s="10" customFormat="1" ht="15" customHeight="1" x14ac:dyDescent="0.45">
      <c r="A14" s="234" t="s">
        <v>1774</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7" s="191" customFormat="1" ht="30" x14ac:dyDescent="0.25">
      <c r="A17" s="922">
        <v>1</v>
      </c>
      <c r="B17" s="932" t="s">
        <v>1871</v>
      </c>
      <c r="C17" s="923">
        <f>43676*1.5</f>
        <v>65514</v>
      </c>
      <c r="D17" s="924">
        <f t="shared" ref="D17:D18" si="0">A17*C17</f>
        <v>65514</v>
      </c>
      <c r="E17" s="190"/>
      <c r="F17" s="108"/>
      <c r="G17" s="108"/>
    </row>
    <row r="18" spans="1:7" s="191" customFormat="1" ht="15.6" x14ac:dyDescent="0.25">
      <c r="A18" s="940">
        <v>1</v>
      </c>
      <c r="B18" s="941" t="s">
        <v>1783</v>
      </c>
      <c r="C18" s="942">
        <f>(4000*1.5)+700</f>
        <v>6700</v>
      </c>
      <c r="D18" s="943">
        <f t="shared" si="0"/>
        <v>6700</v>
      </c>
      <c r="E18" s="190"/>
      <c r="F18" s="108"/>
      <c r="G18" s="108"/>
    </row>
    <row r="19" spans="1:7" s="191" customFormat="1" ht="15.6" x14ac:dyDescent="0.25">
      <c r="A19" s="965"/>
      <c r="B19" s="966"/>
      <c r="C19" s="967" t="s">
        <v>699</v>
      </c>
      <c r="D19" s="968">
        <f>SUM(D17:D18)</f>
        <v>72214</v>
      </c>
      <c r="E19" s="190"/>
      <c r="F19" s="108"/>
      <c r="G19" s="108"/>
    </row>
    <row r="20" spans="1:7" s="191" customFormat="1" ht="15.6" x14ac:dyDescent="0.25">
      <c r="A20" s="922"/>
      <c r="B20" s="932"/>
      <c r="C20" s="925" t="s">
        <v>161</v>
      </c>
      <c r="D20" s="926">
        <f>D19*0.16</f>
        <v>11554.24</v>
      </c>
      <c r="E20" s="190"/>
      <c r="F20" s="108"/>
      <c r="G20" s="108"/>
    </row>
    <row r="21" spans="1:7" s="191" customFormat="1" ht="15.6" x14ac:dyDescent="0.25">
      <c r="A21" s="922"/>
      <c r="B21" s="932"/>
      <c r="C21" s="927" t="s">
        <v>162</v>
      </c>
      <c r="D21" s="928">
        <f>D19+D20</f>
        <v>83768.240000000005</v>
      </c>
      <c r="E21" s="190"/>
      <c r="F21" s="108"/>
      <c r="G21" s="108"/>
    </row>
    <row r="22" spans="1:7" ht="45" x14ac:dyDescent="0.25">
      <c r="A22" s="922">
        <v>1</v>
      </c>
      <c r="B22" s="932" t="s">
        <v>1780</v>
      </c>
      <c r="C22" s="923">
        <v>23200</v>
      </c>
      <c r="D22" s="924">
        <f t="shared" ref="D22:D30" si="1">A22*C22</f>
        <v>23200</v>
      </c>
      <c r="E22" s="190"/>
    </row>
    <row r="23" spans="1:7" ht="45" x14ac:dyDescent="0.25">
      <c r="A23" s="922">
        <v>1</v>
      </c>
      <c r="B23" s="932" t="s">
        <v>1781</v>
      </c>
      <c r="C23" s="923">
        <v>23200</v>
      </c>
      <c r="D23" s="924">
        <f t="shared" si="1"/>
        <v>23200</v>
      </c>
      <c r="E23" s="190"/>
    </row>
    <row r="24" spans="1:7" ht="45" x14ac:dyDescent="0.25">
      <c r="A24" s="922">
        <v>2</v>
      </c>
      <c r="B24" s="932" t="s">
        <v>1775</v>
      </c>
      <c r="C24" s="923">
        <v>3600</v>
      </c>
      <c r="D24" s="924">
        <f t="shared" si="1"/>
        <v>7200</v>
      </c>
      <c r="E24" s="190"/>
    </row>
    <row r="25" spans="1:7" ht="15.6" x14ac:dyDescent="0.25">
      <c r="A25" s="940">
        <v>2</v>
      </c>
      <c r="B25" s="941" t="s">
        <v>1785</v>
      </c>
      <c r="C25" s="942">
        <v>1820</v>
      </c>
      <c r="D25" s="943">
        <f t="shared" si="1"/>
        <v>3640</v>
      </c>
      <c r="E25" s="190"/>
    </row>
    <row r="26" spans="1:7" ht="15.6" x14ac:dyDescent="0.25">
      <c r="A26" s="922">
        <v>1</v>
      </c>
      <c r="B26" s="932" t="s">
        <v>1531</v>
      </c>
      <c r="C26" s="923">
        <v>2350</v>
      </c>
      <c r="D26" s="924">
        <f t="shared" si="1"/>
        <v>2350</v>
      </c>
      <c r="E26" s="190"/>
    </row>
    <row r="27" spans="1:7" ht="30" x14ac:dyDescent="0.25">
      <c r="A27" s="922">
        <v>1</v>
      </c>
      <c r="B27" s="932" t="s">
        <v>1776</v>
      </c>
      <c r="C27" s="923">
        <v>4500</v>
      </c>
      <c r="D27" s="924">
        <f t="shared" si="1"/>
        <v>4500</v>
      </c>
      <c r="E27" s="190"/>
    </row>
    <row r="28" spans="1:7" ht="15.6" x14ac:dyDescent="0.25">
      <c r="A28" s="922">
        <v>1</v>
      </c>
      <c r="B28" s="932" t="s">
        <v>1777</v>
      </c>
      <c r="C28" s="923">
        <v>1500</v>
      </c>
      <c r="D28" s="924">
        <f t="shared" si="1"/>
        <v>1500</v>
      </c>
      <c r="E28" s="189"/>
    </row>
    <row r="29" spans="1:7" ht="13.5" customHeight="1" x14ac:dyDescent="0.25">
      <c r="A29" s="922">
        <v>1</v>
      </c>
      <c r="B29" s="932" t="s">
        <v>1851</v>
      </c>
      <c r="C29" s="923">
        <v>7500</v>
      </c>
      <c r="D29" s="924">
        <f t="shared" si="1"/>
        <v>7500</v>
      </c>
      <c r="E29" s="189"/>
    </row>
    <row r="30" spans="1:7" ht="17.25" customHeight="1" x14ac:dyDescent="0.25">
      <c r="A30" s="922">
        <v>2</v>
      </c>
      <c r="B30" s="932" t="s">
        <v>1852</v>
      </c>
      <c r="C30" s="923">
        <v>4300</v>
      </c>
      <c r="D30" s="924">
        <f t="shared" si="1"/>
        <v>8600</v>
      </c>
      <c r="E30" s="189"/>
    </row>
    <row r="31" spans="1:7" ht="15.6" x14ac:dyDescent="0.3">
      <c r="A31" s="843"/>
      <c r="B31" s="929"/>
      <c r="C31" s="930"/>
      <c r="D31" s="926"/>
      <c r="E31" s="189"/>
    </row>
    <row r="32" spans="1:7" ht="13.5" customHeight="1" thickBot="1" x14ac:dyDescent="0.35">
      <c r="A32" s="931"/>
      <c r="B32" s="931"/>
      <c r="C32" s="925" t="s">
        <v>160</v>
      </c>
      <c r="D32" s="926">
        <f>SUM(D22:D31)</f>
        <v>81690</v>
      </c>
    </row>
    <row r="33" spans="1:6" ht="16.2" thickBot="1" x14ac:dyDescent="0.3">
      <c r="A33" s="102"/>
      <c r="B33" s="1136" t="s">
        <v>1778</v>
      </c>
      <c r="C33" s="1139"/>
      <c r="D33" s="1140"/>
    </row>
    <row r="34" spans="1:6" x14ac:dyDescent="0.25">
      <c r="A34" s="102"/>
      <c r="B34" s="201"/>
      <c r="C34" s="253"/>
      <c r="D34" s="254"/>
    </row>
    <row r="35" spans="1:6" ht="14.4" thickBot="1" x14ac:dyDescent="0.3">
      <c r="A35" s="102"/>
      <c r="B35" s="100" t="s">
        <v>9</v>
      </c>
      <c r="C35" s="933"/>
      <c r="D35" s="916"/>
      <c r="E35" s="189"/>
    </row>
    <row r="36" spans="1:6" ht="18" thickBot="1" x14ac:dyDescent="0.3">
      <c r="A36" s="383"/>
      <c r="B36" s="936" t="s">
        <v>10</v>
      </c>
      <c r="C36" s="934" t="s">
        <v>699</v>
      </c>
      <c r="D36" s="935">
        <f>D21+D32</f>
        <v>165458.23999999999</v>
      </c>
    </row>
    <row r="37" spans="1:6" ht="16.2" thickBot="1" x14ac:dyDescent="0.3">
      <c r="A37" s="390"/>
      <c r="B37" s="103" t="s">
        <v>11</v>
      </c>
      <c r="C37" s="934" t="s">
        <v>1740</v>
      </c>
      <c r="D37" s="935">
        <v>90051</v>
      </c>
    </row>
    <row r="38" spans="1:6" s="921" customFormat="1" ht="17.25" customHeight="1" thickBot="1" x14ac:dyDescent="0.3">
      <c r="A38" s="390"/>
      <c r="B38" s="123" t="s">
        <v>1620</v>
      </c>
      <c r="C38" s="969" t="s">
        <v>1853</v>
      </c>
      <c r="D38" s="970">
        <f>D36-D37</f>
        <v>75407.239999999991</v>
      </c>
      <c r="E38" s="108"/>
      <c r="F38" s="108"/>
    </row>
    <row r="39" spans="1:6" ht="15" x14ac:dyDescent="0.25">
      <c r="A39" s="390"/>
      <c r="B39" s="123" t="s">
        <v>13</v>
      </c>
      <c r="C39" s="862"/>
      <c r="D39" s="916"/>
    </row>
    <row r="40" spans="1:6" ht="15.6" x14ac:dyDescent="0.25">
      <c r="A40" s="390"/>
      <c r="B40" s="993" t="s">
        <v>14</v>
      </c>
      <c r="C40" s="994" t="s">
        <v>1758</v>
      </c>
      <c r="D40" s="994">
        <f>D38-68714</f>
        <v>6693.2399999999907</v>
      </c>
      <c r="E40" s="189"/>
    </row>
    <row r="41" spans="1:6" ht="13.8" x14ac:dyDescent="0.25">
      <c r="A41" s="392"/>
      <c r="B41" s="103" t="s">
        <v>15</v>
      </c>
      <c r="C41" s="462"/>
      <c r="D41" s="462"/>
      <c r="E41" s="189"/>
      <c r="F41" s="921"/>
    </row>
    <row r="42" spans="1:6" ht="15" x14ac:dyDescent="0.25">
      <c r="A42" s="390"/>
      <c r="B42" s="295" t="s">
        <v>42</v>
      </c>
    </row>
    <row r="43" spans="1:6" ht="41.4" x14ac:dyDescent="0.25">
      <c r="A43" s="390"/>
      <c r="B43" s="295" t="s">
        <v>165</v>
      </c>
      <c r="C43" s="109"/>
      <c r="D43" s="110"/>
      <c r="E43" s="921"/>
    </row>
    <row r="44" spans="1:6" ht="15" x14ac:dyDescent="0.25">
      <c r="A44" s="390"/>
      <c r="B44" s="103" t="s">
        <v>18</v>
      </c>
      <c r="C44" s="109"/>
      <c r="D44" s="110"/>
    </row>
    <row r="45" spans="1:6" ht="15" x14ac:dyDescent="0.25">
      <c r="A45" s="390"/>
      <c r="B45" s="297" t="s">
        <v>1779</v>
      </c>
      <c r="C45" s="920"/>
      <c r="D45" s="920"/>
    </row>
    <row r="46" spans="1:6" ht="13.8" x14ac:dyDescent="0.25">
      <c r="A46" s="392"/>
      <c r="B46" s="103" t="s">
        <v>21</v>
      </c>
      <c r="D46" s="105"/>
    </row>
    <row r="47" spans="1:6" ht="15" x14ac:dyDescent="0.25">
      <c r="A47" s="390"/>
      <c r="B47" s="123" t="s">
        <v>1782</v>
      </c>
      <c r="C47" s="109"/>
      <c r="D47" s="110"/>
    </row>
    <row r="48" spans="1:6" ht="15" x14ac:dyDescent="0.25">
      <c r="A48" s="390"/>
      <c r="B48" s="123" t="s">
        <v>44</v>
      </c>
      <c r="C48" s="109"/>
      <c r="D48" s="110"/>
    </row>
    <row r="49" spans="1:4" ht="13.8" x14ac:dyDescent="0.25">
      <c r="A49" s="564" t="s">
        <v>0</v>
      </c>
      <c r="B49" s="123" t="s">
        <v>45</v>
      </c>
      <c r="C49" s="109"/>
    </row>
    <row r="50" spans="1:4" ht="12.75" customHeight="1" x14ac:dyDescent="0.25">
      <c r="A50" s="565"/>
      <c r="B50" s="314" t="s">
        <v>169</v>
      </c>
      <c r="C50" s="220"/>
      <c r="D50" s="108"/>
    </row>
    <row r="51" spans="1:4" x14ac:dyDescent="0.25">
      <c r="A51" s="222"/>
      <c r="B51" s="181"/>
      <c r="C51" s="181"/>
      <c r="D51" s="108"/>
    </row>
    <row r="52" spans="1:4" x14ac:dyDescent="0.25">
      <c r="A52" s="222"/>
      <c r="B52" s="181"/>
      <c r="C52" s="181"/>
      <c r="D52" s="108"/>
    </row>
    <row r="53" spans="1:4" x14ac:dyDescent="0.25">
      <c r="A53" s="225"/>
      <c r="B53" s="223"/>
      <c r="C53" s="181"/>
      <c r="D53" s="108"/>
    </row>
    <row r="54" spans="1:4" ht="16.5" customHeight="1" x14ac:dyDescent="0.35">
      <c r="A54" s="226" t="s">
        <v>0</v>
      </c>
      <c r="B54" s="224"/>
      <c r="C54" s="181"/>
      <c r="D54" s="181"/>
    </row>
    <row r="55" spans="1:4" x14ac:dyDescent="0.25">
      <c r="A55" s="108" t="s">
        <v>0</v>
      </c>
    </row>
    <row r="58" spans="1:4" ht="15.75" customHeight="1" x14ac:dyDescent="0.25"/>
    <row r="59" spans="1:4" ht="15" customHeight="1" x14ac:dyDescent="0.25"/>
  </sheetData>
  <mergeCells count="3">
    <mergeCell ref="A4:D4"/>
    <mergeCell ref="A15:D15"/>
    <mergeCell ref="B33:D33"/>
  </mergeCells>
  <printOptions horizontalCentered="1"/>
  <pageMargins left="0.59055118110236227" right="0.59055118110236227" top="0.19685039370078741" bottom="0.19685039370078741" header="0.19685039370078741" footer="0.19685039370078741"/>
  <pageSetup paperSize="9" scale="69" fitToWidth="0" orientation="portrait" r:id="rId1"/>
  <headerFooter alignWithMargins="0">
    <oddFooter>Página &amp;P de &amp;N</oddFooter>
  </headerFooter>
  <drawing r:id="rId2"/>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E5E5-AB7A-4788-BB55-EC4538553732}">
  <sheetPr>
    <tabColor theme="4" tint="-0.249977111117893"/>
    <pageSetUpPr fitToPage="1"/>
  </sheetPr>
  <dimension ref="A1:G62"/>
  <sheetViews>
    <sheetView topLeftCell="A13" zoomScaleNormal="100" workbookViewId="0">
      <selection activeCell="C22" sqref="C22"/>
    </sheetView>
  </sheetViews>
  <sheetFormatPr baseColWidth="10" defaultColWidth="10.33203125" defaultRowHeight="13.2" x14ac:dyDescent="0.25"/>
  <cols>
    <col min="1" max="1" width="5.44140625" style="108" customWidth="1"/>
    <col min="2" max="2" width="79.44140625" style="108" customWidth="1"/>
    <col min="3" max="3" width="14.88671875" style="107" bestFit="1" customWidth="1"/>
    <col min="4" max="4" width="15.21875" style="107" bestFit="1" customWidth="1"/>
    <col min="5" max="16384" width="10.332031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t="s">
        <v>803</v>
      </c>
      <c r="C7" s="58"/>
      <c r="D7" s="58"/>
    </row>
    <row r="8" spans="1:7" s="10" customFormat="1" ht="16.8" x14ac:dyDescent="0.4">
      <c r="A8" s="57" t="s">
        <v>1361</v>
      </c>
      <c r="C8" s="58"/>
      <c r="D8" s="58"/>
    </row>
    <row r="9" spans="1:7" s="10" customFormat="1" ht="16.8" x14ac:dyDescent="0.4">
      <c r="A9" s="57" t="s">
        <v>1362</v>
      </c>
      <c r="C9" s="58"/>
      <c r="D9" s="58"/>
    </row>
    <row r="10" spans="1:7" s="10" customFormat="1" ht="16.8" x14ac:dyDescent="0.4">
      <c r="A10" s="57" t="s">
        <v>1363</v>
      </c>
      <c r="C10" s="59"/>
      <c r="D10" s="58"/>
    </row>
    <row r="11" spans="1:7" s="10" customFormat="1" ht="16.8" x14ac:dyDescent="0.4">
      <c r="A11" s="60" t="s">
        <v>1733</v>
      </c>
      <c r="B11" s="61"/>
      <c r="C11" s="59"/>
      <c r="D11" s="58"/>
    </row>
    <row r="12" spans="1:7" s="10" customFormat="1" ht="15" customHeight="1" x14ac:dyDescent="0.4">
      <c r="A12" s="1060" t="s">
        <v>498</v>
      </c>
      <c r="B12" s="1061"/>
      <c r="C12" s="1062"/>
      <c r="D12" s="1063"/>
      <c r="E12" s="188"/>
    </row>
    <row r="13" spans="1:7" s="10" customFormat="1" ht="15" customHeight="1" x14ac:dyDescent="0.4">
      <c r="A13" s="145" t="s">
        <v>29</v>
      </c>
      <c r="B13" s="145" t="s">
        <v>30</v>
      </c>
      <c r="C13" s="146" t="s">
        <v>31</v>
      </c>
      <c r="D13" s="146" t="s">
        <v>32</v>
      </c>
      <c r="E13" s="189"/>
    </row>
    <row r="14" spans="1:7" s="10" customFormat="1" ht="16.8" x14ac:dyDescent="0.4">
      <c r="A14" s="148"/>
      <c r="B14" s="149"/>
      <c r="C14" s="150"/>
      <c r="D14" s="150"/>
      <c r="E14" s="190"/>
      <c r="F14" s="188"/>
    </row>
    <row r="15" spans="1:7" s="188" customFormat="1" ht="15.6" x14ac:dyDescent="0.3">
      <c r="A15" s="776">
        <v>1</v>
      </c>
      <c r="B15" s="777" t="s">
        <v>1401</v>
      </c>
      <c r="C15" s="780">
        <f>(3344*19.5)*1.35</f>
        <v>88030.8</v>
      </c>
      <c r="D15" s="788">
        <f t="shared" ref="D15:D23" si="0">A15*C15</f>
        <v>88030.8</v>
      </c>
      <c r="E15" s="190"/>
      <c r="F15" s="108"/>
      <c r="G15" s="191"/>
    </row>
    <row r="16" spans="1:7" ht="30" x14ac:dyDescent="0.25">
      <c r="A16" s="72">
        <v>1</v>
      </c>
      <c r="B16" s="624" t="s">
        <v>1372</v>
      </c>
      <c r="C16" s="780">
        <f>((65732)*1.35)</f>
        <v>88738.200000000012</v>
      </c>
      <c r="D16" s="788">
        <f t="shared" si="0"/>
        <v>88738.200000000012</v>
      </c>
    </row>
    <row r="17" spans="1:7" s="191" customFormat="1" ht="15.6" x14ac:dyDescent="0.25">
      <c r="A17" s="72">
        <v>1</v>
      </c>
      <c r="B17" s="624" t="s">
        <v>1477</v>
      </c>
      <c r="C17" s="780">
        <f>(31200)*1.7</f>
        <v>53040</v>
      </c>
      <c r="D17" s="788">
        <f t="shared" si="0"/>
        <v>53040</v>
      </c>
      <c r="E17" s="108"/>
      <c r="F17" s="108"/>
      <c r="G17" s="108"/>
    </row>
    <row r="18" spans="1:7" ht="15.6" x14ac:dyDescent="0.25">
      <c r="A18" s="72">
        <v>7</v>
      </c>
      <c r="B18" s="624" t="s">
        <v>1447</v>
      </c>
      <c r="C18" s="780">
        <f>(2300*1.5)</f>
        <v>3450</v>
      </c>
      <c r="D18" s="788">
        <f t="shared" si="0"/>
        <v>24150</v>
      </c>
    </row>
    <row r="19" spans="1:7" ht="15.6" x14ac:dyDescent="0.25">
      <c r="A19" s="72">
        <v>3</v>
      </c>
      <c r="B19" s="624" t="s">
        <v>1449</v>
      </c>
      <c r="C19" s="780">
        <v>460</v>
      </c>
      <c r="D19" s="788">
        <f>A19*C19</f>
        <v>1380</v>
      </c>
    </row>
    <row r="20" spans="1:7" ht="15.6" x14ac:dyDescent="0.25">
      <c r="A20" s="72">
        <v>2</v>
      </c>
      <c r="B20" s="624" t="s">
        <v>1366</v>
      </c>
      <c r="C20" s="625">
        <f>(374.5*19.3)*1.35</f>
        <v>9757.5975000000017</v>
      </c>
      <c r="D20" s="788">
        <f t="shared" si="0"/>
        <v>19515.195000000003</v>
      </c>
    </row>
    <row r="21" spans="1:7" ht="15.6" x14ac:dyDescent="0.25">
      <c r="A21" s="72">
        <v>1</v>
      </c>
      <c r="B21" s="624" t="s">
        <v>1365</v>
      </c>
      <c r="C21" s="625">
        <f>(5530)*1.35</f>
        <v>7465.5000000000009</v>
      </c>
      <c r="D21" s="788">
        <f t="shared" si="0"/>
        <v>7465.5000000000009</v>
      </c>
    </row>
    <row r="22" spans="1:7" ht="15.6" x14ac:dyDescent="0.25">
      <c r="A22" s="72">
        <v>270</v>
      </c>
      <c r="B22" s="624" t="s">
        <v>1427</v>
      </c>
      <c r="C22" s="625">
        <f>705*1.5</f>
        <v>1057.5</v>
      </c>
      <c r="D22" s="788">
        <f t="shared" si="0"/>
        <v>285525</v>
      </c>
    </row>
    <row r="23" spans="1:7" ht="45" x14ac:dyDescent="0.25">
      <c r="A23" s="72">
        <v>1</v>
      </c>
      <c r="B23" s="790" t="s">
        <v>1479</v>
      </c>
      <c r="C23" s="780">
        <v>14500</v>
      </c>
      <c r="D23" s="788">
        <f t="shared" si="0"/>
        <v>14500</v>
      </c>
    </row>
    <row r="24" spans="1:7" ht="15.6" x14ac:dyDescent="0.25">
      <c r="A24" s="668"/>
      <c r="B24" s="798"/>
      <c r="C24" s="670" t="s">
        <v>188</v>
      </c>
      <c r="D24" s="630">
        <f>SUM(D15:D23)</f>
        <v>582344.69500000007</v>
      </c>
    </row>
    <row r="25" spans="1:7" ht="15.6" x14ac:dyDescent="0.3">
      <c r="A25" s="453"/>
      <c r="B25" s="798"/>
      <c r="C25" s="671" t="s">
        <v>90</v>
      </c>
      <c r="D25" s="632">
        <f>D24*0.16</f>
        <v>93175.151200000008</v>
      </c>
    </row>
    <row r="26" spans="1:7" ht="16.2" thickBot="1" x14ac:dyDescent="0.35">
      <c r="A26" s="276"/>
      <c r="B26" s="798"/>
      <c r="C26" s="789" t="s">
        <v>40</v>
      </c>
      <c r="D26" s="634">
        <f>D24+D25</f>
        <v>675519.84620000003</v>
      </c>
    </row>
    <row r="27" spans="1:7" ht="16.2" thickBot="1" x14ac:dyDescent="0.3">
      <c r="A27" s="102"/>
      <c r="B27" s="791" t="s">
        <v>1478</v>
      </c>
      <c r="C27" s="553"/>
      <c r="D27" s="461"/>
    </row>
    <row r="28" spans="1:7" ht="13.8" x14ac:dyDescent="0.25">
      <c r="B28" s="103" t="s">
        <v>15</v>
      </c>
      <c r="C28" s="189"/>
      <c r="D28" s="666"/>
    </row>
    <row r="29" spans="1:7" ht="27.6" x14ac:dyDescent="0.25">
      <c r="A29" s="106"/>
      <c r="B29" s="295" t="s">
        <v>42</v>
      </c>
    </row>
    <row r="30" spans="1:7" ht="41.4" x14ac:dyDescent="0.25">
      <c r="A30" s="106"/>
      <c r="B30" s="295" t="s">
        <v>43</v>
      </c>
      <c r="C30" s="109"/>
      <c r="D30" s="110"/>
    </row>
    <row r="31" spans="1:7" ht="15" x14ac:dyDescent="0.25">
      <c r="A31" s="106"/>
      <c r="B31" s="103" t="s">
        <v>18</v>
      </c>
      <c r="C31" s="109"/>
      <c r="D31" s="110"/>
    </row>
    <row r="32" spans="1:7" ht="15" x14ac:dyDescent="0.25">
      <c r="A32" s="106"/>
      <c r="B32" s="296" t="s">
        <v>1368</v>
      </c>
      <c r="C32" s="109"/>
      <c r="D32" s="109"/>
    </row>
    <row r="33" spans="1:4" ht="15" x14ac:dyDescent="0.25">
      <c r="A33" s="106"/>
      <c r="B33" s="297" t="s">
        <v>20</v>
      </c>
      <c r="C33" s="109"/>
      <c r="D33" s="109"/>
    </row>
    <row r="34" spans="1:4" ht="13.8" x14ac:dyDescent="0.25">
      <c r="B34" s="103" t="s">
        <v>21</v>
      </c>
      <c r="D34" s="105"/>
    </row>
    <row r="35" spans="1:4" ht="15" x14ac:dyDescent="0.25">
      <c r="A35" s="106"/>
      <c r="B35" s="122" t="s">
        <v>502</v>
      </c>
      <c r="C35" s="109"/>
      <c r="D35" s="110"/>
    </row>
    <row r="36" spans="1:4" ht="15" x14ac:dyDescent="0.25">
      <c r="A36" s="106"/>
      <c r="B36" s="123" t="s">
        <v>44</v>
      </c>
      <c r="C36" s="109"/>
      <c r="D36" s="110"/>
    </row>
    <row r="37" spans="1:4" ht="13.8" x14ac:dyDescent="0.25">
      <c r="A37" s="115" t="s">
        <v>0</v>
      </c>
      <c r="B37" s="298" t="s">
        <v>45</v>
      </c>
      <c r="C37" s="109"/>
    </row>
    <row r="38" spans="1:4" ht="50.4" x14ac:dyDescent="0.25">
      <c r="A38" s="222"/>
      <c r="B38" s="314" t="s">
        <v>169</v>
      </c>
      <c r="C38" s="220"/>
      <c r="D38" s="108"/>
    </row>
    <row r="39" spans="1:4" x14ac:dyDescent="0.25">
      <c r="A39" s="222"/>
      <c r="B39" s="181"/>
      <c r="C39" s="181"/>
      <c r="D39" s="108"/>
    </row>
    <row r="40" spans="1:4" x14ac:dyDescent="0.25">
      <c r="A40" s="222"/>
      <c r="B40" s="181"/>
      <c r="C40" s="181"/>
      <c r="D40" s="108"/>
    </row>
    <row r="41" spans="1:4" x14ac:dyDescent="0.25">
      <c r="A41" s="225"/>
      <c r="B41" s="223"/>
      <c r="C41" s="181"/>
      <c r="D41" s="108"/>
    </row>
    <row r="42" spans="1:4" ht="15" x14ac:dyDescent="0.35">
      <c r="A42" s="226"/>
      <c r="B42" s="224"/>
      <c r="C42" s="181"/>
      <c r="D42" s="181"/>
    </row>
    <row r="43" spans="1:4" x14ac:dyDescent="0.25">
      <c r="A43" s="108" t="s">
        <v>0</v>
      </c>
    </row>
    <row r="53" ht="17.25" customHeight="1" x14ac:dyDescent="0.25"/>
    <row r="57" ht="16.5" customHeight="1" x14ac:dyDescent="0.25"/>
    <row r="61" ht="15.75" customHeight="1" x14ac:dyDescent="0.25"/>
    <row r="62" ht="15" customHeight="1" x14ac:dyDescent="0.25"/>
  </sheetData>
  <mergeCells count="2">
    <mergeCell ref="A4:D4"/>
    <mergeCell ref="A12:D12"/>
  </mergeCells>
  <printOptions horizontalCentered="1"/>
  <pageMargins left="0.25" right="0.25" top="0.75" bottom="0.75" header="0.3" footer="0.3"/>
  <pageSetup paperSize="9" scale="83" fitToWidth="0" orientation="portrait" r:id="rId1"/>
  <headerFooter alignWithMargins="0">
    <oddFooter>Página &amp;P de &amp;N</oddFooter>
  </headerFooter>
  <drawing r:id="rId2"/>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8691-EA61-4BB4-B93E-834C75A6E394}">
  <sheetPr>
    <tabColor theme="4" tint="-0.249977111117893"/>
    <pageSetUpPr fitToPage="1"/>
  </sheetPr>
  <dimension ref="A1:P59"/>
  <sheetViews>
    <sheetView topLeftCell="A11" zoomScale="85" zoomScaleNormal="85" workbookViewId="0">
      <selection activeCell="C10" sqref="C9:C10"/>
    </sheetView>
  </sheetViews>
  <sheetFormatPr baseColWidth="10" defaultColWidth="11.44140625" defaultRowHeight="13.2" x14ac:dyDescent="0.25"/>
  <cols>
    <col min="1" max="1" width="6" style="108" customWidth="1"/>
    <col min="2" max="2" width="85.55468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1867</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8" thickBot="1" x14ac:dyDescent="0.3">
      <c r="A15" s="851"/>
      <c r="B15" s="979" t="s">
        <v>1858</v>
      </c>
      <c r="C15" s="873"/>
      <c r="D15" s="874"/>
      <c r="E15" s="108"/>
      <c r="F15" s="108"/>
      <c r="G15" s="108"/>
      <c r="H15" s="108"/>
      <c r="I15" s="108"/>
      <c r="J15" s="108"/>
      <c r="K15" s="108"/>
      <c r="L15" s="108"/>
      <c r="M15" s="108"/>
      <c r="N15" s="108"/>
      <c r="O15" s="108"/>
      <c r="P15" s="108"/>
    </row>
    <row r="16" spans="1:16" ht="15.6" x14ac:dyDescent="0.25">
      <c r="A16" s="422">
        <v>2</v>
      </c>
      <c r="B16" s="423" t="s">
        <v>1866</v>
      </c>
      <c r="C16" s="779">
        <f>(226*19*1.4)</f>
        <v>6011.5999999999995</v>
      </c>
      <c r="D16" s="425">
        <f>A16*C16</f>
        <v>12023.199999999999</v>
      </c>
      <c r="N16" s="191"/>
      <c r="O16" s="191"/>
      <c r="P16" s="191"/>
    </row>
    <row r="17" spans="1:16" s="191" customFormat="1" ht="15.6" x14ac:dyDescent="0.25">
      <c r="A17" s="976"/>
      <c r="B17" s="977"/>
      <c r="C17" s="973" t="s">
        <v>160</v>
      </c>
      <c r="D17" s="900">
        <f>SUM(D16)</f>
        <v>12023.199999999999</v>
      </c>
      <c r="E17" s="108"/>
      <c r="F17" s="108"/>
      <c r="G17" s="108"/>
      <c r="H17" s="108"/>
      <c r="I17" s="108"/>
      <c r="J17" s="108"/>
      <c r="K17" s="108"/>
      <c r="L17" s="108"/>
      <c r="M17" s="108"/>
    </row>
    <row r="18" spans="1:16" s="191" customFormat="1" ht="15.6" x14ac:dyDescent="0.25">
      <c r="A18" s="976"/>
      <c r="B18" s="977"/>
      <c r="C18" s="475" t="s">
        <v>392</v>
      </c>
      <c r="D18" s="900">
        <f>D17*0.16</f>
        <v>1923.7119999999998</v>
      </c>
      <c r="E18" s="108"/>
      <c r="F18" s="108"/>
      <c r="G18" s="108"/>
      <c r="H18" s="108"/>
      <c r="I18" s="108"/>
      <c r="J18" s="108"/>
      <c r="K18" s="108"/>
      <c r="L18" s="108"/>
      <c r="M18" s="108"/>
    </row>
    <row r="19" spans="1:16" s="191" customFormat="1" ht="15.6" x14ac:dyDescent="0.25">
      <c r="A19" s="976"/>
      <c r="B19" s="977"/>
      <c r="C19" s="475" t="s">
        <v>1860</v>
      </c>
      <c r="D19" s="900">
        <f>SUM(D17:D18)</f>
        <v>13946.911999999998</v>
      </c>
      <c r="E19" s="108"/>
      <c r="F19" s="108"/>
      <c r="G19" s="108"/>
      <c r="H19" s="108"/>
      <c r="I19" s="108"/>
      <c r="J19" s="108"/>
      <c r="K19" s="108"/>
      <c r="L19" s="108"/>
      <c r="M19" s="108"/>
    </row>
    <row r="20" spans="1:16" s="191" customFormat="1" ht="17.399999999999999" x14ac:dyDescent="0.25">
      <c r="A20" s="976"/>
      <c r="B20" s="981" t="s">
        <v>1859</v>
      </c>
      <c r="C20" s="978"/>
      <c r="D20" s="425"/>
      <c r="E20" s="108"/>
      <c r="F20" s="108"/>
      <c r="G20" s="108"/>
      <c r="H20" s="108"/>
      <c r="I20" s="108"/>
      <c r="J20" s="108"/>
      <c r="K20" s="108"/>
      <c r="L20" s="108"/>
      <c r="M20" s="108"/>
      <c r="N20" s="108"/>
      <c r="O20" s="108"/>
      <c r="P20" s="108"/>
    </row>
    <row r="21" spans="1:16" ht="30" x14ac:dyDescent="0.25">
      <c r="A21" s="886">
        <v>1</v>
      </c>
      <c r="B21" s="887" t="s">
        <v>1862</v>
      </c>
      <c r="C21" s="962">
        <v>7300</v>
      </c>
      <c r="D21" s="80">
        <f>A21*C21</f>
        <v>7300</v>
      </c>
    </row>
    <row r="22" spans="1:16" ht="45" x14ac:dyDescent="0.25">
      <c r="A22" s="84">
        <v>1</v>
      </c>
      <c r="B22" s="85" t="s">
        <v>1864</v>
      </c>
      <c r="C22" s="86">
        <v>62000</v>
      </c>
      <c r="D22" s="87">
        <f>A22*C22</f>
        <v>62000</v>
      </c>
    </row>
    <row r="23" spans="1:16" ht="15.6" x14ac:dyDescent="0.25">
      <c r="A23" s="84">
        <v>2</v>
      </c>
      <c r="B23" s="85" t="s">
        <v>1863</v>
      </c>
      <c r="C23" s="86">
        <v>2350</v>
      </c>
      <c r="D23" s="87">
        <f>A23*C23</f>
        <v>4700</v>
      </c>
      <c r="O23" s="392"/>
      <c r="P23" s="392"/>
    </row>
    <row r="24" spans="1:16" s="392" customFormat="1" ht="15.6" x14ac:dyDescent="0.25">
      <c r="A24" s="990">
        <v>4</v>
      </c>
      <c r="B24" s="991" t="s">
        <v>1865</v>
      </c>
      <c r="C24" s="86">
        <v>320</v>
      </c>
      <c r="D24" s="87">
        <f>A24*C24</f>
        <v>1280</v>
      </c>
      <c r="E24" s="189"/>
      <c r="F24" s="108"/>
      <c r="G24" s="108"/>
      <c r="H24" s="108"/>
      <c r="I24" s="108"/>
      <c r="J24" s="108"/>
      <c r="K24" s="108"/>
      <c r="L24" s="108"/>
      <c r="M24" s="108"/>
      <c r="N24" s="108"/>
      <c r="O24" s="108"/>
      <c r="P24" s="108"/>
    </row>
    <row r="25" spans="1:16" ht="31.2" x14ac:dyDescent="0.25">
      <c r="A25" s="965"/>
      <c r="B25" s="992" t="s">
        <v>1868</v>
      </c>
      <c r="C25" s="983" t="s">
        <v>1860</v>
      </c>
      <c r="D25" s="982">
        <f>SUM(D21:D24)</f>
        <v>75280</v>
      </c>
      <c r="E25" s="189"/>
    </row>
    <row r="26" spans="1:16" ht="15.6" x14ac:dyDescent="0.25">
      <c r="A26" s="965"/>
      <c r="B26" s="966"/>
      <c r="C26" s="967"/>
      <c r="D26" s="980"/>
    </row>
    <row r="27" spans="1:16" ht="15" x14ac:dyDescent="0.25">
      <c r="A27" s="854"/>
      <c r="B27" s="201"/>
      <c r="C27" s="911"/>
      <c r="D27" s="912"/>
    </row>
    <row r="28" spans="1:16" ht="13.8" x14ac:dyDescent="0.25">
      <c r="A28" s="102"/>
      <c r="B28" s="910" t="s">
        <v>9</v>
      </c>
      <c r="C28" s="984"/>
      <c r="D28" s="192"/>
    </row>
    <row r="29" spans="1:16" ht="17.399999999999999" x14ac:dyDescent="0.3">
      <c r="A29" s="102"/>
      <c r="B29" s="838"/>
      <c r="C29" s="985" t="s">
        <v>699</v>
      </c>
      <c r="D29" s="986">
        <f>SUM(D19+D25)</f>
        <v>89226.911999999997</v>
      </c>
      <c r="E29" s="189"/>
      <c r="N29" s="392"/>
    </row>
    <row r="30" spans="1:16" ht="13.8" x14ac:dyDescent="0.25">
      <c r="A30" s="102"/>
      <c r="B30" s="100" t="s">
        <v>11</v>
      </c>
      <c r="C30" s="108"/>
      <c r="D30" s="108"/>
    </row>
    <row r="31" spans="1:16" ht="15" x14ac:dyDescent="0.25">
      <c r="A31" s="106"/>
      <c r="B31" s="121" t="s">
        <v>1620</v>
      </c>
      <c r="C31" s="108"/>
      <c r="D31" s="108"/>
    </row>
    <row r="32" spans="1:16" ht="15" x14ac:dyDescent="0.25">
      <c r="A32" s="106"/>
      <c r="B32" s="915" t="s">
        <v>14</v>
      </c>
      <c r="C32" s="108"/>
      <c r="D32" s="108"/>
    </row>
    <row r="33" spans="1:4" ht="15" x14ac:dyDescent="0.25">
      <c r="A33" s="106"/>
      <c r="B33" s="987" t="s">
        <v>15</v>
      </c>
      <c r="C33" s="189"/>
      <c r="D33" s="108"/>
    </row>
    <row r="34" spans="1:4" ht="27.6" x14ac:dyDescent="0.25">
      <c r="A34" s="106"/>
      <c r="B34" s="125" t="s">
        <v>17</v>
      </c>
      <c r="C34" s="988"/>
      <c r="D34" s="863"/>
    </row>
    <row r="35" spans="1:4" ht="15" x14ac:dyDescent="0.25">
      <c r="A35" s="106"/>
      <c r="B35" s="103" t="s">
        <v>18</v>
      </c>
      <c r="C35" s="109"/>
      <c r="D35" s="110"/>
    </row>
    <row r="36" spans="1:4" ht="27.6" x14ac:dyDescent="0.25">
      <c r="A36" s="106"/>
      <c r="B36" s="856" t="s">
        <v>1798</v>
      </c>
      <c r="C36" s="109"/>
      <c r="D36" s="109"/>
    </row>
    <row r="37" spans="1:4" ht="15" x14ac:dyDescent="0.25">
      <c r="A37" s="106"/>
      <c r="B37" s="127" t="s">
        <v>20</v>
      </c>
      <c r="C37" s="109"/>
      <c r="D37" s="109"/>
    </row>
    <row r="38" spans="1:4" ht="15" x14ac:dyDescent="0.25">
      <c r="A38" s="106"/>
      <c r="B38" s="103" t="s">
        <v>21</v>
      </c>
      <c r="D38" s="105"/>
    </row>
    <row r="39" spans="1:4" ht="13.8" x14ac:dyDescent="0.25">
      <c r="B39" s="484" t="s">
        <v>1799</v>
      </c>
      <c r="C39" s="109"/>
      <c r="D39" s="110"/>
    </row>
    <row r="40" spans="1:4" ht="15" x14ac:dyDescent="0.25">
      <c r="A40" s="106"/>
      <c r="B40" s="121" t="s">
        <v>44</v>
      </c>
      <c r="C40" s="109"/>
      <c r="D40" s="110"/>
    </row>
    <row r="41" spans="1:4" ht="15" x14ac:dyDescent="0.25">
      <c r="A41" s="106"/>
      <c r="B41" s="121" t="s">
        <v>45</v>
      </c>
      <c r="C41" s="109"/>
    </row>
    <row r="42" spans="1:4" ht="50.4" x14ac:dyDescent="0.4">
      <c r="A42" s="115" t="s">
        <v>0</v>
      </c>
      <c r="B42" s="128" t="s">
        <v>169</v>
      </c>
      <c r="C42" s="220"/>
      <c r="D42" s="108"/>
    </row>
    <row r="43" spans="1:4" x14ac:dyDescent="0.25">
      <c r="A43" s="222"/>
      <c r="B43" s="181"/>
      <c r="C43" s="181"/>
      <c r="D43" s="108"/>
    </row>
    <row r="44" spans="1:4" x14ac:dyDescent="0.25">
      <c r="A44" s="222"/>
      <c r="B44" s="181"/>
      <c r="C44" s="181"/>
      <c r="D44" s="108"/>
    </row>
    <row r="45" spans="1:4" x14ac:dyDescent="0.25">
      <c r="A45" s="222"/>
      <c r="B45" s="223"/>
      <c r="C45" s="181"/>
      <c r="D45" s="108"/>
    </row>
    <row r="46" spans="1:4" ht="15" x14ac:dyDescent="0.35">
      <c r="A46" s="225"/>
      <c r="B46" s="224"/>
      <c r="C46" s="181"/>
      <c r="D46" s="181"/>
    </row>
    <row r="47" spans="1:4" x14ac:dyDescent="0.25">
      <c r="A47" s="226" t="s">
        <v>0</v>
      </c>
    </row>
    <row r="48" spans="1:4" x14ac:dyDescent="0.25">
      <c r="A48" s="108" t="s">
        <v>0</v>
      </c>
    </row>
    <row r="50" ht="12.75" customHeight="1" x14ac:dyDescent="0.25"/>
    <row r="58" ht="15.75" customHeight="1" x14ac:dyDescent="0.25"/>
    <row r="59" ht="15" customHeight="1" x14ac:dyDescent="0.25"/>
  </sheetData>
  <mergeCells count="2">
    <mergeCell ref="A4:D4"/>
    <mergeCell ref="A14:D14"/>
  </mergeCells>
  <printOptions horizontalCentered="1"/>
  <pageMargins left="0.25" right="0.25" top="0.75" bottom="0.75" header="0.3" footer="0.3"/>
  <pageSetup paperSize="9" scale="79" fitToWidth="0" orientation="portrait" r:id="rId1"/>
  <headerFooter alignWithMargins="0">
    <oddFooter>Página &amp;P de &amp;N</oddFooter>
  </headerFooter>
  <drawing r:id="rId2"/>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D794-4E1E-41ED-AB80-89160D18BCE1}">
  <sheetPr>
    <tabColor theme="4" tint="-0.249977111117893"/>
    <pageSetUpPr fitToPage="1"/>
  </sheetPr>
  <dimension ref="A1:G59"/>
  <sheetViews>
    <sheetView zoomScaleNormal="100" workbookViewId="0">
      <selection activeCell="D28" sqref="D28"/>
    </sheetView>
  </sheetViews>
  <sheetFormatPr baseColWidth="10" defaultColWidth="11.44140625" defaultRowHeight="13.2" x14ac:dyDescent="0.25"/>
  <cols>
    <col min="1" max="1" width="6" style="108" customWidth="1"/>
    <col min="2" max="2" width="92.109375" style="108" customWidth="1"/>
    <col min="3" max="3" width="14.44140625" style="107" customWidth="1"/>
    <col min="4" max="4" width="14.5546875" style="107" customWidth="1"/>
    <col min="5"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1769</v>
      </c>
      <c r="B8" s="228"/>
      <c r="C8" s="229"/>
      <c r="D8" s="229"/>
    </row>
    <row r="9" spans="1:7" s="10" customFormat="1" ht="19.2" x14ac:dyDescent="0.45">
      <c r="A9" s="227" t="s">
        <v>1770</v>
      </c>
      <c r="B9" s="228"/>
      <c r="C9" s="229"/>
      <c r="D9" s="229"/>
    </row>
    <row r="10" spans="1:7" s="10" customFormat="1" ht="19.2" x14ac:dyDescent="0.45">
      <c r="A10" s="227" t="s">
        <v>1771</v>
      </c>
      <c r="B10" s="228"/>
      <c r="C10" s="229"/>
      <c r="D10" s="229"/>
    </row>
    <row r="11" spans="1:7" s="10" customFormat="1" ht="19.2" x14ac:dyDescent="0.45">
      <c r="A11" s="227" t="s">
        <v>1772</v>
      </c>
      <c r="B11" s="228"/>
      <c r="C11" s="230"/>
      <c r="D11" s="229"/>
    </row>
    <row r="12" spans="1:7" s="10" customFormat="1" ht="15" customHeight="1" x14ac:dyDescent="0.45">
      <c r="A12" s="227" t="s">
        <v>1773</v>
      </c>
      <c r="B12" s="228"/>
      <c r="C12" s="230"/>
      <c r="D12" s="229"/>
    </row>
    <row r="13" spans="1:7" s="10" customFormat="1" ht="15" customHeight="1" x14ac:dyDescent="0.45">
      <c r="A13" s="227" t="s">
        <v>6</v>
      </c>
      <c r="B13" s="231" t="s">
        <v>0</v>
      </c>
      <c r="C13" s="232"/>
      <c r="D13" s="233"/>
    </row>
    <row r="14" spans="1:7" s="10" customFormat="1" ht="16.8" customHeight="1" x14ac:dyDescent="0.45">
      <c r="A14" s="234" t="s">
        <v>1867</v>
      </c>
      <c r="B14" s="231"/>
      <c r="C14" s="232"/>
      <c r="D14" s="233"/>
      <c r="E14" s="188"/>
      <c r="F14" s="188"/>
      <c r="G14" s="188"/>
    </row>
    <row r="15" spans="1:7" s="188" customFormat="1" ht="19.2" x14ac:dyDescent="0.25">
      <c r="A15" s="1053" t="s">
        <v>150</v>
      </c>
      <c r="B15" s="1054"/>
      <c r="C15" s="1055"/>
      <c r="D15" s="1056"/>
      <c r="E15" s="108"/>
      <c r="F15" s="108"/>
      <c r="G15" s="108"/>
    </row>
    <row r="16" spans="1:7" ht="15.6" x14ac:dyDescent="0.3">
      <c r="A16" s="148"/>
      <c r="B16" s="776" t="s">
        <v>1873</v>
      </c>
      <c r="C16" s="996" t="s">
        <v>1874</v>
      </c>
      <c r="D16" s="996" t="s">
        <v>1875</v>
      </c>
      <c r="E16" s="190"/>
      <c r="F16" s="191"/>
      <c r="G16" s="191"/>
    </row>
    <row r="17" spans="1:7" s="191" customFormat="1" ht="53.4" customHeight="1" x14ac:dyDescent="0.25">
      <c r="A17" s="77">
        <v>1</v>
      </c>
      <c r="B17" s="81" t="s">
        <v>1869</v>
      </c>
      <c r="C17" s="79">
        <f>(21027*1.5)+1100</f>
        <v>32640.5</v>
      </c>
      <c r="D17" s="80">
        <f t="shared" ref="D17:D18" si="0">A17*C17</f>
        <v>32640.5</v>
      </c>
      <c r="E17" s="190"/>
      <c r="F17" s="108"/>
      <c r="G17" s="108"/>
    </row>
    <row r="18" spans="1:7" s="191" customFormat="1" ht="30" x14ac:dyDescent="0.25">
      <c r="A18" s="77">
        <v>1</v>
      </c>
      <c r="B18" s="81" t="s">
        <v>1870</v>
      </c>
      <c r="C18" s="79">
        <f>(16875*1.5)+1100</f>
        <v>26412.5</v>
      </c>
      <c r="D18" s="80">
        <f t="shared" si="0"/>
        <v>26412.5</v>
      </c>
      <c r="E18" s="190"/>
      <c r="F18" s="108"/>
      <c r="G18" s="108"/>
    </row>
    <row r="19" spans="1:7" s="191" customFormat="1" ht="15.6" x14ac:dyDescent="0.25">
      <c r="A19" s="995"/>
      <c r="B19" s="966"/>
      <c r="C19" s="79" t="s">
        <v>699</v>
      </c>
      <c r="D19" s="80">
        <f>SUM(D17:D18)</f>
        <v>59053</v>
      </c>
      <c r="E19" s="190"/>
      <c r="F19" s="108"/>
      <c r="G19" s="108"/>
    </row>
    <row r="20" spans="1:7" s="191" customFormat="1" ht="15.6" x14ac:dyDescent="0.25">
      <c r="A20" s="995"/>
      <c r="B20" s="966"/>
      <c r="C20" s="475" t="s">
        <v>161</v>
      </c>
      <c r="D20" s="83">
        <f>D19*0.16</f>
        <v>9448.48</v>
      </c>
      <c r="E20" s="190"/>
      <c r="F20" s="108"/>
      <c r="G20" s="108"/>
    </row>
    <row r="21" spans="1:7" s="191" customFormat="1" ht="16.2" thickBot="1" x14ac:dyDescent="0.3">
      <c r="A21" s="995"/>
      <c r="B21" s="966"/>
      <c r="C21" s="475" t="s">
        <v>162</v>
      </c>
      <c r="D21" s="83">
        <f>D19+D20</f>
        <v>68501.48</v>
      </c>
      <c r="E21" s="190"/>
      <c r="F21" s="108"/>
      <c r="G21" s="108"/>
    </row>
    <row r="22" spans="1:7" ht="16.2" thickBot="1" x14ac:dyDescent="0.3">
      <c r="A22" s="995"/>
      <c r="B22" s="1136" t="s">
        <v>1877</v>
      </c>
      <c r="C22" s="1137"/>
      <c r="D22" s="1138"/>
      <c r="E22" s="190"/>
    </row>
    <row r="23" spans="1:7" ht="15.6" x14ac:dyDescent="0.3">
      <c r="A23" s="148"/>
      <c r="B23" s="776" t="s">
        <v>1873</v>
      </c>
      <c r="C23" s="996" t="s">
        <v>1874</v>
      </c>
      <c r="D23" s="996" t="s">
        <v>1875</v>
      </c>
      <c r="E23" s="190"/>
    </row>
    <row r="24" spans="1:7" ht="21" customHeight="1" x14ac:dyDescent="0.25">
      <c r="A24" s="77">
        <v>1</v>
      </c>
      <c r="B24" s="81" t="s">
        <v>1871</v>
      </c>
      <c r="C24" s="79">
        <f>43676*1.5</f>
        <v>65514</v>
      </c>
      <c r="D24" s="80">
        <f t="shared" ref="D24:D25" si="1">A24*C24</f>
        <v>65514</v>
      </c>
      <c r="E24" s="190"/>
    </row>
    <row r="25" spans="1:7" ht="15.6" x14ac:dyDescent="0.25">
      <c r="A25" s="77">
        <v>1</v>
      </c>
      <c r="B25" s="81" t="s">
        <v>1872</v>
      </c>
      <c r="C25" s="79">
        <f>(29933*1.5)+700</f>
        <v>45599.5</v>
      </c>
      <c r="D25" s="80">
        <f t="shared" si="1"/>
        <v>45599.5</v>
      </c>
      <c r="E25" s="190"/>
    </row>
    <row r="26" spans="1:7" ht="15.6" x14ac:dyDescent="0.25">
      <c r="A26" s="995"/>
      <c r="B26" s="966"/>
      <c r="C26" s="79" t="s">
        <v>699</v>
      </c>
      <c r="D26" s="80">
        <f>SUM(D24:D25)</f>
        <v>111113.5</v>
      </c>
      <c r="E26" s="190"/>
    </row>
    <row r="27" spans="1:7" ht="15.6" x14ac:dyDescent="0.25">
      <c r="A27" s="995"/>
      <c r="B27" s="966"/>
      <c r="C27" s="475" t="s">
        <v>161</v>
      </c>
      <c r="D27" s="83">
        <f>D26*0.16</f>
        <v>17778.16</v>
      </c>
      <c r="E27" s="190"/>
    </row>
    <row r="28" spans="1:7" ht="16.2" thickBot="1" x14ac:dyDescent="0.3">
      <c r="A28" s="995"/>
      <c r="B28" s="966"/>
      <c r="C28" s="475" t="s">
        <v>162</v>
      </c>
      <c r="D28" s="83">
        <f>D26+D27</f>
        <v>128891.66</v>
      </c>
      <c r="E28" s="189"/>
    </row>
    <row r="29" spans="1:7" ht="13.5" customHeight="1" thickBot="1" x14ac:dyDescent="0.3">
      <c r="A29" s="102"/>
      <c r="B29" s="1136" t="s">
        <v>1876</v>
      </c>
      <c r="C29" s="1137"/>
      <c r="D29" s="1138"/>
      <c r="E29" s="189"/>
    </row>
    <row r="30" spans="1:7" ht="17.25" customHeight="1" x14ac:dyDescent="0.25">
      <c r="A30" s="102"/>
      <c r="B30" s="201"/>
      <c r="C30" s="253"/>
      <c r="D30" s="254"/>
    </row>
    <row r="31" spans="1:7" ht="13.8" x14ac:dyDescent="0.25">
      <c r="A31" s="102"/>
      <c r="B31" s="100" t="s">
        <v>9</v>
      </c>
      <c r="C31" s="933"/>
      <c r="D31" s="916"/>
    </row>
    <row r="32" spans="1:7" ht="13.5" customHeight="1" x14ac:dyDescent="0.25">
      <c r="A32" s="383"/>
      <c r="B32" s="936" t="s">
        <v>10</v>
      </c>
      <c r="C32" s="108"/>
      <c r="D32" s="108"/>
    </row>
    <row r="33" spans="1:6" ht="15" x14ac:dyDescent="0.25">
      <c r="A33" s="390"/>
      <c r="B33" s="103" t="s">
        <v>11</v>
      </c>
      <c r="C33" s="108"/>
      <c r="D33" s="108"/>
    </row>
    <row r="34" spans="1:6" ht="15" x14ac:dyDescent="0.25">
      <c r="A34" s="390"/>
      <c r="B34" s="123" t="s">
        <v>1620</v>
      </c>
      <c r="C34" s="189"/>
      <c r="D34" s="108"/>
    </row>
    <row r="35" spans="1:6" ht="15" x14ac:dyDescent="0.25">
      <c r="A35" s="390"/>
      <c r="B35" s="123" t="s">
        <v>13</v>
      </c>
      <c r="C35" s="189"/>
      <c r="D35" s="108"/>
    </row>
    <row r="36" spans="1:6" ht="15" x14ac:dyDescent="0.25">
      <c r="A36" s="390"/>
      <c r="B36" s="993" t="s">
        <v>14</v>
      </c>
      <c r="C36" s="108"/>
      <c r="D36" s="108"/>
    </row>
    <row r="37" spans="1:6" ht="13.8" x14ac:dyDescent="0.25">
      <c r="A37" s="392"/>
      <c r="B37" s="103" t="s">
        <v>15</v>
      </c>
      <c r="C37" s="462"/>
      <c r="D37" s="462"/>
      <c r="E37" s="921"/>
    </row>
    <row r="38" spans="1:6" s="921" customFormat="1" ht="17.25" customHeight="1" x14ac:dyDescent="0.25">
      <c r="A38" s="390"/>
      <c r="B38" s="295" t="s">
        <v>42</v>
      </c>
      <c r="C38" s="107"/>
      <c r="D38" s="107"/>
      <c r="E38" s="108"/>
      <c r="F38" s="108"/>
    </row>
    <row r="39" spans="1:6" ht="41.4" x14ac:dyDescent="0.25">
      <c r="A39" s="390"/>
      <c r="B39" s="295" t="s">
        <v>165</v>
      </c>
      <c r="C39" s="109"/>
      <c r="D39" s="110"/>
    </row>
    <row r="40" spans="1:6" ht="15" x14ac:dyDescent="0.25">
      <c r="A40" s="390"/>
      <c r="B40" s="103" t="s">
        <v>18</v>
      </c>
      <c r="C40" s="109"/>
      <c r="D40" s="110"/>
    </row>
    <row r="41" spans="1:6" ht="15" x14ac:dyDescent="0.25">
      <c r="A41" s="390"/>
      <c r="B41" s="297" t="s">
        <v>1779</v>
      </c>
      <c r="C41" s="920"/>
      <c r="D41" s="920"/>
      <c r="F41" s="921"/>
    </row>
    <row r="42" spans="1:6" ht="13.8" x14ac:dyDescent="0.25">
      <c r="A42" s="392"/>
      <c r="B42" s="103" t="s">
        <v>21</v>
      </c>
      <c r="D42" s="105"/>
    </row>
    <row r="43" spans="1:6" ht="15" x14ac:dyDescent="0.25">
      <c r="A43" s="390"/>
      <c r="B43" s="123" t="s">
        <v>1782</v>
      </c>
      <c r="C43" s="109"/>
      <c r="D43" s="110"/>
    </row>
    <row r="44" spans="1:6" ht="15" x14ac:dyDescent="0.25">
      <c r="A44" s="390"/>
      <c r="B44" s="123" t="s">
        <v>44</v>
      </c>
      <c r="C44" s="109"/>
      <c r="D44" s="110"/>
    </row>
    <row r="45" spans="1:6" ht="13.8" x14ac:dyDescent="0.25">
      <c r="A45" s="564" t="s">
        <v>0</v>
      </c>
      <c r="B45" s="123" t="s">
        <v>45</v>
      </c>
      <c r="C45" s="109"/>
    </row>
    <row r="46" spans="1:6" ht="50.4" x14ac:dyDescent="0.25">
      <c r="A46" s="565"/>
      <c r="B46" s="314" t="s">
        <v>169</v>
      </c>
      <c r="C46" s="220"/>
      <c r="D46" s="108"/>
    </row>
    <row r="47" spans="1:6" x14ac:dyDescent="0.25">
      <c r="A47" s="222"/>
      <c r="B47" s="181"/>
      <c r="C47" s="181"/>
      <c r="D47" s="108"/>
    </row>
    <row r="48" spans="1:6" x14ac:dyDescent="0.25">
      <c r="A48" s="222"/>
      <c r="B48" s="181"/>
      <c r="C48" s="181"/>
      <c r="D48" s="108"/>
    </row>
    <row r="49" spans="1:4" x14ac:dyDescent="0.25">
      <c r="A49" s="225"/>
      <c r="B49" s="223"/>
      <c r="C49" s="181"/>
      <c r="D49" s="108"/>
    </row>
    <row r="50" spans="1:4" ht="12.75" customHeight="1" x14ac:dyDescent="0.35">
      <c r="A50" s="226" t="s">
        <v>0</v>
      </c>
      <c r="B50" s="224"/>
      <c r="C50" s="181"/>
      <c r="D50" s="181"/>
    </row>
    <row r="51" spans="1:4" x14ac:dyDescent="0.25">
      <c r="A51" s="108" t="s">
        <v>0</v>
      </c>
    </row>
    <row r="54" spans="1:4" ht="16.5" customHeight="1" x14ac:dyDescent="0.25"/>
    <row r="58" spans="1:4" ht="15.75" customHeight="1" x14ac:dyDescent="0.25"/>
    <row r="59" spans="1:4" ht="15" customHeight="1" x14ac:dyDescent="0.25"/>
  </sheetData>
  <mergeCells count="4">
    <mergeCell ref="A4:D4"/>
    <mergeCell ref="A15:D15"/>
    <mergeCell ref="B29:D29"/>
    <mergeCell ref="B22:D22"/>
  </mergeCells>
  <printOptions horizontalCentered="1"/>
  <pageMargins left="0.59055118110236227" right="0.59055118110236227" top="0.19685039370078741" bottom="0.19685039370078741" header="0.19685039370078741" footer="0.19685039370078741"/>
  <pageSetup paperSize="9" scale="71" fitToWidth="0" orientation="portrait" r:id="rId1"/>
  <headerFooter alignWithMargins="0">
    <oddFooter>Página &amp;P de &amp;N</oddFooter>
  </headerFooter>
  <drawing r:id="rId2"/>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AFAF-3E29-48A4-A211-31B995C0AE60}">
  <sheetPr>
    <tabColor theme="4" tint="-0.249977111117893"/>
    <pageSetUpPr fitToPage="1"/>
  </sheetPr>
  <dimension ref="A1:K56"/>
  <sheetViews>
    <sheetView topLeftCell="A6" zoomScale="85" zoomScaleNormal="85" workbookViewId="0">
      <selection activeCell="B17" sqref="B17"/>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5" width="0.33203125" style="108" customWidth="1"/>
    <col min="6" max="11" width="11.44140625" style="108" hidden="1" customWidth="1"/>
    <col min="12"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1878</v>
      </c>
      <c r="B8" s="228"/>
      <c r="C8" s="229"/>
      <c r="D8" s="229"/>
    </row>
    <row r="9" spans="1:7" s="10" customFormat="1" ht="19.2" x14ac:dyDescent="0.45">
      <c r="A9" s="227" t="s">
        <v>1879</v>
      </c>
      <c r="B9" s="228"/>
      <c r="C9" s="229"/>
      <c r="D9" s="229"/>
    </row>
    <row r="10" spans="1:7" s="10" customFormat="1" ht="19.2" x14ac:dyDescent="0.45">
      <c r="A10" s="227" t="s">
        <v>1880</v>
      </c>
      <c r="B10" s="228"/>
      <c r="C10" s="229"/>
      <c r="D10" s="229"/>
    </row>
    <row r="11" spans="1:7" s="10" customFormat="1" ht="19.2" x14ac:dyDescent="0.45">
      <c r="A11" s="227" t="s">
        <v>1881</v>
      </c>
      <c r="B11" s="228"/>
      <c r="C11" s="230"/>
      <c r="D11" s="229"/>
    </row>
    <row r="12" spans="1:7" s="10" customFormat="1" ht="15" customHeight="1" x14ac:dyDescent="0.45">
      <c r="A12" s="227" t="s">
        <v>6</v>
      </c>
      <c r="B12" s="228"/>
      <c r="C12" s="230"/>
      <c r="D12" s="229"/>
    </row>
    <row r="13" spans="1:7" s="10" customFormat="1" ht="15" customHeight="1" x14ac:dyDescent="0.45">
      <c r="B13" s="231"/>
      <c r="C13" s="232"/>
      <c r="D13" s="233"/>
    </row>
    <row r="14" spans="1:7" s="10" customFormat="1" ht="15" customHeight="1" x14ac:dyDescent="0.45">
      <c r="A14" s="234" t="s">
        <v>1855</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7" s="191" customFormat="1" ht="93" customHeight="1" x14ac:dyDescent="0.25">
      <c r="A17" s="238">
        <v>1</v>
      </c>
      <c r="B17" s="242" t="s">
        <v>1882</v>
      </c>
      <c r="C17" s="997">
        <f>((2245*19)*1.3)+4000</f>
        <v>59451.5</v>
      </c>
      <c r="D17" s="998">
        <f t="shared" ref="D17" si="0">A17*C17</f>
        <v>59451.5</v>
      </c>
      <c r="E17" s="190"/>
      <c r="F17" s="108"/>
      <c r="G17" s="108"/>
    </row>
    <row r="18" spans="1:7" s="191" customFormat="1" ht="25.5" customHeight="1" x14ac:dyDescent="0.25">
      <c r="A18" s="238">
        <v>2</v>
      </c>
      <c r="B18" s="999" t="s">
        <v>1883</v>
      </c>
      <c r="C18" s="997">
        <f>2352+500</f>
        <v>2852</v>
      </c>
      <c r="D18" s="998">
        <f>A18*C18</f>
        <v>5704</v>
      </c>
      <c r="E18" s="190"/>
      <c r="F18" s="108"/>
      <c r="G18" s="108"/>
    </row>
    <row r="19" spans="1:7" x14ac:dyDescent="0.25">
      <c r="A19" s="244"/>
      <c r="B19" s="1000"/>
      <c r="C19" s="1001"/>
      <c r="D19" s="252"/>
      <c r="E19" s="189"/>
    </row>
    <row r="20" spans="1:7" x14ac:dyDescent="0.25">
      <c r="A20" s="250"/>
      <c r="B20" s="250"/>
      <c r="C20" s="249" t="s">
        <v>160</v>
      </c>
      <c r="D20" s="247">
        <f>SUM(D16:D19)</f>
        <v>65155.5</v>
      </c>
      <c r="E20" s="189"/>
    </row>
    <row r="21" spans="1:7" x14ac:dyDescent="0.25">
      <c r="A21" s="250"/>
      <c r="B21" s="250"/>
      <c r="C21" s="249" t="s">
        <v>161</v>
      </c>
      <c r="D21" s="247">
        <f>D20*0.16</f>
        <v>10424.880000000001</v>
      </c>
      <c r="E21" s="189"/>
    </row>
    <row r="22" spans="1:7" ht="13.8" thickBot="1" x14ac:dyDescent="0.3">
      <c r="A22" s="250"/>
      <c r="B22" s="250"/>
      <c r="C22" s="251" t="s">
        <v>162</v>
      </c>
      <c r="D22" s="252">
        <f>SUM(D20:D21)</f>
        <v>75580.38</v>
      </c>
      <c r="E22" s="189"/>
    </row>
    <row r="23" spans="1:7" ht="13.8" thickBot="1" x14ac:dyDescent="0.3">
      <c r="A23" s="102"/>
      <c r="B23" s="1044" t="s">
        <v>1884</v>
      </c>
      <c r="C23" s="1045"/>
      <c r="D23" s="1046"/>
    </row>
    <row r="24" spans="1:7" x14ac:dyDescent="0.25">
      <c r="A24" s="102"/>
      <c r="B24" s="201"/>
      <c r="C24" s="253"/>
      <c r="D24" s="254"/>
    </row>
    <row r="25" spans="1:7" ht="13.8" x14ac:dyDescent="0.25">
      <c r="A25" s="102"/>
      <c r="B25" s="100" t="s">
        <v>9</v>
      </c>
      <c r="C25" s="104"/>
      <c r="D25" s="105"/>
    </row>
    <row r="26" spans="1:7" ht="35.25" customHeight="1" x14ac:dyDescent="0.25">
      <c r="A26" s="102"/>
      <c r="B26" s="1002" t="s">
        <v>1885</v>
      </c>
      <c r="C26" s="104"/>
      <c r="D26" s="105"/>
    </row>
    <row r="27" spans="1:7" ht="17.25" customHeight="1" x14ac:dyDescent="0.25">
      <c r="A27" s="106"/>
      <c r="B27" s="100" t="s">
        <v>11</v>
      </c>
      <c r="D27" s="105"/>
    </row>
    <row r="28" spans="1:7" ht="15" x14ac:dyDescent="0.25">
      <c r="A28" s="106"/>
      <c r="B28" s="256" t="s">
        <v>1620</v>
      </c>
      <c r="D28" s="105"/>
    </row>
    <row r="29" spans="1:7" ht="15" x14ac:dyDescent="0.25">
      <c r="A29" s="106"/>
      <c r="B29" s="256" t="s">
        <v>14</v>
      </c>
      <c r="D29" s="105"/>
    </row>
    <row r="30" spans="1:7" ht="13.8" x14ac:dyDescent="0.25">
      <c r="B30" s="103" t="s">
        <v>15</v>
      </c>
    </row>
    <row r="31" spans="1:7" ht="15" x14ac:dyDescent="0.25">
      <c r="A31" s="106"/>
      <c r="B31" s="216" t="s">
        <v>1886</v>
      </c>
      <c r="E31" s="189"/>
    </row>
    <row r="32" spans="1:7" ht="27.6" x14ac:dyDescent="0.25">
      <c r="A32" s="106"/>
      <c r="B32" s="216" t="s">
        <v>17</v>
      </c>
      <c r="C32" s="109"/>
      <c r="D32" s="110"/>
      <c r="E32" s="189"/>
    </row>
    <row r="33" spans="1:4" ht="15" x14ac:dyDescent="0.25">
      <c r="A33" s="106"/>
      <c r="B33" s="103" t="s">
        <v>18</v>
      </c>
      <c r="C33" s="109"/>
      <c r="D33" s="110"/>
    </row>
    <row r="34" spans="1:4" ht="27.6" x14ac:dyDescent="0.25">
      <c r="A34" s="106"/>
      <c r="B34" s="217" t="s">
        <v>1887</v>
      </c>
      <c r="C34" s="109"/>
      <c r="D34" s="109"/>
    </row>
    <row r="35" spans="1:4" ht="15" x14ac:dyDescent="0.25">
      <c r="A35" s="106"/>
      <c r="B35" s="217" t="s">
        <v>20</v>
      </c>
      <c r="C35" s="109"/>
      <c r="D35" s="109"/>
    </row>
    <row r="36" spans="1:4" ht="13.8" x14ac:dyDescent="0.25">
      <c r="B36" s="103" t="s">
        <v>21</v>
      </c>
      <c r="D36" s="105"/>
    </row>
    <row r="37" spans="1:4" ht="15" x14ac:dyDescent="0.25">
      <c r="A37" s="106"/>
      <c r="B37" s="310" t="s">
        <v>1888</v>
      </c>
      <c r="C37" s="109"/>
      <c r="D37" s="110"/>
    </row>
    <row r="38" spans="1:4" ht="15" x14ac:dyDescent="0.25">
      <c r="A38" s="106"/>
      <c r="B38" s="180" t="s">
        <v>44</v>
      </c>
      <c r="C38" s="109"/>
      <c r="D38" s="110"/>
    </row>
    <row r="39" spans="1:4" ht="13.8" x14ac:dyDescent="0.25">
      <c r="A39" s="115" t="s">
        <v>0</v>
      </c>
      <c r="B39" s="180" t="s">
        <v>45</v>
      </c>
      <c r="C39" s="109"/>
    </row>
    <row r="40" spans="1:4" ht="50.4" x14ac:dyDescent="0.4">
      <c r="A40" s="222"/>
      <c r="B40" s="218" t="s">
        <v>169</v>
      </c>
      <c r="C40" s="220"/>
      <c r="D40" s="108"/>
    </row>
    <row r="41" spans="1:4" x14ac:dyDescent="0.25">
      <c r="A41" s="222"/>
      <c r="B41" s="181"/>
      <c r="C41" s="181"/>
      <c r="D41" s="108"/>
    </row>
    <row r="42" spans="1:4" x14ac:dyDescent="0.25">
      <c r="A42" s="222"/>
      <c r="B42" s="181"/>
      <c r="C42" s="181"/>
      <c r="D42" s="108"/>
    </row>
    <row r="43" spans="1:4" x14ac:dyDescent="0.25">
      <c r="A43" s="225"/>
      <c r="B43" s="223"/>
      <c r="C43" s="181"/>
      <c r="D43" s="108"/>
    </row>
    <row r="44" spans="1:4" ht="15" x14ac:dyDescent="0.35">
      <c r="A44" s="226" t="s">
        <v>0</v>
      </c>
      <c r="B44" s="224"/>
      <c r="C44" s="181"/>
      <c r="D44" s="181"/>
    </row>
    <row r="45" spans="1:4" x14ac:dyDescent="0.25">
      <c r="A45" s="108" t="s">
        <v>0</v>
      </c>
    </row>
    <row r="47" spans="1:4" ht="12.75" customHeight="1" x14ac:dyDescent="0.25"/>
    <row r="51" ht="16.5" customHeight="1" x14ac:dyDescent="0.25"/>
    <row r="55" ht="15.75" customHeight="1" x14ac:dyDescent="0.25"/>
    <row r="56" ht="15" customHeight="1" x14ac:dyDescent="0.25"/>
  </sheetData>
  <mergeCells count="3">
    <mergeCell ref="A4:D4"/>
    <mergeCell ref="A15:D15"/>
    <mergeCell ref="B23:D23"/>
  </mergeCells>
  <printOptions horizontalCentered="1"/>
  <pageMargins left="0" right="0" top="0" bottom="0" header="0" footer="0"/>
  <pageSetup paperSize="9" scale="74" orientation="portrait" r:id="rId1"/>
  <headerFooter alignWithMargins="0">
    <oddFooter>Página &amp;P de &amp;N</oddFooter>
  </headerFooter>
  <drawing r:id="rId2"/>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1714-490F-45E4-AB23-B28CD5813F41}">
  <sheetPr>
    <tabColor theme="4" tint="-0.249977111117893"/>
    <pageSetUpPr fitToPage="1"/>
  </sheetPr>
  <dimension ref="A1:L58"/>
  <sheetViews>
    <sheetView topLeftCell="A9" zoomScale="85" zoomScaleNormal="85" workbookViewId="0">
      <selection activeCell="B12" sqref="B12"/>
    </sheetView>
  </sheetViews>
  <sheetFormatPr baseColWidth="10" defaultColWidth="11.44140625" defaultRowHeight="13.2" x14ac:dyDescent="0.25"/>
  <cols>
    <col min="1" max="1" width="6" style="108" customWidth="1"/>
    <col min="2" max="2" width="92.109375" style="108" customWidth="1"/>
    <col min="3" max="3" width="12.6640625" style="107" customWidth="1"/>
    <col min="4" max="4" width="14.5546875" style="107" customWidth="1"/>
    <col min="5" max="5" width="0.33203125" style="108" customWidth="1"/>
    <col min="6" max="11" width="11.44140625" style="108" hidden="1" customWidth="1"/>
    <col min="12" max="16384" width="11.44140625" style="108"/>
  </cols>
  <sheetData>
    <row r="1" spans="1:7" ht="81" customHeight="1" x14ac:dyDescent="0.25">
      <c r="A1" s="108" t="s">
        <v>0</v>
      </c>
      <c r="C1" s="185"/>
    </row>
    <row r="2" spans="1:7" ht="9" customHeight="1" x14ac:dyDescent="0.25">
      <c r="C2" s="185"/>
    </row>
    <row r="3" spans="1:7" ht="9" customHeight="1" x14ac:dyDescent="0.25">
      <c r="C3" s="185"/>
    </row>
    <row r="4" spans="1:7" s="10" customFormat="1" ht="16.8" x14ac:dyDescent="0.4">
      <c r="A4" s="1038"/>
      <c r="B4" s="1038"/>
      <c r="C4" s="1038"/>
      <c r="D4" s="1038"/>
    </row>
    <row r="5" spans="1:7" s="10" customFormat="1" ht="16.8" x14ac:dyDescent="0.4">
      <c r="A5" s="57"/>
      <c r="C5" s="58"/>
      <c r="D5" s="58"/>
    </row>
    <row r="6" spans="1:7" s="10" customFormat="1" ht="16.8" x14ac:dyDescent="0.4">
      <c r="A6" s="57"/>
      <c r="C6" s="58"/>
      <c r="D6" s="58"/>
    </row>
    <row r="7" spans="1:7" s="10" customFormat="1" ht="16.8" x14ac:dyDescent="0.4">
      <c r="A7" s="57"/>
      <c r="C7" s="58"/>
      <c r="D7" s="58"/>
    </row>
    <row r="8" spans="1:7" s="10" customFormat="1" ht="19.2" x14ac:dyDescent="0.45">
      <c r="A8" s="227" t="s">
        <v>1878</v>
      </c>
      <c r="B8" s="228"/>
      <c r="C8" s="229"/>
      <c r="D8" s="229"/>
    </row>
    <row r="9" spans="1:7" s="10" customFormat="1" ht="19.2" x14ac:dyDescent="0.45">
      <c r="A9" s="227" t="s">
        <v>1879</v>
      </c>
      <c r="B9" s="228"/>
      <c r="C9" s="229"/>
      <c r="D9" s="229"/>
    </row>
    <row r="10" spans="1:7" s="10" customFormat="1" ht="19.2" x14ac:dyDescent="0.45">
      <c r="A10" s="227" t="s">
        <v>1880</v>
      </c>
      <c r="B10" s="228"/>
      <c r="C10" s="229"/>
      <c r="D10" s="229"/>
    </row>
    <row r="11" spans="1:7" s="10" customFormat="1" ht="19.2" x14ac:dyDescent="0.45">
      <c r="A11" s="227" t="s">
        <v>1889</v>
      </c>
      <c r="B11" s="228"/>
      <c r="C11" s="230"/>
      <c r="D11" s="229"/>
    </row>
    <row r="12" spans="1:7" s="10" customFormat="1" ht="15" customHeight="1" x14ac:dyDescent="0.45">
      <c r="A12" s="227" t="s">
        <v>6</v>
      </c>
      <c r="B12" s="228"/>
      <c r="C12" s="230"/>
      <c r="D12" s="229"/>
    </row>
    <row r="13" spans="1:7" s="10" customFormat="1" ht="15" customHeight="1" x14ac:dyDescent="0.45">
      <c r="B13" s="231"/>
      <c r="C13" s="232"/>
      <c r="D13" s="233"/>
    </row>
    <row r="14" spans="1:7" s="10" customFormat="1" ht="15" customHeight="1" x14ac:dyDescent="0.45">
      <c r="A14" s="234" t="s">
        <v>1867</v>
      </c>
      <c r="B14" s="231"/>
      <c r="C14" s="232"/>
      <c r="D14" s="233"/>
      <c r="E14" s="188"/>
      <c r="F14" s="188"/>
      <c r="G14" s="188"/>
    </row>
    <row r="15" spans="1:7" s="188" customFormat="1" ht="19.2" x14ac:dyDescent="0.25">
      <c r="A15" s="1040" t="s">
        <v>150</v>
      </c>
      <c r="B15" s="1041"/>
      <c r="C15" s="1042"/>
      <c r="D15" s="1043"/>
      <c r="E15" s="108"/>
      <c r="F15" s="108"/>
      <c r="G15" s="108"/>
    </row>
    <row r="16" spans="1:7" x14ac:dyDescent="0.25">
      <c r="A16" s="235"/>
      <c r="B16" s="236"/>
      <c r="C16" s="237"/>
      <c r="D16" s="237"/>
      <c r="E16" s="190"/>
      <c r="F16" s="191"/>
      <c r="G16" s="191"/>
    </row>
    <row r="17" spans="1:12" s="191" customFormat="1" ht="34.5" customHeight="1" x14ac:dyDescent="0.25">
      <c r="A17" s="238">
        <v>1</v>
      </c>
      <c r="B17" s="999" t="s">
        <v>1890</v>
      </c>
      <c r="C17" s="240">
        <v>22000</v>
      </c>
      <c r="D17" s="241">
        <f t="shared" ref="D17" si="0">A17*C17</f>
        <v>22000</v>
      </c>
      <c r="E17" s="190"/>
      <c r="F17" s="108"/>
      <c r="G17" s="108"/>
      <c r="L17" s="239"/>
    </row>
    <row r="18" spans="1:12" s="191" customFormat="1" ht="31.5" customHeight="1" x14ac:dyDescent="0.25">
      <c r="A18" s="238">
        <v>1</v>
      </c>
      <c r="B18" s="999" t="s">
        <v>1891</v>
      </c>
      <c r="C18" s="997">
        <v>3500</v>
      </c>
      <c r="D18" s="998">
        <f>A18*C18</f>
        <v>3500</v>
      </c>
      <c r="E18" s="190"/>
      <c r="F18" s="108"/>
      <c r="G18" s="108"/>
    </row>
    <row r="19" spans="1:12" s="191" customFormat="1" ht="31.5" customHeight="1" x14ac:dyDescent="0.25">
      <c r="A19" s="238">
        <v>1</v>
      </c>
      <c r="B19" s="999" t="s">
        <v>1892</v>
      </c>
      <c r="C19" s="997">
        <v>16000</v>
      </c>
      <c r="D19" s="998">
        <f>A19*C19</f>
        <v>16000</v>
      </c>
      <c r="E19" s="190"/>
      <c r="F19" s="108"/>
      <c r="G19" s="108"/>
    </row>
    <row r="20" spans="1:12" s="191" customFormat="1" ht="31.5" customHeight="1" x14ac:dyDescent="0.25">
      <c r="A20" s="238">
        <v>1</v>
      </c>
      <c r="B20" s="999" t="s">
        <v>1893</v>
      </c>
      <c r="C20" s="997">
        <v>7500</v>
      </c>
      <c r="D20" s="998">
        <f>A20*C20</f>
        <v>7500</v>
      </c>
      <c r="E20" s="190"/>
      <c r="F20" s="108"/>
      <c r="G20" s="108"/>
    </row>
    <row r="21" spans="1:12" x14ac:dyDescent="0.25">
      <c r="A21" s="244"/>
      <c r="B21" s="1000"/>
      <c r="C21" s="1001"/>
      <c r="D21" s="252"/>
      <c r="E21" s="189"/>
    </row>
    <row r="22" spans="1:12" x14ac:dyDescent="0.25">
      <c r="A22" s="250"/>
      <c r="B22" s="250"/>
      <c r="C22" s="1003" t="s">
        <v>160</v>
      </c>
      <c r="D22" s="252">
        <f>SUM(D16:D21)</f>
        <v>49000</v>
      </c>
      <c r="E22" s="189"/>
    </row>
    <row r="23" spans="1:12" ht="13.8" thickBot="1" x14ac:dyDescent="0.3">
      <c r="A23" s="102"/>
      <c r="B23" s="1144"/>
      <c r="C23" s="1145"/>
      <c r="D23" s="1146"/>
    </row>
    <row r="24" spans="1:12" x14ac:dyDescent="0.25">
      <c r="A24" s="102"/>
      <c r="B24" s="201"/>
      <c r="C24" s="253"/>
      <c r="D24" s="254"/>
    </row>
    <row r="25" spans="1:12" ht="13.8" x14ac:dyDescent="0.25">
      <c r="A25" s="102"/>
      <c r="B25" s="100" t="s">
        <v>9</v>
      </c>
      <c r="C25" s="104"/>
      <c r="D25" s="105"/>
    </row>
    <row r="26" spans="1:12" ht="35.25" customHeight="1" x14ac:dyDescent="0.25">
      <c r="A26" s="102"/>
      <c r="B26" s="1002" t="s">
        <v>1885</v>
      </c>
      <c r="C26" s="104"/>
      <c r="D26" s="105"/>
    </row>
    <row r="27" spans="1:12" ht="42" customHeight="1" x14ac:dyDescent="0.25">
      <c r="A27" s="102"/>
      <c r="B27" s="311" t="s">
        <v>1894</v>
      </c>
      <c r="C27" s="104"/>
      <c r="D27" s="105"/>
    </row>
    <row r="28" spans="1:12" ht="35.25" customHeight="1" x14ac:dyDescent="0.25">
      <c r="A28" s="102"/>
      <c r="B28" s="303" t="s">
        <v>1895</v>
      </c>
      <c r="C28" s="104"/>
      <c r="D28" s="105"/>
    </row>
    <row r="29" spans="1:12" ht="17.25" customHeight="1" x14ac:dyDescent="0.25">
      <c r="A29" s="106"/>
      <c r="B29" s="100" t="s">
        <v>11</v>
      </c>
      <c r="D29" s="105"/>
    </row>
    <row r="30" spans="1:12" ht="15" x14ac:dyDescent="0.25">
      <c r="A30" s="106"/>
      <c r="B30" s="256" t="s">
        <v>1620</v>
      </c>
      <c r="D30" s="105"/>
    </row>
    <row r="31" spans="1:12" ht="15" x14ac:dyDescent="0.25">
      <c r="A31" s="106"/>
      <c r="B31" s="256" t="s">
        <v>14</v>
      </c>
      <c r="D31" s="105"/>
    </row>
    <row r="32" spans="1:12" ht="13.8" x14ac:dyDescent="0.25">
      <c r="B32" s="103" t="s">
        <v>15</v>
      </c>
    </row>
    <row r="33" spans="1:5" ht="15" x14ac:dyDescent="0.25">
      <c r="A33" s="106"/>
      <c r="B33" s="216" t="s">
        <v>395</v>
      </c>
      <c r="E33" s="189"/>
    </row>
    <row r="34" spans="1:5" ht="27.6" x14ac:dyDescent="0.25">
      <c r="A34" s="106"/>
      <c r="B34" s="216" t="s">
        <v>17</v>
      </c>
      <c r="C34" s="109"/>
      <c r="D34" s="110"/>
      <c r="E34" s="189"/>
    </row>
    <row r="35" spans="1:5" ht="15" x14ac:dyDescent="0.25">
      <c r="A35" s="106"/>
      <c r="B35" s="103" t="s">
        <v>18</v>
      </c>
      <c r="C35" s="109"/>
      <c r="D35" s="110"/>
    </row>
    <row r="36" spans="1:5" ht="27.6" x14ac:dyDescent="0.25">
      <c r="A36" s="106"/>
      <c r="B36" s="217" t="s">
        <v>1896</v>
      </c>
      <c r="C36" s="109"/>
      <c r="D36" s="109"/>
    </row>
    <row r="37" spans="1:5" ht="15" x14ac:dyDescent="0.25">
      <c r="A37" s="106"/>
      <c r="B37" s="217" t="s">
        <v>20</v>
      </c>
      <c r="C37" s="109"/>
      <c r="D37" s="109"/>
    </row>
    <row r="38" spans="1:5" ht="13.8" x14ac:dyDescent="0.25">
      <c r="B38" s="103" t="s">
        <v>21</v>
      </c>
      <c r="D38" s="105"/>
    </row>
    <row r="39" spans="1:5" ht="15" x14ac:dyDescent="0.25">
      <c r="A39" s="106"/>
      <c r="B39" s="310" t="s">
        <v>1888</v>
      </c>
      <c r="C39" s="109"/>
      <c r="D39" s="110"/>
    </row>
    <row r="40" spans="1:5" ht="15" x14ac:dyDescent="0.25">
      <c r="A40" s="106"/>
      <c r="B40" s="180" t="s">
        <v>44</v>
      </c>
      <c r="C40" s="109"/>
      <c r="D40" s="110"/>
    </row>
    <row r="41" spans="1:5" ht="13.8" x14ac:dyDescent="0.25">
      <c r="A41" s="115" t="s">
        <v>0</v>
      </c>
      <c r="B41" s="180" t="s">
        <v>45</v>
      </c>
      <c r="C41" s="109"/>
    </row>
    <row r="42" spans="1:5" ht="50.4" x14ac:dyDescent="0.4">
      <c r="A42" s="222"/>
      <c r="B42" s="218" t="s">
        <v>169</v>
      </c>
      <c r="C42" s="220"/>
      <c r="D42" s="108"/>
    </row>
    <row r="43" spans="1:5" x14ac:dyDescent="0.25">
      <c r="A43" s="222"/>
      <c r="B43" s="181"/>
      <c r="C43" s="181"/>
      <c r="D43" s="108"/>
    </row>
    <row r="44" spans="1:5" x14ac:dyDescent="0.25">
      <c r="A44" s="222"/>
      <c r="B44" s="181"/>
      <c r="C44" s="181"/>
      <c r="D44" s="108"/>
    </row>
    <row r="45" spans="1:5" x14ac:dyDescent="0.25">
      <c r="A45" s="225"/>
      <c r="B45" s="223"/>
      <c r="C45" s="181"/>
      <c r="D45" s="108"/>
    </row>
    <row r="46" spans="1:5" ht="15" x14ac:dyDescent="0.35">
      <c r="A46" s="226" t="s">
        <v>0</v>
      </c>
      <c r="B46" s="224"/>
      <c r="C46" s="181"/>
      <c r="D46" s="181"/>
    </row>
    <row r="47" spans="1:5" x14ac:dyDescent="0.25">
      <c r="A47" s="108" t="s">
        <v>0</v>
      </c>
    </row>
    <row r="49" ht="12.75" customHeight="1" x14ac:dyDescent="0.25"/>
    <row r="53" ht="16.5" customHeight="1" x14ac:dyDescent="0.25"/>
    <row r="57" ht="15.75" customHeight="1" x14ac:dyDescent="0.25"/>
    <row r="58" ht="15" customHeight="1" x14ac:dyDescent="0.25"/>
  </sheetData>
  <mergeCells count="3">
    <mergeCell ref="A4:D4"/>
    <mergeCell ref="A15:D15"/>
    <mergeCell ref="B23:D23"/>
  </mergeCells>
  <printOptions horizontalCentered="1"/>
  <pageMargins left="0" right="0" top="0" bottom="0" header="0" footer="0"/>
  <pageSetup paperSize="9" scale="70" orientation="portrait" r:id="rId1"/>
  <headerFooter alignWithMargins="0">
    <oddFooter>Página &amp;P de &amp;N</oddFooter>
  </headerFooter>
  <drawing r:id="rId2"/>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161B-A759-4E0D-9495-35CBCE5E85A1}">
  <sheetPr>
    <tabColor theme="4" tint="-0.249977111117893"/>
    <pageSetUpPr fitToPage="1"/>
  </sheetPr>
  <dimension ref="A1:P62"/>
  <sheetViews>
    <sheetView zoomScale="85" zoomScaleNormal="85" workbookViewId="0">
      <selection activeCell="D54" sqref="D54"/>
    </sheetView>
  </sheetViews>
  <sheetFormatPr baseColWidth="10" defaultColWidth="11.44140625" defaultRowHeight="13.2" x14ac:dyDescent="0.25"/>
  <cols>
    <col min="1" max="1" width="6" style="108" customWidth="1"/>
    <col min="2" max="2" width="100.88671875" style="108" customWidth="1"/>
    <col min="3" max="3" width="14.88671875" style="107" bestFit="1" customWidth="1"/>
    <col min="4" max="4" width="15.6640625" style="107" bestFit="1" customWidth="1"/>
    <col min="5" max="5" width="0.33203125" style="108" customWidth="1"/>
    <col min="6" max="11" width="11.44140625" style="108" hidden="1" customWidth="1"/>
    <col min="12" max="16384" width="11.44140625" style="108"/>
  </cols>
  <sheetData>
    <row r="1" spans="1:16" ht="81" customHeight="1" x14ac:dyDescent="0.25">
      <c r="A1" s="108" t="s">
        <v>0</v>
      </c>
      <c r="C1" s="185"/>
    </row>
    <row r="2" spans="1:16" ht="9" customHeight="1" x14ac:dyDescent="0.25">
      <c r="C2" s="185"/>
    </row>
    <row r="3" spans="1:16" ht="9" customHeight="1" x14ac:dyDescent="0.25">
      <c r="C3" s="185"/>
    </row>
    <row r="4" spans="1:16" s="10" customFormat="1" ht="16.8" x14ac:dyDescent="0.4">
      <c r="A4" s="1038"/>
      <c r="B4" s="1038"/>
      <c r="C4" s="1038"/>
      <c r="D4" s="1038"/>
    </row>
    <row r="5" spans="1:16" s="10" customFormat="1" ht="16.8" x14ac:dyDescent="0.4">
      <c r="A5" s="57"/>
      <c r="C5" s="58"/>
      <c r="D5" s="58"/>
    </row>
    <row r="6" spans="1:16" s="10" customFormat="1" ht="16.8" x14ac:dyDescent="0.4">
      <c r="A6" s="57"/>
      <c r="C6" s="58"/>
      <c r="D6" s="58"/>
    </row>
    <row r="7" spans="1:16" s="10" customFormat="1" ht="16.8" x14ac:dyDescent="0.4">
      <c r="A7" s="57"/>
      <c r="C7" s="58"/>
      <c r="D7" s="58"/>
    </row>
    <row r="8" spans="1:16" s="10" customFormat="1" ht="19.2" x14ac:dyDescent="0.45">
      <c r="A8" s="227" t="s">
        <v>1808</v>
      </c>
      <c r="B8" s="228"/>
      <c r="C8" s="229"/>
      <c r="D8" s="229"/>
    </row>
    <row r="9" spans="1:16" s="10" customFormat="1" ht="19.2" x14ac:dyDescent="0.45">
      <c r="A9" s="227" t="s">
        <v>1805</v>
      </c>
      <c r="B9" s="228"/>
      <c r="C9" s="229"/>
      <c r="D9" s="229"/>
    </row>
    <row r="10" spans="1:16" s="10" customFormat="1" ht="19.2" x14ac:dyDescent="0.45">
      <c r="A10" s="227" t="s">
        <v>1806</v>
      </c>
      <c r="B10" s="228"/>
      <c r="C10" s="229"/>
      <c r="D10" s="229"/>
    </row>
    <row r="11" spans="1:16" s="10" customFormat="1" ht="19.2" x14ac:dyDescent="0.45">
      <c r="A11" s="227" t="s">
        <v>1807</v>
      </c>
      <c r="B11" s="228"/>
      <c r="C11" s="230"/>
      <c r="D11" s="229"/>
    </row>
    <row r="12" spans="1:16" s="10" customFormat="1" ht="15" customHeight="1" x14ac:dyDescent="0.45">
      <c r="A12" s="227" t="s">
        <v>6</v>
      </c>
      <c r="B12" s="228"/>
      <c r="C12" s="230"/>
      <c r="D12" s="229"/>
    </row>
    <row r="13" spans="1:16" s="10" customFormat="1" ht="15" customHeight="1" x14ac:dyDescent="0.45">
      <c r="A13" s="234" t="s">
        <v>1899</v>
      </c>
      <c r="B13" s="231"/>
      <c r="C13" s="232"/>
      <c r="D13" s="233"/>
      <c r="E13" s="188"/>
      <c r="F13" s="188"/>
      <c r="G13" s="188"/>
    </row>
    <row r="14" spans="1:16" s="10" customFormat="1" ht="15" customHeight="1" x14ac:dyDescent="0.4">
      <c r="A14" s="1053" t="s">
        <v>150</v>
      </c>
      <c r="B14" s="1054"/>
      <c r="C14" s="1055"/>
      <c r="D14" s="1056"/>
      <c r="E14" s="108"/>
      <c r="F14" s="108"/>
      <c r="G14" s="108"/>
      <c r="H14" s="188"/>
      <c r="I14" s="188"/>
      <c r="J14" s="188"/>
      <c r="K14" s="188"/>
      <c r="L14" s="188"/>
      <c r="M14" s="188"/>
      <c r="N14" s="188"/>
      <c r="O14" s="188"/>
      <c r="P14" s="188"/>
    </row>
    <row r="15" spans="1:16" s="188" customFormat="1" ht="17.399999999999999" x14ac:dyDescent="0.25">
      <c r="A15" s="148"/>
      <c r="B15" s="979" t="s">
        <v>1857</v>
      </c>
      <c r="C15" s="150"/>
      <c r="D15" s="150"/>
      <c r="E15" s="190"/>
      <c r="F15" s="191"/>
      <c r="G15" s="191"/>
      <c r="H15" s="108"/>
      <c r="I15" s="108"/>
      <c r="J15" s="108"/>
      <c r="K15" s="108"/>
      <c r="L15" s="108"/>
      <c r="M15" s="108"/>
      <c r="N15" s="108"/>
      <c r="O15" s="108"/>
      <c r="P15" s="108"/>
    </row>
    <row r="16" spans="1:16" ht="15.6" x14ac:dyDescent="0.3">
      <c r="A16" s="896">
        <v>120</v>
      </c>
      <c r="B16" s="897" t="s">
        <v>1814</v>
      </c>
      <c r="C16" s="961">
        <f>733*1.35</f>
        <v>989.55000000000007</v>
      </c>
      <c r="D16" s="80">
        <f t="shared" ref="D16:D21" si="0">A16*C16</f>
        <v>118746.00000000001</v>
      </c>
      <c r="E16" s="190"/>
      <c r="H16" s="191"/>
      <c r="I16" s="191"/>
      <c r="J16" s="191"/>
      <c r="K16" s="191"/>
      <c r="L16" s="191"/>
      <c r="N16" s="191"/>
      <c r="O16" s="191"/>
      <c r="P16" s="191"/>
    </row>
    <row r="17" spans="1:16" s="191" customFormat="1" ht="15.6" x14ac:dyDescent="0.3">
      <c r="A17" s="896">
        <v>2</v>
      </c>
      <c r="B17" s="897" t="s">
        <v>1825</v>
      </c>
      <c r="C17" s="961">
        <f>9774*1.35</f>
        <v>13194.900000000001</v>
      </c>
      <c r="D17" s="80">
        <f t="shared" si="0"/>
        <v>26389.800000000003</v>
      </c>
      <c r="E17" s="190"/>
      <c r="F17" s="108"/>
      <c r="G17" s="108"/>
      <c r="M17" s="108"/>
    </row>
    <row r="18" spans="1:16" s="191" customFormat="1" ht="15.6" x14ac:dyDescent="0.3">
      <c r="A18" s="896">
        <v>4</v>
      </c>
      <c r="B18" s="897" t="s">
        <v>1813</v>
      </c>
      <c r="C18" s="961">
        <f>699*1.35</f>
        <v>943.65000000000009</v>
      </c>
      <c r="D18" s="80">
        <f t="shared" si="0"/>
        <v>3774.6000000000004</v>
      </c>
      <c r="E18" s="190"/>
      <c r="F18" s="108"/>
      <c r="G18" s="108"/>
      <c r="M18"/>
    </row>
    <row r="19" spans="1:16" s="191" customFormat="1" ht="15.6" x14ac:dyDescent="0.3">
      <c r="A19" s="896">
        <v>120</v>
      </c>
      <c r="B19" s="897" t="s">
        <v>1812</v>
      </c>
      <c r="C19" s="961">
        <f>24*1.35</f>
        <v>32.400000000000006</v>
      </c>
      <c r="D19" s="80">
        <f t="shared" si="0"/>
        <v>3888.0000000000009</v>
      </c>
      <c r="E19" s="190"/>
      <c r="F19" s="108"/>
      <c r="G19" s="108"/>
      <c r="M19" s="108"/>
    </row>
    <row r="20" spans="1:16" s="191" customFormat="1" ht="15.6" x14ac:dyDescent="0.3">
      <c r="A20" s="896">
        <v>60</v>
      </c>
      <c r="B20" s="897" t="s">
        <v>1797</v>
      </c>
      <c r="C20" s="961">
        <f>54*1.35</f>
        <v>72.900000000000006</v>
      </c>
      <c r="D20" s="80">
        <f t="shared" si="0"/>
        <v>4374</v>
      </c>
      <c r="E20" s="190"/>
      <c r="F20" s="108"/>
      <c r="G20" s="108"/>
      <c r="M20" s="108"/>
      <c r="N20" s="108"/>
      <c r="O20" s="108"/>
      <c r="P20" s="108"/>
    </row>
    <row r="21" spans="1:16" ht="15.6" x14ac:dyDescent="0.3">
      <c r="A21" s="896">
        <v>2</v>
      </c>
      <c r="B21" s="897" t="s">
        <v>1819</v>
      </c>
      <c r="C21" s="961">
        <v>5640</v>
      </c>
      <c r="D21" s="80">
        <f t="shared" si="0"/>
        <v>11280</v>
      </c>
      <c r="E21" s="190"/>
      <c r="H21" s="191"/>
      <c r="I21" s="191"/>
      <c r="J21" s="191"/>
      <c r="K21" s="191"/>
      <c r="L21" s="191"/>
    </row>
    <row r="22" spans="1:16" ht="15.6" x14ac:dyDescent="0.25">
      <c r="A22" s="77"/>
      <c r="B22" s="974"/>
      <c r="C22" s="869"/>
      <c r="D22" s="83"/>
      <c r="E22" s="189"/>
    </row>
    <row r="23" spans="1:16" ht="15.6" x14ac:dyDescent="0.3">
      <c r="A23" s="972"/>
      <c r="B23" s="975" t="s">
        <v>1856</v>
      </c>
      <c r="C23" s="973" t="s">
        <v>160</v>
      </c>
      <c r="D23" s="900">
        <f>SUM(D15:D22)</f>
        <v>168452.40000000002</v>
      </c>
      <c r="O23" s="392"/>
      <c r="P23" s="392"/>
    </row>
    <row r="24" spans="1:16" s="392" customFormat="1" ht="15.6" x14ac:dyDescent="0.3">
      <c r="A24" s="971"/>
      <c r="B24" s="975" t="s">
        <v>1816</v>
      </c>
      <c r="C24" s="475" t="s">
        <v>392</v>
      </c>
      <c r="D24" s="900">
        <f>D23*0.08</f>
        <v>13476.192000000003</v>
      </c>
      <c r="E24" s="108"/>
      <c r="F24" s="108"/>
      <c r="G24" s="108"/>
      <c r="H24" s="108"/>
      <c r="I24" s="108"/>
      <c r="J24" s="108"/>
      <c r="K24" s="108"/>
      <c r="L24" s="108"/>
      <c r="M24" s="108"/>
      <c r="N24" s="108"/>
      <c r="O24" s="108"/>
      <c r="P24" s="108"/>
    </row>
    <row r="25" spans="1:16" ht="15.6" x14ac:dyDescent="0.3">
      <c r="A25" s="971"/>
      <c r="B25" s="907"/>
      <c r="C25" s="475" t="s">
        <v>1860</v>
      </c>
      <c r="D25" s="900">
        <f>SUM(D23:D24)</f>
        <v>181928.59200000003</v>
      </c>
    </row>
    <row r="26" spans="1:16" ht="18" thickBot="1" x14ac:dyDescent="0.3">
      <c r="A26" s="851"/>
      <c r="B26" s="979" t="s">
        <v>1858</v>
      </c>
      <c r="C26" s="873"/>
      <c r="D26" s="874"/>
    </row>
    <row r="27" spans="1:16" ht="15.6" x14ac:dyDescent="0.25">
      <c r="A27" s="422">
        <v>135</v>
      </c>
      <c r="B27" s="423" t="s">
        <v>246</v>
      </c>
      <c r="C27" s="779">
        <f>(365)*(1.33)</f>
        <v>485.45000000000005</v>
      </c>
      <c r="D27" s="425">
        <f>A27*C27</f>
        <v>65535.750000000007</v>
      </c>
    </row>
    <row r="28" spans="1:16" ht="15.6" x14ac:dyDescent="0.25">
      <c r="A28" s="976">
        <v>1</v>
      </c>
      <c r="B28" s="977" t="s">
        <v>1900</v>
      </c>
      <c r="C28" s="1011">
        <v>4100</v>
      </c>
      <c r="D28" s="425">
        <f>A28*C28</f>
        <v>4100</v>
      </c>
    </row>
    <row r="29" spans="1:16" ht="15.6" x14ac:dyDescent="0.25">
      <c r="A29" s="976"/>
      <c r="B29" s="977"/>
      <c r="C29" s="973" t="s">
        <v>160</v>
      </c>
      <c r="D29" s="900">
        <f>SUM(D27:D28)</f>
        <v>69635.75</v>
      </c>
      <c r="N29" s="392"/>
    </row>
    <row r="30" spans="1:16" ht="15.6" x14ac:dyDescent="0.25">
      <c r="A30" s="976"/>
      <c r="B30" s="977"/>
      <c r="C30" s="475" t="s">
        <v>392</v>
      </c>
      <c r="D30" s="900">
        <f>D29*0.16</f>
        <v>11141.72</v>
      </c>
    </row>
    <row r="31" spans="1:16" ht="15.6" x14ac:dyDescent="0.25">
      <c r="A31" s="976"/>
      <c r="B31" s="977"/>
      <c r="C31" s="475" t="s">
        <v>1860</v>
      </c>
      <c r="D31" s="900">
        <f>SUM(D29:D30)</f>
        <v>80777.47</v>
      </c>
    </row>
    <row r="32" spans="1:16" ht="17.399999999999999" x14ac:dyDescent="0.25">
      <c r="A32" s="976"/>
      <c r="B32" s="981" t="s">
        <v>1859</v>
      </c>
      <c r="C32" s="978"/>
      <c r="D32" s="425"/>
    </row>
    <row r="33" spans="1:5" ht="15.6" x14ac:dyDescent="0.25">
      <c r="A33" s="886">
        <v>1</v>
      </c>
      <c r="B33" s="887" t="s">
        <v>1792</v>
      </c>
      <c r="C33" s="962">
        <f>130*90+6000</f>
        <v>17700</v>
      </c>
      <c r="D33" s="80">
        <f>A33*C33</f>
        <v>17700</v>
      </c>
    </row>
    <row r="34" spans="1:5" ht="15.6" x14ac:dyDescent="0.25">
      <c r="A34" s="84">
        <v>120</v>
      </c>
      <c r="B34" s="85" t="s">
        <v>86</v>
      </c>
      <c r="C34" s="86">
        <v>36.869999999999997</v>
      </c>
      <c r="D34" s="87">
        <f>A34*C34</f>
        <v>4424.3999999999996</v>
      </c>
    </row>
    <row r="35" spans="1:5" ht="36" customHeight="1" x14ac:dyDescent="0.25">
      <c r="A35" s="1009">
        <v>1</v>
      </c>
      <c r="B35" s="1010" t="s">
        <v>1854</v>
      </c>
      <c r="C35" s="962">
        <v>1025</v>
      </c>
      <c r="D35" s="87">
        <f>A35*C35</f>
        <v>1025</v>
      </c>
    </row>
    <row r="36" spans="1:5" ht="45" x14ac:dyDescent="0.25">
      <c r="A36" s="77">
        <v>1</v>
      </c>
      <c r="B36" s="81" t="s">
        <v>1898</v>
      </c>
      <c r="C36" s="1008">
        <v>7600</v>
      </c>
      <c r="D36" s="87">
        <f t="shared" ref="D36:D37" si="1">A36*C36</f>
        <v>7600</v>
      </c>
      <c r="E36" s="189"/>
    </row>
    <row r="37" spans="1:5" ht="15.6" x14ac:dyDescent="0.25">
      <c r="A37" s="77">
        <v>1</v>
      </c>
      <c r="B37" s="81" t="s">
        <v>1901</v>
      </c>
      <c r="C37" s="1008">
        <v>2350</v>
      </c>
      <c r="D37" s="87">
        <f t="shared" si="1"/>
        <v>2350</v>
      </c>
      <c r="E37" s="189"/>
    </row>
    <row r="38" spans="1:5" ht="15.6" x14ac:dyDescent="0.25">
      <c r="A38" s="995"/>
      <c r="B38" s="966"/>
      <c r="C38" s="983" t="s">
        <v>1860</v>
      </c>
      <c r="D38" s="982">
        <f>SUM(D33:D37)</f>
        <v>33099.4</v>
      </c>
      <c r="E38" s="189"/>
    </row>
    <row r="39" spans="1:5" ht="15.6" x14ac:dyDescent="0.25">
      <c r="A39" s="995"/>
      <c r="B39" s="966"/>
      <c r="C39" s="967"/>
      <c r="D39" s="980"/>
    </row>
    <row r="40" spans="1:5" ht="15" x14ac:dyDescent="0.25">
      <c r="A40" s="854"/>
      <c r="B40" s="201"/>
      <c r="C40" s="911"/>
      <c r="D40" s="912"/>
    </row>
    <row r="41" spans="1:5" ht="13.8" x14ac:dyDescent="0.25">
      <c r="A41" s="102"/>
      <c r="B41" s="910" t="s">
        <v>9</v>
      </c>
      <c r="C41" s="984"/>
      <c r="D41" s="192"/>
    </row>
    <row r="42" spans="1:5" ht="17.399999999999999" x14ac:dyDescent="0.3">
      <c r="A42" s="102"/>
      <c r="B42" s="838"/>
      <c r="C42" s="985" t="s">
        <v>699</v>
      </c>
      <c r="D42" s="986">
        <f>SUM(D25+D31+D38)</f>
        <v>295805.46200000006</v>
      </c>
      <c r="E42" s="189"/>
    </row>
    <row r="43" spans="1:5" ht="17.399999999999999" x14ac:dyDescent="0.3">
      <c r="A43" s="102"/>
      <c r="B43" s="100" t="s">
        <v>11</v>
      </c>
      <c r="C43" s="985" t="s">
        <v>250</v>
      </c>
      <c r="D43" s="986">
        <v>7500</v>
      </c>
    </row>
    <row r="44" spans="1:5" ht="17.399999999999999" x14ac:dyDescent="0.3">
      <c r="A44" s="106"/>
      <c r="B44" s="121" t="s">
        <v>1620</v>
      </c>
      <c r="C44" s="985" t="s">
        <v>699</v>
      </c>
      <c r="D44" s="986">
        <f>SUM(D43-D42)</f>
        <v>-288305.46200000006</v>
      </c>
    </row>
    <row r="45" spans="1:5" ht="15" x14ac:dyDescent="0.25">
      <c r="A45" s="106"/>
      <c r="B45" s="964" t="s">
        <v>1817</v>
      </c>
      <c r="C45" s="108"/>
      <c r="D45" s="108"/>
    </row>
    <row r="46" spans="1:5" ht="15" x14ac:dyDescent="0.25">
      <c r="A46" s="106"/>
      <c r="B46" s="915" t="s">
        <v>14</v>
      </c>
      <c r="C46" s="984"/>
      <c r="D46" s="192"/>
    </row>
    <row r="47" spans="1:5" ht="15" x14ac:dyDescent="0.25">
      <c r="A47" s="106"/>
      <c r="B47" s="987" t="s">
        <v>15</v>
      </c>
      <c r="C47" s="989" t="s">
        <v>1861</v>
      </c>
      <c r="D47" s="989">
        <f>282985.04-267508.26</f>
        <v>15476.77999999997</v>
      </c>
      <c r="E47" s="189"/>
    </row>
    <row r="48" spans="1:5" ht="27.6" x14ac:dyDescent="0.25">
      <c r="A48" s="106"/>
      <c r="B48" s="125" t="s">
        <v>17</v>
      </c>
      <c r="C48" s="1014"/>
      <c r="D48" s="1015"/>
    </row>
    <row r="49" spans="1:5" ht="15" x14ac:dyDescent="0.25">
      <c r="A49" s="106"/>
      <c r="B49" s="987" t="s">
        <v>18</v>
      </c>
      <c r="C49" s="1020" t="s">
        <v>1740</v>
      </c>
      <c r="D49" s="1016">
        <v>110000</v>
      </c>
      <c r="E49" s="189"/>
    </row>
    <row r="50" spans="1:5" ht="12.75" customHeight="1" x14ac:dyDescent="0.25">
      <c r="A50" s="106"/>
      <c r="B50" s="1012" t="s">
        <v>1821</v>
      </c>
      <c r="C50" s="1020"/>
      <c r="D50" s="1017"/>
      <c r="E50" s="189"/>
    </row>
    <row r="51" spans="1:5" ht="15" x14ac:dyDescent="0.25">
      <c r="A51" s="106"/>
      <c r="B51" s="1013" t="s">
        <v>20</v>
      </c>
      <c r="C51" s="1020" t="s">
        <v>1758</v>
      </c>
      <c r="D51" s="1019">
        <f>SUM(D44+D49)</f>
        <v>-178305.46200000006</v>
      </c>
      <c r="E51" s="189"/>
    </row>
    <row r="52" spans="1:5" ht="15" x14ac:dyDescent="0.25">
      <c r="A52" s="106"/>
      <c r="B52" s="987" t="s">
        <v>21</v>
      </c>
      <c r="C52" s="1021"/>
      <c r="D52" s="1018"/>
      <c r="E52" s="189"/>
    </row>
    <row r="53" spans="1:5" ht="13.8" x14ac:dyDescent="0.25">
      <c r="B53" s="484" t="s">
        <v>1799</v>
      </c>
      <c r="C53" s="988"/>
      <c r="D53" s="863"/>
    </row>
    <row r="54" spans="1:5" ht="15" x14ac:dyDescent="0.25">
      <c r="A54" s="106"/>
      <c r="B54" s="121" t="s">
        <v>44</v>
      </c>
      <c r="C54" s="109"/>
      <c r="D54" s="110"/>
    </row>
    <row r="55" spans="1:5" ht="15" x14ac:dyDescent="0.25">
      <c r="A55" s="106"/>
      <c r="B55" s="121" t="s">
        <v>45</v>
      </c>
      <c r="C55" s="109"/>
    </row>
    <row r="56" spans="1:5" ht="33.6" x14ac:dyDescent="0.4">
      <c r="A56" s="115" t="s">
        <v>0</v>
      </c>
      <c r="B56" s="128" t="s">
        <v>169</v>
      </c>
      <c r="C56" s="220"/>
      <c r="D56" s="108"/>
    </row>
    <row r="57" spans="1:5" x14ac:dyDescent="0.25">
      <c r="A57" s="222"/>
      <c r="B57" s="181"/>
      <c r="C57" s="181"/>
      <c r="D57" s="108"/>
    </row>
    <row r="58" spans="1:5" ht="15.75" customHeight="1" x14ac:dyDescent="0.25">
      <c r="A58" s="222"/>
      <c r="B58" s="181"/>
      <c r="C58" s="181"/>
      <c r="D58" s="108"/>
    </row>
    <row r="59" spans="1:5" ht="15" customHeight="1" x14ac:dyDescent="0.25">
      <c r="A59" s="222"/>
      <c r="B59" s="223"/>
      <c r="C59" s="181"/>
      <c r="D59" s="108"/>
    </row>
    <row r="60" spans="1:5" ht="15" x14ac:dyDescent="0.35">
      <c r="A60" s="225"/>
      <c r="B60" s="224"/>
      <c r="C60" s="181"/>
      <c r="D60" s="181"/>
    </row>
    <row r="61" spans="1:5" x14ac:dyDescent="0.25">
      <c r="A61" s="226" t="s">
        <v>0</v>
      </c>
    </row>
    <row r="62" spans="1:5" x14ac:dyDescent="0.25">
      <c r="A62" s="108" t="s">
        <v>0</v>
      </c>
    </row>
  </sheetData>
  <mergeCells count="2">
    <mergeCell ref="A4:D4"/>
    <mergeCell ref="A14:D14"/>
  </mergeCells>
  <printOptions horizontalCentered="1"/>
  <pageMargins left="0.25" right="0.25" top="0.75" bottom="0.75" header="0.3" footer="0.3"/>
  <pageSetup paperSize="9" scale="62" fitToWidth="0" orientation="portrait" r:id="rId1"/>
  <headerFooter alignWithMargins="0">
    <oddFooter>Página &amp;P de &amp;N</oddFooter>
  </headerFooter>
  <drawing r:id="rId2"/>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4DB8-4FA5-4831-B53E-1B683B4B5C0C}">
  <sheetPr>
    <tabColor theme="4" tint="-0.249977111117893"/>
    <pageSetUpPr fitToPage="1"/>
  </sheetPr>
  <dimension ref="A1:G43"/>
  <sheetViews>
    <sheetView topLeftCell="A7" zoomScaleNormal="100" workbookViewId="0">
      <selection activeCell="A14" sqref="A14:D20"/>
    </sheetView>
  </sheetViews>
  <sheetFormatPr baseColWidth="10" defaultColWidth="11.44140625" defaultRowHeight="13.2" x14ac:dyDescent="0.25"/>
  <cols>
    <col min="1" max="1" width="6" style="1" customWidth="1"/>
    <col min="2" max="2" width="74.5546875" style="1" customWidth="1"/>
    <col min="3" max="3" width="11.5546875" style="3" customWidth="1"/>
    <col min="4" max="4" width="13" style="3" customWidth="1"/>
    <col min="5" max="16384" width="11.44140625" style="1"/>
  </cols>
  <sheetData>
    <row r="1" spans="1:7" ht="81" customHeight="1" x14ac:dyDescent="0.25">
      <c r="A1" s="1" t="s">
        <v>0</v>
      </c>
      <c r="C1" s="2"/>
    </row>
    <row r="2" spans="1:7" ht="9" customHeight="1" x14ac:dyDescent="0.25">
      <c r="C2" s="2"/>
    </row>
    <row r="3" spans="1:7" ht="9" customHeight="1" x14ac:dyDescent="0.25">
      <c r="C3" s="2"/>
    </row>
    <row r="4" spans="1:7" s="4" customFormat="1" ht="16.8" x14ac:dyDescent="0.4">
      <c r="A4" s="1022"/>
      <c r="B4" s="1022"/>
      <c r="C4" s="1022"/>
      <c r="D4" s="1022"/>
    </row>
    <row r="5" spans="1:7" s="4" customFormat="1" ht="16.8" x14ac:dyDescent="0.4">
      <c r="A5" s="5"/>
      <c r="C5" s="6"/>
      <c r="D5" s="6"/>
    </row>
    <row r="6" spans="1:7" s="4" customFormat="1" ht="16.8" x14ac:dyDescent="0.4">
      <c r="A6" s="5"/>
      <c r="C6" s="6"/>
      <c r="D6" s="6"/>
    </row>
    <row r="7" spans="1:7" s="4" customFormat="1" ht="19.2" x14ac:dyDescent="0.45">
      <c r="A7" s="227" t="s">
        <v>416</v>
      </c>
      <c r="B7" s="228"/>
      <c r="C7" s="229"/>
      <c r="D7" s="229"/>
      <c r="E7" s="10"/>
      <c r="F7" s="10"/>
      <c r="G7" s="10"/>
    </row>
    <row r="8" spans="1:7" s="4" customFormat="1" ht="19.2" x14ac:dyDescent="0.45">
      <c r="A8" s="227" t="s">
        <v>417</v>
      </c>
      <c r="B8" s="228"/>
      <c r="C8" s="229"/>
      <c r="D8" s="229"/>
      <c r="E8" s="10"/>
      <c r="F8" s="10"/>
      <c r="G8" s="10"/>
    </row>
    <row r="9" spans="1:7" s="4" customFormat="1" ht="19.2" x14ac:dyDescent="0.45">
      <c r="A9" s="227" t="s">
        <v>418</v>
      </c>
      <c r="B9" s="228"/>
      <c r="C9" s="229"/>
      <c r="D9" s="229"/>
      <c r="E9" s="10"/>
      <c r="F9" s="10"/>
      <c r="G9" s="10"/>
    </row>
    <row r="10" spans="1:7" s="4" customFormat="1" ht="19.2" x14ac:dyDescent="0.45">
      <c r="A10" s="227" t="s">
        <v>419</v>
      </c>
      <c r="B10" s="228"/>
      <c r="C10" s="230"/>
      <c r="D10" s="229"/>
      <c r="E10" s="10"/>
      <c r="F10" s="10"/>
      <c r="G10" s="10"/>
    </row>
    <row r="11" spans="1:7" s="4" customFormat="1" ht="19.2" x14ac:dyDescent="0.45">
      <c r="A11" s="227" t="s">
        <v>420</v>
      </c>
      <c r="B11" s="228"/>
      <c r="C11" s="230"/>
      <c r="D11" s="229"/>
      <c r="E11" s="10"/>
      <c r="F11" s="10"/>
      <c r="G11" s="10"/>
    </row>
    <row r="12" spans="1:7" s="4" customFormat="1" ht="15" customHeight="1" x14ac:dyDescent="0.45">
      <c r="A12" s="227" t="s">
        <v>6</v>
      </c>
      <c r="B12" s="231"/>
      <c r="C12" s="232"/>
      <c r="D12" s="233"/>
      <c r="G12" s="10"/>
    </row>
    <row r="13" spans="1:7" s="4" customFormat="1" ht="19.2" x14ac:dyDescent="0.45">
      <c r="A13" s="234" t="s">
        <v>425</v>
      </c>
      <c r="B13" s="231"/>
      <c r="C13" s="232"/>
      <c r="D13" s="233"/>
      <c r="E13" s="17"/>
      <c r="F13" s="17"/>
    </row>
    <row r="14" spans="1:7" s="4" customFormat="1" ht="16.8" x14ac:dyDescent="0.4">
      <c r="A14" s="18"/>
      <c r="B14" s="19" t="s">
        <v>7</v>
      </c>
      <c r="C14" s="20"/>
      <c r="D14" s="20"/>
      <c r="E14" s="1"/>
      <c r="F14" s="1"/>
    </row>
    <row r="15" spans="1:7" s="17" customFormat="1" ht="30" x14ac:dyDescent="0.25">
      <c r="A15" s="21">
        <v>10</v>
      </c>
      <c r="B15" s="22" t="s">
        <v>422</v>
      </c>
      <c r="C15" s="23">
        <v>3068.9</v>
      </c>
      <c r="D15" s="24">
        <f t="shared" ref="D15:D20" si="0">A15*C15</f>
        <v>30689</v>
      </c>
      <c r="E15" s="25"/>
      <c r="F15" s="26"/>
    </row>
    <row r="16" spans="1:7" ht="30" x14ac:dyDescent="0.25">
      <c r="A16" s="27">
        <v>1</v>
      </c>
      <c r="B16" s="28" t="s">
        <v>421</v>
      </c>
      <c r="C16" s="29">
        <v>5879.3</v>
      </c>
      <c r="D16" s="30">
        <f t="shared" si="0"/>
        <v>5879.3</v>
      </c>
      <c r="F16" s="26"/>
    </row>
    <row r="17" spans="1:6" s="26" customFormat="1" ht="30" x14ac:dyDescent="0.25">
      <c r="A17" s="27">
        <v>1</v>
      </c>
      <c r="B17" s="28" t="s">
        <v>424</v>
      </c>
      <c r="C17" s="31">
        <v>2327.6</v>
      </c>
      <c r="D17" s="30">
        <f t="shared" si="0"/>
        <v>2327.6</v>
      </c>
      <c r="E17" s="1"/>
    </row>
    <row r="18" spans="1:6" ht="30" x14ac:dyDescent="0.25">
      <c r="A18" s="21">
        <v>10</v>
      </c>
      <c r="B18" s="22" t="s">
        <v>423</v>
      </c>
      <c r="C18" s="23">
        <v>1138</v>
      </c>
      <c r="D18" s="24">
        <f t="shared" si="0"/>
        <v>11380</v>
      </c>
      <c r="F18" s="26"/>
    </row>
    <row r="19" spans="1:6" ht="30" x14ac:dyDescent="0.25">
      <c r="A19" s="27">
        <v>1</v>
      </c>
      <c r="B19" s="28" t="s">
        <v>421</v>
      </c>
      <c r="C19" s="29">
        <v>3534.5</v>
      </c>
      <c r="D19" s="30">
        <f t="shared" si="0"/>
        <v>3534.5</v>
      </c>
      <c r="F19" s="26"/>
    </row>
    <row r="20" spans="1:6" ht="30" x14ac:dyDescent="0.25">
      <c r="A20" s="27">
        <v>1</v>
      </c>
      <c r="B20" s="28" t="s">
        <v>8</v>
      </c>
      <c r="C20" s="31">
        <v>1551.7</v>
      </c>
      <c r="D20" s="30">
        <f t="shared" si="0"/>
        <v>1551.7</v>
      </c>
    </row>
    <row r="21" spans="1:6" ht="15.6" x14ac:dyDescent="0.25">
      <c r="A21" s="89"/>
      <c r="B21" s="90"/>
      <c r="C21" s="91" t="s">
        <v>38</v>
      </c>
      <c r="D21" s="75">
        <f>SUM(D15:D20)</f>
        <v>55362.1</v>
      </c>
    </row>
    <row r="22" spans="1:6" ht="15.6" x14ac:dyDescent="0.3">
      <c r="A22" s="92"/>
      <c r="B22" s="90"/>
      <c r="C22" s="93" t="s">
        <v>39</v>
      </c>
      <c r="D22" s="75">
        <f>D21*0.16</f>
        <v>8857.9359999999997</v>
      </c>
    </row>
    <row r="23" spans="1:6" ht="16.2" thickBot="1" x14ac:dyDescent="0.35">
      <c r="A23" s="92"/>
      <c r="B23" s="90"/>
      <c r="C23" s="94" t="s">
        <v>40</v>
      </c>
      <c r="D23" s="95">
        <f>D21+D22</f>
        <v>64220.036</v>
      </c>
    </row>
    <row r="24" spans="1:6" ht="16.2" thickBot="1" x14ac:dyDescent="0.3">
      <c r="A24" s="92"/>
      <c r="B24" s="1023" t="s">
        <v>426</v>
      </c>
      <c r="C24" s="1024"/>
      <c r="D24" s="1025"/>
    </row>
    <row r="25" spans="1:6" ht="15" x14ac:dyDescent="0.25">
      <c r="A25" s="34"/>
      <c r="B25" s="35" t="s">
        <v>11</v>
      </c>
      <c r="C25" s="1"/>
      <c r="D25" s="1"/>
    </row>
    <row r="26" spans="1:6" ht="15" x14ac:dyDescent="0.25">
      <c r="A26" s="34"/>
      <c r="B26" s="408" t="s">
        <v>428</v>
      </c>
      <c r="C26" s="1"/>
      <c r="D26" s="1"/>
    </row>
    <row r="27" spans="1:6" ht="15" x14ac:dyDescent="0.25">
      <c r="A27" s="34"/>
      <c r="B27" s="131" t="s">
        <v>429</v>
      </c>
      <c r="C27" s="1"/>
      <c r="D27" s="1"/>
    </row>
    <row r="28" spans="1:6" ht="15" x14ac:dyDescent="0.25">
      <c r="A28" s="34"/>
      <c r="B28" s="408" t="s">
        <v>430</v>
      </c>
      <c r="C28" s="1"/>
      <c r="D28" s="1"/>
    </row>
    <row r="29" spans="1:6" ht="13.8" x14ac:dyDescent="0.25">
      <c r="B29" s="130" t="s">
        <v>431</v>
      </c>
      <c r="C29" s="1"/>
      <c r="D29" s="1"/>
    </row>
    <row r="30" spans="1:6" ht="15" x14ac:dyDescent="0.25">
      <c r="A30" s="34"/>
      <c r="B30" s="35" t="s">
        <v>15</v>
      </c>
      <c r="C30" s="37"/>
      <c r="D30" s="37"/>
    </row>
    <row r="31" spans="1:6" ht="27.6" x14ac:dyDescent="0.25">
      <c r="A31" s="34"/>
      <c r="B31" s="36" t="s">
        <v>17</v>
      </c>
      <c r="C31" s="38"/>
      <c r="D31" s="39"/>
    </row>
    <row r="32" spans="1:6" ht="15" x14ac:dyDescent="0.25">
      <c r="A32" s="34"/>
      <c r="B32" s="40" t="s">
        <v>18</v>
      </c>
      <c r="C32" s="38"/>
      <c r="D32" s="38"/>
    </row>
    <row r="33" spans="1:4" ht="15" x14ac:dyDescent="0.25">
      <c r="A33" s="34"/>
      <c r="B33" s="134" t="s">
        <v>19</v>
      </c>
      <c r="C33" s="38"/>
      <c r="D33" s="38"/>
    </row>
    <row r="34" spans="1:4" ht="13.8" x14ac:dyDescent="0.25">
      <c r="B34" s="135" t="s">
        <v>20</v>
      </c>
      <c r="D34" s="41"/>
    </row>
    <row r="35" spans="1:4" ht="15" x14ac:dyDescent="0.25">
      <c r="A35" s="34"/>
      <c r="B35" s="40" t="s">
        <v>21</v>
      </c>
      <c r="C35" s="38"/>
      <c r="D35" s="39"/>
    </row>
    <row r="36" spans="1:4" ht="15" x14ac:dyDescent="0.25">
      <c r="A36" s="34"/>
      <c r="B36" s="179" t="s">
        <v>427</v>
      </c>
      <c r="C36" s="38"/>
      <c r="D36" s="39"/>
    </row>
    <row r="37" spans="1:4" ht="13.8" x14ac:dyDescent="0.25">
      <c r="A37" s="42" t="s">
        <v>0</v>
      </c>
      <c r="B37" s="131" t="s">
        <v>22</v>
      </c>
      <c r="C37" s="38"/>
      <c r="D37" s="38"/>
    </row>
    <row r="38" spans="1:4" ht="50.4" x14ac:dyDescent="0.25">
      <c r="A38" s="43"/>
      <c r="B38" s="183" t="s">
        <v>23</v>
      </c>
      <c r="C38" s="45"/>
      <c r="D38" s="45"/>
    </row>
    <row r="39" spans="1:4" ht="16.8" x14ac:dyDescent="0.4">
      <c r="A39" s="46"/>
      <c r="B39" s="44"/>
      <c r="C39" s="47"/>
      <c r="D39" s="1"/>
    </row>
    <row r="40" spans="1:4" x14ac:dyDescent="0.25">
      <c r="A40" s="46"/>
      <c r="B40" s="47"/>
      <c r="C40" s="47"/>
      <c r="D40" s="1"/>
    </row>
    <row r="41" spans="1:4" x14ac:dyDescent="0.25">
      <c r="A41" s="48"/>
      <c r="B41" s="47"/>
      <c r="C41" s="47"/>
      <c r="D41" s="1"/>
    </row>
    <row r="42" spans="1:4" x14ac:dyDescent="0.25">
      <c r="A42" s="50" t="s">
        <v>0</v>
      </c>
      <c r="B42" s="49"/>
      <c r="C42" s="47"/>
      <c r="D42" s="47"/>
    </row>
    <row r="43" spans="1:4" ht="15" x14ac:dyDescent="0.35">
      <c r="A43" s="1" t="s">
        <v>0</v>
      </c>
      <c r="B43" s="51"/>
    </row>
  </sheetData>
  <mergeCells count="2">
    <mergeCell ref="A4:D4"/>
    <mergeCell ref="B24:D24"/>
  </mergeCells>
  <printOptions horizontalCentered="1"/>
  <pageMargins left="0.25" right="0.25" top="0.75" bottom="0.75" header="0.3" footer="0.3"/>
  <pageSetup scale="76" fitToWidth="0" orientation="portrait" r:id="rId1"/>
  <headerFooter alignWithMargins="0">
    <oddFooter>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250</vt:i4>
      </vt:variant>
    </vt:vector>
  </HeadingPairs>
  <TitlesOfParts>
    <vt:vector size="250" baseType="lpstr">
      <vt:lpstr>RENTA GENERADOR</vt:lpstr>
      <vt:lpstr>BERRYMEX EQUIP SME-FRANK MES AZ</vt:lpstr>
      <vt:lpstr>BERRYMEX MOTOR Y MANIOBRAS</vt:lpstr>
      <vt:lpstr>BERRYMEX BOMBA</vt:lpstr>
      <vt:lpstr>EQUIP TEPAMES SME-FRANK 16 lt</vt:lpstr>
      <vt:lpstr>EQUIP TEPAMES INOX</vt:lpstr>
      <vt:lpstr>RESUMEN EQUIPOS TEPAMES</vt:lpstr>
      <vt:lpstr>SUBESTA 150 KVA INJERTOS DE COL</vt:lpstr>
      <vt:lpstr>MANIOBRAS Y REP INDAMEX</vt:lpstr>
      <vt:lpstr>EQUIP NUEVO INDAMEX </vt:lpstr>
      <vt:lpstr>PIL 3 175 HP. 33 LT 320 SIN CAB</vt:lpstr>
      <vt:lpstr>SUBESTA 300 KVA PILITAS</vt:lpstr>
      <vt:lpstr>EQUIP. COAHUAYOTE FINAL</vt:lpstr>
      <vt:lpstr>INDAMEX MOTOBOMBA POZO 1</vt:lpstr>
      <vt:lpstr>INDAMEX PESCA POZO 1</vt:lpstr>
      <vt:lpstr>INDAMEX LIMPIEZA</vt:lpstr>
      <vt:lpstr>INDAMEX GEOFISICA</vt:lpstr>
      <vt:lpstr>INDAMEX POZO NUEVO</vt:lpstr>
      <vt:lpstr>MANIOBRAS EL GATO VERDUZCO</vt:lpstr>
      <vt:lpstr>REBOMBEO EL RODEO</vt:lpstr>
      <vt:lpstr>GEOFISICA COLIMA</vt:lpstr>
      <vt:lpstr>BERRYMEX REPARACION BOMBA</vt:lpstr>
      <vt:lpstr>REBOMBEO EL RODEO total</vt:lpstr>
      <vt:lpstr>REBOMBEO EL RODEO CON IVA</vt:lpstr>
      <vt:lpstr>REBOMBEO EL RODEO SIN IVA</vt:lpstr>
      <vt:lpstr>RESUMEN EQUIPOS DON ALEJO</vt:lpstr>
      <vt:lpstr>DON ALEJO MOTOR SME-FRANKLI</vt:lpstr>
      <vt:lpstr>ALFREDO ORTIZ LIMPIEZA POZO</vt:lpstr>
      <vt:lpstr>AFORO 3" ALFREDO ORTIZ</vt:lpstr>
      <vt:lpstr>VIDEO ALFREDO ORTIZ</vt:lpstr>
      <vt:lpstr>EQUIP JALERILLAS SME-FRANKLIN</vt:lpstr>
      <vt:lpstr>EQUIP JALERILLAS ALTAMIRA</vt:lpstr>
      <vt:lpstr>RESUMEN EQUIPOS JALERILLAS</vt:lpstr>
      <vt:lpstr>DON ALEJO ALTAMIRA</vt:lpstr>
      <vt:lpstr>25 HP SALVA ORTIZ RT INOX</vt:lpstr>
      <vt:lpstr>MEDIDORES 4" INDAMEX</vt:lpstr>
      <vt:lpstr>DON ALEJO MOTOR SME-ALTAMIRA FI</vt:lpstr>
      <vt:lpstr>DON ALEJO</vt:lpstr>
      <vt:lpstr>DON ALEJO V.F.D. 60 HP</vt:lpstr>
      <vt:lpstr>RENTA GENERADOR PELILLO 5 DIAS</vt:lpstr>
      <vt:lpstr>RENTA GENERADOR  FARIAS</vt:lpstr>
      <vt:lpstr>RENTA GENERADOR  FARIAS 2 dias</vt:lpstr>
      <vt:lpstr>EXTRAS INDAMEX</vt:lpstr>
      <vt:lpstr>BLUE ROCK 30 HP SME-FRANKLIN</vt:lpstr>
      <vt:lpstr>BLUE ROCK 30 HP ALTAMIRA</vt:lpstr>
      <vt:lpstr>PACO PILITAS 2 CUCHILLAS Y HIAB</vt:lpstr>
      <vt:lpstr>PACO MAGAÑA VFD E HIDRO</vt:lpstr>
      <vt:lpstr>CUSUR 5HP</vt:lpstr>
      <vt:lpstr>ALVAREZ POZO SAN JUAN ESPANATIC</vt:lpstr>
      <vt:lpstr>ING PAULINO COLIMA</vt:lpstr>
      <vt:lpstr>ING PAULINO COLIMA REVISION</vt:lpstr>
      <vt:lpstr>CHECK 4" INDAMEX</vt:lpstr>
      <vt:lpstr>PACO PILITAS 2 SME-FRANK 200 </vt:lpstr>
      <vt:lpstr>REBOMBEO POZO A MEMBRANA 1</vt:lpstr>
      <vt:lpstr>NARANJITOS 40 HP.</vt:lpstr>
      <vt:lpstr>MATTO NARANJITOS</vt:lpstr>
      <vt:lpstr>MATTO NARANJITOS BASICO</vt:lpstr>
      <vt:lpstr>VALVULAS CHECK 3"</vt:lpstr>
      <vt:lpstr>AFORO 24 HORAS J.C. VALLE</vt:lpstr>
      <vt:lpstr>MANTTO TRANSFORMADOR</vt:lpstr>
      <vt:lpstr>BAJAR TUBERIA DE 6"</vt:lpstr>
      <vt:lpstr>TRABAJOS AGUA ESCONDIDA VALLE</vt:lpstr>
      <vt:lpstr>AGUA ESCONDIDA VALLE</vt:lpstr>
      <vt:lpstr>AFOROS TECALITLAN AGRO VALENCIA</vt:lpstr>
      <vt:lpstr>VFD TECA</vt:lpstr>
      <vt:lpstr>MANIOBRA BOMBA</vt:lpstr>
      <vt:lpstr>MANIOBRA BOMBA LARA</vt:lpstr>
      <vt:lpstr>LIMPIEZA CUSUR</vt:lpstr>
      <vt:lpstr>LIMPIEZA CUSUR GAMA</vt:lpstr>
      <vt:lpstr>PRIZE DE MEXICO POZO ZAMORA</vt:lpstr>
      <vt:lpstr>EXPULSION Y ADM AIRE NARANJITOS</vt:lpstr>
      <vt:lpstr>CHECK AMAURY CASTILLO</vt:lpstr>
      <vt:lpstr>NARANJITOS EXP. Y REP BOM</vt:lpstr>
      <vt:lpstr>SAPAZA ATR </vt:lpstr>
      <vt:lpstr>RENTA GENERADOR PELILLO 8 DIAS</vt:lpstr>
      <vt:lpstr>AFORO 24 HORAS TECALITLAN</vt:lpstr>
      <vt:lpstr>VIDEOS POZOS TECALITLAN</vt:lpstr>
      <vt:lpstr>PILITAS 2 TERMICO Y CABLEADO</vt:lpstr>
      <vt:lpstr>SAPAZA VIDEO LA AUTOPISTA</vt:lpstr>
      <vt:lpstr>OZBLU POZOS ABASOLO</vt:lpstr>
      <vt:lpstr>BERRY LAND POZO JOROBADO</vt:lpstr>
      <vt:lpstr>BERRYLAND ALTAMIRA</vt:lpstr>
      <vt:lpstr>BERRYLAND SME-FRANKLIN</vt:lpstr>
      <vt:lpstr>MANTTO CUSUR POZO 2</vt:lpstr>
      <vt:lpstr>GAMA AEROPISTA</vt:lpstr>
      <vt:lpstr>DESINST EL AGUACATE TAMAZULA</vt:lpstr>
      <vt:lpstr>MANIOBRAS EL AGUACATE</vt:lpstr>
      <vt:lpstr>ARRANCADOR SAUL ARREDONDO</vt:lpstr>
      <vt:lpstr>RENTA GENERADOR PELILLO 10 DIAS</vt:lpstr>
      <vt:lpstr>MANIOBRAS EL AGUACAT AUTOPISTA</vt:lpstr>
      <vt:lpstr>TUBERIA 4" LAGUNA</vt:lpstr>
      <vt:lpstr>HORTIFRUT SALVADOR-SAN JUAN ESP</vt:lpstr>
      <vt:lpstr>TUBERIA 4" NUCLEO INGENIERIA</vt:lpstr>
      <vt:lpstr>MANIOBRAS WEST PAK COT</vt:lpstr>
      <vt:lpstr>MANIOBRAS WEST PAK DESC</vt:lpstr>
      <vt:lpstr>PERFORACION MANZANILLO</vt:lpstr>
      <vt:lpstr>HORTIFRUT CENTENARIO 150 HP</vt:lpstr>
      <vt:lpstr>HORTIFRUT CENT 150 HP FRAN-SME</vt:lpstr>
      <vt:lpstr>RESUMEN EQUIP HOR CENTENARIO</vt:lpstr>
      <vt:lpstr>VIESCA 100 HP. ALTAMIRA INOX</vt:lpstr>
      <vt:lpstr>VIESCA 100 HP. ALTAMIRA INOX 2</vt:lpstr>
      <vt:lpstr>VIESCA 75 HP. SME-FRANKL FUNDIC</vt:lpstr>
      <vt:lpstr>PACO PILITAS 2 SME-FRANK 200 hp</vt:lpstr>
      <vt:lpstr>REBOMBEO POZO A MEMBRANA 1 </vt:lpstr>
      <vt:lpstr>MOTOBOMBA 305 HP PILITAS</vt:lpstr>
      <vt:lpstr>MOTOBOMBA 257 HP PILITAS</vt:lpstr>
      <vt:lpstr>RENTA GENERADOR PACO MAGAÑA</vt:lpstr>
      <vt:lpstr>MANTENIMIENTOS EL SALVADOR</vt:lpstr>
      <vt:lpstr>MANTENIMIENTOS EL SALVADOR desc</vt:lpstr>
      <vt:lpstr>MTTO EL SALVA DESC FINAL</vt:lpstr>
      <vt:lpstr>MANIOBRAS PASO DEL AGUA</vt:lpstr>
      <vt:lpstr>AGUA ESCONDIDA JC VALLE</vt:lpstr>
      <vt:lpstr>PEDRO ARREDONDO POZO GRANDE</vt:lpstr>
      <vt:lpstr>AFORO Y VIDEO CAJITITLAN</vt:lpstr>
      <vt:lpstr>AFORO 24 HORAS TECA AGR VALEN P</vt:lpstr>
      <vt:lpstr>EXTRAS SAN JUAN ESPA HORT</vt:lpstr>
      <vt:lpstr>EXTRAS LLANO</vt:lpstr>
      <vt:lpstr>EXTRAS MEDIA TENSION COAHUAYOTE</vt:lpstr>
      <vt:lpstr>REP. EQUIP JULIOS ARECHIG FINAL</vt:lpstr>
      <vt:lpstr>MANIOBRA TUXPAN</vt:lpstr>
      <vt:lpstr>ALIMENTACION GENERADOR EL RODEO</vt:lpstr>
      <vt:lpstr>POZO CERCA LISA 80 MT. 6"</vt:lpstr>
      <vt:lpstr>AFORO 24 HORAS PERTIMEX ATOYAC</vt:lpstr>
      <vt:lpstr>GRENAMEX POZO NUEVO</vt:lpstr>
      <vt:lpstr>EQIP 1000 VOLTS WEST PAK</vt:lpstr>
      <vt:lpstr>EQIP 1000 V WEST PAK SME 200 FR</vt:lpstr>
      <vt:lpstr>EQIP 1000 V WEST PAK SME 250 HP</vt:lpstr>
      <vt:lpstr>EQIP 1000 V WEST PAK SME 300 HP</vt:lpstr>
      <vt:lpstr>REPARACION VFD LLANO</vt:lpstr>
      <vt:lpstr>GRENAMEX 30 LT 150 MT.</vt:lpstr>
      <vt:lpstr>GRENAMEX 300 KVA</vt:lpstr>
      <vt:lpstr>AGUA ESC JC VALLE MATTO PO Y BO</vt:lpstr>
      <vt:lpstr>AGUA ESC JC VALLE MATTO PO  F</vt:lpstr>
      <vt:lpstr>AGUA ESC JC VALLE MATTO NUEVO</vt:lpstr>
      <vt:lpstr>AGUA ESC JC VALLE MATTO BASICO</vt:lpstr>
      <vt:lpstr>AGUA ESC JC VALLE MATTO 100 HP</vt:lpstr>
      <vt:lpstr>AGUA ESC JC VALLE MATTO BAS FIN</vt:lpstr>
      <vt:lpstr>EQIP 1000 VOLTS WEST NU KSB</vt:lpstr>
      <vt:lpstr>MANIOBRA EL CAMPANARIO</vt:lpstr>
      <vt:lpstr>MANTTO Y EQUIP 150 HP.</vt:lpstr>
      <vt:lpstr>DON MEMO POZO 1</vt:lpstr>
      <vt:lpstr>DON MEMO POZO 1 OPC 2</vt:lpstr>
      <vt:lpstr>DON MEMO POZO 1 OPC 3</vt:lpstr>
      <vt:lpstr>POZO CERCA 6" TOT CABEZAL</vt:lpstr>
      <vt:lpstr>POZO CERCA LISA 80 MT. 6" TOTAL</vt:lpstr>
      <vt:lpstr>POZO CERCA 6" TOT CABEZAL IVA </vt:lpstr>
      <vt:lpstr>MOTORES AGUA ESCONDIDA</vt:lpstr>
      <vt:lpstr>AGUA ESC JC VALLE MATTO NUE (2)</vt:lpstr>
      <vt:lpstr>AGUA ESC JC VALLE 125 HP</vt:lpstr>
      <vt:lpstr>BASES PARA COTIZAR (2)</vt:lpstr>
      <vt:lpstr>AFORO 24 HORAS TAMAZULA KEBBANA</vt:lpstr>
      <vt:lpstr>AFORO 24 HORAS TAMAZULA KEB (2)</vt:lpstr>
      <vt:lpstr>REP BOMBA DE LOD GA SEPT  (2)</vt:lpstr>
      <vt:lpstr>EXTRAS Y AJUSTES GUAYABOS</vt:lpstr>
      <vt:lpstr>4 TUB EL CAMPA</vt:lpstr>
      <vt:lpstr>GRENAMEX UVIE</vt:lpstr>
      <vt:lpstr>MEDIDORES 6" DON MEMO</vt:lpstr>
      <vt:lpstr>MATTO POZO 4</vt:lpstr>
      <vt:lpstr>REPARACION EDER PETACAL</vt:lpstr>
      <vt:lpstr>EL RINCON SME-FRANKLI  MTTO</vt:lpstr>
      <vt:lpstr>MANIOBRA EL RINCON</vt:lpstr>
      <vt:lpstr>AFORO 24 HORAS OJO DE AGUA</vt:lpstr>
      <vt:lpstr>AFORO 24 HORAS LOS MAZOS</vt:lpstr>
      <vt:lpstr>HORTIFRUT EL SAL POZO 4</vt:lpstr>
      <vt:lpstr>HORTIFRUT EL SAL POZO 4 BASE</vt:lpstr>
      <vt:lpstr>HORTIFRUT FLEX EL SALVADOR</vt:lpstr>
      <vt:lpstr>HORTIFRUT FLEX EL SALV 15 lt</vt:lpstr>
      <vt:lpstr>DIAGNOSTICO TUXPAN</vt:lpstr>
      <vt:lpstr>REBOMBEO POZO A MEMBRANA 1 SEPT</vt:lpstr>
      <vt:lpstr>REP. 40 HP EL SALV POZO 1</vt:lpstr>
      <vt:lpstr>MATTO POZO 4 COMPLETA</vt:lpstr>
      <vt:lpstr>REP. bomba 40 HP EL SALV POZO 2</vt:lpstr>
      <vt:lpstr>west pak 1000v KSB Sep 2025</vt:lpstr>
      <vt:lpstr>west pak 1000v SME Sep 2025</vt:lpstr>
      <vt:lpstr>west pak 25lt 1000v KSB Sep25</vt:lpstr>
      <vt:lpstr>INDAMEX CAMB EQUIPO OCT 2025</vt:lpstr>
      <vt:lpstr>INDAMEX CAMB EQUIPO OCT 202 (2)</vt:lpstr>
      <vt:lpstr>AFORO 24H VALENCIA APANGO</vt:lpstr>
      <vt:lpstr>RENTA GENER AGRO GONZALEZ</vt:lpstr>
      <vt:lpstr>TRABAJOS VERDUZCO</vt:lpstr>
      <vt:lpstr>DON MEMO INOX 150 HP</vt:lpstr>
      <vt:lpstr>DON MEMO EQUIPO 150 HP</vt:lpstr>
      <vt:lpstr>GRENAMEX 30 LT 150 MT. (2)</vt:lpstr>
      <vt:lpstr>GRENAMEX 300 KVA (2)</vt:lpstr>
      <vt:lpstr>MANIOBRA SAN JOSE LA FUENTE</vt:lpstr>
      <vt:lpstr>MANIOBRA SAN JOSE LA FUENTE fin</vt:lpstr>
      <vt:lpstr>ANUNCIO 1 MAYO</vt:lpstr>
      <vt:lpstr>INDAMEX CAMB EQUIPO OCT FINAL</vt:lpstr>
      <vt:lpstr>INDAMEX 40 HP STOCK</vt:lpstr>
      <vt:lpstr>INDAMEX 40 HP SOLO EQUIPO</vt:lpstr>
      <vt:lpstr>INDAMEX 40 HP. 1era fase</vt:lpstr>
      <vt:lpstr>INDAMEX 40 HP. 2da fase</vt:lpstr>
      <vt:lpstr>RENTA VFD 300 HP HORTIFRUT</vt:lpstr>
      <vt:lpstr>GRUPO ALTA POZO 4</vt:lpstr>
      <vt:lpstr>MANIOBRA GUAYABOS</vt:lpstr>
      <vt:lpstr>MANIOBRA GUAYABOS desc</vt:lpstr>
      <vt:lpstr>BASES PARA COTIZAR FINAL</vt:lpstr>
      <vt:lpstr>HORT COT EQUIPO NUCLEO</vt:lpstr>
      <vt:lpstr>HORTIFRUT FINAL SAN JUAN, LLANO</vt:lpstr>
      <vt:lpstr>BASES PARA COTIZAR</vt:lpstr>
      <vt:lpstr>INDAMEX PLANTA CREMA MEMBRANA</vt:lpstr>
      <vt:lpstr>IND PLANTA CREMA VIDEO</vt:lpstr>
      <vt:lpstr>IND PLANTA CREMA AFORO</vt:lpstr>
      <vt:lpstr>CABLE LOS MANGOS</vt:lpstr>
      <vt:lpstr>CABLE LOS MANGOS 000</vt:lpstr>
      <vt:lpstr>MANIOBRAS EL RINCON</vt:lpstr>
      <vt:lpstr>EL RINCON MOTOR SME-FRANKLI</vt:lpstr>
      <vt:lpstr>EL RINCON ALTAMIRA 125 HP</vt:lpstr>
      <vt:lpstr>MANTTO LOS MANGOS</vt:lpstr>
      <vt:lpstr>MANGOS MOTOR SME-ALT MTTO NORMA</vt:lpstr>
      <vt:lpstr>MANGOS MOTOR SME-ALT MTTO IVA</vt:lpstr>
      <vt:lpstr>SAN ANDRES 25 HP</vt:lpstr>
      <vt:lpstr>MANTTO LA CUESTA SAYULA</vt:lpstr>
      <vt:lpstr>AFORO 3" PACO MAGAÑA</vt:lpstr>
      <vt:lpstr>BERRIMEX LOS MENDOZA</vt:lpstr>
      <vt:lpstr>MANTTO LA CUESTA SAYULA FINAL</vt:lpstr>
      <vt:lpstr>MOT,BOM,LOS MANGOS</vt:lpstr>
      <vt:lpstr>EQUIP APANGO </vt:lpstr>
      <vt:lpstr>MANIOBRAS TECA VALENCIA</vt:lpstr>
      <vt:lpstr>MANIOBRA FROSTLAND</vt:lpstr>
      <vt:lpstr>MANIOBRA FROSTLAND FINAL</vt:lpstr>
      <vt:lpstr>MEDIDORES DE FLUJO DE 8"</vt:lpstr>
      <vt:lpstr>MANIOBRAS TECA VALENCIA DESC</vt:lpstr>
      <vt:lpstr>MANIOBRAS TECA VALENCIA FINAL</vt:lpstr>
      <vt:lpstr>SR. ALFONSO ALVAREZ ZAPOTILTIC</vt:lpstr>
      <vt:lpstr>SALDO LOS MANGOS</vt:lpstr>
      <vt:lpstr>CHECK Y TIERRAS FROSTLAND</vt:lpstr>
      <vt:lpstr>MOTORES Y CHECK 6 FROSTLAND 125</vt:lpstr>
      <vt:lpstr>FROSTLAND REP. BOMBA</vt:lpstr>
      <vt:lpstr>BAJAR 4 TRAMOS FROSTLAND</vt:lpstr>
      <vt:lpstr>FROSTLAND TOTAL</vt:lpstr>
      <vt:lpstr>WEST PAK REP. BOMBA</vt:lpstr>
      <vt:lpstr>AGRICOLA ATEMAJAC</vt:lpstr>
      <vt:lpstr>AGRICOLA ATEMAJAC LUBI</vt:lpstr>
      <vt:lpstr>RESUMEN EQUIPOS AGRI ATEMAJAC</vt:lpstr>
      <vt:lpstr>AGRICOLA ATEMAJAC MANG 5"</vt:lpstr>
      <vt:lpstr>AGRICOLA ATEMAJAC MANG 4"</vt:lpstr>
      <vt:lpstr>NARANJITOS REP. BOMBA40 HP</vt:lpstr>
      <vt:lpstr>WEST PAK MOTOR 100 HP</vt:lpstr>
      <vt:lpstr>MANIOBRAS LOS MAZOS</vt:lpstr>
      <vt:lpstr>MOTOR 50 HP BOM NVA STX</vt:lpstr>
      <vt:lpstr>CHECK, CAB Y EMP. NARANJITOS</vt:lpstr>
      <vt:lpstr>NARANJITOS TOTAL</vt:lpstr>
      <vt:lpstr>HORTIFRUT EL SALVADOR POZO 2</vt:lpstr>
      <vt:lpstr>AGRICOLA ATEMAJAC MANTENIMIENTO</vt:lpstr>
      <vt:lpstr>REP MOTOR NARANJITOS 40 HP.</vt:lpstr>
      <vt:lpstr>REPARACION DE VARIADOR</vt:lpstr>
      <vt:lpstr>opciones de bombas (3)</vt:lpstr>
      <vt:lpstr>EXTRAS ATEMAJAC MANG 5"</vt:lpstr>
      <vt:lpstr>RENTA GENERADOR APANGO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Nucleo De Ingeneria MORALES</dc:creator>
  <cp:lastModifiedBy>MORALES URZUA</cp:lastModifiedBy>
  <cp:lastPrinted>2026-01-22T21:08:47Z</cp:lastPrinted>
  <dcterms:created xsi:type="dcterms:W3CDTF">2025-01-03T19:54:05Z</dcterms:created>
  <dcterms:modified xsi:type="dcterms:W3CDTF">2026-02-26T19:13:41Z</dcterms:modified>
</cp:coreProperties>
</file>