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tables/table1.xml" ContentType="application/vnd.openxmlformats-officedocument.spreadsheetml.table+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5559b471b54d63f6/Documentos/ARCHIVOS/PROYECTO NUCLEO DE INGENIERIA APLICADA/COTIZACIONES/"/>
    </mc:Choice>
  </mc:AlternateContent>
  <xr:revisionPtr revIDLastSave="276" documentId="13_ncr:1_{C8A64A01-F9EA-4DDD-A0FF-7017E8E90227}" xr6:coauthVersionLast="47" xr6:coauthVersionMax="47" xr10:uidLastSave="{AB42C384-FEEE-4C8B-A7B4-AF2DED9515A7}"/>
  <bookViews>
    <workbookView xWindow="-108" yWindow="-108" windowWidth="23256" windowHeight="12456" firstSheet="132" activeTab="134" xr2:uid="{132CC6CF-AA4B-41C2-BE7F-C54965E6345C}"/>
  </bookViews>
  <sheets>
    <sheet name="MANIOBRAS EL FRESNITO VALENCIA" sheetId="1" r:id="rId1"/>
    <sheet name="AGRICOLA ATEMAJAC MANG 5&quot;" sheetId="2" r:id="rId2"/>
    <sheet name="WEST PAK MOTOR 100 HP" sheetId="3" r:id="rId3"/>
    <sheet name="MANIOBRAS LOS MAZOS" sheetId="4" r:id="rId4"/>
    <sheet name="AGRICOLA ATEMAJAC MANTENIMIENTO" sheetId="6" r:id="rId5"/>
    <sheet name="REPARACION DE VARIADOR" sheetId="7" r:id="rId6"/>
    <sheet name="EQUIP APANGO " sheetId="9" r:id="rId7"/>
    <sheet name="Maniobra platanar" sheetId="8" r:id="rId8"/>
    <sheet name="MANTTO LA CUESTA SAYULA FINAL" sheetId="10" r:id="rId9"/>
    <sheet name="RENTA VARIADOR TEJERIA" sheetId="11" r:id="rId10"/>
    <sheet name="NARANJITOS TOTAL" sheetId="12" r:id="rId11"/>
    <sheet name="FROSTLAND TOTAL" sheetId="13" r:id="rId12"/>
    <sheet name="PERFORACION COLIMA" sheetId="15" r:id="rId13"/>
    <sheet name="EXTRAS FRESNITO" sheetId="14" r:id="rId14"/>
    <sheet name="MAN EL FRESNITO VALENCIA DESCUE" sheetId="16" r:id="rId15"/>
    <sheet name="MANIOBRAS CAMINO REAL" sheetId="19" r:id="rId16"/>
    <sheet name="AFORO CON 100HP" sheetId="20" r:id="rId17"/>
    <sheet name="AFORO CON 60HP" sheetId="21" r:id="rId18"/>
    <sheet name="HORTIFRUT REBOMBEO CONEX" sheetId="22" r:id="rId19"/>
    <sheet name="HORTIFRUT EL SALVADOR POZO 2" sheetId="5" r:id="rId20"/>
    <sheet name="MOTOR Y BOMBA ATEMAJAC" sheetId="23" r:id="rId21"/>
    <sheet name="EXTRAS ATEMAJAC MANG 5&quot;" sheetId="18" r:id="rId22"/>
    <sheet name="LA LLAVE MANIOBRAS" sheetId="28" r:id="rId23"/>
    <sheet name="LA LLAVE MANGUERA" sheetId="29" r:id="rId24"/>
    <sheet name="LA LLAVE SOLO CABLE " sheetId="31" r:id="rId25"/>
    <sheet name="LA LLAVE FLECHAS" sheetId="32" r:id="rId26"/>
    <sheet name="VIDEO AGRO GONZALEZ" sheetId="33" r:id="rId27"/>
    <sheet name="LA MEXCALERA MANIOBRAS DESC" sheetId="34" r:id="rId28"/>
    <sheet name="LA MEXCALERA MANIOBRAS" sheetId="25" r:id="rId29"/>
    <sheet name="LA MEZCALERA MANGUERA" sheetId="24" r:id="rId30"/>
    <sheet name="LA MEZCALERA SOLO CABLE" sheetId="26" r:id="rId31"/>
    <sheet name="LA MEZCALERA SOLO CABLE DESC" sheetId="35" r:id="rId32"/>
    <sheet name="LA MEZCALERA FLECHAS" sheetId="27" r:id="rId33"/>
    <sheet name="LA MEZCALERA RENTA CABLE" sheetId="36" r:id="rId34"/>
    <sheet name="EL PARADERO SAYULA" sheetId="37" r:id="rId35"/>
    <sheet name="RENTA GENERADOR APANGO 2" sheetId="38" r:id="rId36"/>
    <sheet name="MANIOBRAS G.A. LIMONERA 3" sheetId="39" r:id="rId37"/>
    <sheet name="PIL 3 175 HP. 33 LT 320 SIN CAB" sheetId="40" r:id="rId38"/>
    <sheet name="PILITAS 3 MANIOBRAS" sheetId="41" r:id="rId39"/>
    <sheet name="SALDO GRUPO ALTA" sheetId="42" r:id="rId40"/>
    <sheet name="AFORO LIMONERA 3" sheetId="43" r:id="rId41"/>
    <sheet name="LIMONERA 3 EQUIPO 6LT" sheetId="44" r:id="rId42"/>
    <sheet name="LIMONERA 3 REP. EQUIPO" sheetId="45" r:id="rId43"/>
    <sheet name="DIAGNOSTICO POZO 13 GUAYABAR G." sheetId="46" r:id="rId44"/>
    <sheet name="DIAGNOSTICO POZO 1 HUISICHI" sheetId="47" r:id="rId45"/>
    <sheet name="DIAGNOSTICO POZO 4 LIMONERA" sheetId="48" r:id="rId46"/>
    <sheet name="RESUMEN EQUIPOS ABA VALUE" sheetId="49" r:id="rId47"/>
    <sheet name="ABA VALUE LA GLORIA" sheetId="50" r:id="rId48"/>
    <sheet name="RESUMEN EQUIPOS ABA VALUE 40 LT" sheetId="51" r:id="rId49"/>
    <sheet name="EQUIPO BOMBEO LA GLORIA" sheetId="52" r:id="rId50"/>
    <sheet name="AFORO VALENCIA EL FRESNITO" sheetId="53" r:id="rId51"/>
    <sheet name="MEDIDORES DE FLUJO DE 8&quot;" sheetId="56" r:id="rId52"/>
    <sheet name="SAN JOSE MANIOBTRAS Y 125 HP" sheetId="54" r:id="rId53"/>
    <sheet name="SAN JOSE MANIOBRAS GEYSE" sheetId="57" r:id="rId54"/>
    <sheet name="GUAYABOS MEDIDOR GEYSER" sheetId="58" r:id="rId55"/>
    <sheet name="COTIZACION ABA VALUE " sheetId="64" r:id="rId56"/>
    <sheet name="RENTA VFD TUXPAN" sheetId="65" r:id="rId57"/>
    <sheet name="SAN JOSE CABLE" sheetId="67" r:id="rId58"/>
    <sheet name="MANIOBRAS UNION DE GUADALUPE" sheetId="68" r:id="rId59"/>
    <sheet name="CABLE MEZCALERA PARA CHAT" sheetId="69" r:id="rId60"/>
    <sheet name="MANIOBRAS CON GRUA TUXPAN (2)" sheetId="70" r:id="rId61"/>
    <sheet name="MANIOBRAS CON GRUA TUXPAN" sheetId="66" r:id="rId62"/>
    <sheet name="EXTRAS TUXPAN POZO AYTO" sheetId="71" r:id="rId63"/>
    <sheet name="VIDEO AYTO ZAPOTILTIC" sheetId="72" r:id="rId64"/>
    <sheet name="AGROPECUARIA VILLANUEVA" sheetId="73" r:id="rId65"/>
    <sheet name="VIDEO SAPAZA" sheetId="74" r:id="rId66"/>
    <sheet name="INST BOMB SIICSA" sheetId="75" r:id="rId67"/>
    <sheet name="CABLE SEM NUEVO MEZCALERA" sheetId="76" r:id="rId68"/>
    <sheet name="SAPAZA MATTO POZO PROVIDENCIA" sheetId="77" r:id="rId69"/>
    <sheet name="RENTA GRUA TEPIC" sheetId="78" r:id="rId70"/>
    <sheet name="MANIOBRAS CON GRUA TUXPAN ( (3)" sheetId="79" r:id="rId71"/>
    <sheet name="EQUIP ZAPOTIL BASICO" sheetId="80" r:id="rId72"/>
    <sheet name="RESUMEN EQUIPOS ZAPOTILTIC" sheetId="82" r:id="rId73"/>
    <sheet name="BOMBEO SOLAR EL BOMBON" sheetId="83" r:id="rId74"/>
    <sheet name="COMISIONES JOEL" sheetId="55" r:id="rId75"/>
    <sheet name="EJEMPLO EXPO AFORO" sheetId="84" r:id="rId76"/>
    <sheet name="MANIOBRA awajal" sheetId="86" r:id="rId77"/>
    <sheet name="LIMONERA 3 REP. BOMBA MOT NUEVO" sheetId="87" r:id="rId78"/>
    <sheet name="MANIOBRA CHIQUILISTLAN" sheetId="85" r:id="rId79"/>
    <sheet name="LA MEZCALERA EQUIP BOMBEO" sheetId="92" r:id="rId80"/>
    <sheet name="AYTO ZAPOTILTIC TAXINAZT" sheetId="93" r:id="rId81"/>
    <sheet name="AYTO ZAPOTILTIC TAXINAZT VDE" sheetId="94" r:id="rId82"/>
    <sheet name="AYTO ZAPOTILTIC SERIE X" sheetId="95" r:id="rId83"/>
    <sheet name="LA MEXCALERA 40 LT SME-HIERRO" sheetId="96" r:id="rId84"/>
    <sheet name="LA MEXCALERA 40 LT OPC. VARIAS" sheetId="97" r:id="rId85"/>
    <sheet name="AFORO EQUIP INST EL ANGEL" sheetId="98" r:id="rId86"/>
    <sheet name="MTTO. POZO LA MEZCALERA" sheetId="100" r:id="rId87"/>
    <sheet name="MANIOBR FRESNITO" sheetId="101" r:id="rId88"/>
    <sheet name="AFORO HECTOR VALENCIA" sheetId="102" r:id="rId89"/>
    <sheet name="MANIOBR FRESNITO (2)" sheetId="103" r:id="rId90"/>
    <sheet name="MANIOBR FRESNITO IVA Y SIN IVA" sheetId="106" r:id="rId91"/>
    <sheet name="REP. ABA VALUE" sheetId="107" r:id="rId92"/>
    <sheet name="MAN FEDERICO PLASCENCIA JAZMIN" sheetId="108" r:id="rId93"/>
    <sheet name="REP. ABA VALUE (2)" sheetId="109" r:id="rId94"/>
    <sheet name="SUBESTA 225 KVA" sheetId="111" r:id="rId95"/>
    <sheet name="MED DE FLUJO DE 8&quot; RINCON" sheetId="105" r:id="rId96"/>
    <sheet name="MED DE FLUJO DE 8&quot; RINCON 2" sheetId="112" r:id="rId97"/>
    <sheet name="MANIOBRA COFRADIA" sheetId="113" r:id="rId98"/>
    <sheet name="AFORO AYTO. ZAPOTILTIC" sheetId="110" r:id="rId99"/>
    <sheet name="EQUIP ZAPOTIL LAS MORAS BASICO" sheetId="115" r:id="rId100"/>
    <sheet name="EQUIP ZAPOTIL PREMIUM LAS MORAS" sheetId="116" r:id="rId101"/>
    <sheet name="RES. EQUIPOS LAS MORAS" sheetId="117" r:id="rId102"/>
    <sheet name="EQUIP ZAPOTIL PREMIUM" sheetId="81" r:id="rId103"/>
    <sheet name="TUBERIA 10&quot; AYOT ZAPOTILTIC (2)" sheetId="125" r:id="rId104"/>
    <sheet name="TUBERIA 10&quot; AYOT ZAPOTILTIC" sheetId="114" r:id="rId105"/>
    <sheet name="TUBERIA 8&quot; ZAPO LAS MORAS" sheetId="118" r:id="rId106"/>
    <sheet name="REVISIONES POZO PILINQUE" sheetId="119" r:id="rId107"/>
    <sheet name="REVISIONES AGUA ESCONDIDA" sheetId="121" r:id="rId108"/>
    <sheet name="MATTO VFD RAFA PARTIDA" sheetId="120" r:id="rId109"/>
    <sheet name="CHECK AGRO GONZALES" sheetId="122" r:id="rId110"/>
    <sheet name="MANIOBR LA LLAVE 3" sheetId="126" r:id="rId111"/>
    <sheet name="DON MEMO SME-FRANKLIN" sheetId="127" r:id="rId112"/>
    <sheet name="DON MEMO ALT. FUNDICION" sheetId="128" r:id="rId113"/>
    <sheet name="DON MEMO SME-FRAN 150 HP" sheetId="129" r:id="rId114"/>
    <sheet name="MTTO. POZO LA LLAVE 3" sheetId="130" r:id="rId115"/>
    <sheet name="DON MEMO AFORO Y VIDEO" sheetId="131" r:id="rId116"/>
    <sheet name="MTTO. POZO DON MEMO" sheetId="132" r:id="rId117"/>
    <sheet name="MANIOBRA DON MEMO 300 MT" sheetId="133" r:id="rId118"/>
    <sheet name="MED DE FLUJO DE 8&quot; EL ANGEL" sheetId="134" r:id="rId119"/>
    <sheet name="MED DE FLUJO DE 6 EL ANGEL" sheetId="135" r:id="rId120"/>
    <sheet name="SUB MONITOR FRESNITO" sheetId="104" r:id="rId121"/>
    <sheet name="AFORO Y VIDEO AMAURY COLIMA" sheetId="136" r:id="rId122"/>
    <sheet name="MTTO. RAFA PARTIDA" sheetId="140" r:id="rId123"/>
    <sheet name="AFORO SHIMIZU COLIMA" sheetId="88" r:id="rId124"/>
    <sheet name="AFORO SHIMIZU COLIMA pocito" sheetId="89" r:id="rId125"/>
    <sheet name="AFORO SHIMIZU final" sheetId="90" r:id="rId126"/>
    <sheet name="AFORO SHIMIZU pocito final" sheetId="91" r:id="rId127"/>
    <sheet name="AFORO Y VIDEO ABA POZO 1 FONDO" sheetId="137" r:id="rId128"/>
    <sheet name="AFORO Y VIDEO ABA POZO 2" sheetId="138" r:id="rId129"/>
    <sheet name="AFORO Y VIDEO ABA ESTANQUE 1" sheetId="139" r:id="rId130"/>
    <sheet name="AFORO Y VIDEO ABA POZO ESTANQUE" sheetId="141" r:id="rId131"/>
    <sheet name="AFORO Y VIDEO ABA CAMICHIN 1" sheetId="142" r:id="rId132"/>
    <sheet name="AFORO Y VIDEO ABA CAMICHIN 2" sheetId="143" r:id="rId133"/>
    <sheet name="VIDEO AYTO ZAPO sauces" sheetId="144" r:id="rId134"/>
    <sheet name="ASESORIA AYTO ZAPOTILTIC" sheetId="145" r:id="rId135"/>
  </sheets>
  <externalReferences>
    <externalReference r:id="rId136"/>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6" i="145" l="1"/>
  <c r="D17" i="145" s="1"/>
  <c r="D17" i="144"/>
  <c r="D18" i="144" s="1"/>
  <c r="D19" i="144" s="1"/>
  <c r="D16" i="144"/>
  <c r="D21" i="141"/>
  <c r="D20" i="141"/>
  <c r="D19" i="141"/>
  <c r="D18" i="141"/>
  <c r="C17" i="141"/>
  <c r="D17" i="141" s="1"/>
  <c r="D16" i="141"/>
  <c r="D20" i="143"/>
  <c r="D22" i="142"/>
  <c r="C20" i="142"/>
  <c r="C16" i="142"/>
  <c r="C17" i="142"/>
  <c r="D21" i="142"/>
  <c r="D20" i="142"/>
  <c r="D19" i="142"/>
  <c r="D18" i="142"/>
  <c r="D17" i="142"/>
  <c r="D16" i="142"/>
  <c r="D19" i="143"/>
  <c r="D21" i="143"/>
  <c r="C17" i="143"/>
  <c r="D16" i="143"/>
  <c r="D18" i="143"/>
  <c r="D17" i="143"/>
  <c r="C16" i="139"/>
  <c r="D17" i="91"/>
  <c r="D18" i="91"/>
  <c r="D20" i="90"/>
  <c r="C25" i="140"/>
  <c r="D25" i="140" s="1"/>
  <c r="C16" i="140"/>
  <c r="D16" i="140" s="1"/>
  <c r="D28" i="140"/>
  <c r="D27" i="140"/>
  <c r="C26" i="140"/>
  <c r="D26" i="140" s="1"/>
  <c r="D23" i="140"/>
  <c r="C22" i="140"/>
  <c r="D22" i="140" s="1"/>
  <c r="C21" i="140"/>
  <c r="D21" i="140" s="1"/>
  <c r="D18" i="140"/>
  <c r="D19" i="145" l="1"/>
  <c r="D22" i="141"/>
  <c r="D22" i="143"/>
  <c r="D23" i="143" s="1"/>
  <c r="D24" i="143" s="1"/>
  <c r="D23" i="142"/>
  <c r="D24" i="142" s="1"/>
  <c r="D23" i="141"/>
  <c r="D24" i="141" s="1"/>
  <c r="D29" i="140"/>
  <c r="D30" i="140" s="1"/>
  <c r="D31" i="140"/>
  <c r="D17" i="139" l="1"/>
  <c r="D16" i="139"/>
  <c r="D21" i="139" s="1"/>
  <c r="D17" i="138"/>
  <c r="D16" i="138"/>
  <c r="D19" i="138" s="1"/>
  <c r="C16" i="137"/>
  <c r="D17" i="137"/>
  <c r="D16" i="137"/>
  <c r="D22" i="139" l="1"/>
  <c r="D23" i="139" s="1"/>
  <c r="D20" i="138"/>
  <c r="D21" i="138" s="1"/>
  <c r="D19" i="137"/>
  <c r="D20" i="137"/>
  <c r="D21" i="137" s="1"/>
  <c r="D17" i="136" l="1"/>
  <c r="D16" i="136"/>
  <c r="D18" i="136" s="1"/>
  <c r="D19" i="136" l="1"/>
  <c r="D20" i="136" s="1"/>
  <c r="D28" i="104" l="1"/>
  <c r="C14" i="135"/>
  <c r="C16" i="135"/>
  <c r="C15" i="135"/>
  <c r="C13" i="135"/>
  <c r="D16" i="135" l="1"/>
  <c r="D15" i="135"/>
  <c r="D14" i="135"/>
  <c r="D13" i="135"/>
  <c r="C17" i="134" l="1"/>
  <c r="D17" i="134" s="1"/>
  <c r="D16" i="134"/>
  <c r="C16" i="134"/>
  <c r="C15" i="134"/>
  <c r="D15" i="134" s="1"/>
  <c r="C14" i="134"/>
  <c r="D14" i="134" s="1"/>
  <c r="C13" i="134"/>
  <c r="D13" i="134" s="1"/>
  <c r="D21" i="126"/>
  <c r="D16" i="126"/>
  <c r="D22" i="133"/>
  <c r="C17" i="133"/>
  <c r="D17" i="133" s="1"/>
  <c r="C16" i="133"/>
  <c r="D20" i="133"/>
  <c r="D19" i="133"/>
  <c r="C18" i="133"/>
  <c r="D18" i="133" s="1"/>
  <c r="D16" i="133"/>
  <c r="D21" i="132"/>
  <c r="C20" i="132"/>
  <c r="D20" i="132" s="1"/>
  <c r="C19" i="132"/>
  <c r="D19" i="132" s="1"/>
  <c r="D16" i="132"/>
  <c r="D17" i="131"/>
  <c r="D16" i="131"/>
  <c r="D21" i="130"/>
  <c r="C20" i="130"/>
  <c r="D20" i="130" s="1"/>
  <c r="C19" i="130"/>
  <c r="D19" i="130" s="1"/>
  <c r="D16" i="130"/>
  <c r="D22" i="130" s="1"/>
  <c r="C17" i="129"/>
  <c r="C16" i="129"/>
  <c r="D17" i="129"/>
  <c r="D16" i="129"/>
  <c r="D18" i="129" s="1"/>
  <c r="C17" i="127"/>
  <c r="C16" i="127"/>
  <c r="D17" i="128"/>
  <c r="C17" i="128"/>
  <c r="C16" i="128"/>
  <c r="D16" i="128" s="1"/>
  <c r="D18" i="128" s="1"/>
  <c r="D21" i="133" l="1"/>
  <c r="D23" i="133" s="1"/>
  <c r="D22" i="132"/>
  <c r="D18" i="131"/>
  <c r="D19" i="131" s="1"/>
  <c r="D20" i="131" s="1"/>
  <c r="D23" i="130"/>
  <c r="D24" i="130" s="1"/>
  <c r="D19" i="129"/>
  <c r="D20" i="129" s="1"/>
  <c r="D20" i="128"/>
  <c r="D19" i="128"/>
  <c r="D23" i="132" l="1"/>
  <c r="D24" i="132" s="1"/>
  <c r="D17" i="127" l="1"/>
  <c r="D16" i="127"/>
  <c r="D18" i="127" s="1"/>
  <c r="D17" i="126"/>
  <c r="D19" i="126"/>
  <c r="D20" i="126"/>
  <c r="D18" i="126"/>
  <c r="C205" i="125"/>
  <c r="C204" i="125"/>
  <c r="C42" i="125"/>
  <c r="D42" i="125" s="1"/>
  <c r="D22" i="126" l="1"/>
  <c r="D23" i="126" s="1"/>
  <c r="D19" i="127"/>
  <c r="D20" i="127" s="1"/>
  <c r="C15" i="81"/>
  <c r="D75" i="125"/>
  <c r="D74" i="125"/>
  <c r="D73" i="125"/>
  <c r="D72" i="125"/>
  <c r="C71" i="125"/>
  <c r="D71" i="125" s="1"/>
  <c r="C70" i="125"/>
  <c r="D70" i="125" s="1"/>
  <c r="C69" i="125"/>
  <c r="D69" i="125" s="1"/>
  <c r="D78" i="125" l="1"/>
  <c r="D79" i="125" s="1"/>
  <c r="D80" i="125" s="1"/>
  <c r="D43" i="125"/>
  <c r="C18" i="125"/>
  <c r="D18" i="125" s="1"/>
  <c r="C17" i="125"/>
  <c r="D17" i="125" s="1"/>
  <c r="C30" i="114"/>
  <c r="D30" i="114" s="1"/>
  <c r="D32" i="114" s="1"/>
  <c r="C31" i="114"/>
  <c r="D31" i="114" s="1"/>
  <c r="C18" i="122"/>
  <c r="C16" i="122"/>
  <c r="C17" i="122"/>
  <c r="D17" i="122" s="1"/>
  <c r="C23" i="122"/>
  <c r="D23" i="122" s="1"/>
  <c r="C22" i="122"/>
  <c r="D22" i="122" s="1"/>
  <c r="D21" i="122"/>
  <c r="D20" i="122"/>
  <c r="D18" i="122"/>
  <c r="D16" i="122"/>
  <c r="D16" i="121"/>
  <c r="D18" i="121" s="1"/>
  <c r="D19" i="121" s="1"/>
  <c r="D16" i="120"/>
  <c r="D18" i="120" s="1"/>
  <c r="D16" i="119"/>
  <c r="C17" i="118"/>
  <c r="C16" i="118"/>
  <c r="D17" i="118"/>
  <c r="D16" i="118"/>
  <c r="D44" i="116"/>
  <c r="D43" i="116"/>
  <c r="C42" i="116"/>
  <c r="D42" i="116" s="1"/>
  <c r="D41" i="116"/>
  <c r="C41" i="116"/>
  <c r="C40" i="116"/>
  <c r="D40" i="116" s="1"/>
  <c r="C39" i="116"/>
  <c r="D39" i="116" s="1"/>
  <c r="C38" i="116"/>
  <c r="D38" i="116" s="1"/>
  <c r="C37" i="116"/>
  <c r="D37" i="116" s="1"/>
  <c r="D36" i="116"/>
  <c r="C35" i="116"/>
  <c r="D35" i="116" s="1"/>
  <c r="C34" i="116"/>
  <c r="D34" i="116" s="1"/>
  <c r="C15" i="116"/>
  <c r="C17" i="116"/>
  <c r="C19" i="116"/>
  <c r="C18" i="116"/>
  <c r="D29" i="116"/>
  <c r="D27" i="116"/>
  <c r="D25" i="116"/>
  <c r="C24" i="116"/>
  <c r="D24" i="116" s="1"/>
  <c r="C18" i="115"/>
  <c r="C24" i="115"/>
  <c r="C35" i="115"/>
  <c r="C32" i="115"/>
  <c r="D44" i="125" l="1"/>
  <c r="D45" i="125" s="1"/>
  <c r="D46" i="125" s="1"/>
  <c r="D47" i="125" s="1"/>
  <c r="D19" i="125"/>
  <c r="D20" i="125" s="1"/>
  <c r="D21" i="125" s="1"/>
  <c r="D33" i="114"/>
  <c r="D34" i="114" s="1"/>
  <c r="D20" i="121"/>
  <c r="D19" i="120"/>
  <c r="D20" i="120" s="1"/>
  <c r="D18" i="119"/>
  <c r="D19" i="119" s="1"/>
  <c r="D20" i="119" s="1"/>
  <c r="D18" i="118"/>
  <c r="D19" i="118" s="1"/>
  <c r="D20" i="118" s="1"/>
  <c r="C19" i="115" l="1"/>
  <c r="C15" i="115"/>
  <c r="C17" i="115"/>
  <c r="D54" i="117"/>
  <c r="D53" i="117"/>
  <c r="C53" i="117"/>
  <c r="D52" i="117"/>
  <c r="D51" i="117"/>
  <c r="D49" i="117"/>
  <c r="C48" i="117"/>
  <c r="D48" i="117" s="1"/>
  <c r="C47" i="117"/>
  <c r="D47" i="117" s="1"/>
  <c r="C46" i="117"/>
  <c r="D46" i="117" s="1"/>
  <c r="C42" i="117"/>
  <c r="D42" i="117" s="1"/>
  <c r="C41" i="117"/>
  <c r="D41" i="117" s="1"/>
  <c r="D40" i="117"/>
  <c r="C40" i="117"/>
  <c r="C39" i="117"/>
  <c r="D39" i="117" s="1"/>
  <c r="C35" i="117"/>
  <c r="D35" i="117" s="1"/>
  <c r="D34" i="117"/>
  <c r="D33" i="117"/>
  <c r="C29" i="117"/>
  <c r="D29" i="117" s="1"/>
  <c r="C28" i="117"/>
  <c r="D28" i="117" s="1"/>
  <c r="D27" i="117"/>
  <c r="C27" i="117"/>
  <c r="C22" i="117"/>
  <c r="D22" i="117" s="1"/>
  <c r="C20" i="117"/>
  <c r="D20" i="117" s="1"/>
  <c r="C18" i="117"/>
  <c r="D18" i="117" s="1"/>
  <c r="C17" i="117"/>
  <c r="D17" i="117" s="1"/>
  <c r="C15" i="117"/>
  <c r="D15" i="117" s="1"/>
  <c r="D33" i="116"/>
  <c r="D32" i="116"/>
  <c r="C32" i="116"/>
  <c r="C31" i="116"/>
  <c r="D31" i="116" s="1"/>
  <c r="D30" i="116"/>
  <c r="D19" i="116"/>
  <c r="D18" i="116"/>
  <c r="D17" i="116"/>
  <c r="D15" i="116"/>
  <c r="D44" i="115"/>
  <c r="D43" i="115"/>
  <c r="C42" i="115"/>
  <c r="D42" i="115" s="1"/>
  <c r="C41" i="115"/>
  <c r="D41" i="115" s="1"/>
  <c r="C40" i="115"/>
  <c r="D40" i="115" s="1"/>
  <c r="C39" i="115"/>
  <c r="D39" i="115" s="1"/>
  <c r="C38" i="115"/>
  <c r="D38" i="115" s="1"/>
  <c r="C37" i="115"/>
  <c r="D37" i="115" s="1"/>
  <c r="D36" i="115"/>
  <c r="D35" i="115"/>
  <c r="C34" i="115"/>
  <c r="D34" i="115" s="1"/>
  <c r="D33" i="115"/>
  <c r="D32" i="115"/>
  <c r="C31" i="115"/>
  <c r="D31" i="115" s="1"/>
  <c r="D30" i="115"/>
  <c r="D29" i="115"/>
  <c r="D27" i="115"/>
  <c r="D25" i="115"/>
  <c r="D24" i="115"/>
  <c r="D20" i="115"/>
  <c r="D19" i="115"/>
  <c r="D18" i="115"/>
  <c r="D17" i="115"/>
  <c r="D15" i="115"/>
  <c r="D24" i="110"/>
  <c r="C23" i="110"/>
  <c r="D23" i="110" s="1"/>
  <c r="D25" i="110" s="1"/>
  <c r="D17" i="110"/>
  <c r="C24" i="114"/>
  <c r="D24" i="114" s="1"/>
  <c r="C23" i="114"/>
  <c r="D23" i="114"/>
  <c r="C17" i="114"/>
  <c r="D17" i="114" s="1"/>
  <c r="C16" i="114"/>
  <c r="D16" i="114" s="1"/>
  <c r="D46" i="115" l="1"/>
  <c r="D46" i="116"/>
  <c r="D26" i="110"/>
  <c r="D27" i="110" s="1"/>
  <c r="D28" i="110" s="1"/>
  <c r="D25" i="114"/>
  <c r="D26" i="114" s="1"/>
  <c r="D27" i="114" s="1"/>
  <c r="D18" i="114"/>
  <c r="D19" i="114" s="1"/>
  <c r="D20" i="114" s="1"/>
  <c r="D47" i="116" l="1"/>
  <c r="D48" i="116" s="1"/>
  <c r="D47" i="115"/>
  <c r="D48" i="115" s="1"/>
  <c r="D16" i="113" l="1"/>
  <c r="D17" i="113" s="1"/>
  <c r="D19" i="113" l="1"/>
  <c r="C14" i="112" l="1"/>
  <c r="D14" i="112" s="1"/>
  <c r="C13" i="112"/>
  <c r="D13" i="112" s="1"/>
  <c r="C17" i="111"/>
  <c r="D17" i="111"/>
  <c r="C18" i="111"/>
  <c r="D18" i="111"/>
  <c r="C19" i="111"/>
  <c r="D19" i="111"/>
  <c r="D20" i="111"/>
  <c r="D21" i="111"/>
  <c r="D22" i="111"/>
  <c r="D23" i="111"/>
  <c r="D26" i="111"/>
  <c r="D27" i="111"/>
  <c r="D28" i="111"/>
  <c r="C16" i="102"/>
  <c r="C16" i="110"/>
  <c r="D16" i="110" s="1"/>
  <c r="D18" i="110" s="1"/>
  <c r="D19" i="110" s="1"/>
  <c r="D20" i="110" s="1"/>
  <c r="D18" i="109"/>
  <c r="D17" i="109"/>
  <c r="C17" i="109"/>
  <c r="C16" i="109"/>
  <c r="D16" i="109" s="1"/>
  <c r="D21" i="110" l="1"/>
  <c r="D19" i="109"/>
  <c r="D20" i="109" s="1"/>
  <c r="D17" i="108" l="1"/>
  <c r="C17" i="108"/>
  <c r="C16" i="108"/>
  <c r="D16" i="108" s="1"/>
  <c r="D20" i="108"/>
  <c r="D19" i="108"/>
  <c r="C18" i="108"/>
  <c r="D18" i="108" s="1"/>
  <c r="D21" i="108" l="1"/>
  <c r="D22" i="108" s="1"/>
  <c r="D23" i="108" s="1"/>
  <c r="C15" i="105"/>
  <c r="C16" i="105"/>
  <c r="C17" i="105"/>
  <c r="C14" i="105"/>
  <c r="C13" i="105"/>
  <c r="D14" i="105"/>
  <c r="D16" i="107"/>
  <c r="D17" i="107" s="1"/>
  <c r="C16" i="107"/>
  <c r="D18" i="107" l="1"/>
  <c r="D19" i="107" s="1"/>
  <c r="D33" i="106" l="1"/>
  <c r="D29" i="106"/>
  <c r="D28" i="106"/>
  <c r="C20" i="106"/>
  <c r="D20" i="106" s="1"/>
  <c r="D19" i="106"/>
  <c r="D18" i="106"/>
  <c r="C17" i="106"/>
  <c r="D17" i="106" s="1"/>
  <c r="C27" i="106"/>
  <c r="D27" i="106" s="1"/>
  <c r="D16" i="106"/>
  <c r="D21" i="106" s="1"/>
  <c r="C26" i="106"/>
  <c r="D26" i="106" s="1"/>
  <c r="D30" i="106" s="1"/>
  <c r="D24" i="104"/>
  <c r="C18" i="104"/>
  <c r="D18" i="104" s="1"/>
  <c r="C19" i="104"/>
  <c r="D19" i="104" s="1"/>
  <c r="C19" i="103"/>
  <c r="C16" i="103"/>
  <c r="D17" i="105"/>
  <c r="D16" i="105"/>
  <c r="D15" i="105"/>
  <c r="D13" i="105"/>
  <c r="D16" i="103"/>
  <c r="D24" i="103"/>
  <c r="D25" i="103"/>
  <c r="C23" i="103"/>
  <c r="D23" i="103" s="1"/>
  <c r="C20" i="103"/>
  <c r="D20" i="103" s="1"/>
  <c r="D18" i="103"/>
  <c r="D17" i="103"/>
  <c r="D19" i="103"/>
  <c r="D26" i="103" s="1"/>
  <c r="D22" i="103"/>
  <c r="D21" i="103"/>
  <c r="D16" i="102"/>
  <c r="D18" i="102" s="1"/>
  <c r="D19" i="102" s="1"/>
  <c r="D20" i="104" l="1"/>
  <c r="D21" i="104" s="1"/>
  <c r="D22" i="104" s="1"/>
  <c r="D27" i="103"/>
  <c r="D20" i="102"/>
  <c r="D28" i="103" l="1"/>
  <c r="D22" i="101" l="1"/>
  <c r="D21" i="101"/>
  <c r="D20" i="101"/>
  <c r="C20" i="101"/>
  <c r="D19" i="101"/>
  <c r="C18" i="101"/>
  <c r="D18" i="101" s="1"/>
  <c r="C17" i="101"/>
  <c r="D17" i="101" s="1"/>
  <c r="C16" i="101"/>
  <c r="D16" i="101" s="1"/>
  <c r="D23" i="101" s="1"/>
  <c r="D22" i="100"/>
  <c r="D16" i="100"/>
  <c r="C20" i="100"/>
  <c r="D20" i="100" s="1"/>
  <c r="C19" i="100"/>
  <c r="D19" i="100" s="1"/>
  <c r="D21" i="100"/>
  <c r="D17" i="98"/>
  <c r="D18" i="98" s="1"/>
  <c r="D24" i="101" l="1"/>
  <c r="D25" i="101" s="1"/>
  <c r="D23" i="100"/>
  <c r="D24" i="100" s="1"/>
  <c r="D19" i="98"/>
  <c r="D20" i="98" s="1"/>
  <c r="D23" i="96" l="1"/>
  <c r="D24" i="96" l="1"/>
  <c r="C18" i="96"/>
  <c r="D18" i="96" s="1"/>
  <c r="C17" i="96"/>
  <c r="D17" i="96" s="1"/>
  <c r="C33" i="97"/>
  <c r="D33" i="97" s="1"/>
  <c r="C32" i="97"/>
  <c r="D32" i="97" s="1"/>
  <c r="C29" i="97"/>
  <c r="D29" i="97" s="1"/>
  <c r="C28" i="97"/>
  <c r="D28" i="97" s="1"/>
  <c r="C21" i="97"/>
  <c r="D21" i="97" s="1"/>
  <c r="C20" i="97"/>
  <c r="C25" i="97"/>
  <c r="D25" i="97" s="1"/>
  <c r="C24" i="97"/>
  <c r="D24" i="97" s="1"/>
  <c r="D26" i="97" s="1"/>
  <c r="D20" i="97"/>
  <c r="C17" i="97"/>
  <c r="D17" i="97" s="1"/>
  <c r="C16" i="97"/>
  <c r="D16" i="97" s="1"/>
  <c r="D18" i="97" s="1"/>
  <c r="C20" i="96"/>
  <c r="D20" i="96" s="1"/>
  <c r="C16" i="96"/>
  <c r="D16" i="96" s="1"/>
  <c r="D22" i="96"/>
  <c r="D21" i="96"/>
  <c r="D19" i="96"/>
  <c r="C13" i="94"/>
  <c r="C18" i="95"/>
  <c r="C17" i="95"/>
  <c r="D21" i="95"/>
  <c r="D20" i="95"/>
  <c r="D19" i="95"/>
  <c r="D18" i="95"/>
  <c r="D17" i="95"/>
  <c r="D16" i="95"/>
  <c r="C13" i="93"/>
  <c r="D13" i="93" s="1"/>
  <c r="C12" i="94"/>
  <c r="D12" i="94" s="1"/>
  <c r="D16" i="94"/>
  <c r="D15" i="94"/>
  <c r="D14" i="94"/>
  <c r="D13" i="94"/>
  <c r="D11" i="94"/>
  <c r="C14" i="93"/>
  <c r="D17" i="93"/>
  <c r="D16" i="93"/>
  <c r="D15" i="93"/>
  <c r="D14" i="93"/>
  <c r="D12" i="93"/>
  <c r="C16" i="92"/>
  <c r="D16" i="92" s="1"/>
  <c r="D21" i="92"/>
  <c r="D20" i="92"/>
  <c r="C19" i="92"/>
  <c r="D19" i="92" s="1"/>
  <c r="D18" i="92"/>
  <c r="D17" i="92"/>
  <c r="D24" i="85"/>
  <c r="D23" i="85"/>
  <c r="C21" i="85"/>
  <c r="C20" i="85"/>
  <c r="D17" i="90"/>
  <c r="D17" i="88"/>
  <c r="D16" i="91"/>
  <c r="D20" i="91" s="1"/>
  <c r="D21" i="91" s="1"/>
  <c r="D22" i="91" s="1"/>
  <c r="D16" i="90"/>
  <c r="C17" i="87"/>
  <c r="D16" i="89"/>
  <c r="D19" i="89" s="1"/>
  <c r="D21" i="89" s="1"/>
  <c r="D34" i="97" l="1"/>
  <c r="D30" i="97"/>
  <c r="D22" i="97"/>
  <c r="D18" i="93"/>
  <c r="D19" i="93" s="1"/>
  <c r="D20" i="93" s="1"/>
  <c r="D17" i="94"/>
  <c r="D22" i="95"/>
  <c r="D23" i="95"/>
  <c r="D24" i="95" s="1"/>
  <c r="D18" i="94"/>
  <c r="D19" i="94" s="1"/>
  <c r="D22" i="92"/>
  <c r="D23" i="92" s="1"/>
  <c r="D24" i="92" s="1"/>
  <c r="D19" i="90"/>
  <c r="D21" i="90" s="1"/>
  <c r="D16" i="88"/>
  <c r="D19" i="88" s="1"/>
  <c r="D17" i="87"/>
  <c r="C16" i="87"/>
  <c r="D16" i="87"/>
  <c r="D19" i="86"/>
  <c r="D18" i="86"/>
  <c r="D16" i="86"/>
  <c r="D15" i="86"/>
  <c r="D20" i="86" s="1"/>
  <c r="D25" i="96" l="1"/>
  <c r="D21" i="88"/>
  <c r="D18" i="87"/>
  <c r="D19" i="87"/>
  <c r="D20" i="87" s="1"/>
  <c r="D21" i="86"/>
  <c r="D22" i="86" s="1"/>
  <c r="D20" i="85" l="1"/>
  <c r="D21" i="85"/>
  <c r="D19" i="85"/>
  <c r="D16" i="85"/>
  <c r="D18" i="85"/>
  <c r="D15" i="85"/>
  <c r="D25" i="85" l="1"/>
  <c r="D26" i="85" s="1"/>
  <c r="D17" i="84" l="1"/>
  <c r="D18" i="84"/>
  <c r="D24" i="84"/>
  <c r="D20" i="84"/>
  <c r="D21" i="84"/>
  <c r="D22" i="84"/>
  <c r="D16" i="84"/>
  <c r="D70" i="83"/>
  <c r="C58" i="83"/>
  <c r="C53" i="83"/>
  <c r="C41" i="83"/>
  <c r="D41" i="83" s="1"/>
  <c r="C27" i="83"/>
  <c r="D27" i="83" s="1"/>
  <c r="C59" i="83"/>
  <c r="D59" i="83" s="1"/>
  <c r="D68" i="83"/>
  <c r="D69" i="83"/>
  <c r="D67" i="83"/>
  <c r="D66" i="83"/>
  <c r="D65" i="83"/>
  <c r="D64" i="83"/>
  <c r="D63" i="83"/>
  <c r="D62" i="83"/>
  <c r="D61" i="83"/>
  <c r="D60" i="83"/>
  <c r="D58" i="83"/>
  <c r="D57" i="83"/>
  <c r="D56" i="83"/>
  <c r="D55" i="83"/>
  <c r="D53" i="83"/>
  <c r="C24" i="83"/>
  <c r="D24" i="83" s="1"/>
  <c r="C26" i="83"/>
  <c r="D26" i="83" s="1"/>
  <c r="C25" i="83"/>
  <c r="D25" i="83" s="1"/>
  <c r="C23" i="83"/>
  <c r="D23" i="83" s="1"/>
  <c r="C22" i="83"/>
  <c r="D22" i="83" s="1"/>
  <c r="C21" i="83"/>
  <c r="D21" i="83" s="1"/>
  <c r="C20" i="83"/>
  <c r="D20" i="83" s="1"/>
  <c r="C19" i="83"/>
  <c r="D19" i="83" s="1"/>
  <c r="C18" i="83"/>
  <c r="D18" i="83" s="1"/>
  <c r="C17" i="83"/>
  <c r="D17" i="83" s="1"/>
  <c r="C16" i="83"/>
  <c r="D16" i="83" s="1"/>
  <c r="C15" i="83"/>
  <c r="D15" i="83" s="1"/>
  <c r="D25" i="84" l="1"/>
  <c r="D26" i="84" s="1"/>
  <c r="D71" i="83"/>
  <c r="D72" i="83" s="1"/>
  <c r="D49" i="82" l="1"/>
  <c r="C48" i="82"/>
  <c r="C47" i="82"/>
  <c r="C46" i="82"/>
  <c r="D46" i="82" s="1"/>
  <c r="C19" i="81"/>
  <c r="C18" i="81"/>
  <c r="C41" i="82"/>
  <c r="D41" i="82" s="1"/>
  <c r="C42" i="82"/>
  <c r="D42" i="82" s="1"/>
  <c r="C40" i="82"/>
  <c r="D40" i="82" s="1"/>
  <c r="C39" i="82"/>
  <c r="D39" i="82" s="1"/>
  <c r="D33" i="82"/>
  <c r="C28" i="82"/>
  <c r="D28" i="82" s="1"/>
  <c r="C29" i="82"/>
  <c r="D29" i="82" s="1"/>
  <c r="C22" i="82"/>
  <c r="D22" i="82" s="1"/>
  <c r="C20" i="82"/>
  <c r="D20" i="82" s="1"/>
  <c r="C17" i="82"/>
  <c r="D17" i="82" s="1"/>
  <c r="C18" i="82"/>
  <c r="D18" i="82" s="1"/>
  <c r="C15" i="82"/>
  <c r="D15" i="82" s="1"/>
  <c r="D54" i="82"/>
  <c r="C53" i="82"/>
  <c r="D53" i="82" s="1"/>
  <c r="D52" i="82"/>
  <c r="D51" i="82"/>
  <c r="D48" i="82"/>
  <c r="D47" i="82"/>
  <c r="C35" i="82"/>
  <c r="D35" i="82" s="1"/>
  <c r="D34" i="82"/>
  <c r="C27" i="82"/>
  <c r="D27" i="82" s="1"/>
  <c r="D43" i="80"/>
  <c r="C20" i="81"/>
  <c r="C17" i="81"/>
  <c r="C29" i="81"/>
  <c r="D41" i="81"/>
  <c r="D40" i="81"/>
  <c r="C39" i="81"/>
  <c r="D39" i="81" s="1"/>
  <c r="C38" i="81"/>
  <c r="D38" i="81" s="1"/>
  <c r="C37" i="81"/>
  <c r="D37" i="81" s="1"/>
  <c r="D36" i="81"/>
  <c r="C36" i="81"/>
  <c r="C35" i="81"/>
  <c r="D35" i="81" s="1"/>
  <c r="D34" i="81"/>
  <c r="C34" i="81"/>
  <c r="D33" i="81"/>
  <c r="C32" i="81"/>
  <c r="D32" i="81" s="1"/>
  <c r="C31" i="81"/>
  <c r="D31" i="81" s="1"/>
  <c r="C28" i="81"/>
  <c r="D28" i="81" s="1"/>
  <c r="C39" i="80"/>
  <c r="C38" i="80"/>
  <c r="C37" i="80"/>
  <c r="C36" i="80"/>
  <c r="C35" i="80"/>
  <c r="C34" i="80"/>
  <c r="C31" i="80"/>
  <c r="C32" i="80"/>
  <c r="C29" i="80"/>
  <c r="C28" i="80"/>
  <c r="C22" i="80"/>
  <c r="C21" i="81"/>
  <c r="C21" i="80"/>
  <c r="C20" i="80" l="1"/>
  <c r="D20" i="80" s="1"/>
  <c r="C19" i="80"/>
  <c r="D19" i="80" s="1"/>
  <c r="C18" i="80"/>
  <c r="D18" i="80" s="1"/>
  <c r="D30" i="81"/>
  <c r="D29" i="81"/>
  <c r="D27" i="81"/>
  <c r="D26" i="81"/>
  <c r="D24" i="81"/>
  <c r="D22" i="81"/>
  <c r="D21" i="81"/>
  <c r="D20" i="81"/>
  <c r="D19" i="81"/>
  <c r="D18" i="81"/>
  <c r="D17" i="81"/>
  <c r="D15" i="81"/>
  <c r="C15" i="80"/>
  <c r="D15" i="80" s="1"/>
  <c r="C17" i="80"/>
  <c r="D17" i="80" s="1"/>
  <c r="D41" i="80"/>
  <c r="D40" i="80"/>
  <c r="D39" i="80"/>
  <c r="D38" i="80"/>
  <c r="D37" i="80"/>
  <c r="D36" i="80"/>
  <c r="D35" i="80"/>
  <c r="D34" i="80"/>
  <c r="D33" i="80"/>
  <c r="D32" i="80"/>
  <c r="D31" i="80"/>
  <c r="D30" i="80"/>
  <c r="D29" i="80"/>
  <c r="D28" i="80"/>
  <c r="D27" i="80"/>
  <c r="D26" i="80"/>
  <c r="D24" i="80"/>
  <c r="D22" i="80"/>
  <c r="D21" i="80"/>
  <c r="D21" i="66"/>
  <c r="C20" i="66"/>
  <c r="C19" i="66"/>
  <c r="C18" i="66"/>
  <c r="D26" i="66"/>
  <c r="C25" i="66"/>
  <c r="C24" i="66"/>
  <c r="D24" i="66" s="1"/>
  <c r="C17" i="66"/>
  <c r="D17" i="66" s="1"/>
  <c r="C15" i="66"/>
  <c r="D15" i="66" s="1"/>
  <c r="D27" i="66" s="1"/>
  <c r="D25" i="66"/>
  <c r="C23" i="66"/>
  <c r="D23" i="66" s="1"/>
  <c r="C22" i="66"/>
  <c r="D22" i="66" s="1"/>
  <c r="D20" i="66"/>
  <c r="D19" i="66"/>
  <c r="D18" i="66"/>
  <c r="D16" i="66"/>
  <c r="D19" i="79"/>
  <c r="C19" i="79"/>
  <c r="D18" i="79"/>
  <c r="D17" i="79"/>
  <c r="D16" i="79"/>
  <c r="C15" i="79"/>
  <c r="D15" i="79" s="1"/>
  <c r="D20" i="79" s="1"/>
  <c r="D22" i="79" s="1"/>
  <c r="D16" i="78"/>
  <c r="D17" i="78"/>
  <c r="D15" i="78"/>
  <c r="D43" i="81" l="1"/>
  <c r="D44" i="81" s="1"/>
  <c r="D45" i="81" s="1"/>
  <c r="D18" i="78"/>
  <c r="D19" i="78" s="1"/>
  <c r="D20" i="78" s="1"/>
  <c r="D44" i="80" l="1"/>
  <c r="D45" i="80" s="1"/>
  <c r="D28" i="66"/>
  <c r="D29" i="66" s="1"/>
  <c r="D17" i="77" l="1"/>
  <c r="D19" i="77"/>
  <c r="D18" i="77"/>
  <c r="C16" i="77"/>
  <c r="D16" i="77" s="1"/>
  <c r="D22" i="36"/>
  <c r="D16" i="76"/>
  <c r="D17" i="76" s="1"/>
  <c r="C16" i="75"/>
  <c r="D16" i="75"/>
  <c r="D17" i="75" s="1"/>
  <c r="D18" i="74"/>
  <c r="D16" i="74"/>
  <c r="D17" i="74" s="1"/>
  <c r="C17" i="73"/>
  <c r="D20" i="73"/>
  <c r="C20" i="73"/>
  <c r="C19" i="73"/>
  <c r="D19" i="73" s="1"/>
  <c r="C18" i="73"/>
  <c r="D18" i="73" s="1"/>
  <c r="D17" i="73"/>
  <c r="D16" i="73"/>
  <c r="C16" i="73"/>
  <c r="D20" i="77" l="1"/>
  <c r="D21" i="77" s="1"/>
  <c r="D22" i="77" s="1"/>
  <c r="D18" i="76"/>
  <c r="D19" i="76" s="1"/>
  <c r="D18" i="75"/>
  <c r="D19" i="75" s="1"/>
  <c r="D19" i="74"/>
  <c r="D22" i="73"/>
  <c r="D23" i="73"/>
  <c r="D24" i="73" s="1"/>
  <c r="D17" i="72" l="1"/>
  <c r="D16" i="72"/>
  <c r="D18" i="72" l="1"/>
  <c r="D19" i="72" s="1"/>
  <c r="D21" i="71" l="1"/>
  <c r="D23" i="71"/>
  <c r="D22" i="71"/>
  <c r="D24" i="71" s="1"/>
  <c r="D16" i="71"/>
  <c r="D15" i="71"/>
  <c r="D16" i="70"/>
  <c r="D15" i="70"/>
  <c r="D17" i="70" s="1"/>
  <c r="C15" i="70"/>
  <c r="C16" i="69"/>
  <c r="D16" i="69" s="1"/>
  <c r="D17" i="69"/>
  <c r="D17" i="71" l="1"/>
  <c r="D18" i="71" s="1"/>
  <c r="D19" i="71"/>
  <c r="D28" i="71" s="1"/>
  <c r="D18" i="70"/>
  <c r="D19" i="70" s="1"/>
  <c r="D18" i="69"/>
  <c r="D19" i="69" s="1"/>
  <c r="C15" i="68" l="1"/>
  <c r="D15" i="68"/>
  <c r="D16" i="68" s="1"/>
  <c r="C18" i="67"/>
  <c r="C17" i="67"/>
  <c r="C16" i="67"/>
  <c r="D17" i="68" l="1"/>
  <c r="D18" i="68" s="1"/>
  <c r="D18" i="65" l="1"/>
  <c r="C17" i="65"/>
  <c r="D17" i="65" s="1"/>
  <c r="D18" i="67"/>
  <c r="D17" i="67"/>
  <c r="D16" i="67"/>
  <c r="D19" i="67" l="1"/>
  <c r="D20" i="67" s="1"/>
  <c r="D21" i="67" s="1"/>
  <c r="D16" i="65" l="1"/>
  <c r="D15" i="65"/>
  <c r="C16" i="64"/>
  <c r="D16" i="64"/>
  <c r="C17" i="64"/>
  <c r="D17" i="64"/>
  <c r="D18" i="64"/>
  <c r="D19" i="64"/>
  <c r="D20" i="64"/>
  <c r="D20" i="1"/>
  <c r="D27" i="57"/>
  <c r="C16" i="58"/>
  <c r="D16" i="58" s="1"/>
  <c r="D17" i="58" s="1"/>
  <c r="D26" i="57"/>
  <c r="C21" i="57"/>
  <c r="D21" i="57"/>
  <c r="C19" i="57"/>
  <c r="D19" i="57" s="1"/>
  <c r="D25" i="57"/>
  <c r="D24" i="57"/>
  <c r="D23" i="57"/>
  <c r="D22" i="57"/>
  <c r="D20" i="57"/>
  <c r="D18" i="57"/>
  <c r="D17" i="57"/>
  <c r="D16" i="57"/>
  <c r="D25" i="54"/>
  <c r="C19" i="54"/>
  <c r="D19" i="54" s="1"/>
  <c r="C18" i="56"/>
  <c r="C20" i="56"/>
  <c r="C19" i="56"/>
  <c r="D19" i="56" s="1"/>
  <c r="C21" i="56"/>
  <c r="D21" i="56"/>
  <c r="D20" i="56"/>
  <c r="D18" i="56"/>
  <c r="D19" i="65" l="1"/>
  <c r="D20" i="65" s="1"/>
  <c r="D18" i="58"/>
  <c r="D19" i="58" s="1"/>
  <c r="D28" i="57"/>
  <c r="G15" i="55"/>
  <c r="F15" i="55"/>
  <c r="D15" i="55"/>
  <c r="B15" i="55"/>
  <c r="C14" i="55"/>
  <c r="E14" i="55" s="1"/>
  <c r="C13" i="55"/>
  <c r="E13" i="55" s="1"/>
  <c r="E12" i="55"/>
  <c r="C12" i="55"/>
  <c r="C11" i="55"/>
  <c r="E11" i="55" s="1"/>
  <c r="E10" i="55"/>
  <c r="E9" i="55"/>
  <c r="E8" i="55"/>
  <c r="C7" i="55"/>
  <c r="E7" i="55" s="1"/>
  <c r="C6" i="55"/>
  <c r="E6" i="55" s="1"/>
  <c r="C5" i="55"/>
  <c r="E5" i="55" s="1"/>
  <c r="E4" i="55"/>
  <c r="C3" i="55"/>
  <c r="E3" i="55" s="1"/>
  <c r="E15" i="55" l="1"/>
  <c r="E18" i="55" s="1"/>
  <c r="C15" i="55"/>
  <c r="D24" i="54" l="1"/>
  <c r="D23" i="54"/>
  <c r="D18" i="54"/>
  <c r="D17" i="54"/>
  <c r="D22" i="54"/>
  <c r="D21" i="54"/>
  <c r="D20" i="54"/>
  <c r="D16" i="54"/>
  <c r="D16" i="53"/>
  <c r="D20" i="53" s="1"/>
  <c r="D18" i="44"/>
  <c r="C18" i="44"/>
  <c r="C19" i="44"/>
  <c r="D19" i="44" s="1"/>
  <c r="C17" i="44"/>
  <c r="C16" i="44"/>
  <c r="C18" i="52"/>
  <c r="D18" i="52" s="1"/>
  <c r="C17" i="52"/>
  <c r="D17" i="52" s="1"/>
  <c r="C16" i="52"/>
  <c r="D16" i="52" s="1"/>
  <c r="C17" i="45"/>
  <c r="C24" i="51"/>
  <c r="D24" i="51" s="1"/>
  <c r="C49" i="51"/>
  <c r="D49" i="51" s="1"/>
  <c r="C26" i="51"/>
  <c r="C28" i="51"/>
  <c r="C27" i="51"/>
  <c r="D53" i="51"/>
  <c r="C52" i="51"/>
  <c r="D52" i="51" s="1"/>
  <c r="D51" i="51"/>
  <c r="D50" i="51"/>
  <c r="C47" i="51"/>
  <c r="D47" i="51" s="1"/>
  <c r="C46" i="51"/>
  <c r="D46" i="51" s="1"/>
  <c r="C45" i="51"/>
  <c r="D45" i="51" s="1"/>
  <c r="C41" i="51"/>
  <c r="D41" i="51" s="1"/>
  <c r="C40" i="51"/>
  <c r="D40" i="51" s="1"/>
  <c r="C39" i="51"/>
  <c r="D39" i="51" s="1"/>
  <c r="C38" i="51"/>
  <c r="D38" i="51" s="1"/>
  <c r="C34" i="51"/>
  <c r="D34" i="51" s="1"/>
  <c r="D33" i="51"/>
  <c r="D32" i="51"/>
  <c r="D28" i="51"/>
  <c r="D27" i="51"/>
  <c r="D26" i="51"/>
  <c r="C25" i="51"/>
  <c r="D25" i="51" s="1"/>
  <c r="C19" i="51"/>
  <c r="D19" i="51" s="1"/>
  <c r="C17" i="51"/>
  <c r="D17" i="51" s="1"/>
  <c r="C16" i="51"/>
  <c r="D16" i="51" s="1"/>
  <c r="C15" i="51"/>
  <c r="D15" i="51" s="1"/>
  <c r="D26" i="54" l="1"/>
  <c r="D27" i="54" s="1"/>
  <c r="D21" i="53"/>
  <c r="D22" i="53" s="1"/>
  <c r="D19" i="52"/>
  <c r="D20" i="52" s="1"/>
  <c r="D21" i="52" s="1"/>
  <c r="D19" i="50" l="1"/>
  <c r="D18" i="50"/>
  <c r="D17" i="50"/>
  <c r="D16" i="50"/>
  <c r="C15" i="49"/>
  <c r="C30" i="49"/>
  <c r="D30" i="49" s="1"/>
  <c r="C36" i="49"/>
  <c r="D36" i="49" s="1"/>
  <c r="C27" i="49"/>
  <c r="C28" i="49"/>
  <c r="D28" i="49" s="1"/>
  <c r="C16" i="49"/>
  <c r="D16" i="49" s="1"/>
  <c r="C26" i="49"/>
  <c r="D26" i="49" s="1"/>
  <c r="C29" i="49"/>
  <c r="D29" i="49"/>
  <c r="C21" i="49"/>
  <c r="D21" i="49" s="1"/>
  <c r="C17" i="49"/>
  <c r="D17" i="49" s="1"/>
  <c r="D15" i="49"/>
  <c r="C19" i="49"/>
  <c r="D19" i="49" s="1"/>
  <c r="C48" i="49"/>
  <c r="D48" i="49" s="1"/>
  <c r="C47" i="49"/>
  <c r="D47" i="49" s="1"/>
  <c r="C49" i="49"/>
  <c r="D49" i="49" s="1"/>
  <c r="D27" i="49"/>
  <c r="D34" i="49"/>
  <c r="D35" i="49"/>
  <c r="C40" i="49"/>
  <c r="D40" i="49"/>
  <c r="C41" i="49"/>
  <c r="D41" i="49" s="1"/>
  <c r="C42" i="49"/>
  <c r="D42" i="49" s="1"/>
  <c r="C43" i="49"/>
  <c r="D43" i="49" s="1"/>
  <c r="D51" i="49"/>
  <c r="D52" i="49"/>
  <c r="C53" i="49"/>
  <c r="D53" i="49"/>
  <c r="C54" i="49"/>
  <c r="D54" i="49" s="1"/>
  <c r="D15" i="48"/>
  <c r="D16" i="48" s="1"/>
  <c r="D15" i="47"/>
  <c r="D16" i="47" s="1"/>
  <c r="D15" i="46"/>
  <c r="D16" i="46" s="1"/>
  <c r="D20" i="50" l="1"/>
  <c r="D21" i="50" s="1"/>
  <c r="D22" i="50"/>
  <c r="D17" i="48"/>
  <c r="D18" i="48" s="1"/>
  <c r="D17" i="47"/>
  <c r="D18" i="47" s="1"/>
  <c r="D17" i="46"/>
  <c r="D18" i="46" s="1"/>
  <c r="D17" i="45" l="1"/>
  <c r="D16" i="45"/>
  <c r="D18" i="45" s="1"/>
  <c r="D17" i="44"/>
  <c r="D16" i="44"/>
  <c r="D20" i="44" s="1"/>
  <c r="D19" i="45" l="1"/>
  <c r="D20" i="45" s="1"/>
  <c r="D21" i="44"/>
  <c r="D22" i="44" s="1"/>
  <c r="C16" i="43"/>
  <c r="D16" i="43"/>
  <c r="D19" i="43" s="1"/>
  <c r="D20" i="43" l="1"/>
  <c r="D21" i="43" s="1"/>
  <c r="D19" i="41" l="1"/>
  <c r="D18" i="41"/>
  <c r="D17" i="41"/>
  <c r="D16" i="41"/>
  <c r="D31" i="23"/>
  <c r="D20" i="41" l="1"/>
  <c r="D45" i="40"/>
  <c r="C44" i="40"/>
  <c r="D44" i="40" s="1"/>
  <c r="C43" i="40"/>
  <c r="D43" i="40" s="1"/>
  <c r="D42" i="40"/>
  <c r="D41" i="40"/>
  <c r="C41" i="40"/>
  <c r="D40" i="40"/>
  <c r="C40" i="40"/>
  <c r="C39" i="40"/>
  <c r="D39" i="40" s="1"/>
  <c r="C38" i="40"/>
  <c r="D38" i="40" s="1"/>
  <c r="C37" i="40"/>
  <c r="D37" i="40" s="1"/>
  <c r="C36" i="40"/>
  <c r="D36" i="40" s="1"/>
  <c r="D35" i="40"/>
  <c r="C34" i="40"/>
  <c r="D34" i="40" s="1"/>
  <c r="D33" i="40"/>
  <c r="C33" i="40"/>
  <c r="C32" i="40"/>
  <c r="D32" i="40" s="1"/>
  <c r="D31" i="40"/>
  <c r="D30" i="40"/>
  <c r="C29" i="40"/>
  <c r="D29" i="40" s="1"/>
  <c r="D28" i="40"/>
  <c r="D27" i="40"/>
  <c r="D25" i="40"/>
  <c r="D23" i="40"/>
  <c r="D22" i="40"/>
  <c r="C22" i="40"/>
  <c r="C21" i="40"/>
  <c r="D21" i="40" s="1"/>
  <c r="C20" i="40"/>
  <c r="D20" i="40" s="1"/>
  <c r="C19" i="40"/>
  <c r="D19" i="40" s="1"/>
  <c r="C17" i="40"/>
  <c r="D17" i="40" s="1"/>
  <c r="D21" i="41" l="1"/>
  <c r="D22" i="41" s="1"/>
  <c r="D47" i="40"/>
  <c r="D48" i="40" l="1"/>
  <c r="D49" i="40" s="1"/>
  <c r="D19" i="39" l="1"/>
  <c r="D18" i="39"/>
  <c r="D21" i="39"/>
  <c r="D17" i="39"/>
  <c r="D23" i="39" l="1"/>
  <c r="D24" i="39" l="1"/>
  <c r="D25" i="39" s="1"/>
  <c r="D18" i="38" l="1"/>
  <c r="D17" i="38"/>
  <c r="D16" i="38"/>
  <c r="D15" i="38"/>
  <c r="D19" i="38" l="1"/>
  <c r="D20" i="38"/>
  <c r="D21" i="38" s="1"/>
  <c r="D16" i="37" l="1"/>
  <c r="D21" i="37" s="1"/>
  <c r="D20" i="37"/>
  <c r="D19" i="37"/>
  <c r="D18" i="37"/>
  <c r="D21" i="36"/>
  <c r="D20" i="36"/>
  <c r="D19" i="36"/>
  <c r="D18" i="36"/>
  <c r="D17" i="36"/>
  <c r="C16" i="36"/>
  <c r="D16" i="36" s="1"/>
  <c r="D15" i="36"/>
  <c r="D14" i="36"/>
  <c r="C13" i="36"/>
  <c r="D13" i="36" s="1"/>
  <c r="C16" i="35" l="1"/>
  <c r="C19" i="35"/>
  <c r="C21" i="26"/>
  <c r="D18" i="26"/>
  <c r="D24" i="35"/>
  <c r="D23" i="35"/>
  <c r="D22" i="35"/>
  <c r="D21" i="35"/>
  <c r="C20" i="35"/>
  <c r="D20" i="35" s="1"/>
  <c r="D19" i="35"/>
  <c r="D18" i="35"/>
  <c r="D17" i="35"/>
  <c r="D16" i="35"/>
  <c r="D25" i="35" l="1"/>
  <c r="D26" i="35" s="1"/>
  <c r="D27" i="35" s="1"/>
  <c r="C32" i="25" l="1"/>
  <c r="D32" i="25" s="1"/>
  <c r="C26" i="25"/>
  <c r="D26" i="25" s="1"/>
  <c r="C20" i="25"/>
  <c r="D20" i="25" s="1"/>
  <c r="D19" i="25"/>
  <c r="D18" i="25"/>
  <c r="D17" i="25"/>
  <c r="C16" i="25"/>
  <c r="D16" i="25" s="1"/>
  <c r="D23" i="25"/>
  <c r="D23" i="26"/>
  <c r="D25" i="26"/>
  <c r="D24" i="26"/>
  <c r="C20" i="26"/>
  <c r="D20" i="26" s="1"/>
  <c r="D19" i="26"/>
  <c r="D17" i="26"/>
  <c r="C16" i="26"/>
  <c r="D16" i="26" s="1"/>
  <c r="C20" i="24"/>
  <c r="D20" i="24" s="1"/>
  <c r="D19" i="24"/>
  <c r="D18" i="24"/>
  <c r="D17" i="24"/>
  <c r="D16" i="24"/>
  <c r="C16" i="24"/>
  <c r="C29" i="34"/>
  <c r="D29" i="34" s="1"/>
  <c r="C32" i="34"/>
  <c r="D32" i="34" s="1"/>
  <c r="D34" i="34"/>
  <c r="D33" i="34"/>
  <c r="D27" i="34"/>
  <c r="D25" i="34"/>
  <c r="D34" i="25"/>
  <c r="D33" i="25"/>
  <c r="D29" i="25"/>
  <c r="D27" i="25"/>
  <c r="C20" i="34" l="1"/>
  <c r="D20" i="34" s="1"/>
  <c r="C16" i="34"/>
  <c r="D16" i="34" s="1"/>
  <c r="D24" i="34"/>
  <c r="D23" i="34"/>
  <c r="D22" i="34"/>
  <c r="D21" i="34"/>
  <c r="D35" i="34" s="1"/>
  <c r="D19" i="34"/>
  <c r="D18" i="34"/>
  <c r="D17" i="34"/>
  <c r="D16" i="33"/>
  <c r="D17" i="33" s="1"/>
  <c r="D36" i="34" l="1"/>
  <c r="D37" i="34" s="1"/>
  <c r="D18" i="33"/>
  <c r="D19" i="33" s="1"/>
  <c r="D22" i="25" l="1"/>
  <c r="D21" i="25" l="1"/>
  <c r="D35" i="25" s="1"/>
  <c r="C25" i="24"/>
  <c r="C24" i="24"/>
  <c r="C23" i="24"/>
  <c r="C22" i="24"/>
  <c r="C21" i="24"/>
  <c r="D21" i="24" s="1"/>
  <c r="C20" i="29"/>
  <c r="C19" i="29"/>
  <c r="C18" i="29"/>
  <c r="C17" i="29"/>
  <c r="C16" i="29"/>
  <c r="D22" i="32"/>
  <c r="D21" i="32"/>
  <c r="D18" i="32"/>
  <c r="D16" i="32"/>
  <c r="D23" i="32" s="1"/>
  <c r="D19" i="31"/>
  <c r="C18" i="31"/>
  <c r="D18" i="31" s="1"/>
  <c r="D20" i="31" s="1"/>
  <c r="D23" i="29"/>
  <c r="C22" i="29"/>
  <c r="D22" i="29" s="1"/>
  <c r="D21" i="29"/>
  <c r="D20" i="29"/>
  <c r="D19" i="29"/>
  <c r="D18" i="29"/>
  <c r="D17" i="29"/>
  <c r="D16" i="29"/>
  <c r="D16" i="28"/>
  <c r="D26" i="28"/>
  <c r="D27" i="28"/>
  <c r="C23" i="28"/>
  <c r="D23" i="28" s="1"/>
  <c r="D22" i="28"/>
  <c r="D21" i="28"/>
  <c r="D20" i="28"/>
  <c r="C19" i="28"/>
  <c r="D19" i="28" s="1"/>
  <c r="D22" i="27"/>
  <c r="D21" i="27"/>
  <c r="D18" i="27"/>
  <c r="D16" i="27"/>
  <c r="D21" i="26"/>
  <c r="D22" i="26"/>
  <c r="D25" i="25"/>
  <c r="D24" i="25"/>
  <c r="C27" i="24"/>
  <c r="D26" i="26" l="1"/>
  <c r="D24" i="32"/>
  <c r="D25" i="32" s="1"/>
  <c r="D24" i="29"/>
  <c r="D21" i="31"/>
  <c r="D22" i="31" s="1"/>
  <c r="D28" i="28"/>
  <c r="D29" i="28" s="1"/>
  <c r="D23" i="27"/>
  <c r="D24" i="27" s="1"/>
  <c r="D25" i="27" s="1"/>
  <c r="D27" i="26"/>
  <c r="D28" i="26" s="1"/>
  <c r="D25" i="29" l="1"/>
  <c r="D26" i="29" s="1"/>
  <c r="D36" i="25"/>
  <c r="D37" i="25" s="1"/>
  <c r="D28" i="24" l="1"/>
  <c r="D27" i="24"/>
  <c r="D29" i="24" s="1"/>
  <c r="D26" i="24"/>
  <c r="D25" i="24"/>
  <c r="D24" i="24"/>
  <c r="D23" i="24"/>
  <c r="D22" i="24"/>
  <c r="D30" i="24" l="1"/>
  <c r="D31" i="24" s="1"/>
  <c r="D29" i="23"/>
  <c r="D20" i="23"/>
  <c r="D16" i="23"/>
  <c r="C18" i="22"/>
  <c r="C17" i="22"/>
  <c r="D17" i="22" s="1"/>
  <c r="C16" i="22"/>
  <c r="D18" i="22"/>
  <c r="D16" i="22"/>
  <c r="C17" i="21"/>
  <c r="D17" i="21" s="1"/>
  <c r="D25" i="21" s="1"/>
  <c r="C17" i="20"/>
  <c r="D17" i="20" s="1"/>
  <c r="D25" i="20" s="1"/>
  <c r="C17" i="19"/>
  <c r="D17" i="19" s="1"/>
  <c r="C16" i="19"/>
  <c r="D16" i="19"/>
  <c r="D23" i="23" l="1"/>
  <c r="D20" i="22"/>
  <c r="D21" i="22"/>
  <c r="D22" i="22" s="1"/>
  <c r="D19" i="19"/>
  <c r="D20" i="19"/>
  <c r="D21" i="19" s="1"/>
  <c r="D36" i="18"/>
  <c r="D48" i="18"/>
  <c r="D38" i="18"/>
  <c r="D37" i="18"/>
  <c r="D35" i="18"/>
  <c r="D34" i="18"/>
  <c r="D33" i="18"/>
  <c r="D39" i="18" s="1"/>
  <c r="C33" i="18"/>
  <c r="D28" i="18"/>
  <c r="C27" i="18"/>
  <c r="D27" i="18" s="1"/>
  <c r="D29" i="18" s="1"/>
  <c r="D21" i="18"/>
  <c r="D20" i="18"/>
  <c r="C20" i="18"/>
  <c r="C19" i="18"/>
  <c r="D19" i="18" s="1"/>
  <c r="C18" i="18"/>
  <c r="D18" i="18" s="1"/>
  <c r="C17" i="18"/>
  <c r="D17" i="18" s="1"/>
  <c r="C16" i="18"/>
  <c r="D16" i="18" s="1"/>
  <c r="D25" i="23" l="1"/>
  <c r="D30" i="18"/>
  <c r="D31" i="18" s="1"/>
  <c r="D23" i="18"/>
  <c r="D24" i="18" l="1"/>
  <c r="D25" i="18" s="1"/>
  <c r="D43" i="18" s="1"/>
  <c r="D45" i="18" s="1"/>
  <c r="D52" i="18" s="1"/>
  <c r="D27" i="16" l="1"/>
  <c r="D19" i="16"/>
  <c r="C18" i="16"/>
  <c r="D18" i="16" s="1"/>
  <c r="D17" i="16"/>
  <c r="D16" i="16"/>
  <c r="D15" i="16"/>
  <c r="D20" i="16" s="1"/>
  <c r="E60" i="15"/>
  <c r="E68" i="15"/>
  <c r="E75" i="15" s="1"/>
  <c r="E71" i="15"/>
  <c r="D18" i="14"/>
  <c r="D17" i="14"/>
  <c r="D15" i="14"/>
  <c r="C16" i="13"/>
  <c r="D16" i="13"/>
  <c r="D21" i="16" l="1"/>
  <c r="D22" i="16" s="1"/>
  <c r="D26" i="16" s="1"/>
  <c r="E82" i="15"/>
  <c r="E79" i="15"/>
  <c r="E85" i="15"/>
  <c r="D20" i="14"/>
  <c r="D19" i="13"/>
  <c r="D20" i="13" s="1"/>
  <c r="D21" i="13" s="1"/>
  <c r="D28" i="16" l="1"/>
  <c r="D21" i="14"/>
  <c r="D22" i="14" s="1"/>
  <c r="C20" i="5" l="1"/>
  <c r="D25" i="5"/>
  <c r="C20" i="12"/>
  <c r="D20" i="12"/>
  <c r="C19" i="12"/>
  <c r="D19" i="12" s="1"/>
  <c r="C18" i="12"/>
  <c r="C17" i="12"/>
  <c r="D17" i="12" s="1"/>
  <c r="D18" i="12"/>
  <c r="D21" i="12" l="1"/>
  <c r="D22" i="12"/>
  <c r="D23" i="12" s="1"/>
  <c r="D18" i="11" l="1"/>
  <c r="D17" i="11"/>
  <c r="D20" i="11" s="1"/>
  <c r="D29" i="10"/>
  <c r="D28" i="10"/>
  <c r="D27" i="10"/>
  <c r="D26" i="10"/>
  <c r="D25" i="10"/>
  <c r="C24" i="10"/>
  <c r="D24" i="10" s="1"/>
  <c r="C23" i="10"/>
  <c r="D23" i="10" s="1"/>
  <c r="D17" i="10"/>
  <c r="D19" i="10" s="1"/>
  <c r="D30" i="10" l="1"/>
  <c r="D21" i="11"/>
  <c r="D22" i="11" s="1"/>
  <c r="D20" i="10"/>
  <c r="D21" i="10" s="1"/>
  <c r="D33" i="10" s="1"/>
  <c r="C18" i="1" l="1"/>
  <c r="D18" i="1" s="1"/>
  <c r="D16" i="1"/>
  <c r="D41" i="9"/>
  <c r="D40" i="9"/>
  <c r="C39" i="9"/>
  <c r="D39" i="9" s="1"/>
  <c r="C38" i="9"/>
  <c r="D38" i="9" s="1"/>
  <c r="C37" i="9"/>
  <c r="D37" i="9" s="1"/>
  <c r="D36" i="9"/>
  <c r="C36" i="9"/>
  <c r="C35" i="9"/>
  <c r="D35" i="9" s="1"/>
  <c r="D34" i="9"/>
  <c r="C34" i="9"/>
  <c r="D33" i="9"/>
  <c r="C32" i="9"/>
  <c r="D32" i="9" s="1"/>
  <c r="C31" i="9"/>
  <c r="D31" i="9" s="1"/>
  <c r="D30" i="9"/>
  <c r="D29" i="9"/>
  <c r="C29" i="9"/>
  <c r="C28" i="9"/>
  <c r="D28" i="9" s="1"/>
  <c r="D27" i="9"/>
  <c r="D26" i="9"/>
  <c r="D24" i="9"/>
  <c r="D22" i="9"/>
  <c r="D21" i="9"/>
  <c r="C20" i="9"/>
  <c r="D20" i="9" s="1"/>
  <c r="D19" i="9"/>
  <c r="C19" i="9"/>
  <c r="C18" i="9"/>
  <c r="D18" i="9" s="1"/>
  <c r="C17" i="9"/>
  <c r="D17" i="9" s="1"/>
  <c r="C15" i="9"/>
  <c r="D15" i="9" s="1"/>
  <c r="D20" i="8"/>
  <c r="D19" i="8"/>
  <c r="D18" i="8"/>
  <c r="D17" i="8"/>
  <c r="D22" i="8" s="1"/>
  <c r="D18" i="7"/>
  <c r="C18" i="7"/>
  <c r="C17" i="7"/>
  <c r="D17" i="7" s="1"/>
  <c r="D20" i="7" s="1"/>
  <c r="D24" i="6"/>
  <c r="D23" i="6"/>
  <c r="D22" i="6"/>
  <c r="D21" i="6"/>
  <c r="D25" i="6" s="1"/>
  <c r="C16" i="6"/>
  <c r="D16" i="6" s="1"/>
  <c r="D17" i="6" s="1"/>
  <c r="D23" i="5"/>
  <c r="C22" i="5"/>
  <c r="D22" i="5" s="1"/>
  <c r="C21" i="5"/>
  <c r="D21" i="5" s="1"/>
  <c r="D20" i="5"/>
  <c r="D19" i="5"/>
  <c r="D18" i="5"/>
  <c r="C18" i="5"/>
  <c r="C17" i="5"/>
  <c r="D17" i="5" s="1"/>
  <c r="D16" i="5"/>
  <c r="C16" i="5"/>
  <c r="C15" i="5"/>
  <c r="D15" i="5" s="1"/>
  <c r="D24" i="5" s="1"/>
  <c r="D22" i="4"/>
  <c r="D21" i="4"/>
  <c r="D20" i="4"/>
  <c r="C19" i="4"/>
  <c r="D19" i="4" s="1"/>
  <c r="C18" i="4"/>
  <c r="D18" i="4" s="1"/>
  <c r="C17" i="4"/>
  <c r="D17" i="4" s="1"/>
  <c r="C16" i="4"/>
  <c r="D16" i="4" s="1"/>
  <c r="D24" i="4" s="1"/>
  <c r="C19" i="3"/>
  <c r="D19" i="3" s="1"/>
  <c r="C17" i="3"/>
  <c r="D17" i="3" s="1"/>
  <c r="D21" i="3" s="1"/>
  <c r="D44" i="2"/>
  <c r="D34" i="2"/>
  <c r="D33" i="2"/>
  <c r="C32" i="2"/>
  <c r="D32" i="2" s="1"/>
  <c r="D35" i="2" s="1"/>
  <c r="D27" i="2"/>
  <c r="D28" i="2" s="1"/>
  <c r="C27" i="2"/>
  <c r="D21" i="2"/>
  <c r="C20" i="2"/>
  <c r="D20" i="2" s="1"/>
  <c r="C19" i="2"/>
  <c r="D19" i="2" s="1"/>
  <c r="C18" i="2"/>
  <c r="D18" i="2" s="1"/>
  <c r="D17" i="2"/>
  <c r="C17" i="2"/>
  <c r="C16" i="2"/>
  <c r="D16" i="2" s="1"/>
  <c r="D19" i="1"/>
  <c r="D17" i="1"/>
  <c r="D15" i="1"/>
  <c r="D21" i="1" l="1"/>
  <c r="D22" i="1" s="1"/>
  <c r="D26" i="1" s="1"/>
  <c r="D27" i="1" s="1"/>
  <c r="D43" i="9"/>
  <c r="D21" i="7"/>
  <c r="D22" i="7" s="1"/>
  <c r="D18" i="6"/>
  <c r="D19" i="6"/>
  <c r="D29" i="6" s="1"/>
  <c r="D26" i="5"/>
  <c r="D26" i="4"/>
  <c r="D25" i="4"/>
  <c r="D22" i="3"/>
  <c r="D23" i="3" s="1"/>
  <c r="D29" i="2"/>
  <c r="D30" i="2" s="1"/>
  <c r="D23" i="2"/>
  <c r="D44" i="9" l="1"/>
  <c r="D45" i="9" s="1"/>
  <c r="D24" i="2"/>
  <c r="D25" i="2"/>
  <c r="D39" i="2" s="1"/>
  <c r="D41" i="2" s="1"/>
  <c r="D28" i="1"/>
  <c r="D22" i="37" l="1"/>
  <c r="D23" i="37" s="1"/>
  <c r="D23" i="36" l="1"/>
  <c r="D24" i="36"/>
  <c r="D22" i="106"/>
  <c r="D23" i="106" s="1"/>
</calcChain>
</file>

<file path=xl/sharedStrings.xml><?xml version="1.0" encoding="utf-8"?>
<sst xmlns="http://schemas.openxmlformats.org/spreadsheetml/2006/main" count="5237" uniqueCount="1194">
  <si>
    <t xml:space="preserve"> </t>
  </si>
  <si>
    <t>Empresa: AGROVALENCIA</t>
  </si>
  <si>
    <t>Atención a: SR. HECTOR VALENCIA</t>
  </si>
  <si>
    <t>Domicilio: APANGO JALISCO.</t>
  </si>
  <si>
    <t>Nombre del predio: APANGO</t>
  </si>
  <si>
    <t>10 DE NOVIEMBRE DEL 2025</t>
  </si>
  <si>
    <t>Atendiendo a su amable solicitud , ponemos a su consideración la siguiente propuesta económica para realizar los trabajos de Aforo.</t>
  </si>
  <si>
    <t>Cant.</t>
  </si>
  <si>
    <t>Descripción Accesorios de Sistema Eléctrico de baja Tension:</t>
  </si>
  <si>
    <t>Precio Unitario</t>
  </si>
  <si>
    <t>Importe Total:</t>
  </si>
  <si>
    <t>CAJA DE ALAMBRE CAL. 10 PARA AMARRES DE CABLE SUMERGIBLE A COLUMNA</t>
  </si>
  <si>
    <t>Sub-Total.-</t>
  </si>
  <si>
    <t>Iva 16%</t>
  </si>
  <si>
    <t>Total:</t>
  </si>
  <si>
    <t>Notas:</t>
  </si>
  <si>
    <t xml:space="preserve">La cotización puede variar a falta de material o exceso del mismo </t>
  </si>
  <si>
    <t>Políticas de Precio y Restricciones:</t>
  </si>
  <si>
    <t>TOTAL.-</t>
  </si>
  <si>
    <t>Precios sujetos a cambio sin previo aviso. T.C. 19.00</t>
  </si>
  <si>
    <t>DESC.-</t>
  </si>
  <si>
    <t>La presente cotización tiene una vigencia de 10 días naturales.</t>
  </si>
  <si>
    <t>TOTAL 2.-</t>
  </si>
  <si>
    <t>Políticas de Garantía:</t>
  </si>
  <si>
    <t>Garantia de 1 año natural en equipo, dispositivos, material de instalación y mano de obra.</t>
  </si>
  <si>
    <t>La garantía no será válida por mal uso, maltrato, sabotaje, manipulación de terceras personas, descargas eléctricas o vicios oculto. Solo falta anxar materiales para canalizar el equipo que se tiene que ver en campo.</t>
  </si>
  <si>
    <t>Políticas de Entrega e Instalación:</t>
  </si>
  <si>
    <r>
      <rPr>
        <b/>
        <sz val="11"/>
        <rFont val="Arial"/>
        <family val="2"/>
      </rPr>
      <t>T.E.:</t>
    </r>
    <r>
      <rPr>
        <sz val="11"/>
        <rFont val="Arial"/>
        <family val="2"/>
      </rPr>
      <t xml:space="preserve"> De 1 semana hábil de la inst salvo previa venta, una vez dado el pago.</t>
    </r>
  </si>
  <si>
    <r>
      <rPr>
        <b/>
        <sz val="11"/>
        <rFont val="Arial"/>
        <family val="2"/>
      </rPr>
      <t>Tiempo de instalación:</t>
    </r>
    <r>
      <rPr>
        <sz val="11"/>
        <rFont val="Arial"/>
        <family val="2"/>
      </rPr>
      <t xml:space="preserve"> no definida, previa calendarización de la misma.</t>
    </r>
  </si>
  <si>
    <t>Políticas y Medios de Pago:</t>
  </si>
  <si>
    <t>Forma de Pago: 70% ANTICIPO, 30% AL AVISO DE ENTREGA</t>
  </si>
  <si>
    <r>
      <rPr>
        <b/>
        <sz val="11"/>
        <rFont val="Arial"/>
        <family val="2"/>
      </rPr>
      <t>Método de Pago:</t>
    </r>
    <r>
      <rPr>
        <sz val="11"/>
        <rFont val="Arial"/>
        <family val="2"/>
      </rPr>
      <t xml:space="preserve"> Efectivo, Cheque, Transferencia Interbancaria.</t>
    </r>
  </si>
  <si>
    <r>
      <rPr>
        <b/>
        <sz val="11"/>
        <rFont val="Arial"/>
        <family val="2"/>
      </rPr>
      <t>Numero de cuenta:</t>
    </r>
    <r>
      <rPr>
        <sz val="11"/>
        <rFont val="Arial"/>
        <family val="2"/>
      </rPr>
      <t xml:space="preserve"> 048 247 5650   </t>
    </r>
    <r>
      <rPr>
        <b/>
        <sz val="11"/>
        <rFont val="Arial"/>
        <family val="2"/>
      </rPr>
      <t xml:space="preserve">CLABE.- </t>
    </r>
    <r>
      <rPr>
        <sz val="11"/>
        <rFont val="Arial"/>
        <family val="2"/>
      </rPr>
      <t xml:space="preserve">012 342 004824 756509  </t>
    </r>
    <r>
      <rPr>
        <b/>
        <sz val="11"/>
        <rFont val="Arial"/>
        <family val="2"/>
      </rPr>
      <t>BBVA BANCOMER</t>
    </r>
  </si>
  <si>
    <t>Con la seguridad de que la presente propuesta económica cumple ampliamente sus necesidades, en NUCLEO DE INGENIERIA quedamos de usted(es) como sus más atentos y seguros servidores.</t>
  </si>
  <si>
    <t xml:space="preserve">Empresa: AGRICOLA LOS SAUCES   </t>
  </si>
  <si>
    <t xml:space="preserve">Atención a: SR. JORGE </t>
  </si>
  <si>
    <t>Domicilio: ATEMAJAC DE BRIZUELA, JALISCO</t>
  </si>
  <si>
    <t>Nombre Del Predio: AGRICOLA LOS SAUCES</t>
  </si>
  <si>
    <t>P r e s e n t e</t>
  </si>
  <si>
    <t>20 DE DICIEMBRE DEL 2025</t>
  </si>
  <si>
    <t>Atendiendo a su amable solicitud , ponemos a su consideración la siguiente propuesta económica para realizar los trabajos de venta e instalación de los siguientes trabajos.</t>
  </si>
  <si>
    <t>TASA 8%</t>
  </si>
  <si>
    <t>MT. COLUMNA FLEXIBLE PARA POZOS PROFUNDOS 5"</t>
  </si>
  <si>
    <t>RACORES INOXIDABLE PARA COLUMNA FLEXIBLE CON FUSIBLE DE HIERRO VACIADO DE 5"</t>
  </si>
  <si>
    <t>CENTRADOR PLASTICO KWIK zip para columna flexible coluflex 4 SECCIONES PARA COLUMNA DE 5"</t>
  </si>
  <si>
    <t>CINTILLOS HELLERMAN PARA SUJECION DE CABLE SUMERGIBLE 250 LB, RONDANA PLASTICA</t>
  </si>
  <si>
    <t>HEBILLAS DE ACERO PARA CINTILLOS DE CABLE</t>
  </si>
  <si>
    <t>BUSHING DE 5" A 6" PARA CABEZAL</t>
  </si>
  <si>
    <t xml:space="preserve">A ESTE COSTO SOLO HAY QUE AUMENTAR LA MODIFICACION DEL CABEZAL, QUE </t>
  </si>
  <si>
    <t>SUMA:</t>
  </si>
  <si>
    <t>DEPENDERA DE LAS MODIFICIACIONES A REALIZAR</t>
  </si>
  <si>
    <t>IVA.</t>
  </si>
  <si>
    <t>SUB-TOTAL:</t>
  </si>
  <si>
    <t>TASA 16%</t>
  </si>
  <si>
    <t>CABLE PLANO SUMERGIBLE CAL. 3 X 2 @ 1000 VOLTS</t>
  </si>
  <si>
    <t>SIN IVA</t>
  </si>
  <si>
    <t>INSTALACION DE EQUIPO DE BOMBEO POZO ATEMAJAC P/MT HASTA 120 MT.</t>
  </si>
  <si>
    <t>SONDA DE ALTA PRESION PARA MEDICION DE NIVELES DE 300 PSI</t>
  </si>
  <si>
    <t>ARREGLO PARA MEDICION DE NIVELES M-19, MANOMETRO, CONEXIONES.</t>
  </si>
  <si>
    <t>La presente cotización tiene una vigencia de 24 DICIEMBRE 2025</t>
  </si>
  <si>
    <t>Los modelos y características pueden variar.</t>
  </si>
  <si>
    <t>AHORRO.-</t>
  </si>
  <si>
    <t>La garantía no será válida por mal uso, maltrato, sabotaje, manipulación de terceras personas, descargas eléctricas o vicios oculto.</t>
  </si>
  <si>
    <r>
      <rPr>
        <b/>
        <sz val="11"/>
        <rFont val="Arial"/>
        <family val="2"/>
      </rPr>
      <t>Tiempo de entrega del sistema:</t>
    </r>
    <r>
      <rPr>
        <sz val="11"/>
        <rFont val="Arial"/>
        <family val="2"/>
      </rPr>
      <t xml:space="preserve"> De 7 DIAS hábil, salvo previa venta, una vez dado el pago.</t>
    </r>
  </si>
  <si>
    <t>Forma de Pago: 70 % AL CONTRATAR 30% AL AVISO DE ENTREGA</t>
  </si>
  <si>
    <t>Con la seguridad de que la presente propuesta económica cumple ampliamente sus necesidades, en NUCLEO DE INGENIERIA APLICADA quedamos de usted(es) como sus más atentos y seguros servidores.</t>
  </si>
  <si>
    <t>Empresa: WEST PAK</t>
  </si>
  <si>
    <t>Atención a: ING. CRISTIAN CORTEZ - ING. RODRIGO LINARES</t>
  </si>
  <si>
    <t>Nombre del predio: LOS MAZOS</t>
  </si>
  <si>
    <t>LOS MAZOS MUN. DE TUXPAN, JALISCO</t>
  </si>
  <si>
    <t>18 DE DICIEMBRE DEL 2025</t>
  </si>
  <si>
    <t>REP. MOTOR</t>
  </si>
  <si>
    <t xml:space="preserve">REBOBINADO DE MOTOR TRIFASICO SUM. DE 100 HP. MCA. SME, INCLUYE: </t>
  </si>
  <si>
    <t>REBOBINADO, CAMBIO DE CABLES DE ALIMENTACION, SELLO MECANICO.</t>
  </si>
  <si>
    <t>TRASLADOS DE EQUIPOS FRESNITO-GUZMAN-CELAYA</t>
  </si>
  <si>
    <t>COMO REF. EL PRECIO DE ESTE EQUIPO NUEVO ESTA EN.- $ 137 371 PESOS MAS IVA</t>
  </si>
  <si>
    <t>LA REPARACION SALE TOTAL EN.- 52 662.15 PESOS MAS IVA</t>
  </si>
  <si>
    <t>TOTAL:</t>
  </si>
  <si>
    <t>SESENTA Y SEIS MIL SETECIENTOS SETENTA Y DOS PESOS 09/100 M.N.</t>
  </si>
  <si>
    <t>Precios sujetos a cambio sin previo aviso. T.C. 17.00</t>
  </si>
  <si>
    <r>
      <rPr>
        <b/>
        <sz val="11"/>
        <rFont val="Arial"/>
        <family val="2"/>
      </rPr>
      <t>Tiempo de entrega del sistema:</t>
    </r>
    <r>
      <rPr>
        <sz val="11"/>
        <rFont val="Arial"/>
        <family val="2"/>
      </rPr>
      <t xml:space="preserve"> De 15 DIAS hábil, salvo previa venta, una vez dado el pago.</t>
    </r>
  </si>
  <si>
    <t>Forma de Pago: 70% anticipo, 30% al entregar</t>
  </si>
  <si>
    <t xml:space="preserve">Empresa: SR. MIGUEL ANGEL RAMOS  </t>
  </si>
  <si>
    <t xml:space="preserve">Atención a: SR. MIGUEL ANGEL RAMOS  </t>
  </si>
  <si>
    <t>Domicilio: LOS MAZOS, JALISCO.</t>
  </si>
  <si>
    <t>Nombre Del Predio: ABASTECIMIENTO 1</t>
  </si>
  <si>
    <t>DES-INSTALACION DE EQUIPO DE BOMBEO HASTA 470 MT. DE 6" DE DIAMETRO CON AYUDA DE GRUA TIPO TRIPIE DE 50 TONELADAS.</t>
  </si>
  <si>
    <t>INSTALACION DE EQUIPO DE BOMBEO HASTA 470 MT. DE 4" DE DIAMETRO CON AYUDA DE GRUA TIPO TRIPIE DE 50 TONELADAS.</t>
  </si>
  <si>
    <t>DES-INSTALACION DE EQUIPO DE BOMBEO HASTA 470 MT. DE 4" DE DIAMETRO CON AYUDA DE GRUA TIPO TRIPIE DE 50 TONELADAS.</t>
  </si>
  <si>
    <t>INSTALACION DE EQUIPO DE BOMBEO HASTA 470 MT. DE 6" DE DIAMETRO CON AYUDA DE GRUA TIPO TRIPIE DE 50 TONELADAS.</t>
  </si>
  <si>
    <t>MATERIAL PARA EMPATES, INCLUYE: CINTAS, 130-C, CINTAS SUPER 33, CINTAS MASILLAS, MANGAS TERMOCONTRACTILES 3/0 Y 400 MCM.</t>
  </si>
  <si>
    <t>VALVULA CHECK VERTICAL DE CEDULA 40 DE 6" MCA. NUCLEO ING @ 600 PSI</t>
  </si>
  <si>
    <t>NIPLE CON COPLE</t>
  </si>
  <si>
    <t>IVA.-</t>
  </si>
  <si>
    <t>CUARENTA Y SIETE MIL SEISCIENTOS NOVENTA Y SEIS PESOS 00/100 M.N.</t>
  </si>
  <si>
    <t>LA GARANTIA SOLO APLICA DE BAJAR EL EQUIPO, NO SE VENDIO EQUIPO POR LO QUE NO SE PUEDE OFRECER GARANTIAS.</t>
  </si>
  <si>
    <r>
      <rPr>
        <b/>
        <sz val="11"/>
        <rFont val="Arial"/>
        <family val="2"/>
      </rPr>
      <t>Tiempo de entrega del sistema:</t>
    </r>
    <r>
      <rPr>
        <sz val="11"/>
        <rFont val="Arial"/>
        <family val="2"/>
      </rPr>
      <t xml:space="preserve"> De 1 semanas hábil, salvo previa venta, una vez dado el pago.</t>
    </r>
  </si>
  <si>
    <t>Empresa: HORTIFRUT ABA</t>
  </si>
  <si>
    <t>Atención a: ING. EDSON RAMIREZ - LIC.- PERLA GALINDO</t>
  </si>
  <si>
    <t>Domicilio: EL SALVADOR, JALISCO.</t>
  </si>
  <si>
    <t>Nombre del predio: FRAMBUEZA POZO 4</t>
  </si>
  <si>
    <t>26 DE NOVIEMBRE DEL 2025</t>
  </si>
  <si>
    <t>ARRANCADOR A TENSION REDUCIDAD DE 60 HP.  (T.E.- 2 SEMANAS)</t>
  </si>
  <si>
    <t>MOTOR SUMERGIBLE DE 60 HP. 460 VOLTS 60 HZ. MCA.- SME ALTA TEMP Y ALTO EMPUJE AXIAL.</t>
  </si>
  <si>
    <t>BOMBA SUMERGIBLE ACERO INOXIDABLE PARA 12 LT/SEG.</t>
  </si>
  <si>
    <t>TRAMOS DE TUBERIA DE 3" CED. 40 CON COPLE CONICO</t>
  </si>
  <si>
    <t>COPLES DE 3" CONICO</t>
  </si>
  <si>
    <r>
      <t xml:space="preserve">VALVULAS CHECK DE HIERRO DUCTIL MCA.- </t>
    </r>
    <r>
      <rPr>
        <b/>
        <sz val="12"/>
        <color rgb="FF00B0F0"/>
        <rFont val="Arial"/>
        <family val="2"/>
      </rPr>
      <t>FLOMATIC</t>
    </r>
    <r>
      <rPr>
        <sz val="12"/>
        <color theme="1"/>
        <rFont val="Arial"/>
        <family val="2"/>
      </rPr>
      <t xml:space="preserve"> DE 3" DE DIAM.</t>
    </r>
  </si>
  <si>
    <r>
      <t xml:space="preserve">VALVULAS CHECK DE HIERRO DUCTIL MCA.- </t>
    </r>
    <r>
      <rPr>
        <b/>
        <sz val="12"/>
        <color rgb="FF00B050"/>
        <rFont val="Arial"/>
        <family val="2"/>
      </rPr>
      <t>GOULDS</t>
    </r>
    <r>
      <rPr>
        <sz val="12"/>
        <color theme="1"/>
        <rFont val="Arial"/>
        <family val="2"/>
      </rPr>
      <t xml:space="preserve"> DE 3" DE DIAM.</t>
    </r>
  </si>
  <si>
    <t>MT DE CABLE PLANO SUMERGIBLE CAL. 3 X 2/0  1000 VOLTS</t>
  </si>
  <si>
    <t>INTALACION DE EQUIPOS, FLETES, PRUEBAS CANALIZACION DE CABLE SUMERGIBLE, INSTALACION Y PROGRAMACION DE EQUIPO DE PROTECCION.</t>
  </si>
  <si>
    <t xml:space="preserve">                                          SEISCIENTOS SETENTA Y CINCO MIL QUINIENTOS DIEZ Y NUEVE PESOS 85/100 M.N.</t>
  </si>
  <si>
    <r>
      <rPr>
        <b/>
        <sz val="11"/>
        <rFont val="Arial"/>
        <family val="2"/>
      </rPr>
      <t>Tiempo de entrega del sistema:</t>
    </r>
    <r>
      <rPr>
        <sz val="11"/>
        <rFont val="Arial"/>
        <family val="2"/>
      </rPr>
      <t xml:space="preserve"> De 1 semanas hábil de la instalacion salvo previa venta, una vez dado el pago.</t>
    </r>
  </si>
  <si>
    <t>Forma de Pago: 70% ANTICIPO 30% AL AVISO DE ENTREGA</t>
  </si>
  <si>
    <t>23 DE DICIEMBRE DEL 2025</t>
  </si>
  <si>
    <t>LIQUID DESCALER MCA.- COTEY CHEMICAL. BIDON 20 LT.</t>
  </si>
  <si>
    <t>VIDEO GRABACION DE POZO PROFUNDO, INCLUYE TOMA DE VIDEO, REPORTE Y MEMORIA.</t>
  </si>
  <si>
    <t>LIMPIEZA DE POZO PROFUNDO CON AYUDA DE GRUA TIPO TRIPIE CON SISTEMA LEVA, INCLUYE: TRASLADOS, APLICACIÓN DE QUIMICOS, CEPILLADO, DESASOLVE, SANITIZACION FINAL.</t>
  </si>
  <si>
    <t>LIQUIDO LIMPIADOR DE TUBERIA PARA POZOS MCA.- ALCO</t>
  </si>
  <si>
    <t>KG DE HTH AL 80% PARA SANITIZACION CONFORME A NORMA</t>
  </si>
  <si>
    <t>EN CASO DE SER SIN IVA, TIENE QUE SER RIGUROSO EFECTIVO. NO EN CUENTA FISCAL.</t>
  </si>
  <si>
    <r>
      <rPr>
        <b/>
        <sz val="11"/>
        <rFont val="Arial"/>
        <family val="2"/>
      </rPr>
      <t>Tiempo de entrega del sistema:</t>
    </r>
    <r>
      <rPr>
        <sz val="11"/>
        <rFont val="Arial"/>
        <family val="2"/>
      </rPr>
      <t xml:space="preserve"> De 5 DIAS hábil, salvo previa venta, una vez dado el pago.</t>
    </r>
  </si>
  <si>
    <t xml:space="preserve">Empresa: ARD   </t>
  </si>
  <si>
    <t>Atención a: SR. PABLO ARREDONDO, LIC. SAUL ARREDONDO</t>
  </si>
  <si>
    <t>Domicilio: PLATRANAR</t>
  </si>
  <si>
    <t>Nombre Del Predio: TEJERIA</t>
  </si>
  <si>
    <r>
      <t xml:space="preserve">REPARACION DE VARIADOR DE FRECUENCIA ABB ACQ580-07-0145A-4+E208+J429 ACQ580-01-145A-4+0J400+P922 N/S 8193302393, INCLUYE: DESINTALACION DE EQUIPO                                                                                                                        REVISION GENERAL, REVISION DE FUENTE DE ALIMENTACION, REVISION DE ETAPA DE POTENCIA, REVISION DE MODULO IGBT, REVISION DE ETAPA DE CONTROL, MANTENIMIENTO GENERAL INSTALACION Y PRUEBAS DE FUNCIONAMIENTO.                                                                                                                                                                                                                                 </t>
    </r>
    <r>
      <rPr>
        <b/>
        <i/>
        <sz val="10"/>
        <color rgb="FFFF0000"/>
        <rFont val="Arial"/>
        <family val="2"/>
      </rPr>
      <t>DIAGNOSTICO: DAÑO EN ETAPA DE POTENCIA, DAÑO DE MODULO DE IGBT</t>
    </r>
    <r>
      <rPr>
        <b/>
        <i/>
        <sz val="10"/>
        <color theme="1"/>
        <rFont val="Arial"/>
        <family val="2"/>
      </rPr>
      <t xml:space="preserve">                            </t>
    </r>
    <r>
      <rPr>
        <b/>
        <i/>
        <sz val="10"/>
        <color theme="4" tint="-0.499984740745262"/>
        <rFont val="Arial"/>
        <family val="2"/>
      </rPr>
      <t>TIEMPO DE ENTREGA DOS SEMANAS HABILES</t>
    </r>
  </si>
  <si>
    <t>FLETE IDA Y VUELTA CIUDAD DE MEXICO</t>
  </si>
  <si>
    <t>IVA:</t>
  </si>
  <si>
    <t xml:space="preserve">SETENTA Y CINCO MIL QUNIENTOS OCHENTA PESOS </t>
  </si>
  <si>
    <t xml:space="preserve">La cotización puede variar a falta de material o exceso del mismo. </t>
  </si>
  <si>
    <t>Garantia de 3 meses natural en equipo, dispositivos</t>
  </si>
  <si>
    <r>
      <rPr>
        <b/>
        <sz val="11"/>
        <rFont val="Arial"/>
        <family val="2"/>
      </rPr>
      <t>Tiempo de entrega del sistema:</t>
    </r>
    <r>
      <rPr>
        <sz val="11"/>
        <rFont val="Arial"/>
        <family val="2"/>
      </rPr>
      <t xml:space="preserve"> De 2 semanas hábiles de la instalacion salvo previa venta, una vez dado el pago.</t>
    </r>
  </si>
  <si>
    <t>Forma de Pago: 70% ANTICIPO 20% AL INSTALAR 10% TERMINO DE OBRA</t>
  </si>
  <si>
    <t>Nombre Del Predio: HUAMUCHILERA</t>
  </si>
  <si>
    <t>MANIOBRA DE IZAJE DESINSTALACION DE EQUIPO DE BOMBEO, INCLUYE: MANIOBRA DE IZAJE , ROMPER FUSIBLE COLUMNA CARGADA DE AGUA ALCANCE 150 MTS</t>
  </si>
  <si>
    <t>CONEXIÓN Y EMPATE DE MOTOR INCLUYE: MANGAS TERMOCONTRACTIL, CONECTORES, CINTAS 3M SUPER 33, CINTA MASILLA 3M, RESINA EPOXICA</t>
  </si>
  <si>
    <t>MANIOBRA DE IZAJE INSTALACION DE EQUIPO DE BOMBEO ALCANZE 150 MTS</t>
  </si>
  <si>
    <t>VIDEOGRABACION DE POZO PROFUNDO INCLUYE: VIDEOGRABACION EN MEMORIA, REPORTE POR ESCRITO DE VIDEOGRABACION  CON IMÁGENES, OBSERVACIONES Y SUGERIANCIAS</t>
  </si>
  <si>
    <t>EL IVA SOLO PODEMOS NEGOCIARLO EN LA MANIOBRA DE IZAJE</t>
  </si>
  <si>
    <t xml:space="preserve">TIEMPO DE ENTREGA DE EQUIPOS 3 A 5 DIAS HABILES </t>
  </si>
  <si>
    <t>Garantia de 1 año natural en equipo, dispositivos</t>
  </si>
  <si>
    <r>
      <rPr>
        <b/>
        <sz val="11"/>
        <rFont val="Arial"/>
        <family val="2"/>
      </rPr>
      <t>Tiempo de entrega del sistema:</t>
    </r>
    <r>
      <rPr>
        <sz val="11"/>
        <rFont val="Arial"/>
        <family val="2"/>
      </rPr>
      <t xml:space="preserve"> De 3 a 5 DIAS hábiles de la instalacion salvo previa venta, una vez dado el pago.</t>
    </r>
  </si>
  <si>
    <t>MOTOR SUMERGIBLE TRIFASICO 50 HP. 460 VOLTS 60 HZ. 3450 RPM.  EMPUJE AXIAL</t>
  </si>
  <si>
    <t>REBOBINABLE, MCA SME 6" DE DIAMETRO.</t>
  </si>
  <si>
    <r>
      <t xml:space="preserve">BOMBA SUMERGIBLE 40 HP ACERO INOXIDABLE. </t>
    </r>
    <r>
      <rPr>
        <b/>
        <sz val="10"/>
        <rFont val="Arial"/>
        <family val="2"/>
      </rPr>
      <t xml:space="preserve"> 7 LT/SEG  (T.E.- 1 SEMANA HABIL) </t>
    </r>
  </si>
  <si>
    <r>
      <t xml:space="preserve">VALVULA CHECK VERTICAL DE HIERRO DUCTIL 3" MCA. </t>
    </r>
    <r>
      <rPr>
        <b/>
        <sz val="10"/>
        <color theme="6"/>
        <rFont val="Arial"/>
        <family val="2"/>
      </rPr>
      <t>GOULDS</t>
    </r>
    <r>
      <rPr>
        <sz val="10"/>
        <rFont val="Arial"/>
        <family val="2"/>
      </rPr>
      <t xml:space="preserve"> @ 600 PSI</t>
    </r>
  </si>
  <si>
    <r>
      <t xml:space="preserve">VALVULA CHECK VERTICAL DE HIERRO DUCTIL 3" MCA. </t>
    </r>
    <r>
      <rPr>
        <b/>
        <sz val="10"/>
        <color theme="4" tint="0.39997558519241921"/>
        <rFont val="Arial"/>
        <family val="2"/>
      </rPr>
      <t>NUCLEO DE INGENIERIA</t>
    </r>
    <r>
      <rPr>
        <sz val="10"/>
        <rFont val="Arial"/>
        <family val="2"/>
      </rPr>
      <t xml:space="preserve"> @ 400 PSI</t>
    </r>
  </si>
  <si>
    <t>TUBO CED. 40 CON COPLE CONICO DE 3" Y 6.4 MT DE LONG. MCA.- NUCLEO DE INGENIERIA.</t>
  </si>
  <si>
    <t>CABLE PLANO SUMERGIBLE CAL. 3 X1/0 @ 1000 VOLTS MCA. PUEDE VARIAR</t>
  </si>
  <si>
    <t>INSTALACION DE EQUIPO DE BOMBEO CON AYUDA DE GRUA TIPO TRIPIE DE 40 TONELADAS INCLUYE:</t>
  </si>
  <si>
    <t>MANIOBRAS DE IZAJE, PRUEBAS A CABLE, MOTOR Y BOMBA (PRUEBAS ELECTROMECANICAS)</t>
  </si>
  <si>
    <t>EMPATE DE CABLE PLANO SUMERGIBLE EN CALIBRE 1/0  INCLUYE:</t>
  </si>
  <si>
    <t>CONECTOR CORTO A TOPE, CINTA 130-C, CINTA MASILLA, CINTA SUPER 33, MANGA TERMOCON. CAL. 1/0, RESINA EPOXICA</t>
  </si>
  <si>
    <t>CAJAS DE ALAMBRE CAL. 10 PARA AMARRES</t>
  </si>
  <si>
    <t>POLIDUCTO DE 1" PARA MEDICION DE NIVELES</t>
  </si>
  <si>
    <t>ARRANCADOR A TENSION REDUCIDA PARA MOTOR DE 50 HP. MCA.- ENERWELL CON PROTECCION DE ALTO Y BAJO VOLTAJE, CAIDA FASES O VOLTAJE, BAJO Y ALTO AMPERAJE</t>
  </si>
  <si>
    <t>MEDIDOR DE FLUJO MEDICION ANALOGA MCA.- AMEXSA DE 3"</t>
  </si>
  <si>
    <t>CANALIZACION DE CABLES SUMERGIBLES DE POZO, INCLUYE:  TUBO LICUATITE, CONECTOR DE OJO, CONECTOR RECTO LICUATITE, TUBO PVC PESADO, CODO DE PVC, CONECTOR PVC PESADO, COPLES, VARILLA ROSCADA, ABRAZADERAS, CABLE THW ATERRIZADA, REGISTROS PRECOLADOS, CINTAS, MANGAS TERMOCONTRACTIL, HERRAMIENTAS, MANO DE OBRA.</t>
  </si>
  <si>
    <t>CABEZAL 3" TAPA SANITARIA Y BRIDADO</t>
  </si>
  <si>
    <t>CARRETES ACERO AL CARBON BRIDADOS DE 3"</t>
  </si>
  <si>
    <t>LOTES DE ACCESORIOS EXP. Y ADMS. AIRE Y MANOMETRO</t>
  </si>
  <si>
    <t>VALVULA CHECK DE ALUMINIO DE 3" BRIDADO</t>
  </si>
  <si>
    <t>TEE DE DESFOGUE DE 3" A 2"</t>
  </si>
  <si>
    <t>VALVULA DE COMPUERTA CON VOLANTE DE 3"</t>
  </si>
  <si>
    <t>VALVULA DE COMPUERTA CON VOLANTE DE 2"</t>
  </si>
  <si>
    <t>EMPAQUES DE NEOPRENO DE 3"</t>
  </si>
  <si>
    <t>EMPAQUE DE NEOPRENO DE 2"</t>
  </si>
  <si>
    <t>TORNILLOS GALVANIZADOS DE 5/8" X 2 1/2"</t>
  </si>
  <si>
    <t>TORNILLOS GALVANIZADOS DE 5/8" X 1 1/2"</t>
  </si>
  <si>
    <t>Suma:</t>
  </si>
  <si>
    <t>OCHOCIENTOS CINCUENTA Y SEIS MIL CUATROCIENTOS TREINTA PESOS 00/100 M.N.</t>
  </si>
  <si>
    <t>LA GARANTIA PUEDE EXTENDERSE A 1.5 AÑOS POR LA GARANTIA NUCLEO</t>
  </si>
  <si>
    <r>
      <rPr>
        <b/>
        <sz val="11"/>
        <rFont val="Arial"/>
        <family val="2"/>
      </rPr>
      <t>Tiempo de entrega del sistema:</t>
    </r>
    <r>
      <rPr>
        <sz val="11"/>
        <rFont val="Arial"/>
        <family val="2"/>
      </rPr>
      <t xml:space="preserve"> De 1 semana hábil de la instalacion salvo previa venta, una vez dado el pago.</t>
    </r>
  </si>
  <si>
    <t>MANIOBRA DE DES-INSTALACION DE EQUIPO DE BOMBEO DE 4" HASTA 72 TRAMOS CON AYUDA DE GRUA TIPO TRIPIE, INCLUYE EPP, IZAJE, MANIOBRAS, INSTALAR TREN DE DESCARGA, CONEXIONES Y PRUEBAS.</t>
  </si>
  <si>
    <t xml:space="preserve">MATERIAL PARA EMPATES DE CABLE </t>
  </si>
  <si>
    <t>SERVICIO DE ARRANQUE Y PRUEBAS DE EQUIPO DE BOMBEO</t>
  </si>
  <si>
    <t>SE PUEDE EXCENTAR EL IVA EN CASO DE HACERSE EL PAGO EN EFECTIVO</t>
  </si>
  <si>
    <t>06 DE ENERO DEL 2026</t>
  </si>
  <si>
    <t xml:space="preserve">                                  NOVENTA Y SEIS MIL NOVECIENTOS TREINTA Y CUATRO PESOS 24/100 M.N.</t>
  </si>
  <si>
    <t xml:space="preserve">Empresa: CONOCIDA   </t>
  </si>
  <si>
    <t>Atención a: ALEJANDRO DOROTEO</t>
  </si>
  <si>
    <t>Domicilio: SAN ANDRES IXTLAN JALISCO</t>
  </si>
  <si>
    <t xml:space="preserve">Nombre Del Predio: CUESTA DE SAN ANDRES </t>
  </si>
  <si>
    <t>30 DE OCTUBRE DEL 2025</t>
  </si>
  <si>
    <t>TUBERIA DE 3" CEDULA 40 CON COPLE</t>
  </si>
  <si>
    <t xml:space="preserve">MANTENIMIENTO DE MOTOR ALTAMIRA 25 HP 460 INCLUYE: PRUEBAS ELECTRICAS, LIMPIEZA </t>
  </si>
  <si>
    <r>
      <rPr>
        <b/>
        <i/>
        <sz val="12"/>
        <color rgb="FFFF0000"/>
        <rFont val="Arial"/>
        <family val="2"/>
      </rPr>
      <t>OPCION 1</t>
    </r>
    <r>
      <rPr>
        <b/>
        <i/>
        <sz val="12"/>
        <rFont val="Arial"/>
        <family val="2"/>
      </rPr>
      <t xml:space="preserve"> MANTENIMIENTO BOMBA SUMERGIBLE ALTAMIRA KOR10 INCLUYE: DESARMADO Y ARMADO, LIMPIEZA DE COMPONENTES (TAZONES, IMPULSORES, BUJES, FLECHA), LUBRICACION. </t>
    </r>
    <r>
      <rPr>
        <b/>
        <i/>
        <sz val="12"/>
        <color rgb="FFFF0000"/>
        <rFont val="Arial"/>
        <family val="2"/>
      </rPr>
      <t xml:space="preserve">NOTA : MISMOS COMPONENTES </t>
    </r>
  </si>
  <si>
    <t>INSTALACION DE EQUIPO DE BOMBEO POZO LA CUESTA SAYULA</t>
  </si>
  <si>
    <t>MT DE POLIDUCOT DE ALTA DENSIDAD PARA MEDIR NIVELES DE POZO</t>
  </si>
  <si>
    <t>MATERIALES PARA EMPATE DE MOTOR SUMERGIBLE</t>
  </si>
  <si>
    <t>FLETE DE TRASLADO IDA Y VUELTA</t>
  </si>
  <si>
    <t xml:space="preserve">TOTAL.- </t>
  </si>
  <si>
    <t xml:space="preserve">POR SER EL MISMO EQUIPO NO SE PUEDE OFRECER GARANTIA DE LOS EQUIPOS </t>
  </si>
  <si>
    <t>Forma de Pago: 90% anticipo, 10% al entregar</t>
  </si>
  <si>
    <t>ROSCADO DE TUBERIA CED. 40 DE 3"</t>
  </si>
  <si>
    <t>RENTA DE VARIADOR DE FRECUENCIA ABB ACQ580-07-0145A-4 PARA OPERAR EQUIPO DE BOMBEO</t>
  </si>
  <si>
    <t>INSTALACION Y DES-INSTALACION DE VARIADOR DE FRECUENCIA EN POZO TEJERIA</t>
  </si>
  <si>
    <t xml:space="preserve">Empresa: AGRICOLA NARANJITOS  </t>
  </si>
  <si>
    <t>Atención: SR. RUBEN ALCARAZ</t>
  </si>
  <si>
    <t>Domicilio: COLIMA NARANJITOS</t>
  </si>
  <si>
    <t>Nombre del predio: NARANJITOS</t>
  </si>
  <si>
    <t>COLIMA VILLA DE ALVAREZ.</t>
  </si>
  <si>
    <t>MOTOR SUMERGIBLE SME 50 HP TRIFASICO 460V CON ALTO EMPUJE AXIAL NEMA 6</t>
  </si>
  <si>
    <t>La garantía no será válida por mal uso, maltrato, sabotaje, manipulación de terceras personas, descargas eléctricas o vicios oculto. Solo falta anexar materiales para canalizar el equipo que se tiene que ver en campo.</t>
  </si>
  <si>
    <r>
      <rPr>
        <b/>
        <sz val="11"/>
        <rFont val="Arial"/>
        <family val="2"/>
      </rPr>
      <t>Tiempo de entrega del sistema:</t>
    </r>
    <r>
      <rPr>
        <sz val="11"/>
        <rFont val="Arial"/>
        <family val="2"/>
      </rPr>
      <t xml:space="preserve"> De 5 dias hábiles de la instalacion salvo previa venta.</t>
    </r>
  </si>
  <si>
    <r>
      <rPr>
        <b/>
        <sz val="11"/>
        <rFont val="Arial"/>
        <family val="2"/>
      </rPr>
      <t>Forma de Pago: 80</t>
    </r>
    <r>
      <rPr>
        <sz val="11"/>
        <rFont val="Arial"/>
        <family val="2"/>
      </rPr>
      <t>% ANTICIPO 20% AL FINALIZAR OBRA.</t>
    </r>
  </si>
  <si>
    <t>VARIADOR DE FRECUENCIA MCA.- ENERWELL PARA 90 AMP. 440 VOLTS</t>
  </si>
  <si>
    <t>08 DE ENERO DEL 2025</t>
  </si>
  <si>
    <r>
      <t xml:space="preserve">TRANSFORMADOR 13.2 KV A 440 VOLTS DE </t>
    </r>
    <r>
      <rPr>
        <b/>
        <sz val="12"/>
        <color rgb="FFFFC000"/>
        <rFont val="Arial"/>
        <family val="2"/>
      </rPr>
      <t>75 KVA</t>
    </r>
  </si>
  <si>
    <r>
      <t xml:space="preserve">TRANSFORMADOR 13.2 KV A 440 VOLTS DE </t>
    </r>
    <r>
      <rPr>
        <b/>
        <sz val="12"/>
        <color rgb="FFFFC000"/>
        <rFont val="Arial"/>
        <family val="2"/>
      </rPr>
      <t xml:space="preserve"> 112.5 KVA</t>
    </r>
  </si>
  <si>
    <t xml:space="preserve">Empresa: AGRICOLA VIEZCA   </t>
  </si>
  <si>
    <t>Atención a: LIC. MARIANA BRACAMONTES   ING. CARLOS CAMBEROS</t>
  </si>
  <si>
    <t>Domicilio: EL FRESNITO JALISCO</t>
  </si>
  <si>
    <t>Nombre Del Predio: FRIGORIFICO FROSTLAND</t>
  </si>
  <si>
    <r>
      <rPr>
        <b/>
        <sz val="11"/>
        <rFont val="Arial"/>
        <family val="2"/>
      </rPr>
      <t>Tiempo de entrega del sistema:</t>
    </r>
    <r>
      <rPr>
        <sz val="11"/>
        <rFont val="Arial"/>
        <family val="2"/>
      </rPr>
      <t xml:space="preserve"> De 1 DIAS hábil, salvo previa venta, una vez dado el pago.</t>
    </r>
  </si>
  <si>
    <t>BOMBA PARA LODOS AQUAPAK PARA ACHIQUE 1 HP. 230 VOLTS</t>
  </si>
  <si>
    <t>21 DE ENERO DEL 2026</t>
  </si>
  <si>
    <t>Forma de Pago: 100% PARA SOLICITAR EL EQUIPO</t>
  </si>
  <si>
    <t>SEIS MIL SETECIENTOS DIEZ Y SEIS PESOS 89/100 M.N.</t>
  </si>
  <si>
    <t xml:space="preserve">SONDA PARA MEDICION DE NIVELES GRADUADA EN MT Y CM. DE 500 MT. </t>
  </si>
  <si>
    <t xml:space="preserve"> TUBERIA RANURADA X-42 </t>
  </si>
  <si>
    <t>TUBERIA LISA X-42</t>
  </si>
  <si>
    <t xml:space="preserve">TUBERIA RANURADA A-53 </t>
  </si>
  <si>
    <t xml:space="preserve">TUBERIA LISA A-53 </t>
  </si>
  <si>
    <t xml:space="preserve"> TUBERIA RANURADA A-500</t>
  </si>
  <si>
    <t>TUBERIA LISA A-500</t>
  </si>
  <si>
    <t xml:space="preserve">                                          PRECIO TOTAL X MT.</t>
  </si>
  <si>
    <t>COSTO X MT</t>
  </si>
  <si>
    <t>DESCRIPCION</t>
  </si>
  <si>
    <t xml:space="preserve"> HRS </t>
  </si>
  <si>
    <t xml:space="preserve">                    EQUIPO INACTIVO POR INDICACIONES DEL CONTRATANTE</t>
  </si>
  <si>
    <t>LOTE</t>
  </si>
  <si>
    <t>LAVADO Y PISTONEO DEL POZO</t>
  </si>
  <si>
    <t xml:space="preserve"> POR GRAVEDAD </t>
  </si>
  <si>
    <t xml:space="preserve">MTS </t>
  </si>
  <si>
    <t>COLOCACIÓN DE GRAVA PARA FILTRO DE POZO</t>
  </si>
  <si>
    <t>PARA FILTRO DE POZO INCLUYE FLETE</t>
  </si>
  <si>
    <t xml:space="preserve"> MTS3 </t>
  </si>
  <si>
    <t xml:space="preserve">SUMINISTRO DE GRAVA LAVADA Y CRIVADA DE 1/4 A 1/2 </t>
  </si>
  <si>
    <t xml:space="preserve"> MTS</t>
  </si>
  <si>
    <t>COLOC.  DE TUBERIA DE ACERO DE CONTRADEME DE 14"</t>
  </si>
  <si>
    <t>CON ABRAZADERAS</t>
  </si>
  <si>
    <t xml:space="preserve">COLOCACIÓN DE TUBERIA DE ADEME DE 8" X 1/4  </t>
  </si>
  <si>
    <t>PARA CONTRADEMAR</t>
  </si>
  <si>
    <t xml:space="preserve"> MTS </t>
  </si>
  <si>
    <t xml:space="preserve">SUMINISTRO DE TUBERIA DE 14" x 5/16 DE ESPESOR </t>
  </si>
  <si>
    <t xml:space="preserve"> IMPORTE</t>
  </si>
  <si>
    <t xml:space="preserve"> P. UNITARIO</t>
  </si>
  <si>
    <t xml:space="preserve">  UNIDAD </t>
  </si>
  <si>
    <t>CANTIDAD</t>
  </si>
  <si>
    <t>DE ESPESOR TIPO CANASTILLA</t>
  </si>
  <si>
    <t xml:space="preserve">SUMINISTRO DE TUBERIA DE 8" x 1/4 DE ESPESOR  </t>
  </si>
  <si>
    <t xml:space="preserve">SUMINISTRO DE TUBERIA DE 8" x 1/4 LISO </t>
  </si>
  <si>
    <t>COMO PARA EL LAVADO DEL POZO</t>
  </si>
  <si>
    <t xml:space="preserve"> BENTONITICOS  PARA LA PERFORACIÓN DE POZO, ASI </t>
  </si>
  <si>
    <t xml:space="preserve">       A CUENTA DEL CLIENTE</t>
  </si>
  <si>
    <t xml:space="preserve">MTS 3 </t>
  </si>
  <si>
    <t>SUMINISTRO DE AGUA PARA LA PREPARACIÓN DE LODOS</t>
  </si>
  <si>
    <t>DEL POZO</t>
  </si>
  <si>
    <t>TON</t>
  </si>
  <si>
    <t>SUMINISTRO DE BENTONITA PARA LA PERFORACION</t>
  </si>
  <si>
    <t>CONTRADEME (INCLUYE CEMENTO)</t>
  </si>
  <si>
    <t xml:space="preserve">CEMENTACION DE POZO EN EL ESPACIO ANULAR DEL </t>
  </si>
  <si>
    <t>PARA CONTRADEMAR EN  MATERIAL TIPO 1, 2 Y 3</t>
  </si>
  <si>
    <t xml:space="preserve">AMPLIACION DE POZO EN UN DIAMETRO DE 18" </t>
  </si>
  <si>
    <t xml:space="preserve"> DIAMETRO DE 12" 1/4  EN TIPO DE MATERIAL 1, 2 Y 3</t>
  </si>
  <si>
    <t>MTS</t>
  </si>
  <si>
    <t>PERFORACION EXPLORATORIA DE POZO A UN</t>
  </si>
  <si>
    <t xml:space="preserve">EXCAVACION DE FOSA PARA LODO DE PERFORACION </t>
  </si>
  <si>
    <t>Domicilio: FRESNITO JALISCO.</t>
  </si>
  <si>
    <t xml:space="preserve">Nombre del predio: </t>
  </si>
  <si>
    <t>24 DE ENERO DEL 2025</t>
  </si>
  <si>
    <t>MATERIAL PARA EMPATES DE CABLE SUMERGIBLE</t>
  </si>
  <si>
    <t>MAQUINADO DE CABEZAL PARA EQUIPO SUMERGIBLE INSTALADO EN POZO, INCLUYE: FLETES, CORTADO DE TUBO, TRABAJOS DE TORNO PARA ROSCAS, SOLDADO, MANO DE OBRA.</t>
  </si>
  <si>
    <t>NIPLE DE 6" PARA CONECCION DE BOMBA</t>
  </si>
  <si>
    <t>ANTICIPO.-</t>
  </si>
  <si>
    <t>SALDO.-</t>
  </si>
  <si>
    <t>DES-INSTALACION DE EQUIPO DE BOMBEO HASTA 300 MT. DE 8" DE DIAMETRO CON AYUDA DE GRUA TIPO TRIPIE DE 50 TONELADAS.</t>
  </si>
  <si>
    <t>INSTALACION DE EQUIPO DE BOMBEO HASTA 300 MT. DE 8" DE DIAMETRO CON AYUDA DE GRUA TIPO TRIPIE DE 50 TONELADAS.</t>
  </si>
  <si>
    <t>OCHENTA Y SIETE MIL PESOS PESOS 00/100 M.N.</t>
  </si>
  <si>
    <t>MATERIALES DE EMPATES O PRUEBAS DE EQUIPOS, EN CASO DE OCUPAR MATERIALES</t>
  </si>
  <si>
    <t>SE MANDARAN EN UNA HOJA DE FINIQUITO.</t>
  </si>
  <si>
    <t>SOLO INCLUYE LAS MANIOBRAS DE INSTALACION Y DESINSTALACION, NO INCLUYE</t>
  </si>
  <si>
    <t xml:space="preserve">Empresa: SR. ARMANDO VENTURA  </t>
  </si>
  <si>
    <t xml:space="preserve">Atención a: SR. ARMANDO VENTURA  </t>
  </si>
  <si>
    <t>Domicilio: TUXPAN, JALISCO.</t>
  </si>
  <si>
    <t>Nombre Del Predio: CAMINO REAL</t>
  </si>
  <si>
    <t>03 DE FEBRERO DEL 2026</t>
  </si>
  <si>
    <t>Precios sujetos a cambio sin previo aviso. T.C. 16.00</t>
  </si>
  <si>
    <t>Empresa: CONOCIDA</t>
  </si>
  <si>
    <t>Atención: SR. JORGE</t>
  </si>
  <si>
    <t>Domicilio: ATEMAJAC JALISCO</t>
  </si>
  <si>
    <t>Nombre del predio: CONOCIDO</t>
  </si>
  <si>
    <t>CIUDAD GUZMAN JALISCO.</t>
  </si>
  <si>
    <t>28 DE ENERO DEL 2026</t>
  </si>
  <si>
    <t xml:space="preserve">AFORO 24 HORAS CON MOTOR DE 100 HP Y BOMBA 40 LT/SEG INCLUYE: </t>
  </si>
  <si>
    <t>CARGA Y DESCARGA DE TUBERIA ACERO CEDULA 40, 6.1 MT CADA UNO</t>
  </si>
  <si>
    <t>MANIOBRA DE IZAJE INSTALACION DE EQUIPO DE AFORO ASI COMO INSTALACION DE TREN DE DESCARGAPARA AFORO. DESINSTALACION DE EQUIPO DE AFORO.</t>
  </si>
  <si>
    <t>GENERADOR DE 125 KW INCLUYE: TRASLADO, PUESTA EN EL SITIO, CONEXIONES PRUEBAS Y SUMINISTRO DE DIESEL POR 72 HORAS</t>
  </si>
  <si>
    <t>VARIADOR DE FRECUENCIA INCLUYE: PUESTA EN EL SITIO, CONEXIONES Y PRUEBAS DE FUNCIONAMINETO</t>
  </si>
  <si>
    <t>MOTOR SUMEGIBLE DE 100HP CON BOMBA SUMERGIBLE DE INOXIDABLE CON CAPACIDAD DE 15-45 LT/SEG (NIVEL DINAMICO MAXIMO 280MTS) INCLUYE: CONEXIONES, EMPATE, ACOPLAMIENTO PRUEBAS DE FUNCIONAMIENTO.</t>
  </si>
  <si>
    <t>AFORO POR 24 HORAS RECOPILACION DE DATOS ESCALONADOS INCLUYE: 2 PEROSNAS POR 24 HORAS, REPORTE Y DATOS POR ESCRITO DE LA PRUEBA HIDRICA</t>
  </si>
  <si>
    <t>SETENTA Y NUEVE MIL PESOS 00/100 M.N.</t>
  </si>
  <si>
    <t>Precios sujetos a cambio sin previo aviso. T.C. 18.00</t>
  </si>
  <si>
    <r>
      <rPr>
        <b/>
        <sz val="11"/>
        <rFont val="Arial"/>
        <family val="2"/>
      </rPr>
      <t>Tiempo de entrega del sistema:</t>
    </r>
    <r>
      <rPr>
        <sz val="11"/>
        <rFont val="Arial"/>
        <family val="2"/>
      </rPr>
      <t xml:space="preserve"> 7 DIAS UNA VEZ APROBADO EL PROYECTO Y DANDO EL ANTICIPO CORRESPONDIENTE.</t>
    </r>
  </si>
  <si>
    <r>
      <rPr>
        <b/>
        <sz val="11"/>
        <rFont val="Arial"/>
        <family val="2"/>
      </rPr>
      <t>Forma de Pago: 70</t>
    </r>
    <r>
      <rPr>
        <sz val="11"/>
        <rFont val="Arial"/>
        <family val="2"/>
      </rPr>
      <t>% ANTICIPO 20% AL INSTALAR  10% AL FINALIZAR OBRA.</t>
    </r>
  </si>
  <si>
    <t xml:space="preserve">AFORO 24 HORAS CON MOTOR DE 60 HP Y BOMBA 30 LT/SEG INCLUYE: </t>
  </si>
  <si>
    <t>GENERADOR DE 80 KW INCLUYE: TRASLADO, PUESTA EN EL SITIO, CONEXIONES PRUEBAS Y SUMINISTRO DE DIESEL POR 72 HORAS</t>
  </si>
  <si>
    <t>MOTOR SUMEGIBLE DE 60HP CON BOMBA SUMERGIBLE DE INOXIDABLE CON CAPACIDAD DE 13-40LT/SEG (NIVEL DINAMICO MAXIMO 135 MTS) INCLUYE: CONEXIONES, EMPATE, ACOPLAMIENTO PRUEBAS DE FUNCIONAMIENTO.</t>
  </si>
  <si>
    <t>SETENTA Y TRES MIL PESOS 00/100 M.N.</t>
  </si>
  <si>
    <t xml:space="preserve">Atención a: ING EDSON </t>
  </si>
  <si>
    <t xml:space="preserve">Domicilio: CARRETERA ATEQUIZAYAN </t>
  </si>
  <si>
    <t>Nombre del predio: SAUCES</t>
  </si>
  <si>
    <t>05 DE FEBRERO DEL 2026</t>
  </si>
  <si>
    <t>Atendiendo a su amable solicitud , ponemos a su consideración la siguiente propuesta económica para realizar los trabajos de maniobras y rehabilitacion de pozo.</t>
  </si>
  <si>
    <t xml:space="preserve">INSTALACION DE POSTES DE 9 MTS, VESTIDO Y CABLEADO DE ALIMENTACION, INCLUYE: 3 POSTES DE 9 MTS CONCRETO HEXAGFONAL, INCADO DE POSTES, VESTIDO DE ABRAZADERAS Y BASTIDORES, CABLEADO AEREO DE ALUMINIO 3+1 CAL 1/0 (110 MTS), </t>
  </si>
  <si>
    <t>INSTALACION DE MUFAS INCLUYE: TUBO CONDUIT 1 1/2", 2 MUFAS, CABLEADO CAL 4 THW/LS 20 MTS POR LINEA 3 FASES 1 NEUTRO/TIERRA 20MTS POR LINEA (HACIA INTERRUPTOR PPAL Y HACIA BOMBAS</t>
  </si>
  <si>
    <t>INSTALACION DE INTERRUPTORES TIPO RIEL Y CONEXIONES DE MOTOR INCLUYE: 2 PASTILLAS TIPO RIEL TRIFASICA, GABIENTE HIMEL, CABLEADO HACIA MOTOR, CONEXIONES, EMPATES (CINTAS AISLANTES, MASILLA, CONECTORES), PRUEBAS DE FUNCIONAMIENTO</t>
  </si>
  <si>
    <t>Iva 16%:</t>
  </si>
  <si>
    <r>
      <rPr>
        <b/>
        <sz val="11"/>
        <rFont val="Arial"/>
        <family val="2"/>
      </rPr>
      <t>Tiempo de entrega del sistema:</t>
    </r>
    <r>
      <rPr>
        <sz val="11"/>
        <rFont val="Arial"/>
        <family val="2"/>
      </rPr>
      <t xml:space="preserve"> De 2 DIAS HABILES salvo previa venta, una vez dado el pago.</t>
    </r>
  </si>
  <si>
    <t>Forma de Pago: 70 % AL CONTRATAR 30% AL FINALIZAR</t>
  </si>
  <si>
    <t>OCHENTA Y SEIS MIL QUINIENTOS VEINTE Y DOS PESOS 08/100 M.N.</t>
  </si>
  <si>
    <t xml:space="preserve"> REP. DE BOMBA SUMERGIBLE HIERRO FUNDIDO INCLUYE: CAMBIO DE FLECHA CON COPLE </t>
  </si>
  <si>
    <t xml:space="preserve">ASTRIADO, RECTIFICACION Y BALANCEO DE IMPULSORES, CAMBIO DE BUJES DE BRONCE </t>
  </si>
  <si>
    <t xml:space="preserve">PARA TAZONES, ANILLAR ADAPTADORES Y TAZONES, DESARMADO Y ARMADO,  </t>
  </si>
  <si>
    <t>LIMPIEZA Y LUBRICACION, TRASLADOS (FLETES).</t>
  </si>
  <si>
    <t xml:space="preserve">MOTOR SUMERGIBLE SEMINUEVO TRIFASICO ALTAMIRA SERIE X 75 HP. 460 VOLTS 60 HZ. </t>
  </si>
  <si>
    <t>3450 RPM. EMPUJE AXIAL 55KN REBOBINABLE DIAM 7 3/4" (TIEMPO DE ENTREGA INMEDIATA)</t>
  </si>
  <si>
    <t xml:space="preserve"> VALORES MEGGEO 2.5 GOHMNS (GARANTIA 6 MESES)</t>
  </si>
  <si>
    <t>07 DE FEBRERO DEL 2026</t>
  </si>
  <si>
    <t>FIN TOTAL.-</t>
  </si>
  <si>
    <t xml:space="preserve">Empresa: AGRICOLA EL TORBELLINO   </t>
  </si>
  <si>
    <t>Atención a: SR. ANGEL FRIAS  ING. PABLO OROZCO</t>
  </si>
  <si>
    <t>Domicilio: ZAPOTILITC, JALISCO</t>
  </si>
  <si>
    <t>Nombre Del Predio: LA MEZCALERA</t>
  </si>
  <si>
    <t>09 DE FEBRERO DEL 2026</t>
  </si>
  <si>
    <t>MT. COLUMNA FLEXIBLE PARA POZOS PROFUNDOS 6"</t>
  </si>
  <si>
    <t>RACORES INOXIDABLE PARA COLUMNA FLEXIBLE CON FUSIBLE DE HIERRO VACIADO DE 6"</t>
  </si>
  <si>
    <t>CENTRADOR PLASTICO KWIK zip para columna flexible coluflex 4 SECCIONES PARA COLUMNA DE 6"</t>
  </si>
  <si>
    <t>NIPLE DE 8" PARA CONECCION DE BOMBA CONICO Y RECTO</t>
  </si>
  <si>
    <t xml:space="preserve">A ESTE COSTO EN CASO DE EXISTIR ECEDENTES SE MANDARAN EN UNA COTIZACION DE </t>
  </si>
  <si>
    <t>FINIQUITO, DEPENDERA DE LAS MODIFICIACIONES A REALIZAR</t>
  </si>
  <si>
    <t>CABLE PLANO SUMERGIBLE CAL. 3 X 3/0 @ 1000 VOLTS</t>
  </si>
  <si>
    <t>CABLE PLANO SUMERGIBLE CAL. 3 X 4/0 @ 1000 VOLTS</t>
  </si>
  <si>
    <t>DESENGRASADO, RECTIFICADO EN TORNO, BALANCEO DINAMICO, REGRESO A CAMPO.</t>
  </si>
  <si>
    <t>DESENGRASADO, DESARMADO, RECTIFICADO EN TORNO, REGRESO A CAMPO.</t>
  </si>
  <si>
    <t>REP. EQUIPO DE BOMBEO TIPO TURBINA VERTICAL</t>
  </si>
  <si>
    <t xml:space="preserve">                       POR COTIZAR</t>
  </si>
  <si>
    <r>
      <rPr>
        <b/>
        <sz val="11"/>
        <rFont val="Arial"/>
        <family val="2"/>
      </rPr>
      <t>Tiempo de entrega del sistema:</t>
    </r>
    <r>
      <rPr>
        <sz val="11"/>
        <rFont val="Arial"/>
        <family val="2"/>
      </rPr>
      <t xml:space="preserve"> De 20 DIAS hábil, salvo previa venta, una vez dado el pago.</t>
    </r>
  </si>
  <si>
    <t>CORTE DE FLECHA DE AJUSTE, FUNDA, MATERIALES MENORES.</t>
  </si>
  <si>
    <t xml:space="preserve">EN CASO DE EXISTIR ECEDENTES SE MANDARAN EN UNA COT DE </t>
  </si>
  <si>
    <t xml:space="preserve">                                          CUATROCIENTOS SESENTA Y SIETE MIL SESENTA Y OCHO PESOS 32/100 M.N.</t>
  </si>
  <si>
    <t xml:space="preserve">REP DE FLECHAS DE EQUIPO DE BOMBEO TIPO TURBINA, INC: TRASLADOS, </t>
  </si>
  <si>
    <t xml:space="preserve">REP DE FUNDAS DE EQUIPO DE BOMBEO TIPO TURBINA, INC: TRASLADOS, </t>
  </si>
  <si>
    <t xml:space="preserve">MAT. PARA INSTALACION, INCLUYE: CUBETA DE ACEITE, HILO GRAFITADO, </t>
  </si>
  <si>
    <t xml:space="preserve">A ESTE COSTO EN CASO DE EXISTIR EXCEDENTES SE MANDARAN EN UNA COT DE </t>
  </si>
  <si>
    <t xml:space="preserve">Empresa: POZO LA LLAVE </t>
  </si>
  <si>
    <t xml:space="preserve">Nombre Del Predio: POZO LA LLAVE </t>
  </si>
  <si>
    <t>Atención a: SR. ROBERTO RAMIREZ</t>
  </si>
  <si>
    <t>Domicilio: ZAPOTLAN EL GRANDE, JALISCO</t>
  </si>
  <si>
    <t xml:space="preserve">AFORO CON EQUIPOS INSTALADOS, INCLUYE: INST. VFD, EQUIPOS DE MEDICION, </t>
  </si>
  <si>
    <t xml:space="preserve">REVISION DE NIVELES, MEDICIONES ELECTRICAS, PRUEBA DE BOMBEO DURANTE 24 </t>
  </si>
  <si>
    <t>HORAS, CURVA DE COMPORTAMIENTO HIDRAHULICO, REPORTE.</t>
  </si>
  <si>
    <t>REP. DE TRANSMISION DE BOMBA TIPO TURBINA LUBRICACION ACEITE, INCLUYE: TRASLADOS, DESARMADO, DESENGRASADO, TRABAJOS DE TORNO, ARMADO.</t>
  </si>
  <si>
    <t>POR COTIZAR</t>
  </si>
  <si>
    <r>
      <rPr>
        <b/>
        <sz val="11"/>
        <rFont val="Arial"/>
        <family val="2"/>
      </rPr>
      <t>Tiempo de entrega del sistema:</t>
    </r>
    <r>
      <rPr>
        <sz val="11"/>
        <rFont val="Arial"/>
        <family val="2"/>
      </rPr>
      <t xml:space="preserve"> De 30 DIAS hábil, salvo previa venta, una vez dado el pago.</t>
    </r>
  </si>
  <si>
    <t>INSTALACION DE EQUIPO DE BOMBEO POZO LA LLAVE P/MT HASTA 140 MT.</t>
  </si>
  <si>
    <t>DES-INSTALACION DE EQUIPO DE BOMBEO POZO LA LLAVE HASTA 140 MT.</t>
  </si>
  <si>
    <t xml:space="preserve">                                               DOSCIENTOS CINCUENTA Y DOS MIL CIENTO NOVENTA Y DOS PESOS 12/100 M.N.</t>
  </si>
  <si>
    <t>HEBILLAS DE PLASTICO PARA CINTILLOS DE CABLE</t>
  </si>
  <si>
    <t>Tiempo de entrega del sistema: De 5 DIAS hábil, salvo previa venta, una vez dado el pago.</t>
  </si>
  <si>
    <t>Tiempo de instalación: no definida, previa calendarización de la misma.</t>
  </si>
  <si>
    <t>Método de Pago: Efectivo, Cheque, Transferencia Interbancaria.</t>
  </si>
  <si>
    <t>Numero de cuenta: 048 247 5650   CLABE.- 012 342 004824 756509  BBVA BANCOMER</t>
  </si>
  <si>
    <t>MOTOR SUMERGIBLE 460 VOLTS 60 HZ. MCA.- SME</t>
  </si>
  <si>
    <t>BOMBA SUMERGIBLE INOXI DABLE O FUNDICION</t>
  </si>
  <si>
    <t xml:space="preserve">            POR COTIZAR</t>
  </si>
  <si>
    <t>RENTA DE CABLE PLANO SUMERGIBLE CAL. 3 X 4/0 POR 20 DIAS A PARTIR DE SU INSTALACION.</t>
  </si>
  <si>
    <t>MATERIAL PARA EMPATE CAL. 3 X 4/0</t>
  </si>
  <si>
    <t>12 DE FEBRERO DEL 2026</t>
  </si>
  <si>
    <t xml:space="preserve">                                     CIENTO NOVENTA Y SIETE MIL DOSCIENTOS VEINTE Y DOS PESOS 04/100 M.N.</t>
  </si>
  <si>
    <t xml:space="preserve">                                               OCHO MIL CIENTO VEINTE PESOS /100 M.N.</t>
  </si>
  <si>
    <t xml:space="preserve">Empresa: FRESNITO </t>
  </si>
  <si>
    <t>Atención a: ING. EMILIO RUIZ</t>
  </si>
  <si>
    <t>Domicilio: CONOCIDO EL FRESNITO</t>
  </si>
  <si>
    <t>Nombre Del Predio: FRESNITO</t>
  </si>
  <si>
    <t xml:space="preserve">LA COTIZACION DE LA REPARACION DE LAS FLECHAS Y BOMBA SE MANDARA </t>
  </si>
  <si>
    <t>EN OTRA COTIZACION UNA VEZ QUE SE TENGAN DIAGNOSTICO.</t>
  </si>
  <si>
    <t>13 DE FEBRERO DEL 2026</t>
  </si>
  <si>
    <t>DES-INSTALACION DE EQUIPO DE BOMBEO POZO LA MEZCALERA HASTA 195 MT. EQUIPO DE FLECHA, INCLUYE DESARMADO DE TREN DE DESCARGA, TUBO DE 8", FUNDAS, FLECHAS.</t>
  </si>
  <si>
    <t>INSTALACION DE EQUIPO DE BOMBEO POZO LA MEZCALERA P/MT HASTA 195 MT. TIPO SUMERGIBLE DE 8" DE DIAMETRO</t>
  </si>
  <si>
    <t>CHUMACERAS DE BRONCE PARA FUNDA DE EQUIPO DE BOMBEO LUB ACEITE</t>
  </si>
  <si>
    <t>INSTALACION DE EQUIPO DE BOMBEO POZO LA MEZCALERA HASTA 195 MT. EQUIPO DE FLECHA, INCLUYE DESARMADO DE TREN DE DESCARGA, TUBO DE 8", FUNDAS, FLECHAS.</t>
  </si>
  <si>
    <r>
      <rPr>
        <b/>
        <sz val="11"/>
        <rFont val="Arial"/>
        <family val="2"/>
      </rPr>
      <t>Tiempo de entrega del sistema:</t>
    </r>
    <r>
      <rPr>
        <sz val="11"/>
        <rFont val="Arial"/>
        <family val="2"/>
      </rPr>
      <t xml:space="preserve"> De 4-5 DIAS hábil, salvo previa venta, una vez dado el pago. LA PRIMERA ETAPA DEL EQUIPO SUMERGIBLE, LA SEGUNDA DEL CAMBIO A EQUIPO DE FLECHA SERIA EN ALREDEDOR DE 20-25 DIAS.</t>
    </r>
  </si>
  <si>
    <t xml:space="preserve">A ESTE COSTO EN CASO DE EXISTIR EXCEDENTES SE MANDARAN EN UNA COTIZACION DE </t>
  </si>
  <si>
    <t>AQUÍ SE INST. SU MOTOR, QUE SOLO DA UN GASTO DE 20 LT</t>
  </si>
  <si>
    <t>FALTA EL COST DE REP. DE BOMBAS, CHUMACERAS O FLECHAS DAÑADAS.</t>
  </si>
  <si>
    <t>DES-INSTALACION DE EQUIPO DE BOMBEO POZO LA MEZCALERA P/MT HASTA 195 MT. TIPO SUMERGIBLE DE 8" DE DIAMETRO</t>
  </si>
  <si>
    <t xml:space="preserve">                                     TRESCIENTOS SETENTA Y UN MIL TRESCIENTOS UN PESOS 38/100 M.N.</t>
  </si>
  <si>
    <t xml:space="preserve">                                          NOVECIENTOS DOS MIL CIENTO SESENTA Y DOS PESOS 21/100 M.N.</t>
  </si>
  <si>
    <t xml:space="preserve">                                          QUINIENTOS CINCUENTA Y UN MIL CIENTO CINCUENTA Y NUEVE PESOS 38/100 M.N.</t>
  </si>
  <si>
    <t>POLIDUCTO DE ALTA DENSIDAD DE 1" PARA MEDICION DE NIVEL</t>
  </si>
  <si>
    <t xml:space="preserve">                                          QUINIENTOS VEINTE MIL TREINTA Y DOS PESOS 68/100 M.N.</t>
  </si>
  <si>
    <t xml:space="preserve">AQUÍ SE INST. SU MOT, QUE SOLO DA UN GASTO DE </t>
  </si>
  <si>
    <t>20-30 LT</t>
  </si>
  <si>
    <t>17 DE FEBRERO DEL 2026</t>
  </si>
  <si>
    <t>DIAS DE RENTA CABLE PLANO SUMERGIBLE CAL. 3 X 4/0 @ 1000 VOLTS</t>
  </si>
  <si>
    <t xml:space="preserve">                                          CIENTO SETENTA Y TRES MIL TRESCIENTOS CUARENTA Y TRES PESOS 44/100 M.N.</t>
  </si>
  <si>
    <r>
      <rPr>
        <b/>
        <sz val="8"/>
        <rFont val="Arial"/>
        <family val="2"/>
      </rPr>
      <t>Tiempo de entrega del sistema:</t>
    </r>
    <r>
      <rPr>
        <sz val="8"/>
        <rFont val="Arial"/>
        <family val="2"/>
      </rPr>
      <t xml:space="preserve"> De 5 DIAS hábil, salvo previa venta, una vez dado el pago.</t>
    </r>
  </si>
  <si>
    <r>
      <rPr>
        <b/>
        <sz val="8"/>
        <rFont val="Arial"/>
        <family val="2"/>
      </rPr>
      <t>Tiempo de instalación:</t>
    </r>
    <r>
      <rPr>
        <sz val="8"/>
        <rFont val="Arial"/>
        <family val="2"/>
      </rPr>
      <t xml:space="preserve"> no definida, previa calendarización de la misma.</t>
    </r>
  </si>
  <si>
    <r>
      <rPr>
        <b/>
        <sz val="8"/>
        <rFont val="Arial"/>
        <family val="2"/>
      </rPr>
      <t>Método de Pago:</t>
    </r>
    <r>
      <rPr>
        <sz val="8"/>
        <rFont val="Arial"/>
        <family val="2"/>
      </rPr>
      <t xml:space="preserve"> Efectivo, Cheque, Transferencia Interbancaria.</t>
    </r>
  </si>
  <si>
    <r>
      <rPr>
        <b/>
        <sz val="8"/>
        <rFont val="Arial"/>
        <family val="2"/>
      </rPr>
      <t>Numero de cuenta:</t>
    </r>
    <r>
      <rPr>
        <sz val="8"/>
        <rFont val="Arial"/>
        <family val="2"/>
      </rPr>
      <t xml:space="preserve"> 048 247 5650   </t>
    </r>
    <r>
      <rPr>
        <b/>
        <sz val="8"/>
        <rFont val="Arial"/>
        <family val="2"/>
      </rPr>
      <t xml:space="preserve">CLABE.- </t>
    </r>
    <r>
      <rPr>
        <sz val="8"/>
        <rFont val="Arial"/>
        <family val="2"/>
      </rPr>
      <t xml:space="preserve">012 342 004824 756509  </t>
    </r>
    <r>
      <rPr>
        <b/>
        <sz val="8"/>
        <rFont val="Arial"/>
        <family val="2"/>
      </rPr>
      <t>BBVA BANCOMER</t>
    </r>
  </si>
  <si>
    <t xml:space="preserve">Empresa: GASOLINERA EL PARADERO SAYULA  </t>
  </si>
  <si>
    <t>Domicilio: SAYULA, JALISCO</t>
  </si>
  <si>
    <t>Nombre Del Predio: PARADERO SAYULA</t>
  </si>
  <si>
    <t>24 DE FEBRERO DEL 2026</t>
  </si>
  <si>
    <t>DES-INSTALACION DE EQUIPO DE BOMBEO POZO LA MEZCALERA HASTA 18 MT. EQUIPO SUMERGIBLE, INCLUYE DESARMADO DE TREN DE DESCARGA, TUBO DE 1"</t>
  </si>
  <si>
    <t>Atención a: SR. JOSE ALBERTO CLEMENTE GUZMAN HERNANDEZ</t>
  </si>
  <si>
    <t>SE COTIZARAN APARTE LAS REPARACIONES O EQUIPOS</t>
  </si>
  <si>
    <t xml:space="preserve">EN CASO DE REQUERIR YA QUE ESO SOLO SE VERA UNA </t>
  </si>
  <si>
    <t>VEZ DESINSTALANDO</t>
  </si>
  <si>
    <t xml:space="preserve">DIAGNOSTICO DE POZO PROFUNDO, EN GASOLINERA  </t>
  </si>
  <si>
    <t>EL PARADERO SAYULA.</t>
  </si>
  <si>
    <t xml:space="preserve">                                          DOCE MIL TRESCIENTOS TREINTA PESOS 80/100 M.N.</t>
  </si>
  <si>
    <t>Empresa: AGRICOLA VALENCIA</t>
  </si>
  <si>
    <t>Atención a: SR. ARTURO VALENCIA</t>
  </si>
  <si>
    <t>Domicilio: EL VELADERO, MUN. SAYULA JALISCO.</t>
  </si>
  <si>
    <t>Nombre del predio: EL PELILLO</t>
  </si>
  <si>
    <t xml:space="preserve"> EL VELADERO, MUN. SAYULA JALISCO.</t>
  </si>
  <si>
    <t>TRASLADOS DE GENERADOR DE GDL- EL VELADERO Y  EL VELADERO-GDL.</t>
  </si>
  <si>
    <t>INSTALACION, PRUEBAS Y CABLES PARA LLEGAR A SISTEMA DE ARRANQUE.</t>
  </si>
  <si>
    <t>SE TOMA COMO DIA A PARTIR DEL DIA QUE SE CONTRATA DEBIDO A LOS TRASLADOS</t>
  </si>
  <si>
    <t xml:space="preserve">ES EN TURNOS DE 8 HORAS POR 1 DE DESCANSO. </t>
  </si>
  <si>
    <t>EL DIESEL ASI COMO REVISIONES DE ACEITE Y AGUA ES PARTE DEL CLIENTE, EN CASO DE USARLO 1 MES TENDRA</t>
  </si>
  <si>
    <t xml:space="preserve"> QUE HACERSE EL SERVICIO POR PARTE DEL CLIENTE.</t>
  </si>
  <si>
    <r>
      <rPr>
        <b/>
        <sz val="11"/>
        <rFont val="Arial"/>
        <family val="2"/>
      </rPr>
      <t>Tiempo de entrega del sistema:</t>
    </r>
    <r>
      <rPr>
        <sz val="11"/>
        <rFont val="Arial"/>
        <family val="2"/>
      </rPr>
      <t xml:space="preserve"> VARIA DEPENDIENDO DEL PUNTO A TRATAR.</t>
    </r>
  </si>
  <si>
    <t>Forma de Pago: 70% al contratar 30% AL 5 DIA DE USO</t>
  </si>
  <si>
    <r>
      <rPr>
        <b/>
        <sz val="11"/>
        <rFont val="Arial"/>
        <family val="2"/>
      </rPr>
      <t>Método de Pago:</t>
    </r>
    <r>
      <rPr>
        <sz val="11"/>
        <rFont val="Arial"/>
        <family val="2"/>
      </rPr>
      <t xml:space="preserve"> Efectivo.</t>
    </r>
  </si>
  <si>
    <t xml:space="preserve">DIAS DE RENTA DE GENERADOR TRIFASICO DE 60 KW. 460 VOLTS 60 HZ. DEL DIA </t>
  </si>
  <si>
    <t>25 FEBRERO DEL 2026</t>
  </si>
  <si>
    <t>CUARENTA Y CINCO MIL OCHOCIENTOS SETENTA Y SEIS PESOS 38/100 M.N.</t>
  </si>
  <si>
    <t>POZO EL VELADERO</t>
  </si>
  <si>
    <t xml:space="preserve">Empresa: GRUPO ALTA DON MARIO   </t>
  </si>
  <si>
    <t>Atención a: ING. ANDRES REYES</t>
  </si>
  <si>
    <t>Domicilio: PETACAL JALISCO</t>
  </si>
  <si>
    <t>MANIOBRA DE DESINSTALACION DE EQUIPO DE BOMBEO DE 3" CON AYUDA DE GRUA TIPO TRIPIE DE 40 TONELADAS INCLUYE: EPP, IZAJE, MANIOBRA, QUITAR TREN DE DESCARGA. (NO INCLUYE EQUIPO DE CORTE Y SOLDADURA EN CASO DE REQUERIR).</t>
  </si>
  <si>
    <t>MANIOBRA DE INSTALACION DE EQUIPO DE BOMBEO DE 3" CON AYUDA DE GRUA TIPO TRIPIE DE 40 TONELADAS INCLUYE: EPP, IZAJE, MANIOBRA, INSTALACION TREN DE DESCARGA. (NO INCLUYE EQUIPO DE CORTE Y SOLDADURA EN CASO DE REQUERIR).</t>
  </si>
  <si>
    <t xml:space="preserve">MATERIAL PARA EMPATE DE CABLE DE MOTOR CON CABLE SUMERGIBLE DE ALIMENTACION </t>
  </si>
  <si>
    <t xml:space="preserve">CAJA DE ALAMBRE CAL 10 PARA AMARRE DE CABLE SUMERGIBLE A COLUMNA DE CONDUCCION DE AGUA </t>
  </si>
  <si>
    <t>Garantia de 1 AÑO naturales en equipo, dispositivos</t>
  </si>
  <si>
    <t>26 DE FEBRERO DEL 2026</t>
  </si>
  <si>
    <t>Nombre Del Predio: POZO LIMONERA 3</t>
  </si>
  <si>
    <t>CINCUENTA Y NUEVE MIL QUINIENTOS CINCUENTA Y CUATRO PESOS 40/100 M.N.</t>
  </si>
  <si>
    <t>REP. EQUIPO DE BOMBEO POZO LIMONERA 3</t>
  </si>
  <si>
    <t xml:space="preserve">LA REPARACION DEL EQUIPO SE HARA UNA VEZ MANDADNO AL TALLER Y VER LAS </t>
  </si>
  <si>
    <t>MENOS CAUDAL.</t>
  </si>
  <si>
    <t xml:space="preserve">CONDICIONES DEL MISMO O SE ANALIZARIA LA OPCION DE INSTALAR UN EQUIPO DE </t>
  </si>
  <si>
    <t>Empresa: Sr. Francisco Magaña</t>
  </si>
  <si>
    <t>Atención a:  Sr. Francisco Magaña</t>
  </si>
  <si>
    <t>Domicilio:  CONOCIDO</t>
  </si>
  <si>
    <t>Nombre del predio: PILITAS 3</t>
  </si>
  <si>
    <t>ZAPOTLAN EL GRANDE, JALISCO.</t>
  </si>
  <si>
    <t>03 DE NOVIEMBRE DEL 2024</t>
  </si>
  <si>
    <t>Atendiendo a su amable solicitud , ponemos a su consideración la siguiente propuesta económica para realizar los trabajos de venta e instalación de los siguiente equipos:</t>
  </si>
  <si>
    <t>MOTOR SUMERGIBLE TRIFASICO de 175 Hp. 460 VOLTS 60 HZ. 3510 RPM.  EMPUJE AXIAL.- 60 KN Y ALTA TEMPERATURA.</t>
  </si>
  <si>
    <r>
      <t xml:space="preserve">REBOBINABLE, MCA.- SME 8" DE DIAMETRO.  </t>
    </r>
    <r>
      <rPr>
        <b/>
        <sz val="10"/>
        <rFont val="Arial"/>
        <family val="2"/>
      </rPr>
      <t xml:space="preserve">(T.E.- 1 SEMANAS HABILES) </t>
    </r>
  </si>
  <si>
    <r>
      <t xml:space="preserve">BOMBA SUMERGIBLE MCA.- FRANKLIN ELECTRIC EN FUNDICION DE HIERRO. </t>
    </r>
    <r>
      <rPr>
        <b/>
        <sz val="10"/>
        <rFont val="Arial"/>
        <family val="2"/>
      </rPr>
      <t xml:space="preserve"> 33 LT/SEG  (T.E.- 1 SEMANA HABIL) </t>
    </r>
  </si>
  <si>
    <t>VALVULA CHECK VERTICAL DE HIERRO DUCTIL 6" MCA. NUCLEO ING @ 600 PSI</t>
  </si>
  <si>
    <t>VALVULA CHECK VERTICAL DE HIERRO DUCTIL 6" MCA. GOULDS @ 400 PSI</t>
  </si>
  <si>
    <t>TUBO CED. 40 CON COPLE CONICO DE 6" Y 6.1 MT DE LONG. MCA.- NUCLEO INGENIERIA.</t>
  </si>
  <si>
    <t>INSTALACION DE EQUIPO DE BOMBEO CON AYUDA DE GRUA TIPO TRIPIE DE 30 TONELADAS INCLUYE:</t>
  </si>
  <si>
    <t>EMPATE DE CABLE PLANO SUMERGIBLE EN CALIBRE 3/0  INCLUYE:</t>
  </si>
  <si>
    <t>CONECTOR CORTO A TOPE, CINTA 130-C, CINTA MASILLA, CINTA SUPER 33, MANGA TERMOCON. CAL. 3/0</t>
  </si>
  <si>
    <t>POLIDUCTO DE ALTA DENSIDAD DE 1" PARA MEDICION DE SONDA ELECTRICA</t>
  </si>
  <si>
    <t>ARRANCADOR A TENSION REDUCIDA PARA MOTOR DE 200 Hp.</t>
  </si>
  <si>
    <t>SUB MONITOR CONNECT PARA MOTOR DE 175 HP. INCLUYE:  TCS, INSTALACION, PROGRAMACION Y PRUEBAS DE FUNCIONAMIENTO.</t>
  </si>
  <si>
    <t>MEDIDOR DE FLUJO ANALOGO DE 6" MCA.- AMEXSA MEDICION ANALOGICA</t>
  </si>
  <si>
    <t>CANALIZACION DE CABLES SUMERGIBLES DE POZO, INCLUYE:  TUBO LICUATITE, CONECTOR DE OJO, CONECTOR RECTO LICUATITE, TUBO PVC PESADO, CODO DE PVC, CONECTOR PVC PESADO, COPLES, VARILLA ROSCADA, ABRAZADERAS, CABLE THW ATERRIZADA, REGISTROS PRECOLADOS, CINTAS, MANGAS TERMOCONTRACTIL, MANO DE OBRA, HERRAMIENTAS, MANO DE OBRA.</t>
  </si>
  <si>
    <r>
      <t xml:space="preserve">CABEZAL 6" TAPA SANITARIA Y BRIDADO </t>
    </r>
    <r>
      <rPr>
        <b/>
        <sz val="10"/>
        <rFont val="Arial"/>
        <family val="2"/>
      </rPr>
      <t>REFORZADO</t>
    </r>
  </si>
  <si>
    <t>CARRETES ACERO AL CARBON BRIDADOS DE 6"</t>
  </si>
  <si>
    <t>VALVULA CHECK DE ALUMINIO DE 6" BRIDADO</t>
  </si>
  <si>
    <t>TEE DE FO.FO. DE 6" A 4"</t>
  </si>
  <si>
    <t>VALVULA DE COMPUERTA CON VOLANTE DE 6"</t>
  </si>
  <si>
    <t>VALVULA DE COMPUERTA CON VOLANTE DE 4"</t>
  </si>
  <si>
    <t>EMPAQUES DE NEOPRENO DE 6"</t>
  </si>
  <si>
    <t>EMPAQUE DE NEOPRENO DE 4"</t>
  </si>
  <si>
    <t>SISTEMA DE TIERRAS PARA EQUIPO DE BOMBEO SUMERGIBLE, INCLUYE:  ACOPLADOR DE IMPEDANCIAS, SOLDADURA EXOTERMICA, VARILLAS DE 3 MT CON PROTOCOLO, REGISTROS, HERRAMIENTAS Y MANO DE OBRA</t>
  </si>
  <si>
    <t>TORNILLOS GALVANIZADOS DE 3/4" X 3 1/2"</t>
  </si>
  <si>
    <t>TORNILLOS GALVANIZADOS DE 5/8" X 3"</t>
  </si>
  <si>
    <t>ARRANQUE Y PRUEBAS DE FUNCIONAMIENTO DE EQUIPO DE BOMBEO, PRUEBAS ELECTROMECANICAS</t>
  </si>
  <si>
    <t xml:space="preserve">PRUEBAS A BOCA DE POZO Y EN MEMBRANA, </t>
  </si>
  <si>
    <t>UN MILLON QUINIENTOS DOCE MIL SEISICIENTOS CINCUENTA Y SIETE PESOS 44/100 M.N.</t>
  </si>
  <si>
    <t>Precios sujetos a cambio sin previo aviso. T.C. 20.00</t>
  </si>
  <si>
    <r>
      <rPr>
        <b/>
        <sz val="11"/>
        <rFont val="Arial"/>
        <family val="2"/>
      </rPr>
      <t>Tiempo de entrega del sistema:</t>
    </r>
    <r>
      <rPr>
        <sz val="11"/>
        <rFont val="Arial"/>
        <family val="2"/>
      </rPr>
      <t xml:space="preserve"> De 1 - 2 semana hábil de la instalacion salvo previa venta, una vez dado el pago.</t>
    </r>
  </si>
  <si>
    <t>Forma de Pago: 70% al contratar, 30% AL AVISO DE ENTREGA.</t>
  </si>
  <si>
    <t>ABONO FEB</t>
  </si>
  <si>
    <t>CAJAS DE ALAMBRE PARA AMARRES CAL. 10</t>
  </si>
  <si>
    <t>DES-INSTALACION DE EQUIPO DE BOMBEO POZO PILITAS 3 HASTA 360 MT. EQUIPO DE FLECHA, INCLUYE DESARMADO DE TREN DE DESCARGA, TUBO DE 6", FUNDAS, FLECHAS.</t>
  </si>
  <si>
    <t>MATERIAL PARA EMPATES EQUIPO SUMERGIBLE</t>
  </si>
  <si>
    <t>SE ENVIARA A TALLER EL EQUIPO PARA SU ANALISIS O REPARACION</t>
  </si>
  <si>
    <t>Empresa: AGRICOLA VILLANUEVA</t>
  </si>
  <si>
    <t>Atención a: SR. FRANCISCO MAGAÑA</t>
  </si>
  <si>
    <t>Nombre Del Predio: PILITAS 3</t>
  </si>
  <si>
    <t>28 DE FEBRERO DEL 2026</t>
  </si>
  <si>
    <r>
      <rPr>
        <b/>
        <sz val="11"/>
        <rFont val="Arial"/>
        <family val="2"/>
      </rPr>
      <t>Tiempo de entrega del sistema:</t>
    </r>
    <r>
      <rPr>
        <sz val="11"/>
        <rFont val="Arial"/>
        <family val="2"/>
      </rPr>
      <t xml:space="preserve"> De 4-5 DIAS hábil, salvo previa venta, una vez dado el pago.</t>
    </r>
  </si>
  <si>
    <t xml:space="preserve">Fecha </t>
  </si>
  <si>
    <t xml:space="preserve">Descripcion </t>
  </si>
  <si>
    <t>No. De factura</t>
  </si>
  <si>
    <t xml:space="preserve">Cantidad </t>
  </si>
  <si>
    <t xml:space="preserve">Pago </t>
  </si>
  <si>
    <t>OC</t>
  </si>
  <si>
    <t xml:space="preserve">Estado </t>
  </si>
  <si>
    <t xml:space="preserve">Pendiente </t>
  </si>
  <si>
    <t xml:space="preserve">No hay </t>
  </si>
  <si>
    <t xml:space="preserve">Aprobada </t>
  </si>
  <si>
    <t xml:space="preserve">Reparacion de bomba de lodos 4hp </t>
  </si>
  <si>
    <t>F73CFE01-A2D4-4135-91C5-D9681E120216</t>
  </si>
  <si>
    <t>D15689DC-3BEB-40FB-A725-85E2F7B6D292</t>
  </si>
  <si>
    <t>Visita tecnica. Limonera 4</t>
  </si>
  <si>
    <t>Servicio de revision de equipo, pozo Huisichi</t>
  </si>
  <si>
    <t xml:space="preserve">Cambio equipo de Bombeo pozo limonera 4 </t>
  </si>
  <si>
    <t xml:space="preserve">Cambio equipo de Bombeo pozo limonera 3 </t>
  </si>
  <si>
    <t xml:space="preserve">Diagnostico Pozo 13 </t>
  </si>
  <si>
    <t>04 DE MARZO DEL 2026</t>
  </si>
  <si>
    <r>
      <t xml:space="preserve">AFORO PARA DETERMINAR EL GASTO ESPECIFICO DE POZO A UNA PROFUNDIDAD DE 212 MT. CON TUBERIA DE 4" POR UN LAPSO DE </t>
    </r>
    <r>
      <rPr>
        <b/>
        <sz val="12"/>
        <color rgb="FFFF0000"/>
        <rFont val="Arial"/>
        <family val="2"/>
      </rPr>
      <t>48 HORAS</t>
    </r>
    <r>
      <rPr>
        <sz val="12"/>
        <rFont val="Arial"/>
        <family val="2"/>
      </rPr>
      <t>, CON TUBERIA DE 4" INCLUYE, TRASLADOS, INSTALACION DE EQUIPOS DE BOMBEO, MEDICION, INSTALACION DE VFD, RECOPILACION DE DATOS HIDRAHULICOS Y ELECTRICOS, DESINSTALACION, TRASLADOS DE EQUIPOS, REPORTE POR ESCRITO Y CURVA CARACTERISTICA.</t>
    </r>
  </si>
  <si>
    <t>EQUIPO DE BOMBEO POR CALCULAR</t>
  </si>
  <si>
    <t xml:space="preserve">EL CALCULO DEL EQUIPO SOLO SE HARA DESPUES DEL AFORO, SE TIENE QUE HACER </t>
  </si>
  <si>
    <t>EL AFORO POR 48 HORAS DEBIDO A QUE EL POZO MUESTRA SEÑALES DE ABATIMIENTO</t>
  </si>
  <si>
    <t>REP. MOTOR SUMERGIBLE 3 FASES 460 VOLTS 60HZ. DE 60 HP. MCA.- SME</t>
  </si>
  <si>
    <t>REP. BOMBA SUMERGIBLE PARA 12 LT/SEG.</t>
  </si>
  <si>
    <t>SE INCLUIRAN LAS COTIZACIONES SOBRE LOS TRABAJOS.</t>
  </si>
  <si>
    <t xml:space="preserve">                                          DOS MIL NOVECIENTOS PESOS 00/100 M.N.</t>
  </si>
  <si>
    <t>Forma de Pago: 100% CONTADO</t>
  </si>
  <si>
    <t>VISITA TECNICA PAR DIAGNOSTICO DE POZO PROFUNDO, INCLUYE RVISION PARA METROS ELECTRICOS, PARAMETROS HIDRAHULICOS, ASI COMO DIAGNOSTICO DE SOLUCION A PROBLEMAS REVISADOS.</t>
  </si>
  <si>
    <t>Nombre Del Predio: POZO 13 GUAYABAR</t>
  </si>
  <si>
    <t>02 DE MARZO DEL 2026</t>
  </si>
  <si>
    <t>Nombre Del Predio: POZO 1 HUISICHI</t>
  </si>
  <si>
    <t>02 DE FEBRERO DEL 2025</t>
  </si>
  <si>
    <t>08 DE AGOSTO DEL 2025</t>
  </si>
  <si>
    <r>
      <rPr>
        <b/>
        <sz val="11"/>
        <rFont val="Arial"/>
        <family val="2"/>
      </rPr>
      <t>Forma de Pago: 70</t>
    </r>
    <r>
      <rPr>
        <sz val="11"/>
        <rFont val="Arial"/>
        <family val="2"/>
      </rPr>
      <t xml:space="preserve">% al contratar, </t>
    </r>
    <r>
      <rPr>
        <b/>
        <sz val="11"/>
        <rFont val="Arial"/>
        <family val="2"/>
      </rPr>
      <t>30</t>
    </r>
    <r>
      <rPr>
        <sz val="11"/>
        <rFont val="Arial"/>
        <family val="2"/>
      </rPr>
      <t>% termino del trabajo.</t>
    </r>
  </si>
  <si>
    <r>
      <rPr>
        <b/>
        <sz val="11"/>
        <rFont val="Arial"/>
        <family val="2"/>
      </rPr>
      <t>Tiempo de entrega del sistema:</t>
    </r>
    <r>
      <rPr>
        <sz val="11"/>
        <rFont val="Arial"/>
        <family val="2"/>
      </rPr>
      <t xml:space="preserve"> De 2 a 3 semanas hábiles de la instalacion salvo previa venta, una vez dado el pago.</t>
    </r>
  </si>
  <si>
    <r>
      <t xml:space="preserve">La garantía no será válida por mal uso, maltrato, sabotaje, manipulación de terceras personas, descargas eléctricas o vicios oculto. Solo falta anxar materiales para canalizar el equipo que se tiene que ver en campo. </t>
    </r>
    <r>
      <rPr>
        <b/>
        <sz val="11"/>
        <rFont val="Arial"/>
        <family val="2"/>
      </rPr>
      <t>TODOS LOS PRECIOS SON MAS IVA.</t>
    </r>
  </si>
  <si>
    <t>ALCANCES : VERIFICACION NIVEL ESTATICO , GRADO Y TIPO DE INCRUSTACION ,REVISION ESTRUCTURAL DEL ADEME, FONDO Y AZOLVE DEL POZO.</t>
  </si>
  <si>
    <t>VIDEO GRABACION DINAMICA INCLUYE.- REVISION , ANALISIS Y REPORTE ESCRITO .</t>
  </si>
  <si>
    <t>FILTRO DE ARMONICOS DV/DT MCA.- ABB 120 Amp. KIT DE CHOQUE.</t>
  </si>
  <si>
    <t>SISTEMA DE TIERRAS PARA DESCARGAS Y DREN A TIERRA: INCLUYE:  CALCULO DE MALLA, INSTALACION DE SISTEMA, UNIFICACION DE APARTARRAYOS, ACOPLADOR DE IMPEDANCIAS. MCA.- TOTAL GROUND</t>
  </si>
  <si>
    <t>SUPRESOR DE PICOS DE 400 000 AMP. (400 KA) PARA DESCARGAS ATMOSFERICAS Y RAYOS, CON ALARMA VISUAL Y AUDITIVA.</t>
  </si>
  <si>
    <t>VALVULA CHECK VERTICAL DE HIERRO DUCTIL 8" MCA. FLOMATIC</t>
  </si>
  <si>
    <t>VALVULA CHECK VERTICAL DE HIERRO DUCTIL 8" MCA. GOULDS @ 400 PSI</t>
  </si>
  <si>
    <t>VALVULA CHECK VERTICAL DE HIERRO DUCTIL 8" MCA. NUCLEO ING @ 600 PSI</t>
  </si>
  <si>
    <t>CABLE PLANO SUMERGIBLE CAL. 3 X 2/0 @ 1000 VOLTS</t>
  </si>
  <si>
    <t>CABLE PLANO SUMERGIBLE CAL. 3 X 1/0 @ 1000 VOLTS</t>
  </si>
  <si>
    <r>
      <t xml:space="preserve">REBOBINABLE, MCA.- ALTAMIRA SERIE "X" 6" DE DIAMETRO.  </t>
    </r>
    <r>
      <rPr>
        <b/>
        <sz val="10"/>
        <rFont val="Arial"/>
        <family val="2"/>
      </rPr>
      <t xml:space="preserve">(T.E.- 1 SEMANA) </t>
    </r>
  </si>
  <si>
    <t>MOTOR SUM TRIFASICO de 125 Hp. 460 VOLTS 60 HZ. 3510 RPM.  EMPUJE AXIAL.- 40 KN</t>
  </si>
  <si>
    <t>MOTOR SUM TRIFASICO de 125 Hp. 460 VOLTS 60 HZ. 3540 RPM.  EMPUJE AXIAL.- 40 KN</t>
  </si>
  <si>
    <r>
      <t>MOTOR SUMERGIBLE 125 HP.</t>
    </r>
    <r>
      <rPr>
        <b/>
        <sz val="10"/>
        <color rgb="FFFF0000"/>
        <rFont val="Arial"/>
        <family val="2"/>
      </rPr>
      <t xml:space="preserve"> NUEVO</t>
    </r>
    <r>
      <rPr>
        <b/>
        <i/>
        <sz val="10"/>
        <rFont val="Arial"/>
        <family val="2"/>
      </rPr>
      <t xml:space="preserve"> MCA.- ALTAMIRA 460 VOLTS 60 HZ. </t>
    </r>
  </si>
  <si>
    <r>
      <t>MOTOR SUMERGIBLE 125 HP.</t>
    </r>
    <r>
      <rPr>
        <b/>
        <sz val="10"/>
        <color rgb="FFFF0000"/>
        <rFont val="Arial"/>
        <family val="2"/>
      </rPr>
      <t xml:space="preserve"> NUEVO</t>
    </r>
    <r>
      <rPr>
        <b/>
        <i/>
        <sz val="10"/>
        <rFont val="Arial"/>
        <family val="2"/>
      </rPr>
      <t xml:space="preserve"> MCA.- SME 460 VOLTS 60 HZ. ALTA TEMP. ALTO EMPUJE AXIAL</t>
    </r>
  </si>
  <si>
    <r>
      <t xml:space="preserve">REBOBINABLE, MCA.- TX REBOBINABLE 10" DE DIAMETRO.  </t>
    </r>
    <r>
      <rPr>
        <b/>
        <sz val="10"/>
        <rFont val="Arial"/>
        <family val="2"/>
      </rPr>
      <t xml:space="preserve">(T.E.- 4 - 6 SEMANAS) </t>
    </r>
  </si>
  <si>
    <t>Empresa: ABA VALUE</t>
  </si>
  <si>
    <t>Atención a: ING. MIGUEL BARAJAS</t>
  </si>
  <si>
    <t>Domicilio: HUERTA LA GLORIA</t>
  </si>
  <si>
    <t>Nombre del predio: LA GLORIA</t>
  </si>
  <si>
    <t>05 DE MARZO DEL 2026</t>
  </si>
  <si>
    <r>
      <t xml:space="preserve">BOMBA SUMERGIBLE MCA.- ALTAMIRA EN FUND. DE HIERRO. </t>
    </r>
    <r>
      <rPr>
        <b/>
        <sz val="10"/>
        <rFont val="Arial"/>
        <family val="2"/>
      </rPr>
      <t xml:space="preserve"> 58 LT/SEG (T.E.- 6 - 7 DIAS HABIL) </t>
    </r>
  </si>
  <si>
    <r>
      <t xml:space="preserve">BOMBA SUMERGIBLE MCA.- ALTAMIRA. </t>
    </r>
    <r>
      <rPr>
        <b/>
        <sz val="10"/>
        <rFont val="Arial"/>
        <family val="2"/>
      </rPr>
      <t xml:space="preserve"> 58 LT/SEG (T.E.- 3 DIAS HABIL) </t>
    </r>
  </si>
  <si>
    <r>
      <rPr>
        <b/>
        <sz val="11"/>
        <rFont val="Arial"/>
        <family val="2"/>
      </rPr>
      <t>Tiempo de entrega del sistema:</t>
    </r>
    <r>
      <rPr>
        <sz val="11"/>
        <rFont val="Arial"/>
        <family val="2"/>
      </rPr>
      <t xml:space="preserve"> De 15 - 20 DIAS hábil, salvo previa venta, una vez dado el pago.</t>
    </r>
  </si>
  <si>
    <r>
      <rPr>
        <b/>
        <sz val="11"/>
        <rFont val="Arial"/>
        <family val="2"/>
      </rPr>
      <t>Tiempo de entrega del sistema:</t>
    </r>
    <r>
      <rPr>
        <sz val="11"/>
        <rFont val="Arial"/>
        <family val="2"/>
      </rPr>
      <t xml:space="preserve"> De 7 - 10 DIAS hábil, salvo previa venta, una vez dado el pago.</t>
    </r>
  </si>
  <si>
    <r>
      <t xml:space="preserve">BOMBA SUMERGIBLE MCA.- LUBI INOXIDABLE. </t>
    </r>
    <r>
      <rPr>
        <b/>
        <sz val="10"/>
        <rFont val="Arial"/>
        <family val="2"/>
      </rPr>
      <t xml:space="preserve"> 60 LT/SEG (T.E.- 2 DIAS HABIL) </t>
    </r>
  </si>
  <si>
    <t>AMPLIACION DE 6" A 8" CON COPLE</t>
  </si>
  <si>
    <r>
      <t xml:space="preserve">BOMBA SUMERGIBLE MCA.- TX PUMPS EN FUND. DE HIERRO. </t>
    </r>
    <r>
      <rPr>
        <b/>
        <sz val="10"/>
        <rFont val="Arial"/>
        <family val="2"/>
      </rPr>
      <t xml:space="preserve"> 58 LT/SEG (T.E.- 2 - 3 DIAS HABIL) </t>
    </r>
  </si>
  <si>
    <r>
      <t xml:space="preserve">BOMBA SUMERGIBLE MCA.- FRANKLIN ELECTRIC EN FUND. DE HIERRO. </t>
    </r>
    <r>
      <rPr>
        <b/>
        <sz val="10"/>
        <rFont val="Arial"/>
        <family val="2"/>
      </rPr>
      <t xml:space="preserve"> 58 LT/SEG (T.E.- 2 - 3 DIAS HABIL) </t>
    </r>
  </si>
  <si>
    <t>DES-INSTALACION DE EQUIPO DE BOMBEO POZO PILITAS 3 HASTA 360 MT. EQUIPO DE FLECHA, INCLUYE DESARMADO DE TREN DE DESCARGA, TUBO DE 8", CARGADA DE AGUA.</t>
  </si>
  <si>
    <r>
      <t xml:space="preserve">REBOBINABLE, MCA.- ALTAMIRA SERIE "X" 6" DE DIAMETRO.  </t>
    </r>
    <r>
      <rPr>
        <b/>
        <sz val="10"/>
        <color rgb="FF00B050"/>
        <rFont val="Arial"/>
        <family val="2"/>
      </rPr>
      <t xml:space="preserve">(T.E.- 3 - 4 DIAS) </t>
    </r>
  </si>
  <si>
    <r>
      <t xml:space="preserve">BOMBA SUMERGIBLE MCA.- ALTAMIRA. </t>
    </r>
    <r>
      <rPr>
        <b/>
        <sz val="10"/>
        <rFont val="Arial"/>
        <family val="2"/>
      </rPr>
      <t xml:space="preserve"> 40 LT/SEG (T.E.- 3 DIAS HABIL) </t>
    </r>
  </si>
  <si>
    <r>
      <t xml:space="preserve">BOMBA SUMERGIBLE MCA.- ALTAMIRA EN FUND. DE HIERRO. </t>
    </r>
    <r>
      <rPr>
        <b/>
        <sz val="10"/>
        <rFont val="Arial"/>
        <family val="2"/>
      </rPr>
      <t xml:space="preserve"> 40 LT/SEG (T.E.- 6 - 7 DIAS HABIL) </t>
    </r>
  </si>
  <si>
    <r>
      <t xml:space="preserve">BOMBA SUMERGIBLE MCA.- LUBI INOXIDABLE. </t>
    </r>
    <r>
      <rPr>
        <b/>
        <sz val="10"/>
        <rFont val="Arial"/>
        <family val="2"/>
      </rPr>
      <t xml:space="preserve"> 45 LT/SEG (T.E.- 2 DIAS HABIL) </t>
    </r>
  </si>
  <si>
    <r>
      <t xml:space="preserve">BOMBA SUMERGIBLE MCA.- FRANKLIN ELECTRIC EN FUND. DE HIERRO. </t>
    </r>
    <r>
      <rPr>
        <b/>
        <sz val="10"/>
        <rFont val="Arial"/>
        <family val="2"/>
      </rPr>
      <t xml:space="preserve"> 42 LT/SEG (T.E.- 2 - 3 DIAS HABIL) </t>
    </r>
  </si>
  <si>
    <r>
      <t>MOTOR SUMERGIBLE 125 HP.</t>
    </r>
    <r>
      <rPr>
        <b/>
        <sz val="10"/>
        <color rgb="FFFF0000"/>
        <rFont val="Arial"/>
        <family val="2"/>
      </rPr>
      <t xml:space="preserve"> NUEVO</t>
    </r>
    <r>
      <rPr>
        <b/>
        <i/>
        <sz val="10"/>
        <rFont val="Arial"/>
        <family val="2"/>
      </rPr>
      <t xml:space="preserve"> MCA.- </t>
    </r>
    <r>
      <rPr>
        <b/>
        <i/>
        <sz val="10"/>
        <color rgb="FF00B050"/>
        <rFont val="Arial"/>
        <family val="2"/>
      </rPr>
      <t>ALTAMIRA RT</t>
    </r>
    <r>
      <rPr>
        <b/>
        <i/>
        <sz val="10"/>
        <rFont val="Arial"/>
        <family val="2"/>
      </rPr>
      <t xml:space="preserve"> 460 VOLTS 60 HZ.  </t>
    </r>
    <r>
      <rPr>
        <b/>
        <sz val="10"/>
        <color rgb="FF00B050"/>
        <rFont val="Arial"/>
        <family val="2"/>
      </rPr>
      <t xml:space="preserve">(T.E.- 2 dias) </t>
    </r>
  </si>
  <si>
    <r>
      <t xml:space="preserve">BOMBA SUMERGIBLE MCA.- TX PUMPS EN FUND. DE HIERRO. </t>
    </r>
    <r>
      <rPr>
        <b/>
        <sz val="10"/>
        <rFont val="Arial"/>
        <family val="2"/>
      </rPr>
      <t xml:space="preserve"> 40 LT/SEG (T.E.- 2 - 3 DIAS HABIL) </t>
    </r>
  </si>
  <si>
    <t>SUB MONITOR CONECT, PROTECCION ELECTRONICA BAJO VOLTAJE, ALTO VOLTAJE, POZO SECO, ALTO Y BAJO AMP. FUGA A TIERRA</t>
  </si>
  <si>
    <r>
      <rPr>
        <b/>
        <sz val="11"/>
        <rFont val="Arial"/>
        <family val="2"/>
      </rPr>
      <t>Tiempo de entrega del sistema:</t>
    </r>
    <r>
      <rPr>
        <sz val="11"/>
        <rFont val="Arial"/>
        <family val="2"/>
      </rPr>
      <t xml:space="preserve"> </t>
    </r>
    <r>
      <rPr>
        <b/>
        <sz val="11"/>
        <color rgb="FF00B050"/>
        <rFont val="Arial"/>
        <family val="2"/>
      </rPr>
      <t xml:space="preserve">VER CADA CASO EN PARTICULAR </t>
    </r>
    <r>
      <rPr>
        <sz val="11"/>
        <rFont val="Arial"/>
        <family val="2"/>
      </rPr>
      <t>de la instalacion salvo previa venta, una vez dado el pago.</t>
    </r>
  </si>
  <si>
    <r>
      <t xml:space="preserve">La garantía no será válida por mal uso, maltrato, sabotaje, manipulación de terceras personas, descargas eléctricas o vicios oculto. Solo falta anxar materiales para canalizar el equipo que se tiene que ver en campo. </t>
    </r>
    <r>
      <rPr>
        <b/>
        <sz val="11"/>
        <color theme="6" tint="0.39997558519241921"/>
        <rFont val="Arial"/>
        <family val="2"/>
      </rPr>
      <t>TODOS LOS PRECIOS SON MAS IVA.</t>
    </r>
  </si>
  <si>
    <t>06 DE MARZO DEL 2026</t>
  </si>
  <si>
    <t xml:space="preserve">                                     CINCUENTA Y CUATRO MIL SETECIENTOS OCHENTA Y SEIS PESOS 80/100 M.N.</t>
  </si>
  <si>
    <r>
      <t>MOTOR SUMERGIBLE 125 HP.</t>
    </r>
    <r>
      <rPr>
        <b/>
        <sz val="12"/>
        <color rgb="FFFF0000"/>
        <rFont val="Arial"/>
        <family val="2"/>
      </rPr>
      <t xml:space="preserve"> NUEVO</t>
    </r>
    <r>
      <rPr>
        <b/>
        <i/>
        <sz val="12"/>
        <rFont val="Arial"/>
        <family val="2"/>
      </rPr>
      <t xml:space="preserve"> MCA.- </t>
    </r>
    <r>
      <rPr>
        <b/>
        <i/>
        <sz val="12"/>
        <color rgb="FF00B050"/>
        <rFont val="Arial"/>
        <family val="2"/>
      </rPr>
      <t>ALTAMIRA RT</t>
    </r>
    <r>
      <rPr>
        <b/>
        <i/>
        <sz val="12"/>
        <rFont val="Arial"/>
        <family val="2"/>
      </rPr>
      <t xml:space="preserve"> 460 VOLTS 60 HZ.  </t>
    </r>
    <r>
      <rPr>
        <b/>
        <sz val="12"/>
        <color rgb="FF00B050"/>
        <rFont val="Arial"/>
        <family val="2"/>
      </rPr>
      <t xml:space="preserve">(T.E.- 3 - 4 dias) </t>
    </r>
  </si>
  <si>
    <r>
      <t xml:space="preserve">BOMBA SUMERGIBLE MCA.- ALTAMIRA. </t>
    </r>
    <r>
      <rPr>
        <b/>
        <sz val="12"/>
        <rFont val="Arial"/>
        <family val="2"/>
      </rPr>
      <t xml:space="preserve"> 40 LT/SEG (T.E.- 3 DIAS HABIL) </t>
    </r>
  </si>
  <si>
    <t xml:space="preserve">                                    DOSCIENTOS DIEZ MIL CIENTO CUARENTA Y CUATRO PESOS 26/100 M.N.</t>
  </si>
  <si>
    <t xml:space="preserve">                                     SESENTA Y TRES MIL CUATROCIENTOS VEINTE Y OCHO PESOS 80/100 M.N.</t>
  </si>
  <si>
    <t>BOMBA SUMERGIBLE MCA.- FRANKLIN ELECTRIC PARA 6 LT/SEG. EN FUNDICION DE HIERRO</t>
  </si>
  <si>
    <t>BOMBA INOXIDABLE MCA.- ALTAMIRA.</t>
  </si>
  <si>
    <t>MOTOR ALTAMIRA SERIE RT, 3 FASES 460 VOLTS, 60 HZ.</t>
  </si>
  <si>
    <t>MOTOR SUMERGIBLE 3 FASES 460 VOLTS 60HZ. DE 30 HP. MCA.- SME. ALTA TEMP. ALTO EMOPUJE AXIAL</t>
  </si>
  <si>
    <t>HORA DE BOMBEO ADICIONAL CON EQUIPOS INSTALADOS</t>
  </si>
  <si>
    <r>
      <t xml:space="preserve">AFORO PARA DETERMINAR EL GASTO ESPECIFICO DE POZO A UNA PROFUNDIDAD DE 400 MT. CON TUBERIA DE 4" Y 6" POR UN LAPSO DE </t>
    </r>
    <r>
      <rPr>
        <b/>
        <sz val="12"/>
        <color rgb="FFFF0000"/>
        <rFont val="Arial"/>
        <family val="2"/>
      </rPr>
      <t>24 HORAS</t>
    </r>
    <r>
      <rPr>
        <sz val="12"/>
        <rFont val="Arial"/>
        <family val="2"/>
      </rPr>
      <t>, INCLUYE, TRASLADOS, INSTALACION DE EQUIPOS DE BOMBEO, MEDICION, INSTALACION DE VFD, RECOPILACION DE DATOS HIDRAHULICOS Y ELECTRICOS, DESINSTALACION, TRASLADOS DE EQUIPOS, REPORTE POR ESCRITO Y CURVA CARACTERISTICA.</t>
    </r>
  </si>
  <si>
    <t xml:space="preserve">SE PLANTEA INSTALAR EL EQUIPO A UNA PROFUNDIDAD DE 400 MT. </t>
  </si>
  <si>
    <t>LOS NIVELES Y GASTOS DEPENDEN DE LA ZONA.</t>
  </si>
  <si>
    <t>09 DE MARZO DEL 2026</t>
  </si>
  <si>
    <t xml:space="preserve">Empresa: AGRICOLA VALENCIA   </t>
  </si>
  <si>
    <t>Atención a: HECTOR VALENCIA</t>
  </si>
  <si>
    <t>Domicilio: EL FRESNITO, JALISCO</t>
  </si>
  <si>
    <t>Nombre Del Predio: FRESNITO ABASTECIMIENTO</t>
  </si>
  <si>
    <t xml:space="preserve">SE NEGOCIO CON EL CLIENTE A 22 MIL. </t>
  </si>
  <si>
    <t>Empresa: HORTIFRUT</t>
  </si>
  <si>
    <t>Atención a: ING. EDSON RAMIREZ</t>
  </si>
  <si>
    <t>Domicilio: CONOCIDO BRECHA A LA LAGUNA</t>
  </si>
  <si>
    <t>Nombre del predio: SAN JOSE</t>
  </si>
  <si>
    <t>14 DE MARZO DEL 2026</t>
  </si>
  <si>
    <r>
      <t>DES-INSTALACION DE EQUIPO DE BOMBEO POZO SAN JOSE HASTA</t>
    </r>
    <r>
      <rPr>
        <b/>
        <sz val="12"/>
        <color rgb="FF00B050"/>
        <rFont val="Arial"/>
        <family val="2"/>
      </rPr>
      <t xml:space="preserve"> 150 MT.</t>
    </r>
    <r>
      <rPr>
        <sz val="12"/>
        <rFont val="Arial"/>
        <family val="2"/>
      </rPr>
      <t xml:space="preserve"> EQUIPO DE FLECHA, INCLUYE DESARMADO DE TREN DE DESCARGA, TUBO DE 8", CARGADA DE AGUA.</t>
    </r>
  </si>
  <si>
    <t>SERVICIO DE PRUEBAS ELECTRICAS A CABLE SUMERGIBLE, INCLUYE PRUEBAS DE AISLAMIENTO, PRUEBA RIGIDEZ DIELECTRICA, INDICE DE POLARIZACION, REPORTE.</t>
  </si>
  <si>
    <t>SERVICIO DE ARRANQUE DE EQUIPOS Y PRUEBAS A BOCA DE POZO-MEMBRANA</t>
  </si>
  <si>
    <t>ES IMPORTANTE DENOTAR QUE VIENEN DIAS FERIADOS.</t>
  </si>
  <si>
    <r>
      <t xml:space="preserve">MEDIDOR DE FLUJO DE MEDICION INSTANTANEA </t>
    </r>
    <r>
      <rPr>
        <b/>
        <sz val="12"/>
        <color rgb="FF00B050"/>
        <rFont val="Arial"/>
        <family val="2"/>
      </rPr>
      <t>MCA.- MC CROMETER</t>
    </r>
    <r>
      <rPr>
        <sz val="12"/>
        <rFont val="Arial"/>
        <family val="2"/>
      </rPr>
      <t xml:space="preserve"> DE 8" DE DIAMETRO.</t>
    </r>
  </si>
  <si>
    <t xml:space="preserve">2 0 2 5 </t>
  </si>
  <si>
    <t>NOMBRE DEL PROYECTO (GUAYABOS)</t>
  </si>
  <si>
    <t>COSTO</t>
  </si>
  <si>
    <t>COMISION</t>
  </si>
  <si>
    <t>BONO</t>
  </si>
  <si>
    <t>TOTAL COMISION</t>
  </si>
  <si>
    <t>PAGO CLIENTE</t>
  </si>
  <si>
    <t>PAGO A VENDEDOR</t>
  </si>
  <si>
    <t>ARRANCADOR SAUL ARREDONDO</t>
  </si>
  <si>
    <t>MANIOBRA AGUSTIN MORENO</t>
  </si>
  <si>
    <t>MANO DE OBRA PACO MAGAÑA</t>
  </si>
  <si>
    <t>MANIOBRAS PABLO ARREDONDO</t>
  </si>
  <si>
    <t>MANIOBRAS TEJERIA</t>
  </si>
  <si>
    <t>VIDEOS PLATANAR</t>
  </si>
  <si>
    <t>GEOFISICA</t>
  </si>
  <si>
    <t>AGROZAP SALDO</t>
  </si>
  <si>
    <t>TABULADOR DE COMISIONES.-</t>
  </si>
  <si>
    <t>DEUDA</t>
  </si>
  <si>
    <t>EQUIPAMIENTO COMPLETO</t>
  </si>
  <si>
    <t>3% ANTES DE IVA</t>
  </si>
  <si>
    <t>EQUIPOS (MOTORES, ATR, TUB, ETC.)</t>
  </si>
  <si>
    <t>2.5% ANTES DE IVA</t>
  </si>
  <si>
    <t>MANIOBRAS - AFOROS - MANO OBRA</t>
  </si>
  <si>
    <t>3 - 4 %</t>
  </si>
  <si>
    <t>META DE VENTA</t>
  </si>
  <si>
    <t>AUMENTA</t>
  </si>
  <si>
    <t>CONDICIONES DE COMISION</t>
  </si>
  <si>
    <t xml:space="preserve">CLIENTE NUEVO </t>
  </si>
  <si>
    <t>PAGO DE ANTICIPO PACTADO</t>
  </si>
  <si>
    <t>NO CREDITOS HASTA REVISARLO</t>
  </si>
  <si>
    <t xml:space="preserve">PAGO COMPLETO </t>
  </si>
  <si>
    <t xml:space="preserve">APOYAR EN FACTURACION, </t>
  </si>
  <si>
    <t>SEGUIMIENTO Y COBRANZA</t>
  </si>
  <si>
    <t>NO INCLUYE EQUIPOS DE CORTE Y SOLDADURA. EN CASO DEL ELECTROMAGNETICO AUMENTARA DEBIDO A LA ALIMENTACION A 110 VOLTS.</t>
  </si>
  <si>
    <r>
      <t xml:space="preserve">MEDIDOR DE FLUJO </t>
    </r>
    <r>
      <rPr>
        <b/>
        <sz val="12"/>
        <color theme="4" tint="0.39997558519241921"/>
        <rFont val="Arial"/>
        <family val="2"/>
      </rPr>
      <t>MCA. GEYSER DE 8"</t>
    </r>
    <r>
      <rPr>
        <sz val="12"/>
        <rFont val="Arial"/>
        <family val="2"/>
      </rPr>
      <t xml:space="preserve"> CON MEDICION DE GASTO INSTANTANEO </t>
    </r>
    <r>
      <rPr>
        <b/>
        <sz val="12"/>
        <color rgb="FFFF0000"/>
        <rFont val="Arial"/>
        <family val="2"/>
      </rPr>
      <t>T.E.- 2 - 3 DIAS</t>
    </r>
    <r>
      <rPr>
        <sz val="12"/>
        <rFont val="Arial"/>
        <family val="2"/>
      </rPr>
      <t xml:space="preserve"> INCLUYE TRABAJOS DE CORTE Y SOLDADURA</t>
    </r>
  </si>
  <si>
    <r>
      <t xml:space="preserve">MEDIDOR DE FLUJO ANALOGO DE  </t>
    </r>
    <r>
      <rPr>
        <b/>
        <sz val="12"/>
        <color theme="4" tint="0.39997558519241921"/>
        <rFont val="Arial"/>
        <family val="2"/>
      </rPr>
      <t>8" MCA.- AMEXSA PROPELA</t>
    </r>
    <r>
      <rPr>
        <sz val="12"/>
        <rFont val="Arial"/>
        <family val="2"/>
      </rPr>
      <t xml:space="preserve"> MEDICION ANALOGICA. T.E.- 2 - 3 DIAS INCLUYE TRABAJOS DE CORTE Y SOLDADURA</t>
    </r>
  </si>
  <si>
    <r>
      <t xml:space="preserve">MEDIDOR DE </t>
    </r>
    <r>
      <rPr>
        <b/>
        <sz val="12"/>
        <color theme="4" tint="0.39997558519241921"/>
        <rFont val="Arial"/>
        <family val="2"/>
      </rPr>
      <t>FLUJO ELECTROMAGNETICO DE 8" CON MEDICION DE GASTO INSTANTANEO</t>
    </r>
    <r>
      <rPr>
        <sz val="12"/>
        <rFont val="Arial"/>
        <family val="2"/>
      </rPr>
      <t xml:space="preserve"> (INCLUYE ALIMENTACION A 110 VOLTS)</t>
    </r>
  </si>
  <si>
    <r>
      <t xml:space="preserve">REPARACION DE BOMBA SUMERGIBLE MCA.- GOULDS EN FUND. DE HIERRO </t>
    </r>
    <r>
      <rPr>
        <b/>
        <sz val="12"/>
        <rFont val="Arial"/>
        <family val="2"/>
      </rPr>
      <t>42 LT/SEG. INCLUYE: - FLETES, DESARMADO, CAMBIO DE BUJES, MAQUINADO DE IMPULSORES, MAQUINADO DE FLECHA, CAMBIO DE CANDADOS, ARMADO Y PRUEBAS.</t>
    </r>
  </si>
  <si>
    <t>MANIOBRAS DE INSTALACION Y DESINSTALACION DE MOTOR SUMERGIBLE EN MEMBRANA PARA PRUEBAS DE AISLAMIENTO, INDICE DE IR, POLARIZACION A CABLE Y MOTOR SUMERGIBLE.</t>
  </si>
  <si>
    <t>17 DE MARZO DEL 2026</t>
  </si>
  <si>
    <t xml:space="preserve">                                   CIENTO OCHENTA Y UN MIL NOVECIENTOS SESENTA Y OCHO PESOS 32/100 M.N.</t>
  </si>
  <si>
    <t>PODA DE ARBOLES INCLUYE, IZAJE, GRUAS, PODA, EPP, RECOLECCION DE PODA.</t>
  </si>
  <si>
    <t xml:space="preserve">                                     CIENTO OCHENTA Y CUATRO MIL DOSCIENTOS NUEVE PESOS 86/100 M.N.</t>
  </si>
  <si>
    <r>
      <rPr>
        <b/>
        <sz val="11"/>
        <rFont val="Arial"/>
        <family val="2"/>
      </rPr>
      <t>Tiempo de entrega del sistema:</t>
    </r>
    <r>
      <rPr>
        <sz val="11"/>
        <rFont val="Arial"/>
        <family val="2"/>
      </rPr>
      <t xml:space="preserve"> </t>
    </r>
    <r>
      <rPr>
        <b/>
        <sz val="14"/>
        <color rgb="FF00B050"/>
        <rFont val="Arial"/>
        <family val="2"/>
      </rPr>
      <t>TRABAJO CONCLUIDO</t>
    </r>
  </si>
  <si>
    <t>18 DE MARZO DEL 2026</t>
  </si>
  <si>
    <t>Nombre del predio: GUAYABOS</t>
  </si>
  <si>
    <t>Domicilio: CONOCIDO BRECHA ZAPOTILTIC</t>
  </si>
  <si>
    <r>
      <t xml:space="preserve">Forma de Pago: </t>
    </r>
    <r>
      <rPr>
        <b/>
        <sz val="11"/>
        <color rgb="FFFFC000"/>
        <rFont val="Arial"/>
        <family val="2"/>
      </rPr>
      <t>100 % TRABAJO CONCLUIDO</t>
    </r>
  </si>
  <si>
    <t xml:space="preserve">ABA VALUE </t>
  </si>
  <si>
    <t>B.SUMERG.ALTAMIRA 10 HP AC.INOX AC  6"</t>
  </si>
  <si>
    <t>MOT .SUM.ALTAM SERIE RT 6" 10 HP 3X 460V</t>
  </si>
  <si>
    <t xml:space="preserve">Domicilio: </t>
  </si>
  <si>
    <t xml:space="preserve">Atención a: </t>
  </si>
  <si>
    <t xml:space="preserve">                                    CUARENTA Y UN MIL SETECIENTOS SETENTA Y UNO PESOS 36/100 M.N.</t>
  </si>
  <si>
    <t>DIAS DE RENTA DE VARIADOR TRIFASICO DE 100 HP. 460 VOLTS 60 HZ. DEL DIA 20-03-2026 Y 21-03-2026</t>
  </si>
  <si>
    <t>Empresa: VERONICA MARTINEZ</t>
  </si>
  <si>
    <t>Atención a: SRITA VERONICA MARTINEZ</t>
  </si>
  <si>
    <t>Domicilio: TUXPAN JALISCO.</t>
  </si>
  <si>
    <t>Nombre del predio: ABASTECIMIENTO</t>
  </si>
  <si>
    <t>TUXPAN, JALISCO.</t>
  </si>
  <si>
    <t>19 MARZO DEL 2026</t>
  </si>
  <si>
    <t>Forma de Pago: 100 % AL CONTRATAR</t>
  </si>
  <si>
    <t xml:space="preserve">INSTALACION DE EQUIPO DE BOMBEO POZO TUXPAN ABASTECIMIENTO, HASTA 140 MT. </t>
  </si>
  <si>
    <t>MATERIAL PARA EMPATES EQUIPO SUM. DE 100 HP. CAL. 2/0</t>
  </si>
  <si>
    <t>VEINTE Y TRES MIL DOSCIENTOS NOVENTA Y DOS PESOS 80/100 M.N.</t>
  </si>
  <si>
    <r>
      <t xml:space="preserve">CABLE PLANO SUM CAL. 3 X 4/0 @ 1000 VOLTS </t>
    </r>
    <r>
      <rPr>
        <b/>
        <sz val="12"/>
        <color rgb="FF00B050"/>
        <rFont val="Arial"/>
        <family val="2"/>
      </rPr>
      <t>(CAIDA DE TENSION.- 2.18 % SE PODRIA METER HASTA 240 MT.)</t>
    </r>
  </si>
  <si>
    <r>
      <t xml:space="preserve">CABLE PLANO SUMERGIBLE CAL. 3 X 3/0 @ 1000 VOLTS </t>
    </r>
    <r>
      <rPr>
        <b/>
        <sz val="12"/>
        <color rgb="FF00B050"/>
        <rFont val="Arial"/>
        <family val="2"/>
      </rPr>
      <t>(CAIDA DE TENSION.- 2.75 % SE PODRIA METER HASTA 195 MT.)</t>
    </r>
  </si>
  <si>
    <r>
      <t>CABLE PLANO SUMERGIBLE CAL. 3 X 2/0 @ 1000 VOLTS</t>
    </r>
    <r>
      <rPr>
        <sz val="12"/>
        <color rgb="FFFF0000"/>
        <rFont val="Arial"/>
        <family val="2"/>
      </rPr>
      <t xml:space="preserve"> </t>
    </r>
    <r>
      <rPr>
        <b/>
        <sz val="12"/>
        <color rgb="FFFF0000"/>
        <rFont val="Arial"/>
        <family val="2"/>
      </rPr>
      <t>(CAIDA DE TENSION.- 3.46 % SE PODRIA METER HASTA 150 MT.)</t>
    </r>
  </si>
  <si>
    <t xml:space="preserve">LA NORMATIVA NOS EXIGE TENER CABLEADOS ABAJO DEL 3% EN CAIDA DE </t>
  </si>
  <si>
    <t>TENSION.</t>
  </si>
  <si>
    <r>
      <t xml:space="preserve">Forma de Pago: </t>
    </r>
    <r>
      <rPr>
        <b/>
        <sz val="11"/>
        <color rgb="FFFFC000"/>
        <rFont val="Arial"/>
        <family val="2"/>
      </rPr>
      <t>100 % POR SER SUMINISTRO</t>
    </r>
  </si>
  <si>
    <t>CABEZAL DE 6" CON TAPA SANITARIA ROSCADO Y BRIDADO</t>
  </si>
  <si>
    <t>DIEZ Y OCHO MIL SETECIENTOS SESENTA Y OCHO PESOS 80/100 M.N.</t>
  </si>
  <si>
    <r>
      <rPr>
        <b/>
        <sz val="11"/>
        <rFont val="Arial"/>
        <family val="2"/>
      </rPr>
      <t>Tiempo de entrega del sistema:</t>
    </r>
    <r>
      <rPr>
        <sz val="11"/>
        <rFont val="Arial"/>
        <family val="2"/>
      </rPr>
      <t xml:space="preserve"> 2 - 3 DIAS HABILES UNA VEZ PAGO DEL CABLE</t>
    </r>
  </si>
  <si>
    <t xml:space="preserve">Empresa: </t>
  </si>
  <si>
    <t>Domicilio: UNION DE GUADALUPE</t>
  </si>
  <si>
    <t>GOMEZ FARIAS, JALISCO.</t>
  </si>
  <si>
    <t xml:space="preserve">DES-INSTALACION DE EQUIPO DE BOMBEO POZO UNION DE GUADALUPE ABASTECIMIENTO, HASTA 140 MT. </t>
  </si>
  <si>
    <t>QUINCE MIL SETECIENTOS SETENTA Y SEIS PESOS 00/100 M.N.</t>
  </si>
  <si>
    <t>TREINTA Y SEIS MIL DOSCIENTOS SESENTA PESOS 00/100 M.N.</t>
  </si>
  <si>
    <t>VALVULAS CHECK DE 6" PARA COLUMNA VERTICAL</t>
  </si>
  <si>
    <t>CAJA DE ALAMBRE CAL. 10 PARA AMARRES</t>
  </si>
  <si>
    <t>MT POLIDUCTO DE 1" PARA MEDICION DE NIVEL</t>
  </si>
  <si>
    <t>NIPLE ROSCADO DE 6" DE DIAMETRO CON COPLE</t>
  </si>
  <si>
    <t>SERVICIO DE AFORO POR 24 HORAS, INCLUYE: RECOPILACION DE DATOS, SONDEO, REVISION DE PARAMETROS ELECTRICOS, REPORTE POR ESCRITO Y CURVA DE COMPORTAMIENTO.</t>
  </si>
  <si>
    <t>CON IVA</t>
  </si>
  <si>
    <t>faltan los 6000 y algo de incii de Marzo 2026</t>
  </si>
  <si>
    <t>Empresa: AYTO. ZAPOTILTIC JALISCO.</t>
  </si>
  <si>
    <t>Atención a: LIC.- ANDRES SANDOVAL</t>
  </si>
  <si>
    <t>Domicilio: CONOCIDO ZAPOTILTIC JALISCO</t>
  </si>
  <si>
    <t>Nombre Del Predio: LOS TANQUES</t>
  </si>
  <si>
    <t>23 DE MARZO DEL 2026</t>
  </si>
  <si>
    <t xml:space="preserve">                                               OCHO MIL CUATROCIENTOS SESENTA Y OCHO PESOS 00/100 M.N.</t>
  </si>
  <si>
    <t>Forma de Pago: 100 % TRABAJO REALIZADO</t>
  </si>
  <si>
    <t>Empresa: AGROPECUARIA VILLANUEVA</t>
  </si>
  <si>
    <t xml:space="preserve">Atención a: LIC. FRANCISCO MAGAÑA VILLANUEVA </t>
  </si>
  <si>
    <t xml:space="preserve">Domicilio: RANCHERIAS CIUDAD GUZMAN </t>
  </si>
  <si>
    <t>13 DE MARZO DEL 2026</t>
  </si>
  <si>
    <t>BOMBA CENTRIFUGA 30 HP MCA PEDROLLO 30 L/S EFICIENCIA PREMIUN  3"X 2 1/2" (TIEMPO DE ENTREGA UNA SEMANA SALVO PREVIA VENTA) INCLUYE: BOMBA CENTRIGUGA Y ANCLAJE</t>
  </si>
  <si>
    <t>TREN DE DESCARGA 8" INCLUYE: NIPLE CON BRIDA 2 1/2-8", MANOMETRO, EXPULSION DE AIRE, CARRETE LARGO DE ACERO CARRETE LARGO, CARRETE CORTO DE ACERO, MEDIDOR DE FLUJO INSTANTANEO</t>
  </si>
  <si>
    <t>ARRANCADOR A TENSION REDUCIDA 40/30 HP 440V MCA WEG CON SUBMONITOR CONNECT INTEGRADO FRANKLIN ELECTRIC INCLUYE: ALIMENTACION DE INTERRUPTOR A ARRANCADOR ALCANCE 4 MTS, TUBERIA CONDUIT CONECTOR E INSTALACION</t>
  </si>
  <si>
    <t>ALIMENTACION DE MOTOR DE BOMBA CENTRIFUGA INCLUYE: CABLE THW CAL 6 ALCANCE 15 MTS, TUBO CONDUIT, TUBO LICUATITE, CONECTORES, CINTAS AISLANTES, MASILLA, MANGA TERMOCONTRACTIL, REGISTRO PRECOLADO E INSTALACION</t>
  </si>
  <si>
    <t>ARRANQUE Y PRUEBAS DE FUNCIONAMIENTO DE EQUIPO DE BOMBEO, PRUEBAS ELECTROMECANICAS, PRUEBAS EN SISTEMA A MEMBRANA</t>
  </si>
  <si>
    <t>DOSCIENTOS CUARENTA MIL SEISCIENTOS TREINTA Y SIETE PESOS 96/100 M.N.</t>
  </si>
  <si>
    <t>LA COTIZACION PUEDE VARIAR POR FALTA DE MATERIAL O EXCESO DEL MISMO</t>
  </si>
  <si>
    <r>
      <rPr>
        <b/>
        <sz val="11"/>
        <rFont val="Arial"/>
        <family val="2"/>
      </rPr>
      <t>Tiempo de entrega del sistema:</t>
    </r>
    <r>
      <rPr>
        <sz val="11"/>
        <rFont val="Arial"/>
        <family val="2"/>
      </rPr>
      <t xml:space="preserve"> 1 SEMANA habil salvo previa venta, una vez dado el pago.</t>
    </r>
  </si>
  <si>
    <r>
      <rPr>
        <b/>
        <sz val="11"/>
        <rFont val="Arial"/>
        <family val="2"/>
      </rPr>
      <t>Tiempo de instalación:</t>
    </r>
    <r>
      <rPr>
        <sz val="11"/>
        <rFont val="Arial"/>
        <family val="2"/>
      </rPr>
      <t xml:space="preserve"> previa candelarizacion, no definida.</t>
    </r>
  </si>
  <si>
    <t>Empresa: SAPAZA</t>
  </si>
  <si>
    <t>Atención a: ING. MARCO ARIAS</t>
  </si>
  <si>
    <t>Domicilio: CONOCIDO ZAPOTLAN EL GRANDE, JALISCO</t>
  </si>
  <si>
    <t>Nombre Del Predio: LA PRIMAVERA</t>
  </si>
  <si>
    <t>24 DE MARZO DEL 2026</t>
  </si>
  <si>
    <t>INSTALACION DE EQUIPO DE BOMBEO DE FLECHA LUBRICACION AGUA, CARCAMO EL REPARITO P/MT HASTA 21 MT. DE 8" DE DIAMETRO</t>
  </si>
  <si>
    <t>EQUIPOS FALTANTES</t>
  </si>
  <si>
    <t xml:space="preserve">                                   CUARENTA Y UN MIL SETECIENTOS SESENTA PESOS 00/100 M.N.</t>
  </si>
  <si>
    <r>
      <rPr>
        <b/>
        <sz val="11"/>
        <rFont val="Arial"/>
        <family val="2"/>
      </rPr>
      <t>Tiempo de entrega del sistema:</t>
    </r>
    <r>
      <rPr>
        <sz val="11"/>
        <rFont val="Arial"/>
        <family val="2"/>
      </rPr>
      <t xml:space="preserve"> De 2-3 DIAS hábil, salvo previa venta, una vez dado el pago.</t>
    </r>
  </si>
  <si>
    <t xml:space="preserve">Precios sujetos a cambio sin previo aviso. T.C. </t>
  </si>
  <si>
    <t>Empresa: SIICSA</t>
  </si>
  <si>
    <t>Atención a: QUIEN CORRESPONDA</t>
  </si>
  <si>
    <t>Domicilio: TUXCACUESCO JALISCO.</t>
  </si>
  <si>
    <t>Nombre del predio: EL REPARITO.</t>
  </si>
  <si>
    <t>NO INCLUYE MATERIALES EXTRAS, TRAB DE PAILERIA O SOLD.</t>
  </si>
  <si>
    <t xml:space="preserve">IMPORTANTE REV LOS EQUIPOS ANTES DE SALIR PARA EVITAR </t>
  </si>
  <si>
    <t>SEMI NUEVO CABLE PLANO SUMERGIBLE CAL. 3 X 4/0 @ 1000 VOLTS</t>
  </si>
  <si>
    <t>Nombre Del Predio: LA PROVIDENCIA</t>
  </si>
  <si>
    <t>25 DE MARZO DEL 2026</t>
  </si>
  <si>
    <t>Atención a: LIC. YURITZI ALEJANDRA HERMOSILLO TEJEDA - ING. MARCO ANTONIO FRANCO ALTAMIRANO</t>
  </si>
  <si>
    <r>
      <rPr>
        <b/>
        <sz val="11"/>
        <rFont val="Arial"/>
        <family val="2"/>
      </rPr>
      <t>Tiempo de entrega del sistema:</t>
    </r>
    <r>
      <rPr>
        <b/>
        <sz val="11"/>
        <color rgb="FF00B050"/>
        <rFont val="Arial"/>
        <family val="2"/>
      </rPr>
      <t>EQUIPOS INSTALADOS</t>
    </r>
  </si>
  <si>
    <t xml:space="preserve">                                                     DOSCIENTOS CINCUENTA Y CINCO MIL DOSCIENTOS 00/100 M.N.</t>
  </si>
  <si>
    <t>26 DE MARZO DEL 2026</t>
  </si>
  <si>
    <r>
      <rPr>
        <b/>
        <sz val="11"/>
        <rFont val="Arial"/>
        <family val="2"/>
      </rPr>
      <t>Num de cuenta:</t>
    </r>
    <r>
      <rPr>
        <sz val="11"/>
        <rFont val="Arial"/>
        <family val="2"/>
      </rPr>
      <t xml:space="preserve"> 048 247 5650   </t>
    </r>
    <r>
      <rPr>
        <b/>
        <sz val="11"/>
        <rFont val="Arial"/>
        <family val="2"/>
      </rPr>
      <t xml:space="preserve">CLABE.- </t>
    </r>
    <r>
      <rPr>
        <sz val="11"/>
        <rFont val="Arial"/>
        <family val="2"/>
      </rPr>
      <t xml:space="preserve">012 342 004824 756509  </t>
    </r>
    <r>
      <rPr>
        <b/>
        <sz val="11"/>
        <rFont val="Arial"/>
        <family val="2"/>
      </rPr>
      <t xml:space="preserve">BBVA </t>
    </r>
  </si>
  <si>
    <t>TRASLADO DE GRUA TIPO TITAN DE 21 TON. DE CD. GUZMAN A TEPIC NAYARIT</t>
  </si>
  <si>
    <t>RENTA DE GRUA POR 1 SEMANA DURANTE 6 DIAS EN TURNOS DE 8 HORAS. O AL TERMINO DEL TIEMPO PACTADO.</t>
  </si>
  <si>
    <t xml:space="preserve">                                          OCHENTA Y NUEVE MIL DOSCIENTOS CUATRO 00/100 M.N.</t>
  </si>
  <si>
    <t>COSTO POR HORA DE TRABAJO $ 1 200 PESOS</t>
  </si>
  <si>
    <t xml:space="preserve">Empresa: ING. ERNESTO SANCHEZ </t>
  </si>
  <si>
    <t xml:space="preserve">Atención a:  ING. ERNESTO SANCHEZ </t>
  </si>
  <si>
    <t>Domicilio: TEPIC NAYARIT.</t>
  </si>
  <si>
    <t>31 DE MARZO DEL 2026</t>
  </si>
  <si>
    <t>TEE DE DESFOGUE DE 6" A 4"</t>
  </si>
  <si>
    <t>TORNILLOS GALVANIZADOS DE 3/4" X 3"</t>
  </si>
  <si>
    <t xml:space="preserve">Es necesario hacer un atraque a estas piezas para que no carguen </t>
  </si>
  <si>
    <t>en el cabezal del pozo.</t>
  </si>
  <si>
    <t>SERVICIO DE INSTALACION DE TREN DE DESCARGA</t>
  </si>
  <si>
    <t>31 MARZO DEL 2026</t>
  </si>
  <si>
    <t>MANOMETRO DE 150 PSI CON ACCESORIOS</t>
  </si>
  <si>
    <t>CINCUENTA Y CINCO MIL QUINIENTOS TREINTA Y CINCO PESOS 03/100 M.N.</t>
  </si>
  <si>
    <t>Empresa: AYTTO. ZAPOTILTIC</t>
  </si>
  <si>
    <t>Atención a: AYTTO. ZAPOTILTIC</t>
  </si>
  <si>
    <t>Domicilio: ZAPOTILTIC, JALISCO.</t>
  </si>
  <si>
    <t>MOTOR SUMERGIBLE TRIFASICO 100 HP. 460 VOLTS 60 HZ. 3450 RPM.  EMPUJE AXIAL</t>
  </si>
  <si>
    <r>
      <t xml:space="preserve">BOMBA SUMERGIBLE 100 HP ACERO INOXIDABLE. </t>
    </r>
    <r>
      <rPr>
        <b/>
        <sz val="10"/>
        <rFont val="Arial"/>
        <family val="2"/>
      </rPr>
      <t xml:space="preserve"> 40 LT/SEG  (T.E.- 1 SEMANA HABIL) </t>
    </r>
  </si>
  <si>
    <t>REBOBINABLE, MCA LUBI 8" DE DIAMETRO.</t>
  </si>
  <si>
    <r>
      <t xml:space="preserve">VALVULA CHECK VERTICAL DE HIERRO DUCTIL 6" MCA. </t>
    </r>
    <r>
      <rPr>
        <b/>
        <sz val="10"/>
        <color theme="6"/>
        <rFont val="Arial"/>
        <family val="2"/>
      </rPr>
      <t>GOULDS</t>
    </r>
    <r>
      <rPr>
        <sz val="10"/>
        <rFont val="Arial"/>
        <family val="2"/>
      </rPr>
      <t xml:space="preserve"> @ 600 PSI</t>
    </r>
  </si>
  <si>
    <r>
      <t xml:space="preserve">VALVULA CHECK VERTICAL DE HIERRO DUCTIL 6" MCA. </t>
    </r>
    <r>
      <rPr>
        <b/>
        <sz val="10"/>
        <color theme="4" tint="0.39997558519241921"/>
        <rFont val="Arial"/>
        <family val="2"/>
      </rPr>
      <t>NUCLEO DE INGENIERIA</t>
    </r>
    <r>
      <rPr>
        <sz val="10"/>
        <rFont val="Arial"/>
        <family val="2"/>
      </rPr>
      <t xml:space="preserve"> @ 400 PSI</t>
    </r>
  </si>
  <si>
    <t>REBOBINABLE, MCA SME 8" DE DIAMETRO. ALTA TEMP Y ALTO EMPUJE AXIAL.</t>
  </si>
  <si>
    <t>MOTOR SUMERGIBLE TRIFASICO 125 HP. 460 VOLTS 60 HZ. 3450 RPM.  EMPUJE AXIAL</t>
  </si>
  <si>
    <r>
      <t xml:space="preserve">BOMBA SUMERGIBLE 125 HP FUNDICION DE HIERRO. </t>
    </r>
    <r>
      <rPr>
        <b/>
        <sz val="10"/>
        <rFont val="Arial"/>
        <family val="2"/>
      </rPr>
      <t xml:space="preserve"> 40 LT/SEG  (T.E.- 1 SEMANA HABIL) </t>
    </r>
  </si>
  <si>
    <t>TUBO CED. 40 CON COPLE CONICO DE 6" Y 6.4 MT DE LONG. MCA.- NUCLEO DE INGENIERIA.</t>
  </si>
  <si>
    <t>CABLE PLANO SUMERGIBLE CAL. 3 X 3/0 @ 1000 VOLTS MCA. PUEDE VARIAR</t>
  </si>
  <si>
    <t>CABLE PLANO SUMERGIBLE CAL. 3 X 4/0 @ 1000 VOLTS MCA. PUEDE VARIAR</t>
  </si>
  <si>
    <t>INSTALACION DE EQUIPO DE BOMBEO CON AYUDA DE GRUA TIPO TRIPIE DE 40 TONELADAS INCLUYE: MANIOBRAS, PRUBAS, EPP, ACODRONAMIENTO Y MANIOBRAS DE IZAJE.</t>
  </si>
  <si>
    <t>ARRANCADOR A TENSION REDUCIDA PARA MOTOR DE 125 HP. MCA.- ENERWELL CON PROTECCION DE ALTO Y BAJO VOLTAJE, CAIDA FASES O VOLTAJE, BAJO Y ALTO AMPERAJE</t>
  </si>
  <si>
    <t>MEDIDOR DE FLUJO MEDICION ANALOGA MCA.- AMEXSA DE 6"</t>
  </si>
  <si>
    <t>CABEZAL 6" TAPA SANITARIA Y BRIDADO</t>
  </si>
  <si>
    <t>TORNILLOS GALVANIZADOS DE 3/4" X 2 1/2"</t>
  </si>
  <si>
    <t>INCLUYE SERVICIO DE ASESORIA ANTES DE LA INSTALACION, SOBRE INSTALACIONES ELECTRICAS, HIDRAHULICAS, DISEÑO DE BROCAL, CASETA.</t>
  </si>
  <si>
    <t>CURSO DE CAPACITACION INCLUIDO DE 4 HORAS ACERCA DE EQUIPOS INSTALADOS, EN EL CUAL SE PODRA CAPACITAR AL PERSONAL SOBRE DIAGNSOTICO DE FALLAS Y OPERACIÓN DE LOS EQUIPOS.</t>
  </si>
  <si>
    <t>REPORTE POR ESCRITO DE LAS INSTALACIONES, MANUALES DE OPERACIÓN DE LOS EQUIPOS, MANUAL DE PROTECCIONES, BITACORA DE MONITOREO A CONDICION, CONDICIONES DE ARRANQUE DEL EQUIPO.</t>
  </si>
  <si>
    <t>MEDIDOR DE FLUJO MEDICION INSTANTANEA MCA.- GEYSER DE 6"</t>
  </si>
  <si>
    <t>EMPATE DE CABLE PLANO SUMERGIBLE EN CALIBRE 4/0  INCLUYE:</t>
  </si>
  <si>
    <t>NO INCLUYEN LAS FIANZAS, EN CASO DE REQUERIR FAVOR DE PONER LAS CONDICIONES Y COTIZARLAS APARTE.</t>
  </si>
  <si>
    <t>TUBO CED. 40 CON COPLE CONICO DE 3" Y 6.4 MT DE LONG. MCA.- LAGUNA</t>
  </si>
  <si>
    <t>UN MILLON SETENTA Y SEIS MIL SEISCIENTOS OCHENTA PESOS 45/100 M.N.</t>
  </si>
  <si>
    <r>
      <t xml:space="preserve">REBOBINABLE, MCA SME 8" DE DIAMETRO. </t>
    </r>
    <r>
      <rPr>
        <b/>
        <sz val="10"/>
        <color rgb="FF00B050"/>
        <rFont val="Arial"/>
        <family val="2"/>
      </rPr>
      <t>ALTA TEMP Y ALTO EMPUJE AXIAL.</t>
    </r>
  </si>
  <si>
    <r>
      <t xml:space="preserve">REBOBINABLE, MCA.- </t>
    </r>
    <r>
      <rPr>
        <b/>
        <sz val="10"/>
        <color rgb="FF00B050"/>
        <rFont val="Arial"/>
        <family val="2"/>
      </rPr>
      <t xml:space="preserve">LUBI </t>
    </r>
    <r>
      <rPr>
        <sz val="10"/>
        <rFont val="Arial"/>
        <family val="2"/>
      </rPr>
      <t xml:space="preserve">REBOBINABLE 10" DE DIAMETRO.  </t>
    </r>
    <r>
      <rPr>
        <b/>
        <sz val="10"/>
        <rFont val="Arial"/>
        <family val="2"/>
      </rPr>
      <t xml:space="preserve">(T.E.- 4 - 6 SEMANAS) </t>
    </r>
  </si>
  <si>
    <r>
      <t xml:space="preserve">REBOBINABLE, MCA.- </t>
    </r>
    <r>
      <rPr>
        <b/>
        <sz val="10"/>
        <color rgb="FF00B050"/>
        <rFont val="Arial"/>
        <family val="2"/>
      </rPr>
      <t>TX PUMPS</t>
    </r>
    <r>
      <rPr>
        <sz val="10"/>
        <rFont val="Arial"/>
        <family val="2"/>
      </rPr>
      <t xml:space="preserve"> REBOBINABLE 10" DE DIAMETRO.  </t>
    </r>
    <r>
      <rPr>
        <b/>
        <sz val="10"/>
        <rFont val="Arial"/>
        <family val="2"/>
      </rPr>
      <t xml:space="preserve">(T.E.- 4 - 6 SEMANAS) </t>
    </r>
  </si>
  <si>
    <r>
      <t xml:space="preserve">REBOBINABLE, MCA.- </t>
    </r>
    <r>
      <rPr>
        <b/>
        <sz val="10"/>
        <color rgb="FF00B050"/>
        <rFont val="Arial"/>
        <family val="2"/>
      </rPr>
      <t>ALTAMIRA SERIE "X"</t>
    </r>
    <r>
      <rPr>
        <sz val="10"/>
        <rFont val="Arial"/>
        <family val="2"/>
      </rPr>
      <t xml:space="preserve"> 6" DE DIAMETRO.  </t>
    </r>
    <r>
      <rPr>
        <b/>
        <sz val="10"/>
        <rFont val="Arial"/>
        <family val="2"/>
      </rPr>
      <t xml:space="preserve">(T.E.- 1 SEMANA) </t>
    </r>
  </si>
  <si>
    <r>
      <t>MOTOR SUMERGIBLE 125 HP.</t>
    </r>
    <r>
      <rPr>
        <sz val="10"/>
        <color rgb="FFFF0000"/>
        <rFont val="Arial"/>
        <family val="2"/>
      </rPr>
      <t xml:space="preserve"> </t>
    </r>
    <r>
      <rPr>
        <sz val="10"/>
        <rFont val="Arial"/>
        <family val="2"/>
      </rPr>
      <t xml:space="preserve"> MCA.- </t>
    </r>
    <r>
      <rPr>
        <b/>
        <sz val="10"/>
        <color rgb="FF00B050"/>
        <rFont val="Arial"/>
        <family val="2"/>
      </rPr>
      <t>ALTAMIRA RT</t>
    </r>
    <r>
      <rPr>
        <sz val="10"/>
        <rFont val="Arial"/>
        <family val="2"/>
      </rPr>
      <t xml:space="preserve">. 460 VOLTS 60 HZ. </t>
    </r>
  </si>
  <si>
    <t>Tiempo de entrega del sistema:</t>
  </si>
  <si>
    <t>VALVULA CHECK VERTICAL DE HIERRO DUCTIL 6" MCA. FLOMATIC</t>
  </si>
  <si>
    <t>UN MILLON CUATROCIENTOS CUARENTA Y CUATRO MIL TREINTA Y SEIS PESOS 16/100 M.N.</t>
  </si>
  <si>
    <t>MEDIDOR DE FLUJO ELECTROMAGNETICO CON MEDICION INSTANTANES, MONITOREO VIA REMOTA</t>
  </si>
  <si>
    <t>1 PZA Bomba sumergible Altamira 7.5 HP acero inoxidable 6"</t>
  </si>
  <si>
    <t>PZA Motor sumergible Altamira serie RT 6" 7.5HP 3X230V</t>
  </si>
  <si>
    <t>PZA Panel solar bifacial 630/693W 132 celdas</t>
  </si>
  <si>
    <t>PZA Variador Forward MP 3X230V 42A</t>
  </si>
  <si>
    <t>PZA Soporte solar base aluminio 4 módulos</t>
  </si>
  <si>
    <t>M Cable solar 2000V 10AWG (6mm2)</t>
  </si>
  <si>
    <t>Conector MC4 macho IP68</t>
  </si>
  <si>
    <t>PZA Conector MC4 hembra IP68</t>
  </si>
  <si>
    <t>Tubería columna ADEM 2" / 150M carga</t>
  </si>
  <si>
    <t>Kit adaptador hierro para tubo 150M 2"</t>
  </si>
  <si>
    <t>Válvula check 2" hierro dúctil</t>
  </si>
  <si>
    <t>PZA String Box 1 serie 25/32A 1000V</t>
  </si>
  <si>
    <t>CABEZAL 2" TAPA SANITARIA Y BRIDADO</t>
  </si>
  <si>
    <t>CARRETES ACERO AL CARBON BRIDADOS DE 2"</t>
  </si>
  <si>
    <t>VALVULA CHECK DE ALUMINIO DE 2" BRIDADO</t>
  </si>
  <si>
    <t>TEE DE DESFOGUE DE 2" A 1"</t>
  </si>
  <si>
    <t>VALVULA DE COMPUERTA CON VOLANTE DE 1"</t>
  </si>
  <si>
    <t>EMPAQUES DE NEOPRENO DE 2"</t>
  </si>
  <si>
    <t>EMPAQUE DE NEOPRENO DE 1"</t>
  </si>
  <si>
    <t>INSTALACION DE EQUIPO DE BOMBEO A 80 MT. CON AYUDA DE GRUA TIPO TITAN</t>
  </si>
  <si>
    <t>MATERIALES MENORES DE PANELES</t>
  </si>
  <si>
    <t>MEDIDOR DE FLUJO MEDICION ANALOGA MCA.- AMEXSA DE 2"</t>
  </si>
  <si>
    <t>Empresa: SR. VICENTE CARDENAS</t>
  </si>
  <si>
    <t>FABRICACIÓN DE ESTRUCTURA ELEVADA PARA SISTEMA FOTOVOLTAICO</t>
  </si>
  <si>
    <t>Incluye:</t>
  </si>
  <si>
    <t>• Preparación del terreno para desplante de estructura</t>
  </si>
  <si>
    <t>• Colado de 14 zapatas de concreto para cimentación estructural</t>
  </si>
  <si>
    <t>• Fabricación de estructura metálica con PTR de 2” (patas y largueros)</t>
  </si>
  <si>
    <t>• Altura estructural considerada de 2.0 m a 3.5 m</t>
  </si>
  <si>
    <t>• Colocación de refuerzos estructurales con tubular de 1” (tirantes delanteros y traseros)</t>
  </si>
  <si>
    <t>• Aplicación de fondo anticorrosivo y pintura esmalte acabado aluminio</t>
  </si>
  <si>
    <t>• Diseño estructural para soporte de sistema fotovoltaico completo</t>
  </si>
  <si>
    <t>• Dimensiones aproximadas: 14 m de frente x 5 m de fondo</t>
  </si>
  <si>
    <t>• Orientación sur para máxima eficiencia solar</t>
  </si>
  <si>
    <t>• Integración de base para montaje de estructura de aluminio de paneles</t>
  </si>
  <si>
    <t>Incluye materiales, equipo, herramienta y mano de obra especializada</t>
  </si>
  <si>
    <t>INSTALACIÓN Y CONEXIÓN DE SISTEMA FOTOVOLTAICO PARA BOMBEO</t>
  </si>
  <si>
    <t>• Montaje de estructura de aluminio para fijación de paneles solares</t>
  </si>
  <si>
    <t>• Instalación de 24 paneles fotovoltaicos</t>
  </si>
  <si>
    <t>• Interconexión eléctrica de paneles en configuración de cadenas (strings)</t>
  </si>
  <si>
    <t>• Canalización y protección de conductores eléctricos</t>
  </si>
  <si>
    <t>• Instalación de inversor para control de sistema de bombeo</t>
  </si>
  <si>
    <t>• Configuración y puesta en marcha del inversor</t>
  </si>
  <si>
    <t>• Instalación de sistema de tierra física (varilla de cobre y conexiones)</t>
  </si>
  <si>
    <t>• Instalación de gabinete metálico tipo HIMEL para protección de equipos</t>
  </si>
  <si>
    <t>• Integración completa del sistema para operación eficiente</t>
  </si>
  <si>
    <t>DOSCIENTOS OCHENTA Y TRES MIL OCHOCIENTOS TREINTA Y NUEVE PESOS 68/100 M.N.</t>
  </si>
  <si>
    <t>Atención a: SR. VICENTE CARDENAS</t>
  </si>
  <si>
    <t>Domicilio: VILLA DE ALVAREZ, COLIMA.</t>
  </si>
  <si>
    <t>Nombre del predio: EL BOMBON</t>
  </si>
  <si>
    <t>00 DE ABRIL DEL 2026</t>
  </si>
  <si>
    <r>
      <rPr>
        <b/>
        <sz val="11"/>
        <rFont val="Arial"/>
        <family val="2"/>
      </rPr>
      <t>Tiempo de entrega del sistema:</t>
    </r>
    <r>
      <rPr>
        <sz val="11"/>
        <rFont val="Arial"/>
        <family val="2"/>
      </rPr>
      <t xml:space="preserve"> De 2 SEMANAS hábil de la instalacion salvo previa venta, una vez dado el pago.</t>
    </r>
  </si>
  <si>
    <t xml:space="preserve">Empresa: EXPO AGRICOLA  </t>
  </si>
  <si>
    <t xml:space="preserve">Atención a: ING. </t>
  </si>
  <si>
    <t>Domicilio: JALISCO</t>
  </si>
  <si>
    <t xml:space="preserve">Nombre Del Predio: </t>
  </si>
  <si>
    <t>10 DE ABRIL DEL 2026</t>
  </si>
  <si>
    <r>
      <t>AFORO PARA DETERMINAR EL GASTO ESPECIFICO DE POZO A UNA PROFUNDIDAD DE 300 MT. CON EQUIPOS INSTALADOS DE 4" POR UN LAPSO DE 24</t>
    </r>
    <r>
      <rPr>
        <b/>
        <sz val="12"/>
        <color rgb="FFFF0000"/>
        <rFont val="Arial"/>
        <family val="2"/>
      </rPr>
      <t xml:space="preserve"> HORAS</t>
    </r>
    <r>
      <rPr>
        <sz val="12"/>
        <rFont val="Arial"/>
        <family val="2"/>
      </rPr>
      <t xml:space="preserve"> INCLUYE, TRASLADOS, MEDICION, INSTALACION DE VFD, RECOPILACION DE DATOS HIDRAHULICOS Y ELECTRICOS, DESINSTALACION, TRASLADOS DE EQUIPOS, REPORTE POR ESCRITO Y CURVA CARACTERISTICA.</t>
    </r>
  </si>
  <si>
    <r>
      <t xml:space="preserve">BOMBA SUMERGIBLE 100 HP ACERO INOXIDABLE. </t>
    </r>
    <r>
      <rPr>
        <b/>
        <sz val="12"/>
        <rFont val="Arial"/>
        <family val="2"/>
      </rPr>
      <t xml:space="preserve"> 40 LT/SEG  (T.E.- 1 SEMANA HABIL) </t>
    </r>
  </si>
  <si>
    <t>MATERIAL PARA EMPATES</t>
  </si>
  <si>
    <t>Empresa: AWAJAL</t>
  </si>
  <si>
    <t>Atención a: ING. GABRIEL VENEGAS</t>
  </si>
  <si>
    <t>Domicilio: CHIQUILISTLAN, JALISCO.</t>
  </si>
  <si>
    <t>11 DE ABRIL DEL 2026</t>
  </si>
  <si>
    <t>DES-INSTALACION DE EQUIPO DE BOMBEO A 80 MT. CON AYUDA DE GRUA TIPO TITAN</t>
  </si>
  <si>
    <r>
      <t xml:space="preserve">MOTOR SUMERGIBLE DE 50 HP. </t>
    </r>
    <r>
      <rPr>
        <b/>
        <sz val="11"/>
        <color theme="4" tint="0.39997558519241921"/>
        <rFont val="Aptos Narrow"/>
        <family val="2"/>
        <scheme val="minor"/>
      </rPr>
      <t>MARCA ALTAMIRA SERIE RT.</t>
    </r>
  </si>
  <si>
    <t>BOMBA SUMERGIBLE MCA.- ALTAMIRA INOXIDABLE MOD.- KOR32 R500-5</t>
  </si>
  <si>
    <t>CURSO DE CAPACITACION INCLUIDO ACERCA DE EQUIPOS INSTALADOS, EN EL CUAL SE PODRA CAPACITAR AL PERSONAL SOBRE DIAGNSOTICO DE FALLAS Y OPERACIÓN DE LOS EQUIPOS.</t>
  </si>
  <si>
    <t>VEINTE Y CINCO MIL NOVECIENTOS OCHENTA Y CUATRO PESOS 00/100 M.N.</t>
  </si>
  <si>
    <r>
      <rPr>
        <b/>
        <sz val="11"/>
        <rFont val="Arial"/>
        <family val="2"/>
      </rPr>
      <t>Tiempo de entrega del sistema:</t>
    </r>
    <r>
      <rPr>
        <sz val="11"/>
        <rFont val="Arial"/>
        <family val="2"/>
      </rPr>
      <t xml:space="preserve"> De 1-3 DIAS hábil de la instalacion salvo previa venta, una vez dado el pago.</t>
    </r>
  </si>
  <si>
    <t>MOTOR SUMERGIBLE 3 FASES 460 VOLTS 60HZ. DE 60 HP. MCA.- SME ALTO EMPUJE AXIAL, ALTA TEMP.</t>
  </si>
  <si>
    <t>HORA DE BOMBEO EXTRA A LAS 24 HORAS</t>
  </si>
  <si>
    <t>EL CALCULO DEL EQUIPO SOLO SE HARA DESPUES DEL AFORO.</t>
  </si>
  <si>
    <t xml:space="preserve"> LOS TRABAJOS NECESARIOS, LOS RESULTADOS NO DEPENDEN DE LA EMPRESA.</t>
  </si>
  <si>
    <t>LAS 24 HORAS DE AFORO SE COBRAN HAYA O NO AGUA, PUES SE HACEN TODOS</t>
  </si>
  <si>
    <t>Empresa: SR. HECTOR S. SHIMIZU</t>
  </si>
  <si>
    <t>Atención a:SR. HECTOR S. SHIMIZU</t>
  </si>
  <si>
    <t>Domicilio: COMALA COLIMA.</t>
  </si>
  <si>
    <t>13 DE ABRIL DEL 2026</t>
  </si>
  <si>
    <t>SESENTA Y CINCO MIL PESOS PESOS 00/100 M.N.</t>
  </si>
  <si>
    <t>SE ANEXARA IVA EN CASO DE SOLICITAR FACTURA.</t>
  </si>
  <si>
    <r>
      <t>AFORO PARA DETERMINAR EL GASTO ESPECIFICO DE POZO A UNA PROFUNDIDAD DE 230 MT. CON TUBERIA DE 4" POR UN LAPSO DE 24</t>
    </r>
    <r>
      <rPr>
        <b/>
        <sz val="12"/>
        <color rgb="FFFF0000"/>
        <rFont val="Arial"/>
        <family val="2"/>
      </rPr>
      <t xml:space="preserve"> HORAS</t>
    </r>
    <r>
      <rPr>
        <sz val="12"/>
        <rFont val="Arial"/>
        <family val="2"/>
      </rPr>
      <t>, CON TUBERIA DE 4" INCLUYE, TRASLADOS, INSTALACION DE EQUIPOS DE BOMBEO, MEDICION, INSTALACION DE VFD, RECOPILACION DE DATOS HIDRAHULICOS Y ELECTRICOS, DESINSTALACION, TRASLADOS DE EQUIPOS, REPORTE POR ESCRITO Y CURVA CARACTERISTICA.</t>
    </r>
  </si>
  <si>
    <r>
      <t>AFORO PARA DETERMINAR EL GASTO ESPECIFICO DE POZO A UNA PROFUNDIDAD DE 45 - 50 MT. CON TUBERIA DE 3" POR UN LAPSO DE 24</t>
    </r>
    <r>
      <rPr>
        <b/>
        <sz val="12"/>
        <color rgb="FFFF0000"/>
        <rFont val="Arial"/>
        <family val="2"/>
      </rPr>
      <t xml:space="preserve"> HORAS</t>
    </r>
    <r>
      <rPr>
        <sz val="12"/>
        <rFont val="Arial"/>
        <family val="2"/>
      </rPr>
      <t>, CON TUBERIA DE 3" INCLUYE, TRASLADOS, INSTALACION DE EQUIPOS DE BOMBEO, MEDICION, INSTALACION DE VFD, RECOPILACION DE DATOS HIDRAHULICOS Y ELECTRICOS, DESINSTALACION, TRASLADOS DE EQUIPOS, REPORTE POR ESCRITO Y CURVA CARACTERISTICA.</t>
    </r>
  </si>
  <si>
    <t xml:space="preserve">REP. BOMBA SUMERGIBLE PARA 9 LT/SEG. MCA.- FRANKLIN ELECTRIC. </t>
  </si>
  <si>
    <t>INCLUYE: FLECHA, CANDADOS, BUJE RUBBER, BUJE ADAPTADOR DE 1",</t>
  </si>
  <si>
    <t>RECTIFICADO DE TAZONES 5C, MANO DE OBRA, DESARMADO Y FLETES.</t>
  </si>
  <si>
    <t xml:space="preserve">                                     CIENTO UN MIL QUINIENTOS UN PESOS 80/100 M.N.</t>
  </si>
  <si>
    <t>14 DE ABRIL DEL 2026</t>
  </si>
  <si>
    <r>
      <rPr>
        <b/>
        <sz val="11"/>
        <rFont val="Arial"/>
        <family val="2"/>
      </rPr>
      <t>Tiempo de entrega del sistema:</t>
    </r>
    <r>
      <rPr>
        <sz val="11"/>
        <rFont val="Arial"/>
        <family val="2"/>
      </rPr>
      <t xml:space="preserve"> De 5 - 6 DIAS hábil, salvo previa venta, una vez dado el pago.</t>
    </r>
  </si>
  <si>
    <t>NOVENTA Y CUATRO MIL TRESCIENTOS CUARENTA PESOS 00/100 M.N.</t>
  </si>
  <si>
    <t>REP. DE CONEXIÓN EXISTENTES, INCLUYE 3 CONECTORES, CINTAS MASILLA, SUPER 33, CINTA 130-C, MANO DE OBRA</t>
  </si>
  <si>
    <t>CIENTO VEINTE Y UN MIL DOSCIENTOS SESENTA PESOS 88/100 M.N.</t>
  </si>
  <si>
    <t>Forma de Pago: 100% EQUIPO INSTALADO</t>
  </si>
  <si>
    <r>
      <rPr>
        <b/>
        <sz val="11"/>
        <rFont val="Arial"/>
        <family val="2"/>
      </rPr>
      <t>Tiempo de entrega del sistema:</t>
    </r>
    <r>
      <rPr>
        <sz val="11"/>
        <rFont val="Arial"/>
        <family val="2"/>
      </rPr>
      <t xml:space="preserve"> EQUIPO INSTALADO de la instalacion salvo previa venta, una vez dado el pago.</t>
    </r>
  </si>
  <si>
    <t>MOTOR SUM. 3 FASES 460 VOLTS 60 HZ, MCA.- SME-USA, ALTA TEMPR Y ALTO EMPUJE AXIAL</t>
  </si>
  <si>
    <t>BOMBA FUNDICION DE HIERRO MCA.- FRANKLIN ELECTRIC</t>
  </si>
  <si>
    <t>18 DE ABRIL DEL 2026</t>
  </si>
  <si>
    <t>DES-INSTALACION DE EQUIPO DE BOMBEO POZO TAZINAXTLA HASTA 10 MT. EQUIPO DE SUMERGIBLE EN CUARTO CON GRUA TIPO TITAN</t>
  </si>
  <si>
    <t>MOTOR SUM. 3 FASES 460 VOLTS 60 HZ, MCA.- SME-USA, ALTA TEMPR Y ALTO EMPUJE AXIAL (15 HP)</t>
  </si>
  <si>
    <t>BOMBA MCA.- LUBI EN ACERO INOX. 3 LT/SEG</t>
  </si>
  <si>
    <t>MOTOR SUM. 3 FASES 460 VOLTS 60 HZ, MCA.- ALTAMIRA SERIE RT, COMERCIAL (15 HP)</t>
  </si>
  <si>
    <t>BOMBA MCA.- ALTAMIRA EN ACERO INOX. 3 LT/SEG</t>
  </si>
  <si>
    <t>MOTOR SUM. 3 FASES 460 VOLTS 60 HZ, MCA.- ALTAMIRA SERIE X, ALTA TEMP. (15 HP)</t>
  </si>
  <si>
    <t xml:space="preserve">                                          OCHENTA Y NUEVE MIL NOVECIENTOS TREINTA Y SEIS PESOS 54/100 M.N.</t>
  </si>
  <si>
    <t xml:space="preserve">                                         OCHENTA Y SEIS MIL SEISCIENTOS CINCUENTA Y CINCO PESOS 44/100 M.N.</t>
  </si>
  <si>
    <t xml:space="preserve">                                          NOVENTA Y TRES MIL SEISCIENTOS CINCUENTA PESOS 40/100 M.N.</t>
  </si>
  <si>
    <t>La garantía no será válida por mal uso, maltrato, sabotaje, manipulación de terceras personas, descarg eléctricas o vicios oculto.</t>
  </si>
  <si>
    <r>
      <rPr>
        <b/>
        <sz val="11"/>
        <rFont val="Arial"/>
        <family val="2"/>
      </rPr>
      <t>Tiempo de instalación:</t>
    </r>
    <r>
      <rPr>
        <sz val="11"/>
        <rFont val="Arial"/>
        <family val="2"/>
      </rPr>
      <t xml:space="preserve"> no definida, previa calendari de la misma.</t>
    </r>
  </si>
  <si>
    <t>INSTALACION DE EQUIPO DE BOMBEO POZO COAMECATILA</t>
  </si>
  <si>
    <t>DES-INSTALACION DE EQUIPO DE BOMBEO POZO COAMECATILA HASTA 10 MT. EQUIPO DE SUMERGIBLE EN CUARTO CON GRUA TIPO TITAN</t>
  </si>
  <si>
    <r>
      <rPr>
        <b/>
        <sz val="11"/>
        <rFont val="Arial"/>
        <family val="2"/>
      </rPr>
      <t>Tiempo de entrega del sistema:</t>
    </r>
    <r>
      <rPr>
        <sz val="11"/>
        <rFont val="Arial"/>
        <family val="2"/>
      </rPr>
      <t xml:space="preserve"> De 3 DIAS hábil, salvo previa </t>
    </r>
  </si>
  <si>
    <t>DES-INSTALACION DE EQUIPO DE BOMBEO POZO COAMECATILA HASTA 10 MT. EQUIPO DE SUM EN CUARTO CON GRUA TIPO TITAN</t>
  </si>
  <si>
    <r>
      <rPr>
        <b/>
        <sz val="11"/>
        <rFont val="Arial"/>
        <family val="2"/>
      </rPr>
      <t>Tiempo de instalación:</t>
    </r>
    <r>
      <rPr>
        <sz val="11"/>
        <rFont val="Arial"/>
        <family val="2"/>
      </rPr>
      <t xml:space="preserve"> no definida, previa calendarización</t>
    </r>
  </si>
  <si>
    <t>La garantía no será válida por mal uso, maltrato, sabotaje, manipulación de terceras personas, desC eléctricas o vicios oculto.</t>
  </si>
  <si>
    <r>
      <rPr>
        <b/>
        <sz val="11"/>
        <rFont val="Arial"/>
        <family val="2"/>
      </rPr>
      <t>Tiempo de entrega:</t>
    </r>
    <r>
      <rPr>
        <sz val="11"/>
        <rFont val="Arial"/>
        <family val="2"/>
      </rPr>
      <t xml:space="preserve"> De 2 DIAS hábil, salvo previa venta</t>
    </r>
  </si>
  <si>
    <t xml:space="preserve">LA COTIZACION DE LA REPARACION DE LA BOMBA Y MOTOR SE MANDARA </t>
  </si>
  <si>
    <r>
      <t xml:space="preserve">MOTOR SUM. MCA.- ALTAMIRA SERIE RT DE 125 HP. </t>
    </r>
    <r>
      <rPr>
        <b/>
        <sz val="12"/>
        <color theme="6" tint="0.39997558519241921"/>
        <rFont val="Arial"/>
        <family val="2"/>
      </rPr>
      <t>COMERCIAL</t>
    </r>
  </si>
  <si>
    <r>
      <t xml:space="preserve">MOTOR SUM. MCA.- ALTAMIRA SERIE RT DE 150 HP. </t>
    </r>
    <r>
      <rPr>
        <b/>
        <sz val="12"/>
        <color theme="6" tint="0.39997558519241921"/>
        <rFont val="Arial"/>
        <family val="2"/>
      </rPr>
      <t>COMERCIAL</t>
    </r>
  </si>
  <si>
    <r>
      <t xml:space="preserve">BOMBA SUMERGIBLE MCA.- FRANKLIN ELECTRIC. </t>
    </r>
    <r>
      <rPr>
        <b/>
        <sz val="12"/>
        <color theme="4" tint="0.39997558519241921"/>
        <rFont val="Arial"/>
        <family val="2"/>
      </rPr>
      <t>40 LT/SEG FUND. HIERRO</t>
    </r>
  </si>
  <si>
    <r>
      <t xml:space="preserve">BOMBA SUMERGIBLE MCA.- ALTAMIRA SERIE BH </t>
    </r>
    <r>
      <rPr>
        <b/>
        <sz val="12"/>
        <color theme="4" tint="0.39997558519241921"/>
        <rFont val="Arial"/>
        <family val="2"/>
      </rPr>
      <t>40 LT/SEG FUND. HIERRO</t>
    </r>
  </si>
  <si>
    <r>
      <t xml:space="preserve">BOMBA SUMERGIBLE MCA.- ALTAMIRA SERIE BH </t>
    </r>
    <r>
      <rPr>
        <b/>
        <sz val="12"/>
        <color theme="4" tint="0.39997558519241921"/>
        <rFont val="Arial"/>
        <family val="2"/>
      </rPr>
      <t>35 LT/SEG FUND. HIERRO</t>
    </r>
  </si>
  <si>
    <r>
      <t xml:space="preserve">MOTOR SUM. MCA.- SME-USA DE 150 HP. </t>
    </r>
    <r>
      <rPr>
        <b/>
        <sz val="12"/>
        <color rgb="FF92D050"/>
        <rFont val="Arial"/>
        <family val="2"/>
      </rPr>
      <t>ALT. TEMP. - ALTO EMPUJE AXIAL</t>
    </r>
  </si>
  <si>
    <r>
      <t xml:space="preserve">BOMBA SUMERGIBLE MCA.- ALTAMIRA SERIE </t>
    </r>
    <r>
      <rPr>
        <b/>
        <sz val="12"/>
        <color theme="8" tint="0.39997558519241921"/>
        <rFont val="Arial"/>
        <family val="2"/>
      </rPr>
      <t>NX 40 LT/SEG FUND. HIERRO</t>
    </r>
  </si>
  <si>
    <t>20 DE ABRIL DEL 2026</t>
  </si>
  <si>
    <r>
      <rPr>
        <b/>
        <sz val="11"/>
        <rFont val="Arial"/>
        <family val="2"/>
      </rPr>
      <t>Tiempo de entrega del sistema:</t>
    </r>
    <r>
      <rPr>
        <sz val="11"/>
        <rFont val="Arial"/>
        <family val="2"/>
      </rPr>
      <t xml:space="preserve"> De 4-5 DIAS hábil, salvo previa venta, una vez dado el pago. LA PRIMERA ETAPA DEL EQUIPO SUMERGIBLE. LA REP. PUEDE IRSE A 15 O 20 DIAS</t>
    </r>
  </si>
  <si>
    <r>
      <t xml:space="preserve">BOMBA SUMERGIBLE MCA.- ALTAMIRA SERIE KOR </t>
    </r>
    <r>
      <rPr>
        <b/>
        <sz val="12"/>
        <color theme="4" tint="0.39997558519241921"/>
        <rFont val="Arial"/>
        <family val="2"/>
      </rPr>
      <t>35 LT/SEG KOR</t>
    </r>
  </si>
  <si>
    <t>PRECIOS MAS IVA</t>
  </si>
  <si>
    <t xml:space="preserve">                               TRESCIENTOS OCHO MIL SETECIENTOS TRECE PESOS 89/100 M.N.</t>
  </si>
  <si>
    <t>23 DE ABRIL DEL 2026</t>
  </si>
  <si>
    <t>AFORO 24 HORAS CON EQUIPOS INSTALADOS, INCLUYE:  INST. VFD, EQUIPOS DE MEDICION, MEDIDOR FLUJO, PRUEBA 24 HORAS, RECOPILACION DE DATOS, CURVA DE COMPORTAMIENTO HIDRAHULICO, REPORTE POR ESCRITO.</t>
  </si>
  <si>
    <t>EN CASO DE REALIZARSE POR 48 HORAS SALDRIA EN $ 47 000 MAS IVA</t>
  </si>
  <si>
    <t>Empresa: Agro industrial Mozi</t>
  </si>
  <si>
    <t>Atención: SR. Jhon Angarita</t>
  </si>
  <si>
    <t>Nombre del predio: EL ANGEL.</t>
  </si>
  <si>
    <t>Domicilio: ATEQUIZAYAN, JALISCO.</t>
  </si>
  <si>
    <t>25 DE ABRIL DEL 2026</t>
  </si>
  <si>
    <r>
      <rPr>
        <b/>
        <sz val="11"/>
        <rFont val="Arial"/>
        <family val="2"/>
      </rPr>
      <t>Tiempo de entrega del sistema:</t>
    </r>
    <r>
      <rPr>
        <sz val="11"/>
        <rFont val="Arial"/>
        <family val="2"/>
      </rPr>
      <t xml:space="preserve"> 5 DIAS UNA VEZ APROBADO EL PROYECTO Y DANDO EL ANTICIPO CORRESPONDIENTE.</t>
    </r>
  </si>
  <si>
    <r>
      <rPr>
        <b/>
        <sz val="11"/>
        <rFont val="Arial"/>
        <family val="2"/>
      </rPr>
      <t>Forma de Pago: 70</t>
    </r>
    <r>
      <rPr>
        <sz val="11"/>
        <rFont val="Arial"/>
        <family val="2"/>
      </rPr>
      <t>% ANTICIPO 30% AL FINALIZAR OBRA.</t>
    </r>
  </si>
  <si>
    <t xml:space="preserve">                    TREINTA Y DOS MIL CUATROCIENTOS OCHENTA PESOS 00/100 M.N.</t>
  </si>
  <si>
    <t>MTTO A POZO PROFUNDO HASTA 300 MT. ADEME 12"</t>
  </si>
  <si>
    <t xml:space="preserve">INLCUYE, APLICACIÓN PROD. QUIMICOS, CEPILLADO, DESASOLVE, </t>
  </si>
  <si>
    <t>APLIC. SANITIZANTE Y DESINFECTANTES.</t>
  </si>
  <si>
    <t>LIQUID DESCALER MCA.- COTEY CHEMICAL</t>
  </si>
  <si>
    <t>LIQUIDO DISPERSANTE MCA.- ALCO PARA REMOCION DE SOLIDOS.</t>
  </si>
  <si>
    <t>KG. DE HTH CLORO AL 70%</t>
  </si>
  <si>
    <t>SE PUEDE OMITIR EL IVA EN CASO DE SER EN EFECTIVO</t>
  </si>
  <si>
    <r>
      <rPr>
        <b/>
        <sz val="11"/>
        <rFont val="Arial"/>
        <family val="2"/>
      </rPr>
      <t>Tiempo de entrega del sistema:</t>
    </r>
    <r>
      <rPr>
        <sz val="11"/>
        <rFont val="Arial"/>
        <family val="2"/>
      </rPr>
      <t xml:space="preserve"> De 3 DIAS hábil, salvo previa venta, una vez dado el pago.</t>
    </r>
  </si>
  <si>
    <t>Forma de Pago: CREDITO 1 MES</t>
  </si>
  <si>
    <t>28 DE ABRIL DEL 2026</t>
  </si>
  <si>
    <r>
      <t>AFORO PARA DETERMINAR EL GASTO ESPECIFICO DE POZO A UNA PROFUNDIDAD DE 400 MT. CON TUBERIA DE 4" POR UN LAPSO DE 24</t>
    </r>
    <r>
      <rPr>
        <b/>
        <sz val="12"/>
        <color rgb="FFFF0000"/>
        <rFont val="Arial"/>
        <family val="2"/>
      </rPr>
      <t xml:space="preserve"> HORAS</t>
    </r>
    <r>
      <rPr>
        <sz val="12"/>
        <rFont val="Arial"/>
        <family val="2"/>
      </rPr>
      <t>, CON TUBERIA DE 4" INCLUYE, TRASLADOS, INSTALACION DE EQUIPOS DE BOMBEO, MEDICION, INSTALACION DE VFD, RECOPILACION DE DATOS HIDRAHULICOS Y ELECTRICOS, DESINSTALACION, TRASLADOS DE EQUIPOS, REPORTE POR ESCRITO Y CURVA CARACTERISTICA.</t>
    </r>
  </si>
  <si>
    <t>Empresa: SR. HECTOR VALENCIA</t>
  </si>
  <si>
    <t>Domicilio: EL FRESNITO, JALISCO.</t>
  </si>
  <si>
    <t>Nombre Del Predio: EL FRESNITO</t>
  </si>
  <si>
    <t>02 DE MAYO DEL 2026</t>
  </si>
  <si>
    <t xml:space="preserve">SE GARANTIZA UN AFORO APEGADO A NORMAS, NO SE GARANTIZA NI CALIDAD NI CANTIDAD </t>
  </si>
  <si>
    <t>DE AGUA, ESAS SON CONDICIONES DEL ACUIFERO.</t>
  </si>
  <si>
    <t>MT. DE SONDA NEUMATICA DE 300 PSI PARA MEDICION DE NIVEL</t>
  </si>
  <si>
    <t>ARREGLO PARA MEDICION DE NIVEL M-19, INCLUYE: CONEXIONES DE 1/4" MANOMETRO, CONEXIONES PARA MANGUERA</t>
  </si>
  <si>
    <t>MAT. REPARACION DE CABLE DE DUCTO Y DE ADEME.</t>
  </si>
  <si>
    <t>TRAMO DE TUBERIA CED. 40 CON COPLE REFORZADO</t>
  </si>
  <si>
    <t>ROSCADO DE TUBO DE 4" EN TORNO, INCLUYE TRASLADOS</t>
  </si>
  <si>
    <t>INST. DE TRAMO DE TUBERIA DE 4" EN OTRO EVENTO</t>
  </si>
  <si>
    <t>DES-INSTALACION DE EQUIPO DE BOMBEO POZO FRESNITO, EL EQUIPO ESTABA CARGADO DE AGUA, INCLUYE: IZAJE, DESINTA TREN DE DESCARGA.</t>
  </si>
  <si>
    <t>Empresa: AGRICOLA FRESNITO</t>
  </si>
  <si>
    <t>Domicilio: FRESNITO, JALISCO</t>
  </si>
  <si>
    <r>
      <rPr>
        <b/>
        <sz val="11"/>
        <rFont val="Arial"/>
        <family val="2"/>
      </rPr>
      <t>Tiempo de entrega del sistema:</t>
    </r>
    <r>
      <rPr>
        <sz val="11"/>
        <rFont val="Arial"/>
        <family val="2"/>
      </rPr>
      <t xml:space="preserve"> EQUIPOS INSTALADOS</t>
    </r>
  </si>
  <si>
    <t>SUB-MONITOR CONECT, INCLUYE: INSTALACION, PROGRAMACION, CAPACITACION.</t>
  </si>
  <si>
    <t>TCS PARA SUB MONITOR CONECT</t>
  </si>
  <si>
    <r>
      <rPr>
        <b/>
        <sz val="11"/>
        <rFont val="Arial"/>
        <family val="2"/>
      </rPr>
      <t>T.E. del sistema:</t>
    </r>
    <r>
      <rPr>
        <sz val="11"/>
        <rFont val="Arial"/>
        <family val="2"/>
      </rPr>
      <t xml:space="preserve"> De 2 a 3 DIAS hábiles de la instalacion salvo previa venta, una vez dado el pago.</t>
    </r>
  </si>
  <si>
    <t>Atención a: SR. IVAN CASILLAS - SR. GUILLERMO MENDEZ VERGARA</t>
  </si>
  <si>
    <t xml:space="preserve">                                 TREINTA Y DOS MIL CIENTO VEINTE Y TRES PESOS 18/100 M.N.</t>
  </si>
  <si>
    <t xml:space="preserve">                                   CIENTO DIEZ Y SEIS MIL SEISCIENTOS TREINTA Y TRES PESOS 36/100 M.N.</t>
  </si>
  <si>
    <t>C/IVA</t>
  </si>
  <si>
    <t xml:space="preserve">                                                                      CUARENTA MIL NOVECIENTOS OCHO PESOS 56/100 M.N.</t>
  </si>
  <si>
    <t xml:space="preserve">Empresa: ABA VALUE </t>
  </si>
  <si>
    <t xml:space="preserve">Atención a: MIGUEL BARAJAS </t>
  </si>
  <si>
    <t>Domicilio: CIUDAD GUZMAN JAL.</t>
  </si>
  <si>
    <t xml:space="preserve">Nombre del predio:POZO LA GLORIA </t>
  </si>
  <si>
    <t>28 DE ABRIL 2026</t>
  </si>
  <si>
    <t>REPARACIÓN DE MB SUMERGIBLE ALTAMIRA+KSB                                                                               Alcance:
Desensamble y diagnóstico de equipo.
Limpieza interna y externa de equipo.
Reemplazo de refacciones originales de bomba.
Reparación de bomba.
Ensamble de bomba.
Reemplazo de refacciones originales de motor.
Embobinado/Conexión de motor.
Reparación de motor.
Ensamble de motor.
Acoplamiento de conjunto bomba-motor.
Prueba de funcionamiento.
Pintura y embalaje.</t>
  </si>
  <si>
    <t>La cotización NO INCLUYE MANIOBRAS NI FLETES ,LA GARANTIA ES DIRECTAMENTE CON PLANTA (POR MEDIO DE LA EMPRESA QUE REALIZO EL SERVICIO)</t>
  </si>
  <si>
    <t>Empresa: AGRICOLA EL RINCON</t>
  </si>
  <si>
    <t xml:space="preserve">Atención a: SR. ARMANDO </t>
  </si>
  <si>
    <t>Domicilio: EL RINCON, JALISCO.</t>
  </si>
  <si>
    <t>04 DE MAYO DEL 2026</t>
  </si>
  <si>
    <r>
      <rPr>
        <b/>
        <sz val="11"/>
        <rFont val="Arial"/>
        <family val="2"/>
      </rPr>
      <t>Tiempo de entrega del sistema:</t>
    </r>
    <r>
      <rPr>
        <sz val="11"/>
        <rFont val="Arial"/>
        <family val="2"/>
      </rPr>
      <t xml:space="preserve"> De 2 a 3 DIAS hábiles de la instalacion salvo previa venta, una vez dado el pago.</t>
    </r>
  </si>
  <si>
    <r>
      <rPr>
        <b/>
        <sz val="11"/>
        <rFont val="Arial"/>
        <family val="2"/>
      </rPr>
      <t>Tiempo de instalación:</t>
    </r>
    <r>
      <rPr>
        <sz val="11"/>
        <rFont val="Arial"/>
        <family val="2"/>
      </rPr>
      <t xml:space="preserve"> no definida, previa calenD de la misma.</t>
    </r>
  </si>
  <si>
    <t>Garantia de 1 año natural en equipo, disp, mat de inst y mano de obra.</t>
  </si>
  <si>
    <r>
      <t xml:space="preserve">MEDIDOR DE FLUJO ANALOGO DE  </t>
    </r>
    <r>
      <rPr>
        <b/>
        <sz val="12"/>
        <color theme="4" tint="0.39997558519241921"/>
        <rFont val="Arial"/>
        <family val="2"/>
      </rPr>
      <t>8" MCA.- AMEXSA PROPELA</t>
    </r>
    <r>
      <rPr>
        <sz val="12"/>
        <rFont val="Arial"/>
        <family val="2"/>
      </rPr>
      <t xml:space="preserve"> MEDICION ANALOGICA. T.E.- 2 - 3 DIAS </t>
    </r>
  </si>
  <si>
    <r>
      <t xml:space="preserve">MEDIDOR DE FLUJO ANALOGO DE  </t>
    </r>
    <r>
      <rPr>
        <b/>
        <sz val="12"/>
        <color theme="4" tint="0.39997558519241921"/>
        <rFont val="Arial"/>
        <family val="2"/>
      </rPr>
      <t>8" MCA.- AMEXSA TIPO TURBINA</t>
    </r>
    <r>
      <rPr>
        <sz val="12"/>
        <rFont val="Arial"/>
        <family val="2"/>
      </rPr>
      <t xml:space="preserve"> MEDICION ANALOGICA. T.E.- 2 - 3 DIAS </t>
    </r>
  </si>
  <si>
    <r>
      <t xml:space="preserve">MEDIDOR DE FLUJO </t>
    </r>
    <r>
      <rPr>
        <b/>
        <sz val="12"/>
        <color theme="4" tint="0.39997558519241921"/>
        <rFont val="Arial"/>
        <family val="2"/>
      </rPr>
      <t>MCA. GEYSER DE 8"</t>
    </r>
    <r>
      <rPr>
        <sz val="12"/>
        <rFont val="Arial"/>
        <family val="2"/>
      </rPr>
      <t xml:space="preserve"> CON MEDICION DE GASTO INSTANTANEO </t>
    </r>
    <r>
      <rPr>
        <b/>
        <sz val="12"/>
        <color rgb="FFFF0000"/>
        <rFont val="Arial"/>
        <family val="2"/>
      </rPr>
      <t>T.E.- 2 - 3 DIAS</t>
    </r>
    <r>
      <rPr>
        <sz val="12"/>
        <rFont val="Arial"/>
        <family val="2"/>
      </rPr>
      <t xml:space="preserve"> </t>
    </r>
  </si>
  <si>
    <r>
      <t xml:space="preserve">MEDIDOR DE </t>
    </r>
    <r>
      <rPr>
        <b/>
        <sz val="12"/>
        <color theme="4" tint="0.39997558519241921"/>
        <rFont val="Arial"/>
        <family val="2"/>
      </rPr>
      <t>FLUJO ELECTROMAGNETICO DE 8" CON MEDICION DE GASTO INSTANTANEO</t>
    </r>
    <r>
      <rPr>
        <sz val="12"/>
        <rFont val="Arial"/>
        <family val="2"/>
      </rPr>
      <t xml:space="preserve"> (NO INCLUYE ALIMENTACION A 110 VOLTS)</t>
    </r>
  </si>
  <si>
    <t>CIENTO CUARENTA MIL TRESCIENTOS SESENTA PESOS 00/100 M.N.</t>
  </si>
  <si>
    <t>05 DE MAYO DEL 2026</t>
  </si>
  <si>
    <t>DES-INSTALACION DE EQUIPO DE BOMBEO POZO JAZMIN, INCLUYE: IZAJE, DESINTA TREN DE DESCARGA, EPP, EQUIP. ESPECIAL DE IZAJE. CON APOYO DE GRUA TRIPIE DE 50 TON.</t>
  </si>
  <si>
    <t>INSTALACION DE EQUIPO DE BOMBEO POZO JAZMIN, INCLUYE: IZAJE, DESINTA TREN DE DESCARGA, EPP, EQUIP. ESPECIAL DE IZAJE. CON APOYO DE GRUA TRIPIE DE 50 TON.</t>
  </si>
  <si>
    <t>ARRANQUE Y PRUEBAS DE FUNCIONAMIENTO DEL EQUIPO EN MEDIA TENSION</t>
  </si>
  <si>
    <t xml:space="preserve">                                  DOSCIENTOS DIEZ Y OCHO MIL SEISCIENTOS DIEZ Y SEIS PESOS 50/100 M.N.</t>
  </si>
  <si>
    <t>Empresa: AGRICOLA PLASCENCIA</t>
  </si>
  <si>
    <t>Atención a: SR. FEDERICO PLASCENCIA</t>
  </si>
  <si>
    <t>Domicilio: EL JAZMIN, JALISCO</t>
  </si>
  <si>
    <t>Nombre Del Predio: EL JAZMIN, JALISCO</t>
  </si>
  <si>
    <t>El costo es de maniobras asi como materiales NO INFLUYE EN TEMAS DE GASTO,</t>
  </si>
  <si>
    <t xml:space="preserve">NIVELES, NI CALIDAD DE AGUA, NO EXISTE GARANTIA DE ARRANQUE DEL </t>
  </si>
  <si>
    <t>EQUIPO YA QUE NO FUE SUMINISTRADO POR NOSOTROS.</t>
  </si>
  <si>
    <t>Forma de Pago: 70% ANTICIPO 30% AL TERMINAR LA MANIOBRA.</t>
  </si>
  <si>
    <t xml:space="preserve">BOMBA MULTIETAPAS VERTICAL MCA.- ALTAMIRA    7.5 HP. CON MOTOR PREMIUM ALTAMIRA, CONFIGURAR CORRECTAMENTE ANTES DE ENERGIZAR EL EQUIPO.                                                                               </t>
  </si>
  <si>
    <t>JUEGO DE CONTRABRIDAS DE 2" AC INOX</t>
  </si>
  <si>
    <t>TREINTA Y SEIS MIL SETECIENTOS CUATRO PESOS 00/100 M.N.</t>
  </si>
  <si>
    <t>Forma de Pago: CREDITO 15 DIAS</t>
  </si>
  <si>
    <r>
      <t>AFORO PARA DETERMINAR EL GASTO ESPECIFICO DE POZO A UNA PROFUNDIDAD DE 220 MT. CON TUBERIA DE 6" POR UN LAPSO DE 24</t>
    </r>
    <r>
      <rPr>
        <b/>
        <sz val="12"/>
        <color rgb="FFFF0000"/>
        <rFont val="Arial"/>
        <family val="2"/>
      </rPr>
      <t xml:space="preserve"> HORAS</t>
    </r>
    <r>
      <rPr>
        <sz val="12"/>
        <rFont val="Arial"/>
        <family val="2"/>
      </rPr>
      <t>, CON TUBERIA DE 6" INCLUYE, TRASLADOS, INSTALACION DE EQUIPOS DE BOMBEO, MEDICION, INSTALACION DE VFD, RECOPILACION DE DATOS HIDRAHULICOS Y ELECTRICOS, DESINSTALACION, TRASLADOS DE EQUIPOS, REPORTE POR ESCRITO Y CURVA CARACTERISTICA.</t>
    </r>
  </si>
  <si>
    <t>Empresa: AYTO. ZAPOTILTIC</t>
  </si>
  <si>
    <t>Atención a:  AYTO. ZAPOTILTIC</t>
  </si>
  <si>
    <t>14 DE MAYO DEL 2026</t>
  </si>
  <si>
    <t>TRAMITES: SE HARAN EN BASE AL AVANCE DE CFE.</t>
  </si>
  <si>
    <r>
      <rPr>
        <b/>
        <sz val="11"/>
        <rFont val="Arial"/>
        <family val="2"/>
      </rPr>
      <t>Tiempo de entrega del sistema:</t>
    </r>
    <r>
      <rPr>
        <sz val="11"/>
        <rFont val="Arial"/>
        <family val="2"/>
      </rPr>
      <t xml:space="preserve"> De 4-6 meses hábiles de la instalacion salvo previa venta, una vez dado el pago. De acuerdo a avances de CFE</t>
    </r>
  </si>
  <si>
    <t>NO INCLUYE NICHO PARA BASE DE MEDICION Y TCS</t>
  </si>
  <si>
    <t>SETECIENTOS TREINTA Y OCHO MIL SETENTA Y NUEVE PESOS 12/100 M.N.</t>
  </si>
  <si>
    <t>PAGO DEPOSITO EN GARANTIA DE CONTRATO A CARGO DEL USUARIO</t>
  </si>
  <si>
    <t>PAGO INTERCALACIÓN A LA NUEVA LINEA</t>
  </si>
  <si>
    <t>PAGO EQUIPO DE MEDICIÓN</t>
  </si>
  <si>
    <t xml:space="preserve">PAGO APROBACION DE PROYECTO </t>
  </si>
  <si>
    <t>PAGO UVIE (UNIDAD VERIFICADORA DE INSTALACIONES ELECTRICAS)</t>
  </si>
  <si>
    <t>ALIMENTACION EN BAJA TENSION ALCANCE 25 MTS DESDE TRANSFORMADOR A CASETA INCLUYE: CABLEADO CAL 4/0  LINEA POR FASE +1 NEUTRO Y TIERRA FISICA, INTERRUPTOR GENERAL 300A, BASE DE MEDICION 13-20, TC´S(TRANSFORMADORES DE CORRIENTE), TUBERIA, CONECTORES, MATERIALES MENORES</t>
  </si>
  <si>
    <t>INSTALACIÓN DE POSTE DE 13 MTS CON CRUCETAS Y ESTRUCTURAS DE REMATE INCLUYE: TRASLADO DE EQUIPOS, POSTES DE 13 MTS, Y UN POSTE DE 9 MTS PARA RETENIDA, INCADO, CABLE RETENIDA, ANCLAS, PROTECTORES DE RETENIDA, SISTEMAS DE TIERRA, CORTACIRCUITOS, AISLADORES DE SUSPENSION, CABLE DE ALUMINIO ACSR 1/0, MATERIALES MENORES Y TODO LO NECESARIO PARA SU CORRECTA INSTALACIÓN.</t>
  </si>
  <si>
    <t xml:space="preserve">INSTALACION DE TRANSFORMADOR 225 KVA 23KV 440/254 V TIPO POSTE INCLUYE: TRANSFORMADOR, SISTEMA DE TIERRAS, APARTARAYOS, CORTACIRCUITOS, CONEXIONES, TRANSPORTE,MATERIALES MENORES </t>
  </si>
  <si>
    <t>13 DE MAYO DEL 2026</t>
  </si>
  <si>
    <t>Domicilio: FRACCIONAMIENTO SALIDA SAN MAMES</t>
  </si>
  <si>
    <t>Atención: LIC. ANDRES SANDOVAL</t>
  </si>
  <si>
    <t xml:space="preserve">Empresa: AYUNTAMIENTO DE ZAPOTILTIC JAL.   </t>
  </si>
  <si>
    <t>NO INCLUYE EQUIPOS DE CORTE Y SOLDADURA, DEPENDERA DE ,LOS TRABAJOS NECESARIOS</t>
  </si>
  <si>
    <t>DES-INSTALACION DE EQUIPO DE BOMBEO POZO COFRADIA, INCLUYE: IZAJE, DESINTA TREN DE DESCARGA, EPP, EQUIP. ESPECIAL DE IZAJE, TRASPASO DE TUBERIA SOBRE CERCA EXISTENTE, 147 MT DE TUBERIA DE ACERO CON APOYO DE GRUA TRIPIE DE 30 TON.</t>
  </si>
  <si>
    <t xml:space="preserve">El costo es de maniobras se tuvo que aumentar debido a que se habian cotizado en </t>
  </si>
  <si>
    <t xml:space="preserve">$9 000 pesos por 100 mt. De tuberia, al final salieron 147 mt, ademas de que no se </t>
  </si>
  <si>
    <t>desinstalo la cerca que estaba alrededor del pozo y se tuvieron mas maniobra con la grua telescopica.</t>
  </si>
  <si>
    <t xml:space="preserve">                                 TRECE MIL PESOS 00/100 M.N.</t>
  </si>
  <si>
    <t>Forma de Pago: 100% MANIOBRA TERMINADA</t>
  </si>
  <si>
    <t>SE ANEXARA IVA EN CASO DE SOLICITAR FACTURA</t>
  </si>
  <si>
    <t>Empresa: USUARIOS DEL POZO DE BOMBEO LA LLAVE 3</t>
  </si>
  <si>
    <t>Atención a:  USUARIOS DEL POZO DE BOMBEO LA LLAVE 3</t>
  </si>
  <si>
    <t>Domicilio: COFRADIA, JALISCO</t>
  </si>
  <si>
    <t>Nombre Del Predio: LA LLAVE 3</t>
  </si>
  <si>
    <t>CALIDAD EXCELENTE ESPESOR DENTRO DE NORMA DE 1/4"</t>
  </si>
  <si>
    <t>CALIDAD EXCELENTE ESPESOR DE DISEÑO DE 5/16"</t>
  </si>
  <si>
    <r>
      <t xml:space="preserve">TUBERIA DE 10" DE DIAMETRO, LISA A-53 API 5-L-B/X42 </t>
    </r>
    <r>
      <rPr>
        <b/>
        <sz val="12"/>
        <color rgb="FF00B050"/>
        <rFont val="Arial"/>
        <family val="2"/>
      </rPr>
      <t>(T.E.-3 DIA HABIL)</t>
    </r>
  </si>
  <si>
    <r>
      <t xml:space="preserve">TUB. DE 10" DE DIAM, CANASTILLA A-53 API 5-L-B/X42 </t>
    </r>
    <r>
      <rPr>
        <b/>
        <sz val="12"/>
        <color rgb="FF00B050"/>
        <rFont val="Arial"/>
        <family val="2"/>
      </rPr>
      <t>(T.E.-3 DIA HABIL)</t>
    </r>
  </si>
  <si>
    <r>
      <t xml:space="preserve">TUB. DE 10" DE DIAMETRO, LISA A-53 API 5-L-B/X42 </t>
    </r>
    <r>
      <rPr>
        <b/>
        <sz val="12"/>
        <color rgb="FF00B050"/>
        <rFont val="Arial"/>
        <family val="2"/>
      </rPr>
      <t>(T.E.-15 DIA HABIL)</t>
    </r>
  </si>
  <si>
    <r>
      <t xml:space="preserve">TUB. DE 10" DE DIAM, CANASTILLA A-53 API 5-L-B/X42 </t>
    </r>
    <r>
      <rPr>
        <b/>
        <sz val="12"/>
        <color rgb="FF00B050"/>
        <rFont val="Arial"/>
        <family val="2"/>
      </rPr>
      <t>(T.E.-15 DIA HABIL)</t>
    </r>
  </si>
  <si>
    <t>CALIDAD MEDIA ESPESOR DENTRO DE NORMA DE 1/4"</t>
  </si>
  <si>
    <t>18 DE MAYO DEL 2026</t>
  </si>
  <si>
    <t>SEISCIENTOS OCHENTA Y OCHO MIL CUATROCIENTOS SETENTA Y DOS PESOS 47/100 M.N.</t>
  </si>
  <si>
    <t>QUINIENTOS SESENTA Y DOS MIL SEISCIENTOS DIEZ Y SIETE PESOS 52/100 M.N.</t>
  </si>
  <si>
    <t>SEISCIENTOS OCHENTA Y CUATRO MIL NOVECIENTOS OCHENTA Y CINCO PESOS 92/100 M.N.</t>
  </si>
  <si>
    <r>
      <rPr>
        <b/>
        <sz val="11"/>
        <rFont val="Arial"/>
        <family val="2"/>
      </rPr>
      <t>Tiempo de entrega del sistema:</t>
    </r>
    <r>
      <rPr>
        <sz val="11"/>
        <rFont val="Arial"/>
        <family val="2"/>
      </rPr>
      <t xml:space="preserve"> De 3 - 4 DIAS hábil, salvo previa venta, una vez dado el pago.</t>
    </r>
  </si>
  <si>
    <t>Forma de Pago: 80% anticipo, 20% al entregar</t>
  </si>
  <si>
    <t>DESC 5%.-</t>
  </si>
  <si>
    <t>CIENTO OCHENTA Y TRES MIL CIENTO SESENTA Y OCHO PESOS 00/100 M.N.</t>
  </si>
  <si>
    <r>
      <t xml:space="preserve">REBOBINABLE, </t>
    </r>
    <r>
      <rPr>
        <b/>
        <sz val="10"/>
        <color rgb="FF00B050"/>
        <rFont val="Arial"/>
        <family val="2"/>
      </rPr>
      <t>MCA LUBI</t>
    </r>
    <r>
      <rPr>
        <sz val="10"/>
        <rFont val="Arial"/>
        <family val="2"/>
      </rPr>
      <t xml:space="preserve"> 7" DE DIAMETRO.</t>
    </r>
  </si>
  <si>
    <t>MOTOR SUMERGIBLE TRIFASICO 60 HP. 460 VOLTS 60 HZ. 3450 RPM.  EMPUJE AXIAL</t>
  </si>
  <si>
    <r>
      <t xml:space="preserve">BOMBA SUMERGIBLE 60 HP ACERO INOXIDABLE. </t>
    </r>
    <r>
      <rPr>
        <b/>
        <sz val="10"/>
        <rFont val="Arial"/>
        <family val="2"/>
      </rPr>
      <t xml:space="preserve"> </t>
    </r>
    <r>
      <rPr>
        <b/>
        <sz val="10"/>
        <color rgb="FF00B050"/>
        <rFont val="Arial"/>
        <family val="2"/>
      </rPr>
      <t xml:space="preserve">15 LT/SEG  (T.E.- 1 SEMANA HABIL) </t>
    </r>
  </si>
  <si>
    <r>
      <t xml:space="preserve">VALVULA CHECK VERTICAL DE HIERRO DUCTIL 4" MCA. </t>
    </r>
    <r>
      <rPr>
        <b/>
        <sz val="10"/>
        <color theme="6"/>
        <rFont val="Arial"/>
        <family val="2"/>
      </rPr>
      <t>GOULDS</t>
    </r>
    <r>
      <rPr>
        <sz val="10"/>
        <rFont val="Arial"/>
        <family val="2"/>
      </rPr>
      <t xml:space="preserve"> @ 600 PSI</t>
    </r>
  </si>
  <si>
    <r>
      <t xml:space="preserve">VALVULA CHECK VERTICAL DE HIERRO DUCTIL 4" MCA. </t>
    </r>
    <r>
      <rPr>
        <b/>
        <sz val="10"/>
        <color theme="4" tint="0.39997558519241921"/>
        <rFont val="Arial"/>
        <family val="2"/>
      </rPr>
      <t>NUCLEO DE INGENIERIA</t>
    </r>
    <r>
      <rPr>
        <sz val="10"/>
        <rFont val="Arial"/>
        <family val="2"/>
      </rPr>
      <t xml:space="preserve"> @ 400 PSI</t>
    </r>
  </si>
  <si>
    <r>
      <t xml:space="preserve">CABLE PLANO SUMERGIBLE CAL. 3 X 1/0 @ 1000 VOLTS MCA. </t>
    </r>
    <r>
      <rPr>
        <b/>
        <sz val="10"/>
        <color rgb="FF00B050"/>
        <rFont val="Arial"/>
        <family val="2"/>
      </rPr>
      <t>(3.54 % CAIDA DE TENSION)</t>
    </r>
  </si>
  <si>
    <t>MEDIDOR DE FLUJO MEDICION ANALOGA MCA.- AMEXSA DE 4"</t>
  </si>
  <si>
    <t>CARRETES ACERO AL CARBON BRIDADOS DE 4"</t>
  </si>
  <si>
    <t>VALVULA CHECK DE ALUMINIO DE 4" BRIDADO</t>
  </si>
  <si>
    <t>TEE DE DESFOGUE DE 4" A 3"</t>
  </si>
  <si>
    <t>EMPAQUES DE NEOPRENO DE 4"</t>
  </si>
  <si>
    <t>EMPAQUE DE NEOPRENO DE 3"</t>
  </si>
  <si>
    <t>TORNILLOS GALVANIZADOS DE 5/8" X 3 1/2"</t>
  </si>
  <si>
    <t>SONDA NEUMATICA PARA MEDICION DE NIVEL 1/4"</t>
  </si>
  <si>
    <t>MOTOR SUMERGIBLE TRIFASICO 75 HP. 460 VOLTS 60 HZ. 3450 RPM.  EMPUJE AXIAL</t>
  </si>
  <si>
    <t>REBOBINABLE, MCA SME 7" DE DIAMETRO. ALTA TEMP Y ALTO EMPUJE AXIAL.</t>
  </si>
  <si>
    <r>
      <t xml:space="preserve">BOMBA SUMERGIBLE 75 HP FUNDICION DE HIERRO. </t>
    </r>
    <r>
      <rPr>
        <b/>
        <sz val="10"/>
        <rFont val="Arial"/>
        <family val="2"/>
      </rPr>
      <t xml:space="preserve"> 15 LT/SEG  (T.E.- 1 SEMANA HABIL) </t>
    </r>
  </si>
  <si>
    <t>ARRANCADOR A TENSION REDUCIDA PARA MOTOR DE 75 HP. MCA.- ENERWELL CON PROTECCION DE ALTO Y BAJO VOLTAJE, CAIDA FASES O VOLTAJE, BAJO Y ALTO AMPERAJE</t>
  </si>
  <si>
    <t>CABEZAL 4" TAPA SANITARIA Y BRIDADO</t>
  </si>
  <si>
    <t>CONECTOR CORTO A TOPE, CINTA 130-C, CINTA MASILLA, CINTA SUPER 33, MANGA TERMOCON. CAL. 3/0, RESINA EPOXICA</t>
  </si>
  <si>
    <r>
      <t xml:space="preserve">CABLE PLANO SUMERGIBLE CAL. 3 X 3/0 @ 1000 VOLTS MCA. </t>
    </r>
    <r>
      <rPr>
        <b/>
        <sz val="10"/>
        <color rgb="FF00B050"/>
        <rFont val="Arial"/>
        <family val="2"/>
      </rPr>
      <t>(2.81 % CAIDA DE TENSION)</t>
    </r>
  </si>
  <si>
    <t>DOSCIENTOS NOVENTA Y CUATRO MIL OCHENTA Y SIETE PESOS 49/100 M.N.</t>
  </si>
  <si>
    <t>REVISION DE EQUIPO DE BOMBEO Y SUB ESTACION DE POZO PILINQUE</t>
  </si>
  <si>
    <t>19 DE MAYO DEL 2026</t>
  </si>
  <si>
    <t>MTTO DE VARIADOR DE FRECUENCIA, INCLUYE: LIQUIDOS DIELECT,</t>
  </si>
  <si>
    <t>DESARMADO, LIMPIEZA, REVISON PARAMET, ARMADO</t>
  </si>
  <si>
    <t>INCLUYE, TRASLADOS, SUBIR TABS, DIAGNOSTICO Y ARRANQUES.</t>
  </si>
  <si>
    <t xml:space="preserve">Empresa: AGRICOLA PARTIDA  </t>
  </si>
  <si>
    <t>Atención a: SR. RAFAEL PARTIDA VARGAS</t>
  </si>
  <si>
    <t>Domicilio: HUESCALAPA, JALISCO</t>
  </si>
  <si>
    <t>Nombre Del Predio: CRUZ GORDA</t>
  </si>
  <si>
    <t xml:space="preserve">Empresa: AGUA ESCONDIDA </t>
  </si>
  <si>
    <t>Domicilio: EL RINCON, JALISCO</t>
  </si>
  <si>
    <t>Nombre Del Predio: AGUA ESCONDIDA</t>
  </si>
  <si>
    <t>Empresa: AGRO GONZALES</t>
  </si>
  <si>
    <t>DOSCIENTOS DIECISIETE MIL SETECIENTOS VEINTIOCHO PESOS 00/100 M.N.</t>
  </si>
  <si>
    <t xml:space="preserve">TOTAL </t>
  </si>
  <si>
    <t xml:space="preserve">TUBERIA 10" TOTAL </t>
  </si>
  <si>
    <t>562,617.52</t>
  </si>
  <si>
    <t>AFORO 48HRS</t>
  </si>
  <si>
    <t>SUBESTACION 225KVA</t>
  </si>
  <si>
    <t xml:space="preserve">DESCUENTO </t>
  </si>
  <si>
    <t>TRES MILLONES DOSCIENTOS ONCE MIL CIENTO ONCE PESOS 68/100 M.N.</t>
  </si>
  <si>
    <t xml:space="preserve">AFORO 5% DE DESCUENTO </t>
  </si>
  <si>
    <t>PRECIO CON DESCUENTO</t>
  </si>
  <si>
    <t>$</t>
  </si>
  <si>
    <t xml:space="preserve">DESCUENTOS </t>
  </si>
  <si>
    <t>ELECTRIFICACION (SUBESTACION 225KVA) 4%</t>
  </si>
  <si>
    <t xml:space="preserve">EQUIPAMIENTO </t>
  </si>
  <si>
    <t>EQUIPAMIENTO 3%</t>
  </si>
  <si>
    <t xml:space="preserve">TUBERIA 10" </t>
  </si>
  <si>
    <t xml:space="preserve">TOTAL CON DESCUENTO </t>
  </si>
  <si>
    <t>TRES MILLONES CIENTO VEINTE MIL SEISCIENTOS DOCE PESOS 71/100 M.N.</t>
  </si>
  <si>
    <t xml:space="preserve">NOTA:Para garantizar disponibilidad de equipo ,personal tecnico y tiempos de  entrega,se solicita un anticipo del 50% para dar inicio a los trabajos y programacion operativa </t>
  </si>
  <si>
    <t>INSTALACION DE EQUIPO DE BOMBEO POZO LA LLAVE 3 P/MT HASTA 148 MT. TIPO SUMERGIBLE DE 4" DE DIAMETRO</t>
  </si>
  <si>
    <t>SERVICIO DE ARRANQUE, REVISION DE PARAMETROS Y PROGRAMACION DE EQUIPOS.</t>
  </si>
  <si>
    <t>25 DE MAYO DEL 2026</t>
  </si>
  <si>
    <t xml:space="preserve">Empresa: AGRICOLA DON MEMO  </t>
  </si>
  <si>
    <t xml:space="preserve">Atención a: ING. RUBEN LARA - LIC. ALEJANDRA </t>
  </si>
  <si>
    <t>Domicilio: SAN GABRIEL, JALISCO</t>
  </si>
  <si>
    <t>Nombre Del Predio: DON MEMO</t>
  </si>
  <si>
    <t>MOTOR SUM. MCA.- SME DE 125 HP. ALTA TEMP. ALTO EMPUJE AXIAL</t>
  </si>
  <si>
    <r>
      <t>BOMBA SUMERGIBLE MCA.- FRANKLIN ELECTRIC 36</t>
    </r>
    <r>
      <rPr>
        <b/>
        <sz val="12"/>
        <color theme="4" tint="0.39997558519241921"/>
        <rFont val="Arial"/>
        <family val="2"/>
      </rPr>
      <t xml:space="preserve"> LT/SEG FUND. HIERRO</t>
    </r>
  </si>
  <si>
    <r>
      <rPr>
        <b/>
        <sz val="11"/>
        <rFont val="Arial"/>
        <family val="2"/>
      </rPr>
      <t>Tiempo de entrega del sistema:</t>
    </r>
    <r>
      <rPr>
        <sz val="11"/>
        <rFont val="Arial"/>
        <family val="2"/>
      </rPr>
      <t xml:space="preserve"> De 4-5 DIAS hábil, salvo venta, una vez dado el pago.</t>
    </r>
  </si>
  <si>
    <t>Forma de Pago: 100 % AL CONTRATAR.</t>
  </si>
  <si>
    <t>MOTOR SUM. MCA.- SME DE 150 HP. ALTA TEMP. ALTO EMPUJE AXIAL</t>
  </si>
  <si>
    <r>
      <t>BOMBA SUM. MCA.- FRANKLIN ELECTRIC 36</t>
    </r>
    <r>
      <rPr>
        <b/>
        <sz val="12"/>
        <color theme="4" tint="0.39997558519241921"/>
        <rFont val="Arial"/>
        <family val="2"/>
      </rPr>
      <t xml:space="preserve"> LT/SEG FUND. HIERRO</t>
    </r>
    <r>
      <rPr>
        <sz val="12"/>
        <rFont val="Arial"/>
        <family val="2"/>
      </rPr>
      <t xml:space="preserve"> 150 HP</t>
    </r>
  </si>
  <si>
    <t xml:space="preserve">                                   CUATROCIENTOS CINCUENTA Y SIETE MIL TRESCIENTOS NOVENTA Y DOS PESOS 73/100 M.N.</t>
  </si>
  <si>
    <t>26 DE MAYO DEL 2026</t>
  </si>
  <si>
    <r>
      <rPr>
        <b/>
        <sz val="11"/>
        <rFont val="Arial"/>
        <family val="2"/>
      </rPr>
      <t>Num. de cuenta:</t>
    </r>
    <r>
      <rPr>
        <sz val="11"/>
        <rFont val="Arial"/>
        <family val="2"/>
      </rPr>
      <t xml:space="preserve"> 048 247 5650   </t>
    </r>
    <r>
      <rPr>
        <b/>
        <sz val="11"/>
        <rFont val="Arial"/>
        <family val="2"/>
      </rPr>
      <t xml:space="preserve">CLABE.- </t>
    </r>
    <r>
      <rPr>
        <sz val="11"/>
        <rFont val="Arial"/>
        <family val="2"/>
      </rPr>
      <t xml:space="preserve">012 342 004824 756509  </t>
    </r>
    <r>
      <rPr>
        <b/>
        <sz val="11"/>
        <rFont val="Arial"/>
        <family val="2"/>
      </rPr>
      <t>BBVA BANCOMER</t>
    </r>
  </si>
  <si>
    <t>MTTO A POZO PROFUNDO HASTA 200 MT. ADEME 12"</t>
  </si>
  <si>
    <t>SOLO DE LA PRIMERA PARTIDA, LO DEMAS SI LLEVARIA IVA</t>
  </si>
  <si>
    <r>
      <rPr>
        <b/>
        <sz val="11"/>
        <rFont val="Arial"/>
        <family val="2"/>
      </rPr>
      <t>Tiempo de entrega del sistema:</t>
    </r>
    <r>
      <rPr>
        <sz val="11"/>
        <rFont val="Arial"/>
        <family val="2"/>
      </rPr>
      <t xml:space="preserve"> De 4 DIAS hábil, salvo previa venta, una vez dado el pago.</t>
    </r>
  </si>
  <si>
    <t>Forma de Pago: 50% AL CONTRATAR 50% AL FINALIZAR</t>
  </si>
  <si>
    <t>NO SE GARANTIZA QUE LA VARILLA BAJE, YA LLEVA MUCHO AHÍ.</t>
  </si>
  <si>
    <t>Forma de Pago: CREDITO 15 DIAS A NEGOCIAR</t>
  </si>
  <si>
    <t>MTTO A POZO PROFUNDO HASTA 350 MT. ADEME 12"</t>
  </si>
  <si>
    <t xml:space="preserve">                               CUARENTA Y SEIS MIL SETECIENTOS CUARENTA Y OCHO PESOS 00/100 M.N.</t>
  </si>
  <si>
    <t xml:space="preserve">                                   CIENTO TREINTA Y DOS MIL CIENTO TREINTA Y TRES PESOS 28/100 M.N.</t>
  </si>
  <si>
    <t xml:space="preserve">                                  OCHENTA Y SEIS MIL NOVECIENTOS CINCUENTA Y NUEVE PESOS 40/100 M.N.</t>
  </si>
  <si>
    <t>MANO DE OBRA POR EMPATE, INCLUYE, PINZAS HIDRAHULICAS, HERRAMIENTAS, ETC.</t>
  </si>
  <si>
    <t>30 DE MAYO DEL 2026</t>
  </si>
  <si>
    <t xml:space="preserve">                               CUARENTA Y UN MIL CIENTO OCHENTA PESOS 00/100 M.N.</t>
  </si>
  <si>
    <r>
      <t>MEDIDOR DE FLUJO ANALOGO DE  6</t>
    </r>
    <r>
      <rPr>
        <b/>
        <sz val="12"/>
        <color theme="4" tint="0.39997558519241921"/>
        <rFont val="Arial"/>
        <family val="2"/>
      </rPr>
      <t>" MCA.- AMEXSA TIPO TURBINA</t>
    </r>
    <r>
      <rPr>
        <sz val="12"/>
        <rFont val="Arial"/>
        <family val="2"/>
      </rPr>
      <t xml:space="preserve"> MEDICION ANALOGICA. T.E.- 2 - 3 DIAS </t>
    </r>
  </si>
  <si>
    <r>
      <t xml:space="preserve">MEDIDOR DE FLUJO DE MEDICION INSTANTANEA </t>
    </r>
    <r>
      <rPr>
        <b/>
        <sz val="12"/>
        <color rgb="FF00B050"/>
        <rFont val="Arial"/>
        <family val="2"/>
      </rPr>
      <t>MCA.- MC CROMETER</t>
    </r>
    <r>
      <rPr>
        <sz val="12"/>
        <rFont val="Arial"/>
        <family val="2"/>
      </rPr>
      <t xml:space="preserve"> DE 6" DE DIAMETRO.</t>
    </r>
  </si>
  <si>
    <r>
      <t xml:space="preserve">MEDIDOR DE FLUJO </t>
    </r>
    <r>
      <rPr>
        <b/>
        <sz val="12"/>
        <color theme="4" tint="0.39997558519241921"/>
        <rFont val="Arial"/>
        <family val="2"/>
      </rPr>
      <t>MCA. GEYSER DE 6"</t>
    </r>
    <r>
      <rPr>
        <sz val="12"/>
        <rFont val="Arial"/>
        <family val="2"/>
      </rPr>
      <t xml:space="preserve"> CON MEDICION DE GASTO INSTANTANEO </t>
    </r>
    <r>
      <rPr>
        <b/>
        <sz val="12"/>
        <color rgb="FFFF0000"/>
        <rFont val="Arial"/>
        <family val="2"/>
      </rPr>
      <t>T.E.- 2 - 3 DIAS</t>
    </r>
    <r>
      <rPr>
        <sz val="12"/>
        <rFont val="Arial"/>
        <family val="2"/>
      </rPr>
      <t xml:space="preserve"> </t>
    </r>
  </si>
  <si>
    <r>
      <t xml:space="preserve">MEDIDOR DE </t>
    </r>
    <r>
      <rPr>
        <b/>
        <sz val="12"/>
        <color theme="4" tint="0.39997558519241921"/>
        <rFont val="Arial"/>
        <family val="2"/>
      </rPr>
      <t>FLUJO ELECTROMAGNETICO DE 6" CON MEDICION DE GASTO INSTANTANEO</t>
    </r>
    <r>
      <rPr>
        <sz val="12"/>
        <rFont val="Arial"/>
        <family val="2"/>
      </rPr>
      <t xml:space="preserve"> (NO INCLUYE ALIMENTACION A 110 VOLTS)</t>
    </r>
  </si>
  <si>
    <t>P r e s e n t e 04 MAYO 2026</t>
  </si>
  <si>
    <t>AFORO 24 HORAS CON TUBERIA DE 3" DE DIAMETRO CON EQUIPOS SUMERGIBLE INSTALADOS A 200 MT, 150 MT, 100 MT, INCLUYE:  INST. VFD, EQUIPOS DE MEDICION, MEDIDOR FLUJO, PRUEBAS PARA OBTENER MUESTRAS</t>
  </si>
  <si>
    <t xml:space="preserve">                               SETENTA Y UN MIL TRESCIENTOS CUARENTA PESOS 00/100 M.N.</t>
  </si>
  <si>
    <t xml:space="preserve">Empresa: ING. AMAURY CASTILLO  </t>
  </si>
  <si>
    <t>Atención a: ING. AMAURY CASTILLO</t>
  </si>
  <si>
    <t>Domicilio: TEPAMES, COLIMA</t>
  </si>
  <si>
    <t>Nombre Del Predio: CONOCIDO</t>
  </si>
  <si>
    <t>08 DE JUNIO DEL 2026</t>
  </si>
  <si>
    <t>PUEDE EXISTIR UNA OMISION DE IVA EN CASO DE SER EN EFECTIVO.</t>
  </si>
  <si>
    <t>AFORO 24 HORAS CON TUBERIA DE 6" DE DIAMETRO CON EQUIPOS SUMERGIBLE INSTALADOS A 200 MT, INCLUYE:  INST. VFD, EQUIPOS DE MEDICION, MEDIDOR FLUJO, PRUEBAS PARA OBTENER MUESTRAS</t>
  </si>
  <si>
    <r>
      <t>Nombre del predio:</t>
    </r>
    <r>
      <rPr>
        <b/>
        <sz val="11"/>
        <color theme="9" tint="-0.249977111117893"/>
        <rFont val="Segoe UI Semibold"/>
        <family val="2"/>
      </rPr>
      <t xml:space="preserve"> USMAJAC POZO 1 UTILIZANDO ACTUALMENTE </t>
    </r>
  </si>
  <si>
    <t>09 DE JUNIO DEL 2026</t>
  </si>
  <si>
    <t>PARA OBTENER EL MAXIMO POTENCIAL DEL POZO.</t>
  </si>
  <si>
    <t xml:space="preserve">                            CIENTO CUARENTA Y UN MIL QUINIENTOS VEINTE PESOS 00/100 M.N.</t>
  </si>
  <si>
    <r>
      <t>Nombre del predio:</t>
    </r>
    <r>
      <rPr>
        <b/>
        <sz val="11"/>
        <color theme="9" tint="-0.249977111117893"/>
        <rFont val="Segoe UI Semibold"/>
        <family val="2"/>
      </rPr>
      <t xml:space="preserve"> USMAJAC POZO 2 ENTRADA A LADO IZQUIERDO</t>
    </r>
  </si>
  <si>
    <t>HORA ADICIONAL DE BOMBEO CON LOS EQUIPOS YA INSTALADOS.</t>
  </si>
  <si>
    <t>VIDEO GRABACION DE POZO PROFUNDO, PARA OBTENER, NIVEL ESTATICO, RANURAS, CANSATILLA, FONDO DEL POZO. OBSTRUCCIONES O COLAPSOS.- INCLUYE TOMA DE VIDEO, REPORTE Y MEMORIA.</t>
  </si>
  <si>
    <t xml:space="preserve">                            CIENTO CUARENTA Y NUEVE MIL SESENTA PESOS 00/100 M.N.</t>
  </si>
  <si>
    <t xml:space="preserve">                            CIENTO CUARENTA Y SEIS MIL QUINIENTOS OCHO PESOS 00/100 M.N.</t>
  </si>
  <si>
    <t xml:space="preserve">PARA PONER EL AFORO EN LA PROFUNDIDAD TOTAL REQUERIDA </t>
  </si>
  <si>
    <t>LA TOMA DEL VIDEO NOS SERVIRA PARA CERTEZA SOBRE DATOS DEL POZO,</t>
  </si>
  <si>
    <r>
      <rPr>
        <b/>
        <sz val="11"/>
        <rFont val="Arial"/>
        <family val="2"/>
      </rPr>
      <t>Tiempo de entrega del sistema:</t>
    </r>
    <r>
      <rPr>
        <sz val="11"/>
        <rFont val="Arial"/>
        <family val="2"/>
      </rPr>
      <t xml:space="preserve"> De 6 DIAS hábil, salvo previa venta, una vez dado el pago.</t>
    </r>
  </si>
  <si>
    <t>Forma de Pago: 50 % AL CONTRATAR 50 % A 15 DIAS</t>
  </si>
  <si>
    <t>Empresa: AGRICOLA VALLES DEL SUR</t>
  </si>
  <si>
    <t>Atención a: RAFAEL PARTIDA VARGAS</t>
  </si>
  <si>
    <t>11 DE JUNIO DEL 2026</t>
  </si>
  <si>
    <t>MTTO A POZO PROFUNDO HASTA 320 MT. ADEME 10"</t>
  </si>
  <si>
    <t xml:space="preserve">                                   CIENTO OCHENTA Y DOS MIL NOVECIENTOS NOVENTA Y UN PESOS 16/100 M.N.</t>
  </si>
  <si>
    <t>SE RECOMIENDA UN VIDEO $7 000 PARA ASEGURAR EL POZO</t>
  </si>
  <si>
    <t>REP. O REVISION DE EQUIPO DE BOMBEO, SE COTIZARA UNA VEZ QUE SE DESINSTALE.</t>
  </si>
  <si>
    <r>
      <rPr>
        <b/>
        <sz val="11"/>
        <rFont val="Arial"/>
        <family val="2"/>
      </rPr>
      <t>Tiempo de entrega del sistema:</t>
    </r>
    <r>
      <rPr>
        <sz val="11"/>
        <rFont val="Arial"/>
        <family val="2"/>
      </rPr>
      <t xml:space="preserve"> De 10 - 12 DIAS hábil, salvo previa venta, una vez dado el pago.</t>
    </r>
  </si>
  <si>
    <t>MANIOBRAS DE LIMPIEZA DE POZO UTILIZANDO TUBERIA DE AFOROS Y SIFON PARA DESASOLVAR.</t>
  </si>
  <si>
    <r>
      <rPr>
        <b/>
        <sz val="11"/>
        <rFont val="Arial"/>
        <family val="2"/>
      </rPr>
      <t>Tiempo de entrega del sistema:</t>
    </r>
    <r>
      <rPr>
        <sz val="11"/>
        <rFont val="Arial"/>
        <family val="2"/>
      </rPr>
      <t xml:space="preserve"> De  TRABAJO REALIZADO hábil, salvo previa venta, una vez dado el pago.</t>
    </r>
  </si>
  <si>
    <t>Forma de Pago: 100 %  TRABAJO REALIZADO</t>
  </si>
  <si>
    <r>
      <rPr>
        <b/>
        <sz val="11"/>
        <rFont val="Arial"/>
        <family val="2"/>
      </rPr>
      <t>Tiempo de entrega del sistema:</t>
    </r>
    <r>
      <rPr>
        <sz val="11"/>
        <rFont val="Arial"/>
        <family val="2"/>
      </rPr>
      <t xml:space="preserve"> De  TRABAJO REALIZADO hábil</t>
    </r>
  </si>
  <si>
    <t>CUARENTA Y CINCO MIL DOSCIENTOS CUARENTA PESOS 00/100 M.N.</t>
  </si>
  <si>
    <t>CEPILLADO DE POZO PROFUNDO MEDIANTE GRUA TIPO TRIPIE, QUIMICOS, DESASOLVE GENERAL.</t>
  </si>
  <si>
    <t xml:space="preserve">                            CIENTO CUARENTA MIL QUINIENTOS NOVENTA Y DOS PESOS 00/100 M.N.</t>
  </si>
  <si>
    <t>AFORO 24 HORAS CON TUBERIA DE 6" DE DIAMETRO CON EQUIPOS SUMERGIBLE INSTALADOS A 140 MT, INCLUYE:  INST. VFD, EQUIPOS DE MEDICION, MEDIDOR FLUJO, PRUEBAS PARA OBTENER MUESTRAS</t>
  </si>
  <si>
    <t>DES-INSTALACION DE EQUIPO DE BOMBEO POZO, INCLUYE: IZAJE, DESINTA TREN DE DESCARGA, EPP, EQUIP. ESPECIAL DE IZAJE. CON APOYO DE GRUA TRIPIE DE 50 TON.</t>
  </si>
  <si>
    <t>INSTALACION DE EQUIPO DE BOMBEO POZO, INCLUYE: IZAJE, DESINTA TREN DE DESCARGA, EPP, EQUIP. ESPECIAL DE IZAJE. CON APOYO DE GRUA TRIPIE DE 50 TON.</t>
  </si>
  <si>
    <t xml:space="preserve">                            CIENTO SEIS MIL OCHOCIENTOS TREINTA Y SEIS PESOS 00/100 M.N.</t>
  </si>
  <si>
    <t>13 DE JUNIO DEL 2026</t>
  </si>
  <si>
    <t xml:space="preserve">                            CIENTO TREINTA Y SIETE MIL QUINIENTOS SETENTA Y SEIS PESOS 00/100 M.N.</t>
  </si>
  <si>
    <r>
      <t>Nombre del predio:</t>
    </r>
    <r>
      <rPr>
        <b/>
        <sz val="11"/>
        <color theme="9" tint="-0.249977111117893"/>
        <rFont val="Segoe UI Semibold"/>
        <family val="2"/>
      </rPr>
      <t xml:space="preserve"> ESTANQUE 1 </t>
    </r>
  </si>
  <si>
    <r>
      <t>Nombre del predio:</t>
    </r>
    <r>
      <rPr>
        <b/>
        <sz val="11"/>
        <color theme="9" tint="-0.249977111117893"/>
        <rFont val="Segoe UI Semibold"/>
        <family val="2"/>
      </rPr>
      <t xml:space="preserve"> CAMICHIN 1</t>
    </r>
  </si>
  <si>
    <r>
      <t>Nombre del predio:</t>
    </r>
    <r>
      <rPr>
        <b/>
        <sz val="11"/>
        <color theme="9" tint="-0.249977111117893"/>
        <rFont val="Segoe UI Semibold"/>
        <family val="2"/>
      </rPr>
      <t xml:space="preserve"> CAMICHIN 2 UTILIZANDO ACTUALMENTE </t>
    </r>
  </si>
  <si>
    <t>15 DE JUNIO DEL 2026</t>
  </si>
  <si>
    <t>Forma de Pago: 100 PARA PROGRAMAR VIDEO</t>
  </si>
  <si>
    <r>
      <rPr>
        <b/>
        <sz val="11"/>
        <rFont val="Arial"/>
        <family val="2"/>
      </rPr>
      <t>Tiempo de entrega del sistema:</t>
    </r>
    <r>
      <rPr>
        <sz val="11"/>
        <rFont val="Arial"/>
        <family val="2"/>
      </rPr>
      <t xml:space="preserve"> De 2 DIAS HABIL UNA VEZ DADO EL PAGO</t>
    </r>
  </si>
  <si>
    <t>Nombre Del Predio: SAUCES</t>
  </si>
  <si>
    <t>ASESORIA SOBRE PROYECTO HIDRAHULICO, INCLUYE 2 HORAS DE JUNTA CON SU PERSONAL APRA LEVANTAMIENTO DE INDICIOS, HECHOS Y DOCUMENTOS NECESARIOS, 6 HORAS DE ANALISIS EN DPTO. DE INGENIERIA DE LA EMPRESA. REPORTE POR ESCRITO DE HALLASGOS ASI COMO RECOMENDACIONES.</t>
  </si>
  <si>
    <t>Forma de Pago: 100 PARA PROGRAMAR ASESORIA</t>
  </si>
  <si>
    <t xml:space="preserve">                                               DOCE MIL PESOS PESOS 00/100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</si>
</sst>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Red]&quot;$&quot;#,##0.00"/>
  </numFmts>
  <fonts count="98" x14ac:knownFonts="1">
    <font>
      <sz val="11"/>
      <color theme="1"/>
      <name val="Aptos Narrow"/>
      <family val="2"/>
      <scheme val="minor"/>
    </font>
    <font>
      <sz val="11"/>
      <color theme="1"/>
      <name val="Aptos Narrow"/>
      <family val="2"/>
      <scheme val="minor"/>
    </font>
    <font>
      <sz val="10"/>
      <name val="Arial"/>
      <family val="2"/>
    </font>
    <font>
      <sz val="11"/>
      <name val="Segoe UI Light"/>
      <family val="2"/>
    </font>
    <font>
      <sz val="11"/>
      <name val="Segoe UI Semibold"/>
      <family val="2"/>
    </font>
    <font>
      <b/>
      <sz val="11"/>
      <name val="Segoe UI Semibold"/>
      <family val="2"/>
    </font>
    <font>
      <b/>
      <sz val="11"/>
      <name val="Segoe UI Light"/>
      <family val="2"/>
    </font>
    <font>
      <sz val="11"/>
      <name val="Arial"/>
      <family val="2"/>
    </font>
    <font>
      <b/>
      <sz val="10"/>
      <color theme="0"/>
      <name val="Arial"/>
      <family val="2"/>
    </font>
    <font>
      <b/>
      <sz val="12"/>
      <color theme="0"/>
      <name val="Arial"/>
      <family val="2"/>
    </font>
    <font>
      <sz val="12"/>
      <color theme="1"/>
      <name val="Arial"/>
      <family val="2"/>
    </font>
    <font>
      <sz val="12"/>
      <name val="Arial"/>
      <family val="2"/>
    </font>
    <font>
      <sz val="10"/>
      <color theme="0"/>
      <name val="Arial"/>
      <family val="2"/>
    </font>
    <font>
      <b/>
      <sz val="12"/>
      <name val="Arial"/>
      <family val="2"/>
    </font>
    <font>
      <b/>
      <sz val="12"/>
      <color indexed="9"/>
      <name val="Arial"/>
      <family val="2"/>
    </font>
    <font>
      <b/>
      <sz val="11"/>
      <color theme="0"/>
      <name val="Arial"/>
      <family val="2"/>
    </font>
    <font>
      <b/>
      <sz val="14"/>
      <name val="Arial"/>
      <family val="2"/>
    </font>
    <font>
      <b/>
      <sz val="12"/>
      <color theme="4" tint="0.39997558519241921"/>
      <name val="Arial"/>
      <family val="2"/>
    </font>
    <font>
      <b/>
      <sz val="10"/>
      <color indexed="9"/>
      <name val="Arial"/>
      <family val="2"/>
    </font>
    <font>
      <b/>
      <sz val="11"/>
      <color indexed="9"/>
      <name val="Arial"/>
      <family val="2"/>
    </font>
    <font>
      <b/>
      <sz val="11"/>
      <name val="Arial"/>
      <family val="2"/>
    </font>
    <font>
      <sz val="8"/>
      <name val="Arial"/>
      <family val="2"/>
    </font>
    <font>
      <sz val="11"/>
      <color theme="0"/>
      <name val="Segoe UI Semibold"/>
      <family val="2"/>
    </font>
    <font>
      <b/>
      <sz val="12"/>
      <name val="Segoe UI Semibold"/>
      <family val="2"/>
    </font>
    <font>
      <sz val="12"/>
      <name val="Segoe UI Semibold"/>
      <family val="2"/>
    </font>
    <font>
      <sz val="12"/>
      <name val="Segoe UI Light"/>
      <family val="2"/>
    </font>
    <font>
      <b/>
      <sz val="14"/>
      <color theme="0"/>
      <name val="Arial"/>
      <family val="2"/>
    </font>
    <font>
      <i/>
      <sz val="12"/>
      <name val="Arial"/>
      <family val="2"/>
    </font>
    <font>
      <b/>
      <i/>
      <sz val="12"/>
      <name val="Arial"/>
      <family val="2"/>
    </font>
    <font>
      <b/>
      <i/>
      <sz val="12"/>
      <color theme="0"/>
      <name val="Arial"/>
      <family val="2"/>
    </font>
    <font>
      <b/>
      <sz val="10"/>
      <name val="Arial"/>
      <family val="2"/>
    </font>
    <font>
      <b/>
      <sz val="12"/>
      <color rgb="FFFF0000"/>
      <name val="Calibri"/>
      <family val="2"/>
    </font>
    <font>
      <b/>
      <sz val="11"/>
      <color rgb="FFFF0000"/>
      <name val="Arial"/>
      <family val="2"/>
    </font>
    <font>
      <sz val="10"/>
      <name val="Segoe UI Semibold"/>
      <family val="2"/>
    </font>
    <font>
      <u/>
      <sz val="10"/>
      <name val="Arial"/>
      <family val="2"/>
    </font>
    <font>
      <b/>
      <i/>
      <sz val="10"/>
      <name val="Arial"/>
      <family val="2"/>
    </font>
    <font>
      <b/>
      <sz val="12"/>
      <color rgb="FF00B0F0"/>
      <name val="Arial"/>
      <family val="2"/>
    </font>
    <font>
      <b/>
      <sz val="12"/>
      <color rgb="FF00B050"/>
      <name val="Arial"/>
      <family val="2"/>
    </font>
    <font>
      <b/>
      <sz val="10"/>
      <color rgb="FFFFFF00"/>
      <name val="Arial"/>
      <family val="2"/>
    </font>
    <font>
      <b/>
      <sz val="12"/>
      <color rgb="FF92D050"/>
      <name val="Arial"/>
      <family val="2"/>
    </font>
    <font>
      <b/>
      <i/>
      <sz val="10"/>
      <color theme="1"/>
      <name val="Arial"/>
      <family val="2"/>
    </font>
    <font>
      <b/>
      <i/>
      <sz val="10"/>
      <color rgb="FFFF0000"/>
      <name val="Arial"/>
      <family val="2"/>
    </font>
    <font>
      <b/>
      <i/>
      <sz val="10"/>
      <color theme="4" tint="-0.499984740745262"/>
      <name val="Arial"/>
      <family val="2"/>
    </font>
    <font>
      <i/>
      <sz val="10"/>
      <name val="Arial"/>
      <family val="2"/>
    </font>
    <font>
      <b/>
      <sz val="14"/>
      <color rgb="FFFF0000"/>
      <name val="Arial"/>
      <family val="2"/>
    </font>
    <font>
      <sz val="9"/>
      <name val="Segoe UI Semibold"/>
      <family val="2"/>
    </font>
    <font>
      <b/>
      <sz val="9"/>
      <name val="Segoe UI Semibold"/>
      <family val="2"/>
    </font>
    <font>
      <b/>
      <sz val="10"/>
      <color theme="6"/>
      <name val="Arial"/>
      <family val="2"/>
    </font>
    <font>
      <b/>
      <sz val="10"/>
      <color theme="4" tint="0.39997558519241921"/>
      <name val="Arial"/>
      <family val="2"/>
    </font>
    <font>
      <b/>
      <sz val="11"/>
      <color rgb="FF00B050"/>
      <name val="Arial"/>
      <family val="2"/>
    </font>
    <font>
      <b/>
      <i/>
      <sz val="12"/>
      <color rgb="FFFF0000"/>
      <name val="Arial"/>
      <family val="2"/>
    </font>
    <font>
      <b/>
      <sz val="12"/>
      <color rgb="FFFFFF00"/>
      <name val="Arial"/>
      <family val="2"/>
    </font>
    <font>
      <sz val="10"/>
      <color theme="1"/>
      <name val="Arial"/>
      <family val="2"/>
    </font>
    <font>
      <b/>
      <i/>
      <sz val="10"/>
      <color theme="0"/>
      <name val="Arial"/>
      <family val="2"/>
    </font>
    <font>
      <b/>
      <sz val="12"/>
      <color rgb="FFFFC000"/>
      <name val="Arial"/>
      <family val="2"/>
    </font>
    <font>
      <b/>
      <sz val="11"/>
      <color rgb="FFFFFF00"/>
      <name val="Aptos Narrow"/>
      <family val="2"/>
      <scheme val="minor"/>
    </font>
    <font>
      <sz val="11"/>
      <color rgb="FFFFFF00"/>
      <name val="Aptos Narrow"/>
      <family val="2"/>
      <scheme val="minor"/>
    </font>
    <font>
      <b/>
      <sz val="14"/>
      <color rgb="FF92D050"/>
      <name val="Arial"/>
      <family val="2"/>
    </font>
    <font>
      <b/>
      <i/>
      <sz val="10"/>
      <color theme="3" tint="0.249977111117893"/>
      <name val="Arial"/>
      <family val="2"/>
    </font>
    <font>
      <b/>
      <i/>
      <sz val="12"/>
      <color theme="6" tint="0.59999389629810485"/>
      <name val="Arial"/>
      <family val="2"/>
    </font>
    <font>
      <b/>
      <sz val="10"/>
      <color theme="0"/>
      <name val="Aptos Narrow"/>
      <family val="2"/>
      <scheme val="minor"/>
    </font>
    <font>
      <sz val="12"/>
      <color theme="0"/>
      <name val="Segoe UI Semibold"/>
      <family val="2"/>
    </font>
    <font>
      <sz val="12"/>
      <color theme="0"/>
      <name val="Arial"/>
      <family val="2"/>
    </font>
    <font>
      <i/>
      <sz val="12"/>
      <color theme="0"/>
      <name val="Arial"/>
      <family val="2"/>
    </font>
    <font>
      <sz val="12"/>
      <color rgb="FFFF0000"/>
      <name val="Calibri"/>
      <family val="2"/>
    </font>
    <font>
      <sz val="12"/>
      <color rgb="FFFF0000"/>
      <name val="Arial"/>
      <family val="2"/>
    </font>
    <font>
      <b/>
      <sz val="10"/>
      <name val="Segoe UI Semibold"/>
      <family val="2"/>
    </font>
    <font>
      <b/>
      <sz val="8"/>
      <color theme="0"/>
      <name val="Arial"/>
      <family val="2"/>
    </font>
    <font>
      <b/>
      <sz val="8"/>
      <name val="Arial"/>
      <family val="2"/>
    </font>
    <font>
      <b/>
      <sz val="8"/>
      <color indexed="9"/>
      <name val="Arial"/>
      <family val="2"/>
    </font>
    <font>
      <sz val="8"/>
      <color theme="0"/>
      <name val="Segoe UI Semibold"/>
      <family val="2"/>
    </font>
    <font>
      <b/>
      <sz val="12"/>
      <color rgb="FFFF0000"/>
      <name val="Arial"/>
      <family val="2"/>
    </font>
    <font>
      <sz val="10"/>
      <color rgb="FFFFFF00"/>
      <name val="Arial"/>
      <family val="2"/>
    </font>
    <font>
      <b/>
      <sz val="10"/>
      <color rgb="FFFF0000"/>
      <name val="Arial"/>
      <family val="2"/>
    </font>
    <font>
      <b/>
      <i/>
      <sz val="10"/>
      <color rgb="FF00B050"/>
      <name val="Arial"/>
      <family val="2"/>
    </font>
    <font>
      <b/>
      <sz val="10"/>
      <color rgb="FF00B050"/>
      <name val="Arial"/>
      <family val="2"/>
    </font>
    <font>
      <b/>
      <sz val="11"/>
      <color theme="6" tint="0.39997558519241921"/>
      <name val="Arial"/>
      <family val="2"/>
    </font>
    <font>
      <b/>
      <i/>
      <sz val="12"/>
      <color rgb="FF00B050"/>
      <name val="Arial"/>
      <family val="2"/>
    </font>
    <font>
      <b/>
      <i/>
      <sz val="10"/>
      <color theme="9" tint="-0.499984740745262"/>
      <name val="Arial"/>
      <family val="2"/>
    </font>
    <font>
      <b/>
      <sz val="11"/>
      <color theme="0"/>
      <name val="Aptos Narrow"/>
      <family val="2"/>
      <scheme val="minor"/>
    </font>
    <font>
      <b/>
      <sz val="11"/>
      <color theme="1"/>
      <name val="Aptos Narrow"/>
      <family val="2"/>
      <scheme val="minor"/>
    </font>
    <font>
      <b/>
      <sz val="10"/>
      <color theme="1"/>
      <name val="Aptos Narrow"/>
      <family val="2"/>
      <scheme val="minor"/>
    </font>
    <font>
      <b/>
      <sz val="11"/>
      <color theme="0" tint="-4.9989318521683403E-2"/>
      <name val="Aptos Narrow"/>
      <family val="2"/>
      <scheme val="minor"/>
    </font>
    <font>
      <b/>
      <sz val="11"/>
      <color rgb="FFFFC000"/>
      <name val="Aptos Narrow"/>
      <family val="2"/>
      <scheme val="minor"/>
    </font>
    <font>
      <b/>
      <sz val="14"/>
      <color rgb="FF00B050"/>
      <name val="Arial"/>
      <family val="2"/>
    </font>
    <font>
      <b/>
      <sz val="11"/>
      <color rgb="FFFFC000"/>
      <name val="Arial"/>
      <family val="2"/>
    </font>
    <font>
      <i/>
      <sz val="12"/>
      <color theme="1"/>
      <name val="Arial"/>
      <family val="2"/>
    </font>
    <font>
      <b/>
      <sz val="13"/>
      <name val="Arial"/>
      <family val="2"/>
    </font>
    <font>
      <b/>
      <sz val="11"/>
      <color rgb="FF00B0F0"/>
      <name val="Arial"/>
      <family val="2"/>
    </font>
    <font>
      <sz val="10"/>
      <color rgb="FFFF0000"/>
      <name val="Arial"/>
      <family val="2"/>
    </font>
    <font>
      <b/>
      <sz val="11"/>
      <color theme="4" tint="0.39997558519241921"/>
      <name val="Aptos Narrow"/>
      <family val="2"/>
      <scheme val="minor"/>
    </font>
    <font>
      <b/>
      <sz val="12"/>
      <color theme="6" tint="0.39997558519241921"/>
      <name val="Arial"/>
      <family val="2"/>
    </font>
    <font>
      <b/>
      <sz val="12"/>
      <color theme="8" tint="0.39997558519241921"/>
      <name val="Arial"/>
      <family val="2"/>
    </font>
    <font>
      <sz val="14"/>
      <color rgb="FFFFFF00"/>
      <name val="Arial"/>
      <family val="2"/>
    </font>
    <font>
      <b/>
      <i/>
      <sz val="10"/>
      <color rgb="FFC00000"/>
      <name val="Arial"/>
      <family val="2"/>
    </font>
    <font>
      <b/>
      <sz val="10"/>
      <color rgb="FFFFC000"/>
      <name val="Arial"/>
      <family val="2"/>
    </font>
    <font>
      <sz val="8"/>
      <name val="Aptos Narrow"/>
      <family val="2"/>
      <scheme val="minor"/>
    </font>
    <font>
      <b/>
      <sz val="11"/>
      <color theme="9" tint="-0.249977111117893"/>
      <name val="Segoe UI Semibold"/>
      <family val="2"/>
    </font>
  </fonts>
  <fills count="32">
    <fill>
      <patternFill patternType="none"/>
    </fill>
    <fill>
      <patternFill patternType="gray125"/>
    </fill>
    <fill>
      <patternFill patternType="solid">
        <fgColor rgb="FF0000FF"/>
        <bgColor indexed="64"/>
      </patternFill>
    </fill>
    <fill>
      <patternFill patternType="solid">
        <fgColor rgb="FF00B0F0"/>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bgColor indexed="64"/>
      </patternFill>
    </fill>
    <fill>
      <patternFill patternType="solid">
        <fgColor theme="6" tint="0.39997558519241921"/>
        <bgColor indexed="64"/>
      </patternFill>
    </fill>
    <fill>
      <patternFill patternType="solid">
        <fgColor rgb="FF00B050"/>
        <bgColor indexed="64"/>
      </patternFill>
    </fill>
    <fill>
      <patternFill patternType="solid">
        <fgColor rgb="FF0C8BF4"/>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7" tint="-0.499984740745262"/>
        <bgColor indexed="64"/>
      </patternFill>
    </fill>
    <fill>
      <patternFill patternType="solid">
        <fgColor rgb="FF00FF00"/>
        <bgColor indexed="64"/>
      </patternFill>
    </fill>
    <fill>
      <patternFill patternType="solid">
        <fgColor theme="4" tint="0.59999389629810485"/>
        <bgColor indexed="64"/>
      </patternFill>
    </fill>
    <fill>
      <patternFill patternType="solid">
        <fgColor rgb="FF00FFFF"/>
        <bgColor indexed="64"/>
      </patternFill>
    </fill>
    <fill>
      <patternFill patternType="solid">
        <fgColor rgb="FF66FF66"/>
        <bgColor indexed="64"/>
      </patternFill>
    </fill>
    <fill>
      <patternFill patternType="solid">
        <fgColor theme="8" tint="0.3999755851924192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09ABA7"/>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9900"/>
        <bgColor indexed="64"/>
      </patternFill>
    </fill>
    <fill>
      <patternFill patternType="solid">
        <fgColor theme="6" tint="0.59999389629810485"/>
        <bgColor indexed="64"/>
      </patternFill>
    </fill>
    <fill>
      <patternFill patternType="solid">
        <fgColor theme="9" tint="0.39997558519241921"/>
        <bgColor indexed="64"/>
      </patternFill>
    </fill>
  </fills>
  <borders count="60">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rgb="FFFFC000"/>
      </left>
      <right style="thin">
        <color rgb="FFFFC000"/>
      </right>
      <top style="thin">
        <color rgb="FFFFC000"/>
      </top>
      <bottom style="thin">
        <color rgb="FFFFC000"/>
      </bottom>
      <diagonal/>
    </border>
    <border>
      <left/>
      <right style="thin">
        <color indexed="9"/>
      </right>
      <top style="thin">
        <color indexed="9"/>
      </top>
      <bottom style="thin">
        <color indexed="9"/>
      </bottom>
      <diagonal/>
    </border>
    <border>
      <left style="thin">
        <color rgb="FFFFC000"/>
      </left>
      <right style="thin">
        <color rgb="FFFFC000"/>
      </right>
      <top style="thin">
        <color rgb="FFFFC000"/>
      </top>
      <bottom/>
      <diagonal/>
    </border>
    <border>
      <left style="thin">
        <color rgb="FFFFFF00"/>
      </left>
      <right/>
      <top/>
      <bottom style="thin">
        <color rgb="FFFFFF00"/>
      </bottom>
      <diagonal/>
    </border>
    <border>
      <left style="thin">
        <color indexed="9"/>
      </left>
      <right/>
      <top/>
      <bottom style="thin">
        <color indexed="9"/>
      </bottom>
      <diagonal/>
    </border>
    <border>
      <left style="thin">
        <color indexed="9"/>
      </left>
      <right/>
      <top/>
      <bottom/>
      <diagonal/>
    </border>
    <border>
      <left style="medium">
        <color rgb="FFFFC000"/>
      </left>
      <right style="medium">
        <color rgb="FFFFC000"/>
      </right>
      <top style="medium">
        <color rgb="FFFFC000"/>
      </top>
      <bottom style="medium">
        <color rgb="FFFFC000"/>
      </bottom>
      <diagonal/>
    </border>
    <border>
      <left style="medium">
        <color rgb="FFFFC000"/>
      </left>
      <right/>
      <top style="medium">
        <color rgb="FFFFC000"/>
      </top>
      <bottom style="medium">
        <color rgb="FFFFC000"/>
      </bottom>
      <diagonal/>
    </border>
    <border>
      <left/>
      <right style="medium">
        <color rgb="FFFFC000"/>
      </right>
      <top style="medium">
        <color rgb="FFFFC000"/>
      </top>
      <bottom style="medium">
        <color rgb="FFFFC000"/>
      </bottom>
      <diagonal/>
    </border>
    <border>
      <left style="thin">
        <color indexed="9"/>
      </left>
      <right style="thin">
        <color indexed="9"/>
      </right>
      <top/>
      <bottom style="thin">
        <color indexed="9"/>
      </bottom>
      <diagonal/>
    </border>
    <border>
      <left/>
      <right style="thin">
        <color indexed="9"/>
      </right>
      <top/>
      <bottom style="thin">
        <color indexed="9"/>
      </bottom>
      <diagonal/>
    </border>
    <border>
      <left style="thin">
        <color rgb="FFFFC000"/>
      </left>
      <right style="thin">
        <color rgb="FFFFC000"/>
      </right>
      <top/>
      <bottom style="thin">
        <color rgb="FFFFC000"/>
      </bottom>
      <diagonal/>
    </border>
    <border>
      <left style="thin">
        <color rgb="FFFFC000"/>
      </left>
      <right/>
      <top/>
      <bottom style="thin">
        <color rgb="FFFFC000"/>
      </bottom>
      <diagonal/>
    </border>
    <border>
      <left style="thin">
        <color rgb="FFFFC000"/>
      </left>
      <right/>
      <top style="thin">
        <color rgb="FFFFC000"/>
      </top>
      <bottom style="thin">
        <color rgb="FFFFC000"/>
      </bottom>
      <diagonal/>
    </border>
    <border>
      <left/>
      <right style="thin">
        <color rgb="FFFFC000"/>
      </right>
      <top style="thin">
        <color rgb="FFFFC000"/>
      </top>
      <bottom style="thin">
        <color rgb="FFFFC000"/>
      </bottom>
      <diagonal/>
    </border>
    <border>
      <left/>
      <right/>
      <top/>
      <bottom style="medium">
        <color indexed="64"/>
      </bottom>
      <diagonal/>
    </border>
    <border>
      <left/>
      <right style="medium">
        <color indexed="64"/>
      </right>
      <top/>
      <bottom style="medium">
        <color indexed="64"/>
      </bottom>
      <diagonal/>
    </border>
    <border>
      <left style="thin">
        <color indexed="9"/>
      </left>
      <right style="thin">
        <color indexed="9"/>
      </right>
      <top/>
      <bottom/>
      <diagonal/>
    </border>
    <border>
      <left/>
      <right style="thin">
        <color indexed="9"/>
      </right>
      <top/>
      <bottom/>
      <diagonal/>
    </border>
    <border>
      <left style="medium">
        <color indexed="64"/>
      </left>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rgb="FFFFC000"/>
      </right>
      <top style="thin">
        <color rgb="FFFFC000"/>
      </top>
      <bottom/>
      <diagonal/>
    </border>
    <border>
      <left style="medium">
        <color rgb="FFFFC000"/>
      </left>
      <right style="medium">
        <color rgb="FFFFC000"/>
      </right>
      <top/>
      <bottom style="medium">
        <color rgb="FFFFC000"/>
      </bottom>
      <diagonal/>
    </border>
    <border>
      <left/>
      <right/>
      <top style="thin">
        <color rgb="FFFFC000"/>
      </top>
      <bottom style="thin">
        <color rgb="FFFFC000"/>
      </bottom>
      <diagonal/>
    </border>
    <border>
      <left/>
      <right/>
      <top/>
      <bottom style="thin">
        <color indexe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top/>
      <bottom style="medium">
        <color indexed="64"/>
      </bottom>
      <diagonal/>
    </border>
    <border>
      <left/>
      <right/>
      <top style="medium">
        <color rgb="FFFFC000"/>
      </top>
      <bottom style="medium">
        <color rgb="FFFFC000"/>
      </bottom>
      <diagonal/>
    </border>
    <border>
      <left style="thin">
        <color rgb="FFFFC000"/>
      </left>
      <right style="thin">
        <color rgb="FFFFC000"/>
      </right>
      <top/>
      <bottom/>
      <diagonal/>
    </border>
    <border>
      <left/>
      <right/>
      <top/>
      <bottom style="thin">
        <color rgb="FFFFC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9"/>
      </bottom>
      <diagonal/>
    </border>
    <border>
      <left style="thin">
        <color indexed="64"/>
      </left>
      <right style="thin">
        <color indexed="64"/>
      </right>
      <top style="thin">
        <color indexed="9"/>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slantDashDot">
        <color rgb="FFFFC000"/>
      </left>
      <right style="slantDashDot">
        <color rgb="FFFFC000"/>
      </right>
      <top style="slantDashDot">
        <color rgb="FFFFC000"/>
      </top>
      <bottom style="slantDashDot">
        <color rgb="FFFFC000"/>
      </bottom>
      <diagonal/>
    </border>
    <border>
      <left style="thin">
        <color rgb="FFFFC000"/>
      </left>
      <right/>
      <top/>
      <bottom/>
      <diagonal/>
    </border>
    <border>
      <left style="medium">
        <color indexed="64"/>
      </left>
      <right style="medium">
        <color indexed="64"/>
      </right>
      <top style="medium">
        <color indexed="64"/>
      </top>
      <bottom/>
      <diagonal/>
    </border>
    <border>
      <left/>
      <right/>
      <top/>
      <bottom style="medium">
        <color rgb="FFFFC000"/>
      </bottom>
      <diagonal/>
    </border>
    <border>
      <left/>
      <right style="medium">
        <color rgb="FFFFC000"/>
      </right>
      <top/>
      <bottom style="medium">
        <color rgb="FFFFC000"/>
      </bottom>
      <diagonal/>
    </border>
    <border>
      <left/>
      <right style="thin">
        <color rgb="FFFFC000"/>
      </right>
      <top/>
      <bottom style="thin">
        <color rgb="FFFFC000"/>
      </bottom>
      <diagonal/>
    </border>
    <border>
      <left style="thin">
        <color rgb="FFFFC000"/>
      </left>
      <right style="thin">
        <color rgb="FFFFC000"/>
      </right>
      <top style="thin">
        <color rgb="FFFFC000"/>
      </top>
      <bottom style="medium">
        <color rgb="FFFFC000"/>
      </bottom>
      <diagonal/>
    </border>
    <border>
      <left style="medium">
        <color rgb="FFFFC000"/>
      </left>
      <right/>
      <top/>
      <bottom style="medium">
        <color rgb="FFFFC000"/>
      </bottom>
      <diagonal/>
    </border>
  </borders>
  <cellStyleXfs count="6">
    <xf numFmtId="0" fontId="0" fillId="0" borderId="0"/>
    <xf numFmtId="44" fontId="1" fillId="0" borderId="0" applyFont="0" applyFill="0" applyBorder="0" applyAlignment="0" applyProtection="0"/>
    <xf numFmtId="0" fontId="2" fillId="0" borderId="0"/>
    <xf numFmtId="0" fontId="2" fillId="0" borderId="0"/>
    <xf numFmtId="0" fontId="2" fillId="0" borderId="0"/>
    <xf numFmtId="0" fontId="2" fillId="0" borderId="0"/>
  </cellStyleXfs>
  <cellXfs count="812">
    <xf numFmtId="0" fontId="0" fillId="0" borderId="0" xfId="0"/>
    <xf numFmtId="0" fontId="2" fillId="0" borderId="1" xfId="2" applyBorder="1"/>
    <xf numFmtId="164" fontId="2" fillId="0" borderId="1" xfId="2" applyNumberFormat="1" applyBorder="1" applyAlignment="1">
      <alignment horizontal="right"/>
    </xf>
    <xf numFmtId="164" fontId="2" fillId="0" borderId="1" xfId="2" applyNumberFormat="1" applyBorder="1"/>
    <xf numFmtId="0" fontId="4" fillId="0" borderId="1" xfId="2" applyFont="1" applyBorder="1"/>
    <xf numFmtId="0" fontId="5" fillId="0" borderId="1" xfId="2" applyFont="1" applyBorder="1"/>
    <xf numFmtId="164" fontId="4" fillId="0" borderId="1" xfId="2" applyNumberFormat="1" applyFont="1" applyBorder="1"/>
    <xf numFmtId="164" fontId="4" fillId="0" borderId="2" xfId="2" applyNumberFormat="1" applyFont="1" applyBorder="1"/>
    <xf numFmtId="0" fontId="5" fillId="0" borderId="3" xfId="2" applyFont="1" applyBorder="1"/>
    <xf numFmtId="0" fontId="4" fillId="0" borderId="4" xfId="2" applyFont="1" applyBorder="1"/>
    <xf numFmtId="0" fontId="7" fillId="0" borderId="1" xfId="2" applyFont="1" applyBorder="1"/>
    <xf numFmtId="0" fontId="8" fillId="2" borderId="8" xfId="2" applyFont="1" applyFill="1" applyBorder="1" applyAlignment="1">
      <alignment horizontal="center" vertical="center" wrapText="1"/>
    </xf>
    <xf numFmtId="164" fontId="8" fillId="2" borderId="8" xfId="2" applyNumberFormat="1" applyFont="1" applyFill="1" applyBorder="1" applyAlignment="1">
      <alignment horizontal="center" vertical="center" wrapText="1"/>
    </xf>
    <xf numFmtId="0" fontId="2" fillId="0" borderId="9" xfId="2" applyBorder="1"/>
    <xf numFmtId="0" fontId="2" fillId="3" borderId="8" xfId="2" applyFill="1" applyBorder="1" applyAlignment="1">
      <alignment horizontal="center"/>
    </xf>
    <xf numFmtId="0" fontId="2" fillId="3" borderId="8" xfId="2" applyFill="1" applyBorder="1" applyAlignment="1">
      <alignment horizontal="justify" vertical="center"/>
    </xf>
    <xf numFmtId="164" fontId="2" fillId="3" borderId="8" xfId="2" applyNumberFormat="1" applyFill="1" applyBorder="1"/>
    <xf numFmtId="0" fontId="2" fillId="4" borderId="9" xfId="2" applyFill="1" applyBorder="1"/>
    <xf numFmtId="0" fontId="9" fillId="3" borderId="8" xfId="3" applyFont="1" applyFill="1" applyBorder="1" applyAlignment="1">
      <alignment horizontal="center" vertical="center" wrapText="1"/>
    </xf>
    <xf numFmtId="0" fontId="10" fillId="0" borderId="8" xfId="0" applyFont="1" applyBorder="1" applyAlignment="1">
      <alignment horizontal="center" vertical="center" wrapText="1"/>
    </xf>
    <xf numFmtId="44" fontId="11" fillId="5" borderId="8" xfId="1" applyFont="1" applyFill="1" applyBorder="1" applyAlignment="1">
      <alignment horizontal="center" vertical="center"/>
    </xf>
    <xf numFmtId="164" fontId="9" fillId="3" borderId="8" xfId="3" applyNumberFormat="1" applyFont="1" applyFill="1" applyBorder="1" applyAlignment="1">
      <alignment horizontal="center" vertical="center"/>
    </xf>
    <xf numFmtId="0" fontId="10" fillId="0" borderId="10" xfId="0" applyFont="1" applyBorder="1" applyAlignment="1">
      <alignment horizontal="center" vertical="center" wrapText="1"/>
    </xf>
    <xf numFmtId="0" fontId="2" fillId="4" borderId="1" xfId="2" applyFill="1" applyBorder="1"/>
    <xf numFmtId="0" fontId="12" fillId="4" borderId="11" xfId="2" applyFont="1" applyFill="1" applyBorder="1" applyAlignment="1">
      <alignment horizontal="center" vertical="center" wrapText="1"/>
    </xf>
    <xf numFmtId="164" fontId="13" fillId="4" borderId="8" xfId="2" applyNumberFormat="1" applyFont="1" applyFill="1" applyBorder="1" applyAlignment="1">
      <alignment horizontal="center" vertical="center"/>
    </xf>
    <xf numFmtId="164" fontId="9" fillId="2" borderId="8" xfId="2" applyNumberFormat="1" applyFont="1" applyFill="1" applyBorder="1" applyAlignment="1">
      <alignment horizontal="center" vertical="center"/>
    </xf>
    <xf numFmtId="0" fontId="2" fillId="0" borderId="12" xfId="2" applyBorder="1"/>
    <xf numFmtId="0" fontId="13" fillId="0" borderId="8" xfId="2" applyFont="1" applyBorder="1" applyAlignment="1">
      <alignment horizontal="center"/>
    </xf>
    <xf numFmtId="164" fontId="14" fillId="2" borderId="8" xfId="2" applyNumberFormat="1" applyFont="1" applyFill="1" applyBorder="1" applyAlignment="1">
      <alignment horizontal="center"/>
    </xf>
    <xf numFmtId="0" fontId="2" fillId="4" borderId="3" xfId="2" applyFill="1" applyBorder="1"/>
    <xf numFmtId="0" fontId="2" fillId="0" borderId="13" xfId="2" applyBorder="1" applyAlignment="1">
      <alignment horizontal="center" vertical="center"/>
    </xf>
    <xf numFmtId="0" fontId="13" fillId="0" borderId="10" xfId="2" applyFont="1" applyBorder="1" applyAlignment="1">
      <alignment horizontal="center"/>
    </xf>
    <xf numFmtId="164" fontId="14" fillId="2" borderId="10" xfId="2" applyNumberFormat="1" applyFont="1" applyFill="1" applyBorder="1" applyAlignment="1">
      <alignment horizontal="center"/>
    </xf>
    <xf numFmtId="0" fontId="2" fillId="0" borderId="3" xfId="2" applyBorder="1"/>
    <xf numFmtId="0" fontId="9" fillId="2" borderId="14" xfId="2" applyFont="1" applyFill="1" applyBorder="1" applyAlignment="1">
      <alignment horizontal="center" vertical="center"/>
    </xf>
    <xf numFmtId="0" fontId="8" fillId="2" borderId="15" xfId="2" applyFont="1" applyFill="1" applyBorder="1" applyAlignment="1">
      <alignment horizontal="center" vertical="center"/>
    </xf>
    <xf numFmtId="0" fontId="8" fillId="2" borderId="16" xfId="2" applyFont="1" applyFill="1" applyBorder="1" applyAlignment="1">
      <alignment horizontal="center" vertical="center"/>
    </xf>
    <xf numFmtId="0" fontId="2" fillId="0" borderId="3" xfId="4" applyBorder="1"/>
    <xf numFmtId="0" fontId="15" fillId="2" borderId="17" xfId="4" applyFont="1" applyFill="1" applyBorder="1" applyAlignment="1">
      <alignment horizontal="center" vertical="top" wrapText="1"/>
    </xf>
    <xf numFmtId="164" fontId="2" fillId="0" borderId="18" xfId="4" applyNumberFormat="1" applyBorder="1"/>
    <xf numFmtId="44" fontId="2" fillId="0" borderId="1" xfId="2" applyNumberFormat="1" applyBorder="1"/>
    <xf numFmtId="0" fontId="2" fillId="0" borderId="3" xfId="4" applyBorder="1" applyAlignment="1">
      <alignment horizontal="center" vertical="center"/>
    </xf>
    <xf numFmtId="0" fontId="16" fillId="0" borderId="2" xfId="4" applyFont="1" applyBorder="1" applyAlignment="1">
      <alignment horizontal="center" vertical="center"/>
    </xf>
    <xf numFmtId="164" fontId="2" fillId="0" borderId="7" xfId="4" applyNumberFormat="1" applyBorder="1"/>
    <xf numFmtId="164" fontId="2" fillId="0" borderId="2" xfId="2" applyNumberFormat="1" applyBorder="1"/>
    <xf numFmtId="0" fontId="11" fillId="0" borderId="1" xfId="4" applyFont="1" applyBorder="1" applyAlignment="1">
      <alignment horizontal="center" vertical="center"/>
    </xf>
    <xf numFmtId="0" fontId="15" fillId="2" borderId="3" xfId="4" applyFont="1" applyFill="1" applyBorder="1" applyAlignment="1">
      <alignment horizontal="center" vertical="center" wrapText="1"/>
    </xf>
    <xf numFmtId="164" fontId="17" fillId="6" borderId="8" xfId="4" applyNumberFormat="1" applyFont="1" applyFill="1" applyBorder="1" applyAlignment="1">
      <alignment horizontal="center" vertical="center"/>
    </xf>
    <xf numFmtId="164" fontId="17" fillId="6" borderId="8" xfId="2" applyNumberFormat="1" applyFont="1" applyFill="1" applyBorder="1" applyAlignment="1">
      <alignment horizontal="center" vertical="center"/>
    </xf>
    <xf numFmtId="0" fontId="7" fillId="0" borderId="17" xfId="4" applyFont="1" applyBorder="1" applyAlignment="1">
      <alignment horizontal="center" vertical="center"/>
    </xf>
    <xf numFmtId="0" fontId="2" fillId="0" borderId="1" xfId="4" applyBorder="1" applyAlignment="1">
      <alignment horizontal="center" vertical="center"/>
    </xf>
    <xf numFmtId="0" fontId="15" fillId="2" borderId="1" xfId="4" applyFont="1" applyFill="1" applyBorder="1" applyAlignment="1">
      <alignment horizontal="center" vertical="center" wrapText="1"/>
    </xf>
    <xf numFmtId="164" fontId="2" fillId="0" borderId="1" xfId="4" applyNumberFormat="1" applyBorder="1"/>
    <xf numFmtId="164" fontId="7" fillId="0" borderId="1" xfId="2" applyNumberFormat="1" applyFont="1" applyBorder="1"/>
    <xf numFmtId="0" fontId="7" fillId="0" borderId="17" xfId="4" applyFont="1" applyBorder="1" applyAlignment="1">
      <alignment horizontal="center" vertical="center" wrapText="1"/>
    </xf>
    <xf numFmtId="164" fontId="18" fillId="0" borderId="1" xfId="2" applyNumberFormat="1" applyFont="1" applyBorder="1"/>
    <xf numFmtId="164" fontId="7" fillId="0" borderId="1" xfId="4" applyNumberFormat="1" applyFont="1" applyBorder="1"/>
    <xf numFmtId="164" fontId="19" fillId="0" borderId="1" xfId="2" applyNumberFormat="1" applyFont="1" applyBorder="1"/>
    <xf numFmtId="0" fontId="7" fillId="0" borderId="1" xfId="4" applyFont="1" applyBorder="1" applyAlignment="1">
      <alignment horizontal="center" vertical="center"/>
    </xf>
    <xf numFmtId="0" fontId="7" fillId="0" borderId="1" xfId="4" applyFont="1" applyBorder="1" applyAlignment="1">
      <alignment horizontal="center" vertical="center" wrapText="1"/>
    </xf>
    <xf numFmtId="0" fontId="20" fillId="0" borderId="17" xfId="4" applyFont="1" applyBorder="1" applyAlignment="1">
      <alignment horizontal="center" vertical="center"/>
    </xf>
    <xf numFmtId="0" fontId="11" fillId="0" borderId="1" xfId="2" applyFont="1" applyBorder="1" applyAlignment="1">
      <alignment horizontal="center"/>
    </xf>
    <xf numFmtId="0" fontId="7" fillId="0" borderId="17" xfId="2" applyFont="1" applyBorder="1" applyAlignment="1">
      <alignment horizontal="left"/>
    </xf>
    <xf numFmtId="164" fontId="21" fillId="0" borderId="1" xfId="2" applyNumberFormat="1" applyFont="1" applyBorder="1" applyAlignment="1">
      <alignment horizontal="left"/>
    </xf>
    <xf numFmtId="0" fontId="20" fillId="0" borderId="1" xfId="4" applyFont="1" applyBorder="1" applyAlignment="1">
      <alignment horizontal="center" vertical="center"/>
    </xf>
    <xf numFmtId="0" fontId="22" fillId="2" borderId="1" xfId="4" applyFont="1" applyFill="1" applyBorder="1" applyAlignment="1">
      <alignment horizontal="center" vertical="center" wrapText="1"/>
    </xf>
    <xf numFmtId="0" fontId="23" fillId="0" borderId="1" xfId="2" applyFont="1" applyBorder="1"/>
    <xf numFmtId="0" fontId="24" fillId="0" borderId="1" xfId="2" applyFont="1" applyBorder="1"/>
    <xf numFmtId="164" fontId="24" fillId="0" borderId="1" xfId="2" applyNumberFormat="1" applyFont="1" applyBorder="1"/>
    <xf numFmtId="164" fontId="24" fillId="0" borderId="2" xfId="2" applyNumberFormat="1" applyFont="1" applyBorder="1"/>
    <xf numFmtId="0" fontId="23" fillId="0" borderId="3" xfId="2" applyFont="1" applyBorder="1"/>
    <xf numFmtId="0" fontId="24" fillId="0" borderId="4" xfId="2" applyFont="1" applyBorder="1"/>
    <xf numFmtId="164" fontId="24" fillId="4" borderId="0" xfId="2" applyNumberFormat="1" applyFont="1" applyFill="1"/>
    <xf numFmtId="164" fontId="24" fillId="0" borderId="9" xfId="2" applyNumberFormat="1" applyFont="1" applyBorder="1"/>
    <xf numFmtId="0" fontId="26" fillId="3" borderId="8" xfId="2" applyFont="1" applyFill="1" applyBorder="1" applyAlignment="1">
      <alignment horizontal="center" vertical="center"/>
    </xf>
    <xf numFmtId="0" fontId="9" fillId="3" borderId="19" xfId="0" applyFont="1" applyFill="1" applyBorder="1" applyAlignment="1">
      <alignment horizontal="center"/>
    </xf>
    <xf numFmtId="0" fontId="11" fillId="0" borderId="19" xfId="0" applyFont="1" applyBorder="1" applyAlignment="1">
      <alignment horizontal="center"/>
    </xf>
    <xf numFmtId="44" fontId="10" fillId="0" borderId="20" xfId="1" applyFont="1" applyBorder="1" applyAlignment="1">
      <alignment horizontal="center"/>
    </xf>
    <xf numFmtId="164" fontId="9" fillId="3" borderId="8" xfId="0" applyNumberFormat="1" applyFont="1" applyFill="1" applyBorder="1" applyAlignment="1">
      <alignment horizontal="center" vertical="center" wrapText="1"/>
    </xf>
    <xf numFmtId="0" fontId="9" fillId="3" borderId="8" xfId="0" applyFont="1" applyFill="1" applyBorder="1" applyAlignment="1">
      <alignment horizontal="center" vertical="center" wrapText="1"/>
    </xf>
    <xf numFmtId="0" fontId="27" fillId="7" borderId="10" xfId="0" applyFont="1" applyFill="1" applyBorder="1" applyAlignment="1">
      <alignment horizontal="left" vertical="center"/>
    </xf>
    <xf numFmtId="164" fontId="27" fillId="7" borderId="8" xfId="0" applyNumberFormat="1" applyFont="1" applyFill="1" applyBorder="1" applyAlignment="1">
      <alignment horizontal="center" vertical="center"/>
    </xf>
    <xf numFmtId="164" fontId="9" fillId="3" borderId="8" xfId="0" applyNumberFormat="1" applyFont="1" applyFill="1" applyBorder="1" applyAlignment="1">
      <alignment horizontal="center" vertical="center"/>
    </xf>
    <xf numFmtId="0" fontId="28" fillId="4" borderId="21" xfId="0" applyFont="1" applyFill="1" applyBorder="1" applyAlignment="1">
      <alignment horizontal="center"/>
    </xf>
    <xf numFmtId="0" fontId="29" fillId="8" borderId="8" xfId="0" applyFont="1" applyFill="1" applyBorder="1" applyAlignment="1">
      <alignment horizontal="center"/>
    </xf>
    <xf numFmtId="0" fontId="28" fillId="0" borderId="22" xfId="0" applyFont="1" applyBorder="1" applyAlignment="1">
      <alignment horizontal="center" vertical="center"/>
    </xf>
    <xf numFmtId="164" fontId="29" fillId="3" borderId="8" xfId="0" applyNumberFormat="1" applyFont="1" applyFill="1" applyBorder="1" applyAlignment="1">
      <alignment horizontal="center" vertical="center"/>
    </xf>
    <xf numFmtId="0" fontId="2" fillId="0" borderId="1" xfId="2" applyBorder="1" applyAlignment="1">
      <alignment horizontal="center" vertical="center"/>
    </xf>
    <xf numFmtId="0" fontId="28" fillId="4" borderId="0" xfId="0" applyFont="1" applyFill="1" applyAlignment="1">
      <alignment horizontal="center"/>
    </xf>
    <xf numFmtId="0" fontId="28" fillId="0" borderId="8" xfId="0" applyFont="1" applyBorder="1" applyAlignment="1">
      <alignment horizontal="center" vertical="center"/>
    </xf>
    <xf numFmtId="0" fontId="29" fillId="4" borderId="0" xfId="0" applyFont="1" applyFill="1" applyAlignment="1">
      <alignment horizontal="center"/>
    </xf>
    <xf numFmtId="0" fontId="27" fillId="0" borderId="0" xfId="0" applyFont="1" applyAlignment="1">
      <alignment horizontal="center" vertical="center"/>
    </xf>
    <xf numFmtId="0" fontId="9" fillId="3" borderId="23" xfId="2" applyFont="1" applyFill="1" applyBorder="1" applyAlignment="1">
      <alignment horizontal="center" vertical="center"/>
    </xf>
    <xf numFmtId="0" fontId="9" fillId="3" borderId="24" xfId="2" applyFont="1" applyFill="1" applyBorder="1" applyAlignment="1">
      <alignment horizontal="center" vertical="center"/>
    </xf>
    <xf numFmtId="0" fontId="9" fillId="3" borderId="8" xfId="2" applyFont="1" applyFill="1" applyBorder="1" applyAlignment="1">
      <alignment horizontal="center" vertical="center" wrapText="1"/>
    </xf>
    <xf numFmtId="0" fontId="11" fillId="4" borderId="8" xfId="2" applyFont="1" applyFill="1" applyBorder="1" applyAlignment="1">
      <alignment horizontal="center" vertical="center" wrapText="1"/>
    </xf>
    <xf numFmtId="164" fontId="11" fillId="4" borderId="8" xfId="2" applyNumberFormat="1" applyFont="1" applyFill="1" applyBorder="1" applyAlignment="1">
      <alignment horizontal="center" vertical="center"/>
    </xf>
    <xf numFmtId="164" fontId="9" fillId="3" borderId="8" xfId="2" applyNumberFormat="1" applyFont="1" applyFill="1" applyBorder="1" applyAlignment="1">
      <alignment horizontal="center" vertical="center"/>
    </xf>
    <xf numFmtId="0" fontId="9" fillId="3" borderId="19" xfId="2" applyFont="1" applyFill="1" applyBorder="1" applyAlignment="1">
      <alignment horizontal="center" vertical="center" wrapText="1"/>
    </xf>
    <xf numFmtId="0" fontId="11" fillId="4" borderId="19" xfId="2" applyFont="1" applyFill="1" applyBorder="1" applyAlignment="1">
      <alignment horizontal="center" vertical="center" wrapText="1"/>
    </xf>
    <xf numFmtId="0" fontId="26" fillId="7" borderId="19" xfId="2" applyFont="1" applyFill="1" applyBorder="1" applyAlignment="1">
      <alignment horizontal="center" vertical="center" wrapText="1"/>
    </xf>
    <xf numFmtId="164" fontId="11" fillId="4" borderId="20" xfId="2" applyNumberFormat="1" applyFont="1" applyFill="1" applyBorder="1" applyAlignment="1">
      <alignment horizontal="center" vertical="center"/>
    </xf>
    <xf numFmtId="0" fontId="9" fillId="3" borderId="19" xfId="0" applyFont="1" applyFill="1" applyBorder="1" applyAlignment="1">
      <alignment horizontal="center" vertical="center" wrapText="1"/>
    </xf>
    <xf numFmtId="0" fontId="11" fillId="4" borderId="19" xfId="0" applyFont="1" applyFill="1" applyBorder="1" applyAlignment="1">
      <alignment horizontal="center" vertical="center" wrapText="1"/>
    </xf>
    <xf numFmtId="164" fontId="27" fillId="4" borderId="20" xfId="0" applyNumberFormat="1" applyFont="1" applyFill="1" applyBorder="1" applyAlignment="1">
      <alignment horizontal="center" vertical="center" wrapText="1"/>
    </xf>
    <xf numFmtId="0" fontId="9" fillId="3" borderId="8" xfId="4" applyFont="1" applyFill="1" applyBorder="1" applyAlignment="1">
      <alignment horizontal="center" vertical="center" wrapText="1"/>
    </xf>
    <xf numFmtId="0" fontId="11" fillId="4" borderId="8" xfId="4" applyFont="1" applyFill="1" applyBorder="1" applyAlignment="1">
      <alignment horizontal="center" vertical="center" wrapText="1"/>
    </xf>
    <xf numFmtId="164" fontId="11" fillId="4" borderId="8" xfId="4" applyNumberFormat="1" applyFont="1" applyFill="1" applyBorder="1" applyAlignment="1">
      <alignment horizontal="center" vertical="center"/>
    </xf>
    <xf numFmtId="164" fontId="9" fillId="3" borderId="8" xfId="4" applyNumberFormat="1" applyFont="1" applyFill="1" applyBorder="1" applyAlignment="1">
      <alignment horizontal="center" vertical="center"/>
    </xf>
    <xf numFmtId="0" fontId="9" fillId="3" borderId="0" xfId="0" applyFont="1" applyFill="1" applyAlignment="1">
      <alignment horizontal="center" vertical="center" wrapText="1"/>
    </xf>
    <xf numFmtId="0" fontId="11" fillId="4" borderId="0" xfId="0" applyFont="1" applyFill="1" applyAlignment="1">
      <alignment horizontal="center" vertical="center" wrapText="1"/>
    </xf>
    <xf numFmtId="164" fontId="29" fillId="7" borderId="8" xfId="0" applyNumberFormat="1" applyFont="1" applyFill="1" applyBorder="1" applyAlignment="1">
      <alignment horizontal="center" vertical="center" wrapText="1"/>
    </xf>
    <xf numFmtId="164" fontId="9" fillId="7" borderId="8" xfId="4" applyNumberFormat="1" applyFont="1" applyFill="1" applyBorder="1" applyAlignment="1">
      <alignment horizontal="center" vertical="center"/>
    </xf>
    <xf numFmtId="164" fontId="27" fillId="4" borderId="0" xfId="0" applyNumberFormat="1" applyFont="1" applyFill="1" applyAlignment="1">
      <alignment horizontal="center" vertical="center" wrapText="1"/>
    </xf>
    <xf numFmtId="164" fontId="9" fillId="3" borderId="0" xfId="4" applyNumberFormat="1" applyFont="1" applyFill="1" applyAlignment="1">
      <alignment horizontal="center" vertical="center"/>
    </xf>
    <xf numFmtId="0" fontId="11" fillId="0" borderId="3" xfId="2" applyFont="1" applyBorder="1"/>
    <xf numFmtId="0" fontId="30" fillId="0" borderId="25" xfId="2" applyFont="1" applyBorder="1" applyAlignment="1">
      <alignment horizontal="right"/>
    </xf>
    <xf numFmtId="164" fontId="2" fillId="0" borderId="26" xfId="2" applyNumberFormat="1" applyBorder="1"/>
    <xf numFmtId="164" fontId="18" fillId="0" borderId="25" xfId="2" applyNumberFormat="1" applyFont="1" applyBorder="1"/>
    <xf numFmtId="0" fontId="15" fillId="2" borderId="3" xfId="2" applyFont="1" applyFill="1" applyBorder="1" applyAlignment="1">
      <alignment horizontal="center" vertical="top" wrapText="1"/>
    </xf>
    <xf numFmtId="0" fontId="2" fillId="0" borderId="7" xfId="2" applyBorder="1"/>
    <xf numFmtId="0" fontId="2" fillId="0" borderId="2" xfId="2" applyBorder="1"/>
    <xf numFmtId="0" fontId="31" fillId="0" borderId="0" xfId="0" applyFont="1" applyAlignment="1">
      <alignment horizontal="justify" vertical="center"/>
    </xf>
    <xf numFmtId="0" fontId="26" fillId="7" borderId="8" xfId="2" applyFont="1" applyFill="1" applyBorder="1"/>
    <xf numFmtId="164" fontId="26" fillId="7" borderId="8" xfId="2" applyNumberFormat="1" applyFont="1" applyFill="1" applyBorder="1"/>
    <xf numFmtId="0" fontId="15" fillId="2" borderId="1" xfId="2" applyFont="1" applyFill="1" applyBorder="1" applyAlignment="1">
      <alignment horizontal="center" vertical="top" wrapText="1"/>
    </xf>
    <xf numFmtId="0" fontId="7" fillId="0" borderId="17" xfId="2" applyFont="1" applyBorder="1" applyAlignment="1">
      <alignment horizontal="center"/>
    </xf>
    <xf numFmtId="0" fontId="32" fillId="8" borderId="17" xfId="2" applyFont="1" applyFill="1" applyBorder="1" applyAlignment="1">
      <alignment horizontal="center"/>
    </xf>
    <xf numFmtId="0" fontId="7" fillId="0" borderId="12" xfId="2" applyFont="1" applyBorder="1" applyAlignment="1">
      <alignment horizontal="center"/>
    </xf>
    <xf numFmtId="0" fontId="15" fillId="2" borderId="3" xfId="2" applyFont="1" applyFill="1" applyBorder="1" applyAlignment="1">
      <alignment horizontal="center" vertical="center" wrapText="1"/>
    </xf>
    <xf numFmtId="164" fontId="8" fillId="9" borderId="8" xfId="2" applyNumberFormat="1" applyFont="1" applyFill="1" applyBorder="1" applyAlignment="1">
      <alignment horizontal="center"/>
    </xf>
    <xf numFmtId="0" fontId="7" fillId="0" borderId="17" xfId="2" applyFont="1" applyBorder="1" applyAlignment="1">
      <alignment horizontal="center" wrapText="1"/>
    </xf>
    <xf numFmtId="164" fontId="7" fillId="0" borderId="17" xfId="2" applyNumberFormat="1" applyFont="1" applyBorder="1"/>
    <xf numFmtId="164" fontId="19" fillId="0" borderId="17" xfId="2" applyNumberFormat="1" applyFont="1" applyBorder="1"/>
    <xf numFmtId="0" fontId="15" fillId="2" borderId="1" xfId="2" applyFont="1" applyFill="1" applyBorder="1" applyAlignment="1">
      <alignment horizontal="center" vertical="center" wrapText="1"/>
    </xf>
    <xf numFmtId="0" fontId="7" fillId="0" borderId="1" xfId="2" applyFont="1" applyBorder="1" applyAlignment="1">
      <alignment horizontal="center" vertical="top" wrapText="1"/>
    </xf>
    <xf numFmtId="0" fontId="7" fillId="0" borderId="1" xfId="2" applyFont="1" applyBorder="1" applyAlignment="1">
      <alignment horizontal="center" wrapText="1"/>
    </xf>
    <xf numFmtId="0" fontId="20" fillId="0" borderId="17" xfId="2" applyFont="1" applyBorder="1" applyAlignment="1">
      <alignment horizontal="center"/>
    </xf>
    <xf numFmtId="0" fontId="20" fillId="0" borderId="1" xfId="2" applyFont="1" applyBorder="1"/>
    <xf numFmtId="0" fontId="22" fillId="2" borderId="1" xfId="2" applyFont="1" applyFill="1" applyBorder="1" applyAlignment="1">
      <alignment horizontal="center" wrapText="1"/>
    </xf>
    <xf numFmtId="164" fontId="7" fillId="0" borderId="1" xfId="2" applyNumberFormat="1" applyFont="1" applyBorder="1" applyAlignment="1">
      <alignment horizontal="left"/>
    </xf>
    <xf numFmtId="0" fontId="21" fillId="0" borderId="1" xfId="2" applyFont="1" applyBorder="1" applyAlignment="1">
      <alignment horizontal="left"/>
    </xf>
    <xf numFmtId="164" fontId="21" fillId="0" borderId="9" xfId="2" applyNumberFormat="1" applyFont="1" applyBorder="1" applyAlignment="1">
      <alignment horizontal="left"/>
    </xf>
    <xf numFmtId="0" fontId="21" fillId="0" borderId="3" xfId="2" applyFont="1" applyBorder="1" applyAlignment="1">
      <alignment horizontal="left"/>
    </xf>
    <xf numFmtId="0" fontId="33" fillId="0" borderId="1" xfId="2" applyFont="1" applyBorder="1" applyAlignment="1">
      <alignment horizontal="center"/>
    </xf>
    <xf numFmtId="0" fontId="34" fillId="0" borderId="1" xfId="2" applyFont="1" applyBorder="1" applyAlignment="1">
      <alignment horizontal="left"/>
    </xf>
    <xf numFmtId="0" fontId="9" fillId="3" borderId="10" xfId="0" applyFont="1" applyFill="1" applyBorder="1" applyAlignment="1">
      <alignment horizontal="center" vertical="center" wrapText="1"/>
    </xf>
    <xf numFmtId="0" fontId="9" fillId="10" borderId="10" xfId="0" applyFont="1" applyFill="1" applyBorder="1" applyAlignment="1">
      <alignment horizontal="center" vertical="center" wrapText="1"/>
    </xf>
    <xf numFmtId="164" fontId="27" fillId="4" borderId="10" xfId="0" applyNumberFormat="1" applyFont="1" applyFill="1" applyBorder="1" applyAlignment="1">
      <alignment horizontal="center" vertical="center" wrapText="1"/>
    </xf>
    <xf numFmtId="164" fontId="9" fillId="3" borderId="10" xfId="0" applyNumberFormat="1" applyFont="1" applyFill="1" applyBorder="1" applyAlignment="1">
      <alignment horizontal="center" vertical="center" wrapText="1"/>
    </xf>
    <xf numFmtId="0" fontId="9" fillId="3" borderId="8" xfId="0" applyFont="1" applyFill="1" applyBorder="1" applyAlignment="1">
      <alignment horizontal="center"/>
    </xf>
    <xf numFmtId="0" fontId="11" fillId="0" borderId="8" xfId="0" applyFont="1" applyBorder="1" applyAlignment="1">
      <alignment horizontal="center"/>
    </xf>
    <xf numFmtId="44" fontId="10" fillId="0" borderId="8" xfId="1" applyFont="1" applyBorder="1" applyAlignment="1">
      <alignment horizontal="center"/>
    </xf>
    <xf numFmtId="44" fontId="11" fillId="0" borderId="8" xfId="1" applyFont="1" applyBorder="1" applyAlignment="1">
      <alignment horizontal="center"/>
    </xf>
    <xf numFmtId="44" fontId="9" fillId="3" borderId="8" xfId="1" applyFont="1" applyFill="1" applyBorder="1" applyAlignment="1">
      <alignment horizontal="center"/>
    </xf>
    <xf numFmtId="0" fontId="35" fillId="0" borderId="1" xfId="2" applyFont="1" applyBorder="1"/>
    <xf numFmtId="44" fontId="10" fillId="0" borderId="19" xfId="1" applyFont="1" applyBorder="1" applyAlignment="1">
      <alignment horizontal="center"/>
    </xf>
    <xf numFmtId="0" fontId="27" fillId="7" borderId="8" xfId="0" applyFont="1" applyFill="1" applyBorder="1" applyAlignment="1">
      <alignment horizontal="left" vertical="center"/>
    </xf>
    <xf numFmtId="0" fontId="28" fillId="3" borderId="8" xfId="0" applyFont="1" applyFill="1" applyBorder="1" applyAlignment="1">
      <alignment horizontal="center"/>
    </xf>
    <xf numFmtId="0" fontId="29" fillId="10" borderId="0" xfId="0" applyFont="1" applyFill="1" applyAlignment="1">
      <alignment horizontal="center"/>
    </xf>
    <xf numFmtId="0" fontId="27" fillId="0" borderId="0" xfId="0" applyFont="1"/>
    <xf numFmtId="0" fontId="9" fillId="3" borderId="27" xfId="2" applyFont="1" applyFill="1" applyBorder="1" applyAlignment="1">
      <alignment horizontal="center" vertical="center"/>
    </xf>
    <xf numFmtId="164" fontId="2" fillId="0" borderId="18" xfId="2" applyNumberFormat="1" applyBorder="1"/>
    <xf numFmtId="164" fontId="18" fillId="0" borderId="17" xfId="2" applyNumberFormat="1" applyFont="1" applyBorder="1"/>
    <xf numFmtId="164" fontId="2" fillId="0" borderId="9" xfId="2" applyNumberFormat="1" applyBorder="1"/>
    <xf numFmtId="0" fontId="32" fillId="0" borderId="17" xfId="2" applyFont="1" applyBorder="1" applyAlignment="1">
      <alignment horizontal="center" vertical="center" wrapText="1"/>
    </xf>
    <xf numFmtId="0" fontId="11" fillId="4" borderId="8" xfId="0" applyFont="1" applyFill="1" applyBorder="1" applyAlignment="1">
      <alignment horizontal="center" vertical="center" wrapText="1"/>
    </xf>
    <xf numFmtId="164" fontId="27" fillId="4" borderId="8" xfId="0" applyNumberFormat="1" applyFont="1" applyFill="1" applyBorder="1" applyAlignment="1">
      <alignment horizontal="center" vertical="center" wrapText="1"/>
    </xf>
    <xf numFmtId="164" fontId="11" fillId="0" borderId="8" xfId="4" applyNumberFormat="1" applyFont="1" applyBorder="1" applyAlignment="1">
      <alignment horizontal="center" vertical="center"/>
    </xf>
    <xf numFmtId="0" fontId="28" fillId="0" borderId="28" xfId="0" applyFont="1" applyBorder="1" applyAlignment="1">
      <alignment horizontal="center" vertical="center"/>
    </xf>
    <xf numFmtId="164" fontId="29" fillId="3" borderId="29" xfId="0" applyNumberFormat="1" applyFont="1" applyFill="1" applyBorder="1" applyAlignment="1">
      <alignment horizontal="center" vertical="center"/>
    </xf>
    <xf numFmtId="0" fontId="28" fillId="0" borderId="29" xfId="0" applyFont="1" applyBorder="1" applyAlignment="1">
      <alignment horizontal="center" vertical="center"/>
    </xf>
    <xf numFmtId="0" fontId="28" fillId="0" borderId="30" xfId="0" applyFont="1" applyBorder="1" applyAlignment="1">
      <alignment horizontal="center" vertical="center"/>
    </xf>
    <xf numFmtId="164" fontId="29" fillId="3" borderId="31" xfId="0" applyNumberFormat="1" applyFont="1" applyFill="1" applyBorder="1" applyAlignment="1">
      <alignment horizontal="center" vertical="center"/>
    </xf>
    <xf numFmtId="0" fontId="2" fillId="0" borderId="9" xfId="2" applyBorder="1" applyAlignment="1">
      <alignment horizontal="center" vertical="center"/>
    </xf>
    <xf numFmtId="0" fontId="31" fillId="0" borderId="0" xfId="0" applyFont="1" applyAlignment="1">
      <alignment horizontal="center" vertical="center"/>
    </xf>
    <xf numFmtId="0" fontId="9" fillId="3" borderId="8" xfId="2" applyFont="1" applyFill="1" applyBorder="1" applyAlignment="1">
      <alignment horizontal="center"/>
    </xf>
    <xf numFmtId="0" fontId="11" fillId="4" borderId="8" xfId="2" applyFont="1" applyFill="1" applyBorder="1" applyAlignment="1">
      <alignment horizontal="center" vertical="center"/>
    </xf>
    <xf numFmtId="44" fontId="11" fillId="4" borderId="8" xfId="1" applyFont="1" applyFill="1" applyBorder="1" applyAlignment="1">
      <alignment horizontal="center" vertical="center"/>
    </xf>
    <xf numFmtId="44" fontId="9" fillId="3" borderId="8" xfId="1" applyFont="1" applyFill="1" applyBorder="1" applyAlignment="1">
      <alignment horizontal="center" vertical="center"/>
    </xf>
    <xf numFmtId="0" fontId="11" fillId="4" borderId="10" xfId="4" applyFont="1" applyFill="1" applyBorder="1" applyAlignment="1">
      <alignment horizontal="center" vertical="center" wrapText="1"/>
    </xf>
    <xf numFmtId="0" fontId="38" fillId="4" borderId="8" xfId="2" applyFont="1" applyFill="1" applyBorder="1" applyAlignment="1">
      <alignment horizontal="center" vertical="center"/>
    </xf>
    <xf numFmtId="164" fontId="13" fillId="4" borderId="22" xfId="2" applyNumberFormat="1" applyFont="1" applyFill="1" applyBorder="1" applyAlignment="1">
      <alignment horizontal="center" vertical="center"/>
    </xf>
    <xf numFmtId="0" fontId="13" fillId="0" borderId="22" xfId="2" applyFont="1" applyBorder="1" applyAlignment="1">
      <alignment horizontal="center"/>
    </xf>
    <xf numFmtId="0" fontId="13" fillId="0" borderId="32" xfId="2" applyFont="1" applyBorder="1" applyAlignment="1">
      <alignment horizontal="center"/>
    </xf>
    <xf numFmtId="0" fontId="9" fillId="2" borderId="33" xfId="2" applyFont="1" applyFill="1" applyBorder="1" applyAlignment="1">
      <alignment horizontal="center" vertical="center"/>
    </xf>
    <xf numFmtId="0" fontId="7" fillId="0" borderId="17" xfId="2" applyFont="1" applyBorder="1" applyAlignment="1">
      <alignment horizontal="center" vertical="center" wrapText="1"/>
    </xf>
    <xf numFmtId="0" fontId="7" fillId="0" borderId="1" xfId="2" applyFont="1" applyBorder="1" applyAlignment="1">
      <alignment horizontal="left" vertical="center"/>
    </xf>
    <xf numFmtId="0" fontId="7" fillId="0" borderId="1" xfId="2" applyFont="1" applyBorder="1" applyAlignment="1">
      <alignment horizontal="center" vertical="center" wrapText="1"/>
    </xf>
    <xf numFmtId="0" fontId="20" fillId="0" borderId="17" xfId="2" applyFont="1" applyBorder="1" applyAlignment="1">
      <alignment horizontal="center" vertical="center"/>
    </xf>
    <xf numFmtId="0" fontId="7" fillId="0" borderId="17" xfId="2" applyFont="1" applyBorder="1" applyAlignment="1">
      <alignment horizontal="center" vertical="center"/>
    </xf>
    <xf numFmtId="0" fontId="7" fillId="0" borderId="17" xfId="2" applyFont="1" applyBorder="1" applyAlignment="1">
      <alignment horizontal="left" vertical="center"/>
    </xf>
    <xf numFmtId="0" fontId="22" fillId="2" borderId="1" xfId="2" applyFont="1" applyFill="1" applyBorder="1" applyAlignment="1">
      <alignment horizontal="center" vertical="center" wrapText="1"/>
    </xf>
    <xf numFmtId="0" fontId="9" fillId="3" borderId="34" xfId="4" applyFont="1" applyFill="1" applyBorder="1" applyAlignment="1">
      <alignment horizontal="center" vertical="center" wrapText="1"/>
    </xf>
    <xf numFmtId="0" fontId="11" fillId="4" borderId="22" xfId="4" applyFont="1" applyFill="1" applyBorder="1" applyAlignment="1">
      <alignment horizontal="center" vertical="center" wrapText="1"/>
    </xf>
    <xf numFmtId="0" fontId="39" fillId="11" borderId="0" xfId="0" applyFont="1" applyFill="1" applyAlignment="1">
      <alignment horizontal="center" vertical="center" wrapText="1"/>
    </xf>
    <xf numFmtId="0" fontId="2" fillId="3" borderId="36" xfId="2" applyFill="1" applyBorder="1" applyAlignment="1">
      <alignment horizontal="center"/>
    </xf>
    <xf numFmtId="0" fontId="2" fillId="3" borderId="36" xfId="2" applyFill="1" applyBorder="1" applyAlignment="1">
      <alignment horizontal="justify" vertical="center"/>
    </xf>
    <xf numFmtId="164" fontId="2" fillId="3" borderId="36" xfId="2" applyNumberFormat="1" applyFill="1" applyBorder="1"/>
    <xf numFmtId="0" fontId="35" fillId="3" borderId="36" xfId="0" applyFont="1" applyFill="1" applyBorder="1" applyAlignment="1">
      <alignment horizontal="center" vertical="center" wrapText="1"/>
    </xf>
    <xf numFmtId="164" fontId="43" fillId="4" borderId="37" xfId="0" applyNumberFormat="1" applyFont="1" applyFill="1" applyBorder="1" applyAlignment="1">
      <alignment horizontal="center" vertical="center" wrapText="1"/>
    </xf>
    <xf numFmtId="164" fontId="35" fillId="3" borderId="37" xfId="0" applyNumberFormat="1" applyFont="1" applyFill="1" applyBorder="1" applyAlignment="1">
      <alignment horizontal="center" vertical="center" wrapText="1"/>
    </xf>
    <xf numFmtId="0" fontId="35" fillId="4" borderId="36" xfId="0" applyFont="1" applyFill="1" applyBorder="1" applyAlignment="1">
      <alignment horizontal="center" vertical="center" wrapText="1"/>
    </xf>
    <xf numFmtId="0" fontId="35" fillId="3" borderId="36" xfId="0" applyFont="1" applyFill="1" applyBorder="1" applyAlignment="1">
      <alignment horizontal="center"/>
    </xf>
    <xf numFmtId="0" fontId="43" fillId="7" borderId="36" xfId="0" applyFont="1" applyFill="1" applyBorder="1" applyAlignment="1">
      <alignment horizontal="left" vertical="center"/>
    </xf>
    <xf numFmtId="164" fontId="43" fillId="7" borderId="37" xfId="0" applyNumberFormat="1" applyFont="1" applyFill="1" applyBorder="1" applyAlignment="1">
      <alignment horizontal="center" vertical="center"/>
    </xf>
    <xf numFmtId="164" fontId="35" fillId="3" borderId="37" xfId="0" applyNumberFormat="1" applyFont="1" applyFill="1" applyBorder="1" applyAlignment="1">
      <alignment horizontal="center" vertical="center"/>
    </xf>
    <xf numFmtId="0" fontId="43" fillId="0" borderId="0" xfId="0" applyFont="1"/>
    <xf numFmtId="0" fontId="35" fillId="0" borderId="36" xfId="0" applyFont="1" applyBorder="1" applyAlignment="1">
      <alignment horizontal="center" vertical="center"/>
    </xf>
    <xf numFmtId="164" fontId="35" fillId="3" borderId="36" xfId="0" applyNumberFormat="1" applyFont="1" applyFill="1" applyBorder="1" applyAlignment="1">
      <alignment horizontal="center" vertical="center"/>
    </xf>
    <xf numFmtId="0" fontId="35" fillId="0" borderId="37" xfId="0" applyFont="1" applyBorder="1" applyAlignment="1">
      <alignment horizontal="center" vertical="center"/>
    </xf>
    <xf numFmtId="0" fontId="44" fillId="0" borderId="2" xfId="2" applyFont="1" applyBorder="1" applyAlignment="1">
      <alignment horizontal="left" vertical="center"/>
    </xf>
    <xf numFmtId="0" fontId="7" fillId="0" borderId="17" xfId="2" applyFont="1" applyBorder="1"/>
    <xf numFmtId="0" fontId="7" fillId="0" borderId="17" xfId="2" applyFont="1" applyBorder="1" applyAlignment="1">
      <alignment horizontal="left" wrapText="1"/>
    </xf>
    <xf numFmtId="0" fontId="7" fillId="0" borderId="1" xfId="2" applyFont="1" applyBorder="1" applyAlignment="1">
      <alignment wrapText="1"/>
    </xf>
    <xf numFmtId="0" fontId="20" fillId="0" borderId="17" xfId="2" applyFont="1" applyBorder="1" applyAlignment="1">
      <alignment horizontal="left"/>
    </xf>
    <xf numFmtId="0" fontId="22" fillId="2" borderId="1" xfId="2" applyFont="1" applyFill="1" applyBorder="1" applyAlignment="1">
      <alignment wrapText="1"/>
    </xf>
    <xf numFmtId="164" fontId="43" fillId="4" borderId="36" xfId="0" applyNumberFormat="1" applyFont="1" applyFill="1" applyBorder="1" applyAlignment="1">
      <alignment horizontal="center" vertical="center" wrapText="1"/>
    </xf>
    <xf numFmtId="164" fontId="35" fillId="3" borderId="36" xfId="0" applyNumberFormat="1" applyFont="1" applyFill="1" applyBorder="1" applyAlignment="1">
      <alignment horizontal="center" vertical="center" wrapText="1"/>
    </xf>
    <xf numFmtId="0" fontId="43" fillId="4" borderId="36" xfId="0" applyFont="1" applyFill="1" applyBorder="1" applyAlignment="1">
      <alignment horizontal="left" vertical="center" wrapText="1"/>
    </xf>
    <xf numFmtId="0" fontId="35" fillId="0" borderId="40" xfId="0" applyFont="1" applyBorder="1" applyAlignment="1">
      <alignment horizontal="center" vertical="center"/>
    </xf>
    <xf numFmtId="0" fontId="2" fillId="0" borderId="1" xfId="4" applyBorder="1"/>
    <xf numFmtId="164" fontId="2" fillId="0" borderId="1" xfId="4" applyNumberFormat="1" applyBorder="1" applyAlignment="1">
      <alignment horizontal="right"/>
    </xf>
    <xf numFmtId="0" fontId="4" fillId="0" borderId="1" xfId="4" applyFont="1" applyBorder="1"/>
    <xf numFmtId="0" fontId="5" fillId="0" borderId="1" xfId="4" applyFont="1" applyBorder="1"/>
    <xf numFmtId="164" fontId="4" fillId="0" borderId="1" xfId="4" applyNumberFormat="1" applyFont="1" applyBorder="1"/>
    <xf numFmtId="164" fontId="45" fillId="0" borderId="1" xfId="2" applyNumberFormat="1" applyFont="1" applyBorder="1"/>
    <xf numFmtId="164" fontId="45" fillId="0" borderId="2" xfId="2" applyNumberFormat="1" applyFont="1" applyBorder="1"/>
    <xf numFmtId="0" fontId="46" fillId="0" borderId="1" xfId="2" applyFont="1" applyBorder="1"/>
    <xf numFmtId="0" fontId="45" fillId="0" borderId="4" xfId="2" applyFont="1" applyBorder="1"/>
    <xf numFmtId="164" fontId="45" fillId="4" borderId="0" xfId="2" applyNumberFormat="1" applyFont="1" applyFill="1"/>
    <xf numFmtId="164" fontId="45" fillId="0" borderId="9" xfId="2" applyNumberFormat="1" applyFont="1" applyBorder="1"/>
    <xf numFmtId="0" fontId="2" fillId="0" borderId="9" xfId="4" applyBorder="1"/>
    <xf numFmtId="0" fontId="2" fillId="4" borderId="9" xfId="4" applyFill="1" applyBorder="1"/>
    <xf numFmtId="0" fontId="7" fillId="0" borderId="1" xfId="4" applyFont="1" applyBorder="1"/>
    <xf numFmtId="0" fontId="8" fillId="3" borderId="8" xfId="0" applyFont="1" applyFill="1" applyBorder="1" applyAlignment="1">
      <alignment horizontal="center"/>
    </xf>
    <xf numFmtId="0" fontId="2" fillId="4" borderId="8" xfId="0" applyFont="1" applyFill="1" applyBorder="1" applyAlignment="1">
      <alignment horizontal="center" vertical="center"/>
    </xf>
    <xf numFmtId="164" fontId="2" fillId="0" borderId="8" xfId="4" applyNumberFormat="1" applyBorder="1" applyAlignment="1">
      <alignment horizontal="center" vertical="center"/>
    </xf>
    <xf numFmtId="164" fontId="8" fillId="3" borderId="8" xfId="0" applyNumberFormat="1" applyFont="1" applyFill="1" applyBorder="1" applyAlignment="1">
      <alignment horizontal="center" vertical="center"/>
    </xf>
    <xf numFmtId="0" fontId="8" fillId="3" borderId="8"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4" applyFill="1" applyBorder="1"/>
    <xf numFmtId="0" fontId="8" fillId="3" borderId="8" xfId="4" applyFont="1" applyFill="1" applyBorder="1" applyAlignment="1">
      <alignment horizontal="center" vertical="center" wrapText="1"/>
    </xf>
    <xf numFmtId="0" fontId="2" fillId="4" borderId="8" xfId="4" applyFill="1" applyBorder="1" applyAlignment="1">
      <alignment horizontal="center" vertical="center" wrapText="1"/>
    </xf>
    <xf numFmtId="164" fontId="2" fillId="4" borderId="8" xfId="4" applyNumberFormat="1" applyFill="1" applyBorder="1" applyAlignment="1">
      <alignment horizontal="center" vertical="center"/>
    </xf>
    <xf numFmtId="164" fontId="8" fillId="3" borderId="8" xfId="4" applyNumberFormat="1" applyFont="1" applyFill="1" applyBorder="1" applyAlignment="1">
      <alignment horizontal="center" vertical="center"/>
    </xf>
    <xf numFmtId="0" fontId="8" fillId="3" borderId="8" xfId="2" applyFont="1" applyFill="1" applyBorder="1" applyAlignment="1">
      <alignment horizontal="center" vertical="center" wrapText="1"/>
    </xf>
    <xf numFmtId="0" fontId="2" fillId="4" borderId="8" xfId="2" applyFill="1" applyBorder="1" applyAlignment="1">
      <alignment horizontal="center" vertical="center" wrapText="1"/>
    </xf>
    <xf numFmtId="164" fontId="2" fillId="4" borderId="8" xfId="2" applyNumberFormat="1" applyFill="1" applyBorder="1" applyAlignment="1">
      <alignment horizontal="center" vertical="center"/>
    </xf>
    <xf numFmtId="164" fontId="8" fillId="3" borderId="8" xfId="2" applyNumberFormat="1" applyFont="1" applyFill="1" applyBorder="1" applyAlignment="1">
      <alignment horizontal="center" vertical="center"/>
    </xf>
    <xf numFmtId="0" fontId="2" fillId="4" borderId="17" xfId="4" applyFill="1" applyBorder="1"/>
    <xf numFmtId="0" fontId="2" fillId="0" borderId="12" xfId="4" applyBorder="1"/>
    <xf numFmtId="0" fontId="30" fillId="0" borderId="8" xfId="4" applyFont="1" applyBorder="1" applyAlignment="1">
      <alignment horizontal="center"/>
    </xf>
    <xf numFmtId="164" fontId="8" fillId="3" borderId="8" xfId="4" applyNumberFormat="1" applyFont="1" applyFill="1" applyBorder="1" applyAlignment="1">
      <alignment horizontal="center"/>
    </xf>
    <xf numFmtId="164" fontId="2" fillId="0" borderId="9" xfId="4" applyNumberFormat="1" applyBorder="1"/>
    <xf numFmtId="0" fontId="2" fillId="0" borderId="5" xfId="4" applyBorder="1"/>
    <xf numFmtId="0" fontId="30" fillId="0" borderId="10" xfId="4" applyFont="1" applyBorder="1" applyAlignment="1">
      <alignment horizontal="center"/>
    </xf>
    <xf numFmtId="164" fontId="8" fillId="3" borderId="10" xfId="4" applyNumberFormat="1" applyFont="1" applyFill="1" applyBorder="1" applyAlignment="1">
      <alignment horizontal="center"/>
    </xf>
    <xf numFmtId="164" fontId="18" fillId="0" borderId="17" xfId="4" applyNumberFormat="1" applyFont="1" applyBorder="1"/>
    <xf numFmtId="164" fontId="18" fillId="0" borderId="1" xfId="4" applyNumberFormat="1" applyFont="1" applyBorder="1"/>
    <xf numFmtId="0" fontId="49" fillId="5" borderId="17" xfId="2" applyFont="1" applyFill="1" applyBorder="1" applyAlignment="1">
      <alignment horizontal="center" vertical="center" wrapText="1"/>
    </xf>
    <xf numFmtId="164" fontId="19" fillId="0" borderId="1" xfId="4" applyNumberFormat="1" applyFont="1" applyBorder="1"/>
    <xf numFmtId="0" fontId="7" fillId="0" borderId="1" xfId="4" applyFont="1" applyBorder="1" applyAlignment="1">
      <alignment horizontal="left"/>
    </xf>
    <xf numFmtId="0" fontId="4" fillId="0" borderId="1" xfId="4" applyFont="1" applyBorder="1" applyAlignment="1">
      <alignment horizontal="left"/>
    </xf>
    <xf numFmtId="164" fontId="7" fillId="0" borderId="1" xfId="4" applyNumberFormat="1" applyFont="1" applyBorder="1" applyAlignment="1">
      <alignment horizontal="left"/>
    </xf>
    <xf numFmtId="0" fontId="21" fillId="0" borderId="1" xfId="4" applyFont="1" applyBorder="1" applyAlignment="1">
      <alignment horizontal="left"/>
    </xf>
    <xf numFmtId="164" fontId="21" fillId="0" borderId="1" xfId="4" applyNumberFormat="1" applyFont="1" applyBorder="1" applyAlignment="1">
      <alignment horizontal="left"/>
    </xf>
    <xf numFmtId="0" fontId="21" fillId="0" borderId="3" xfId="4" applyFont="1" applyBorder="1" applyAlignment="1">
      <alignment horizontal="left"/>
    </xf>
    <xf numFmtId="164" fontId="21" fillId="0" borderId="9" xfId="4" applyNumberFormat="1" applyFont="1" applyBorder="1" applyAlignment="1">
      <alignment horizontal="left"/>
    </xf>
    <xf numFmtId="0" fontId="34" fillId="0" borderId="1" xfId="4" applyFont="1" applyBorder="1" applyAlignment="1">
      <alignment horizontal="left"/>
    </xf>
    <xf numFmtId="0" fontId="33" fillId="0" borderId="1" xfId="4" applyFont="1" applyBorder="1" applyAlignment="1">
      <alignment horizontal="center"/>
    </xf>
    <xf numFmtId="0" fontId="38" fillId="3" borderId="0" xfId="2" applyFont="1" applyFill="1" applyAlignment="1">
      <alignment horizontal="center" vertical="center"/>
    </xf>
    <xf numFmtId="0" fontId="44" fillId="0" borderId="2" xfId="2" applyFont="1" applyBorder="1" applyAlignment="1">
      <alignment horizontal="center" vertical="center"/>
    </xf>
    <xf numFmtId="0" fontId="44" fillId="0" borderId="2" xfId="2" applyFont="1" applyBorder="1" applyAlignment="1">
      <alignment horizontal="center" vertical="center" wrapText="1"/>
    </xf>
    <xf numFmtId="0" fontId="16" fillId="0" borderId="2" xfId="2" applyFont="1" applyBorder="1" applyAlignment="1">
      <alignment horizontal="center" vertical="center"/>
    </xf>
    <xf numFmtId="0" fontId="28" fillId="4" borderId="0" xfId="0" applyFont="1" applyFill="1" applyAlignment="1">
      <alignment horizontal="center" vertical="center" wrapText="1"/>
    </xf>
    <xf numFmtId="164" fontId="51" fillId="7" borderId="8" xfId="2" applyNumberFormat="1" applyFont="1" applyFill="1" applyBorder="1" applyAlignment="1">
      <alignment horizontal="center" vertical="center"/>
    </xf>
    <xf numFmtId="0" fontId="52" fillId="4" borderId="36" xfId="0" applyFont="1" applyFill="1" applyBorder="1" applyAlignment="1">
      <alignment horizontal="left" vertical="center" wrapText="1"/>
    </xf>
    <xf numFmtId="0" fontId="2" fillId="4" borderId="36" xfId="0" applyFont="1" applyFill="1" applyBorder="1" applyAlignment="1">
      <alignment horizontal="center" vertical="center" wrapText="1"/>
    </xf>
    <xf numFmtId="164" fontId="8" fillId="3" borderId="37" xfId="0" applyNumberFormat="1" applyFont="1" applyFill="1" applyBorder="1" applyAlignment="1">
      <alignment horizontal="center" vertical="center" wrapText="1"/>
    </xf>
    <xf numFmtId="164" fontId="8" fillId="3" borderId="37" xfId="0" applyNumberFormat="1" applyFont="1" applyFill="1" applyBorder="1" applyAlignment="1">
      <alignment horizontal="center" vertical="center"/>
    </xf>
    <xf numFmtId="164" fontId="8" fillId="3" borderId="36" xfId="0" applyNumberFormat="1" applyFont="1" applyFill="1" applyBorder="1" applyAlignment="1">
      <alignment horizontal="center" vertical="center"/>
    </xf>
    <xf numFmtId="0" fontId="53" fillId="3" borderId="36" xfId="0" applyFont="1" applyFill="1" applyBorder="1" applyAlignment="1">
      <alignment horizontal="center" vertical="center" wrapText="1"/>
    </xf>
    <xf numFmtId="164" fontId="2" fillId="0" borderId="7" xfId="2" applyNumberFormat="1" applyBorder="1"/>
    <xf numFmtId="164" fontId="18" fillId="0" borderId="2" xfId="2" applyNumberFormat="1" applyFont="1" applyBorder="1"/>
    <xf numFmtId="0" fontId="2" fillId="0" borderId="3" xfId="2" applyBorder="1" applyAlignment="1">
      <alignment horizontal="center" vertical="center"/>
    </xf>
    <xf numFmtId="0" fontId="16" fillId="0" borderId="5" xfId="2" applyFont="1" applyBorder="1" applyAlignment="1">
      <alignment horizontal="center" vertical="center"/>
    </xf>
    <xf numFmtId="0" fontId="11" fillId="0" borderId="1" xfId="2" applyFont="1" applyBorder="1" applyAlignment="1">
      <alignment horizontal="center" vertical="center"/>
    </xf>
    <xf numFmtId="0" fontId="2" fillId="0" borderId="1" xfId="2" applyBorder="1" applyAlignment="1">
      <alignment vertical="center"/>
    </xf>
    <xf numFmtId="0" fontId="7" fillId="0" borderId="12" xfId="2" applyFont="1" applyBorder="1" applyAlignment="1">
      <alignment horizontal="center" vertical="center"/>
    </xf>
    <xf numFmtId="164" fontId="2" fillId="0" borderId="17" xfId="2" applyNumberFormat="1" applyBorder="1"/>
    <xf numFmtId="164" fontId="7" fillId="0" borderId="1" xfId="2" applyNumberFormat="1" applyFont="1" applyBorder="1" applyAlignment="1">
      <alignment vertical="center"/>
    </xf>
    <xf numFmtId="0" fontId="20" fillId="0" borderId="1" xfId="2" applyFont="1" applyBorder="1" applyAlignment="1">
      <alignment horizontal="center" vertical="center"/>
    </xf>
    <xf numFmtId="0" fontId="21" fillId="0" borderId="1" xfId="2" applyFont="1" applyBorder="1" applyAlignment="1">
      <alignment horizontal="center" vertical="center"/>
    </xf>
    <xf numFmtId="0" fontId="9" fillId="4" borderId="8" xfId="0" applyFont="1" applyFill="1" applyBorder="1" applyAlignment="1">
      <alignment horizontal="center" vertical="center" wrapText="1"/>
    </xf>
    <xf numFmtId="0" fontId="11" fillId="0" borderId="5" xfId="2" applyFont="1" applyBorder="1"/>
    <xf numFmtId="0" fontId="28" fillId="3" borderId="8" xfId="0" applyFont="1" applyFill="1" applyBorder="1" applyAlignment="1">
      <alignment horizontal="center" vertical="center" wrapText="1"/>
    </xf>
    <xf numFmtId="0" fontId="28" fillId="4" borderId="8" xfId="0" applyFont="1" applyFill="1" applyBorder="1" applyAlignment="1">
      <alignment horizontal="center" vertical="center" wrapText="1"/>
    </xf>
    <xf numFmtId="164" fontId="28" fillId="3" borderId="8" xfId="0" applyNumberFormat="1" applyFont="1" applyFill="1" applyBorder="1" applyAlignment="1">
      <alignment horizontal="center" vertical="center" wrapText="1"/>
    </xf>
    <xf numFmtId="164" fontId="28" fillId="3" borderId="8" xfId="0" applyNumberFormat="1" applyFont="1" applyFill="1" applyBorder="1" applyAlignment="1">
      <alignment horizontal="center" vertical="center"/>
    </xf>
    <xf numFmtId="164" fontId="51" fillId="7" borderId="19" xfId="2" applyNumberFormat="1" applyFont="1" applyFill="1" applyBorder="1" applyAlignment="1">
      <alignment horizontal="center" vertical="center"/>
    </xf>
    <xf numFmtId="164" fontId="28" fillId="4" borderId="0" xfId="0" applyNumberFormat="1" applyFont="1" applyFill="1" applyAlignment="1">
      <alignment horizontal="center" vertical="center" wrapText="1"/>
    </xf>
    <xf numFmtId="0" fontId="40" fillId="4" borderId="36"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8" xfId="0" applyFont="1" applyFill="1" applyBorder="1" applyAlignment="1">
      <alignment horizontal="center" vertical="center"/>
    </xf>
    <xf numFmtId="164" fontId="11" fillId="4" borderId="8" xfId="0" applyNumberFormat="1" applyFont="1" applyFill="1" applyBorder="1" applyAlignment="1">
      <alignment horizontal="center" vertical="center"/>
    </xf>
    <xf numFmtId="0" fontId="0" fillId="0" borderId="0" xfId="0" applyAlignment="1">
      <alignment horizontal="center" vertical="center"/>
    </xf>
    <xf numFmtId="44" fontId="0" fillId="0" borderId="0" xfId="0" applyNumberFormat="1" applyAlignment="1">
      <alignment horizontal="center" vertical="center"/>
    </xf>
    <xf numFmtId="8" fontId="0" fillId="0" borderId="8" xfId="0" applyNumberFormat="1" applyBorder="1" applyAlignment="1">
      <alignment horizontal="center" vertical="center"/>
    </xf>
    <xf numFmtId="0" fontId="0" fillId="0" borderId="8" xfId="0" applyBorder="1" applyAlignment="1">
      <alignment horizontal="center" vertical="center"/>
    </xf>
    <xf numFmtId="8" fontId="0" fillId="0" borderId="0" xfId="0" applyNumberFormat="1" applyAlignment="1">
      <alignment horizontal="center" vertical="center"/>
    </xf>
    <xf numFmtId="44" fontId="0" fillId="0" borderId="8" xfId="1" applyFont="1" applyBorder="1" applyAlignment="1">
      <alignment horizontal="center" vertical="center"/>
    </xf>
    <xf numFmtId="0" fontId="55" fillId="12" borderId="8" xfId="0" applyFont="1" applyFill="1" applyBorder="1" applyAlignment="1">
      <alignment horizontal="center" vertical="center"/>
    </xf>
    <xf numFmtId="44" fontId="0" fillId="0" borderId="8" xfId="0" applyNumberFormat="1" applyBorder="1" applyAlignment="1">
      <alignment horizontal="center" vertical="center"/>
    </xf>
    <xf numFmtId="0" fontId="0" fillId="0" borderId="8" xfId="0" applyBorder="1"/>
    <xf numFmtId="0" fontId="0" fillId="0" borderId="0" xfId="0" applyAlignment="1">
      <alignment horizontal="center"/>
    </xf>
    <xf numFmtId="0" fontId="0" fillId="0" borderId="8" xfId="0" applyBorder="1" applyAlignment="1">
      <alignment horizontal="center"/>
    </xf>
    <xf numFmtId="44" fontId="0" fillId="0" borderId="0" xfId="1" applyFont="1" applyBorder="1" applyAlignment="1">
      <alignment horizontal="center" vertical="center"/>
    </xf>
    <xf numFmtId="0" fontId="56" fillId="12" borderId="10" xfId="0" applyFont="1" applyFill="1" applyBorder="1" applyAlignment="1">
      <alignment horizontal="center" vertical="center"/>
    </xf>
    <xf numFmtId="44" fontId="0" fillId="0" borderId="0" xfId="1" applyFont="1" applyAlignment="1">
      <alignment horizontal="center" vertical="center"/>
    </xf>
    <xf numFmtId="0" fontId="0" fillId="0" borderId="8" xfId="0" applyBorder="1" applyAlignment="1">
      <alignment horizontal="left" vertical="center"/>
    </xf>
    <xf numFmtId="44" fontId="0" fillId="0" borderId="8" xfId="1" applyFont="1" applyBorder="1"/>
    <xf numFmtId="0" fontId="56" fillId="12" borderId="8" xfId="0" applyFont="1" applyFill="1" applyBorder="1" applyAlignment="1">
      <alignment horizontal="center" vertical="center"/>
    </xf>
    <xf numFmtId="164" fontId="11" fillId="4" borderId="22" xfId="2" applyNumberFormat="1" applyFont="1" applyFill="1" applyBorder="1" applyAlignment="1">
      <alignment horizontal="center" vertical="center"/>
    </xf>
    <xf numFmtId="0" fontId="9" fillId="3" borderId="43" xfId="0" applyFont="1" applyFill="1" applyBorder="1" applyAlignment="1">
      <alignment horizontal="center" vertical="center" wrapText="1"/>
    </xf>
    <xf numFmtId="0" fontId="11" fillId="4" borderId="43" xfId="0" applyFont="1" applyFill="1" applyBorder="1" applyAlignment="1">
      <alignment horizontal="center" vertical="center" wrapText="1"/>
    </xf>
    <xf numFmtId="164" fontId="27" fillId="4" borderId="44" xfId="0" applyNumberFormat="1" applyFont="1" applyFill="1" applyBorder="1" applyAlignment="1">
      <alignment horizontal="center" vertical="center" wrapText="1"/>
    </xf>
    <xf numFmtId="0" fontId="9" fillId="4" borderId="0" xfId="0" applyFont="1" applyFill="1" applyAlignment="1">
      <alignment horizontal="center" vertical="center" wrapText="1"/>
    </xf>
    <xf numFmtId="164" fontId="7" fillId="0" borderId="25" xfId="2" applyNumberFormat="1" applyFont="1" applyBorder="1"/>
    <xf numFmtId="164" fontId="19" fillId="0" borderId="25" xfId="2" applyNumberFormat="1" applyFont="1" applyBorder="1"/>
    <xf numFmtId="164" fontId="7" fillId="13" borderId="8" xfId="2" applyNumberFormat="1" applyFont="1" applyFill="1" applyBorder="1" applyAlignment="1">
      <alignment horizontal="center"/>
    </xf>
    <xf numFmtId="44" fontId="19" fillId="14" borderId="8" xfId="1" applyFont="1" applyFill="1" applyBorder="1" applyAlignment="1">
      <alignment horizontal="center"/>
    </xf>
    <xf numFmtId="0" fontId="7" fillId="0" borderId="3" xfId="2" applyFont="1" applyBorder="1" applyAlignment="1">
      <alignment horizontal="center" vertical="top" wrapText="1"/>
    </xf>
    <xf numFmtId="0" fontId="7" fillId="0" borderId="3" xfId="2" applyFont="1" applyBorder="1" applyAlignment="1">
      <alignment horizontal="center" wrapText="1"/>
    </xf>
    <xf numFmtId="164" fontId="2" fillId="13" borderId="8" xfId="2" applyNumberFormat="1" applyFill="1" applyBorder="1" applyAlignment="1">
      <alignment horizontal="center"/>
    </xf>
    <xf numFmtId="44" fontId="18" fillId="14" borderId="8" xfId="1" applyFont="1" applyFill="1" applyBorder="1" applyAlignment="1">
      <alignment horizontal="center"/>
    </xf>
    <xf numFmtId="164" fontId="57" fillId="14" borderId="8" xfId="1" applyNumberFormat="1" applyFont="1" applyFill="1" applyBorder="1" applyAlignment="1">
      <alignment horizontal="center"/>
    </xf>
    <xf numFmtId="0" fontId="29" fillId="8" borderId="0" xfId="0" applyFont="1" applyFill="1" applyAlignment="1">
      <alignment horizontal="center" vertical="center"/>
    </xf>
    <xf numFmtId="0" fontId="28" fillId="4" borderId="36" xfId="3" applyFont="1" applyFill="1" applyBorder="1" applyAlignment="1">
      <alignment horizontal="left" vertical="center" wrapText="1"/>
    </xf>
    <xf numFmtId="0" fontId="58" fillId="4" borderId="36" xfId="3" applyFont="1" applyFill="1" applyBorder="1" applyAlignment="1">
      <alignment horizontal="left" vertical="center" wrapText="1"/>
    </xf>
    <xf numFmtId="0" fontId="43" fillId="3" borderId="36" xfId="0" applyFont="1" applyFill="1" applyBorder="1" applyAlignment="1">
      <alignment horizontal="left" vertical="center"/>
    </xf>
    <xf numFmtId="164" fontId="43" fillId="3" borderId="36" xfId="0" applyNumberFormat="1" applyFont="1" applyFill="1" applyBorder="1" applyAlignment="1">
      <alignment horizontal="center" vertical="center"/>
    </xf>
    <xf numFmtId="164" fontId="35" fillId="3" borderId="45" xfId="0" applyNumberFormat="1" applyFont="1" applyFill="1" applyBorder="1" applyAlignment="1">
      <alignment horizontal="center" vertical="center"/>
    </xf>
    <xf numFmtId="0" fontId="16" fillId="0" borderId="2" xfId="2" applyFont="1" applyBorder="1" applyAlignment="1">
      <alignment horizontal="center" vertical="center" wrapText="1"/>
    </xf>
    <xf numFmtId="0" fontId="2" fillId="0" borderId="1" xfId="3" applyBorder="1"/>
    <xf numFmtId="164" fontId="2" fillId="0" borderId="1" xfId="3" applyNumberFormat="1" applyBorder="1" applyAlignment="1">
      <alignment horizontal="right"/>
    </xf>
    <xf numFmtId="164" fontId="2" fillId="0" borderId="1" xfId="3" applyNumberFormat="1" applyBorder="1"/>
    <xf numFmtId="0" fontId="4" fillId="0" borderId="1" xfId="3" applyFont="1" applyBorder="1"/>
    <xf numFmtId="0" fontId="5" fillId="0" borderId="1" xfId="3" applyFont="1" applyBorder="1"/>
    <xf numFmtId="164" fontId="4" fillId="0" borderId="1" xfId="3" applyNumberFormat="1" applyFont="1" applyBorder="1"/>
    <xf numFmtId="164" fontId="4" fillId="4" borderId="0" xfId="2" applyNumberFormat="1" applyFont="1" applyFill="1"/>
    <xf numFmtId="164" fontId="4" fillId="0" borderId="9" xfId="2" applyNumberFormat="1" applyFont="1" applyBorder="1"/>
    <xf numFmtId="0" fontId="8" fillId="2" borderId="2" xfId="3" applyFont="1" applyFill="1" applyBorder="1" applyAlignment="1">
      <alignment horizontal="center" vertical="center" wrapText="1"/>
    </xf>
    <xf numFmtId="164" fontId="8" fillId="2" borderId="2" xfId="3" applyNumberFormat="1" applyFont="1" applyFill="1" applyBorder="1" applyAlignment="1">
      <alignment horizontal="center" vertical="center" wrapText="1"/>
    </xf>
    <xf numFmtId="0" fontId="2" fillId="3" borderId="36" xfId="3" applyFill="1" applyBorder="1" applyAlignment="1">
      <alignment horizontal="center"/>
    </xf>
    <xf numFmtId="0" fontId="2" fillId="3" borderId="36" xfId="3" applyFill="1" applyBorder="1" applyAlignment="1">
      <alignment horizontal="justify" vertical="center"/>
    </xf>
    <xf numFmtId="164" fontId="2" fillId="3" borderId="36" xfId="3" applyNumberFormat="1" applyFill="1" applyBorder="1"/>
    <xf numFmtId="0" fontId="7" fillId="0" borderId="1" xfId="3" applyFont="1" applyBorder="1"/>
    <xf numFmtId="0" fontId="9" fillId="3" borderId="36" xfId="3" applyFont="1" applyFill="1" applyBorder="1" applyAlignment="1">
      <alignment horizontal="center" vertical="center" wrapText="1"/>
    </xf>
    <xf numFmtId="0" fontId="11" fillId="4" borderId="36" xfId="3" applyFont="1" applyFill="1" applyBorder="1" applyAlignment="1">
      <alignment horizontal="center" vertical="center" wrapText="1"/>
    </xf>
    <xf numFmtId="164" fontId="11" fillId="4" borderId="45" xfId="3" applyNumberFormat="1" applyFont="1" applyFill="1" applyBorder="1" applyAlignment="1">
      <alignment horizontal="center" vertical="center"/>
    </xf>
    <xf numFmtId="164" fontId="9" fillId="3" borderId="36" xfId="3" applyNumberFormat="1" applyFont="1" applyFill="1" applyBorder="1" applyAlignment="1">
      <alignment horizontal="center" vertical="center"/>
    </xf>
    <xf numFmtId="0" fontId="2" fillId="0" borderId="9" xfId="3" applyBorder="1"/>
    <xf numFmtId="0" fontId="9" fillId="3" borderId="37" xfId="3" applyFont="1" applyFill="1" applyBorder="1" applyAlignment="1">
      <alignment horizontal="center" vertical="center" wrapText="1"/>
    </xf>
    <xf numFmtId="0" fontId="11" fillId="4" borderId="37" xfId="3" applyFont="1" applyFill="1" applyBorder="1" applyAlignment="1">
      <alignment horizontal="center" vertical="center" wrapText="1"/>
    </xf>
    <xf numFmtId="164" fontId="11" fillId="4" borderId="36" xfId="3" applyNumberFormat="1" applyFont="1" applyFill="1" applyBorder="1" applyAlignment="1">
      <alignment horizontal="center" vertical="center"/>
    </xf>
    <xf numFmtId="164" fontId="9" fillId="3" borderId="37" xfId="3" applyNumberFormat="1" applyFont="1" applyFill="1" applyBorder="1" applyAlignment="1">
      <alignment horizontal="center" vertical="center"/>
    </xf>
    <xf numFmtId="0" fontId="9" fillId="3" borderId="0" xfId="3" applyFont="1" applyFill="1" applyAlignment="1">
      <alignment horizontal="center" vertical="center" wrapText="1"/>
    </xf>
    <xf numFmtId="164" fontId="11" fillId="4" borderId="37" xfId="3" applyNumberFormat="1" applyFont="1" applyFill="1" applyBorder="1" applyAlignment="1">
      <alignment horizontal="center" vertical="center"/>
    </xf>
    <xf numFmtId="0" fontId="2" fillId="0" borderId="12" xfId="3" applyBorder="1"/>
    <xf numFmtId="0" fontId="9" fillId="5" borderId="37" xfId="3" applyFont="1" applyFill="1" applyBorder="1" applyAlignment="1">
      <alignment horizontal="center" vertical="center"/>
    </xf>
    <xf numFmtId="164" fontId="13" fillId="4" borderId="46" xfId="3" applyNumberFormat="1" applyFont="1" applyFill="1" applyBorder="1" applyAlignment="1">
      <alignment horizontal="right" vertical="center"/>
    </xf>
    <xf numFmtId="0" fontId="2" fillId="0" borderId="3" xfId="3" applyBorder="1"/>
    <xf numFmtId="0" fontId="9" fillId="5" borderId="29" xfId="3" applyFont="1" applyFill="1" applyBorder="1" applyAlignment="1">
      <alignment horizontal="center" vertical="center"/>
    </xf>
    <xf numFmtId="0" fontId="13" fillId="0" borderId="47" xfId="3" applyFont="1" applyBorder="1" applyAlignment="1">
      <alignment horizontal="right"/>
    </xf>
    <xf numFmtId="0" fontId="15" fillId="2" borderId="17" xfId="2" applyFont="1" applyFill="1" applyBorder="1" applyAlignment="1">
      <alignment horizontal="center" vertical="top" wrapText="1"/>
    </xf>
    <xf numFmtId="0" fontId="2" fillId="0" borderId="18" xfId="3" applyBorder="1"/>
    <xf numFmtId="0" fontId="2" fillId="0" borderId="17" xfId="3" applyBorder="1"/>
    <xf numFmtId="0" fontId="16" fillId="0" borderId="2" xfId="2" applyFont="1" applyBorder="1" applyAlignment="1">
      <alignment horizontal="left" vertical="center" wrapText="1"/>
    </xf>
    <xf numFmtId="0" fontId="2" fillId="4" borderId="1" xfId="3" applyFill="1" applyBorder="1"/>
    <xf numFmtId="0" fontId="11" fillId="0" borderId="3" xfId="3" applyFont="1" applyBorder="1"/>
    <xf numFmtId="0" fontId="4" fillId="0" borderId="1" xfId="3" applyFont="1" applyBorder="1" applyAlignment="1">
      <alignment horizontal="left"/>
    </xf>
    <xf numFmtId="164" fontId="21" fillId="0" borderId="1" xfId="3" applyNumberFormat="1" applyFont="1" applyBorder="1" applyAlignment="1">
      <alignment horizontal="left"/>
    </xf>
    <xf numFmtId="164" fontId="21" fillId="0" borderId="9" xfId="3" applyNumberFormat="1" applyFont="1" applyBorder="1" applyAlignment="1">
      <alignment horizontal="left"/>
    </xf>
    <xf numFmtId="0" fontId="33" fillId="0" borderId="1" xfId="3" applyFont="1" applyBorder="1" applyAlignment="1">
      <alignment horizontal="center"/>
    </xf>
    <xf numFmtId="0" fontId="7" fillId="0" borderId="1" xfId="3" applyFont="1" applyBorder="1" applyAlignment="1">
      <alignment horizontal="left"/>
    </xf>
    <xf numFmtId="0" fontId="21" fillId="0" borderId="1" xfId="3" applyFont="1" applyBorder="1" applyAlignment="1">
      <alignment horizontal="left"/>
    </xf>
    <xf numFmtId="164" fontId="7" fillId="0" borderId="1" xfId="3" applyNumberFormat="1" applyFont="1" applyBorder="1" applyAlignment="1">
      <alignment horizontal="left"/>
    </xf>
    <xf numFmtId="0" fontId="21" fillId="0" borderId="3" xfId="3" applyFont="1" applyBorder="1" applyAlignment="1">
      <alignment horizontal="left"/>
    </xf>
    <xf numFmtId="0" fontId="34" fillId="0" borderId="1" xfId="3" applyFont="1" applyBorder="1" applyAlignment="1">
      <alignment horizontal="left"/>
    </xf>
    <xf numFmtId="0" fontId="7" fillId="0" borderId="1" xfId="2" applyFont="1" applyBorder="1" applyAlignment="1">
      <alignment horizontal="center"/>
    </xf>
    <xf numFmtId="0" fontId="59" fillId="7" borderId="10" xfId="0" applyFont="1" applyFill="1" applyBorder="1" applyAlignment="1">
      <alignment horizontal="center" vertical="center"/>
    </xf>
    <xf numFmtId="164" fontId="26" fillId="9" borderId="8" xfId="2" applyNumberFormat="1" applyFont="1" applyFill="1" applyBorder="1" applyAlignment="1">
      <alignment horizontal="center"/>
    </xf>
    <xf numFmtId="0" fontId="60" fillId="3" borderId="0" xfId="0" applyFont="1" applyFill="1" applyAlignment="1">
      <alignment horizontal="center" vertical="center"/>
    </xf>
    <xf numFmtId="0" fontId="2" fillId="0" borderId="19" xfId="0" applyFont="1" applyBorder="1" applyAlignment="1">
      <alignment horizontal="center"/>
    </xf>
    <xf numFmtId="8" fontId="52" fillId="0" borderId="20" xfId="1" applyNumberFormat="1" applyFont="1" applyBorder="1" applyAlignment="1">
      <alignment horizontal="center"/>
    </xf>
    <xf numFmtId="164" fontId="8" fillId="3" borderId="8" xfId="0" applyNumberFormat="1" applyFont="1" applyFill="1" applyBorder="1" applyAlignment="1">
      <alignment horizontal="center" vertical="center" wrapText="1"/>
    </xf>
    <xf numFmtId="0" fontId="8" fillId="3" borderId="19" xfId="0" applyFont="1" applyFill="1" applyBorder="1" applyAlignment="1">
      <alignment horizontal="center"/>
    </xf>
    <xf numFmtId="44" fontId="52" fillId="0" borderId="20" xfId="1" applyFont="1" applyBorder="1" applyAlignment="1">
      <alignment horizontal="center"/>
    </xf>
    <xf numFmtId="0" fontId="52" fillId="0" borderId="0" xfId="0" applyFont="1" applyAlignment="1">
      <alignment vertical="center"/>
    </xf>
    <xf numFmtId="0" fontId="2" fillId="0" borderId="19" xfId="0" applyFont="1" applyBorder="1" applyAlignment="1">
      <alignment horizontal="center" vertical="center"/>
    </xf>
    <xf numFmtId="164" fontId="9" fillId="9" borderId="8" xfId="0" applyNumberFormat="1" applyFont="1" applyFill="1" applyBorder="1" applyAlignment="1">
      <alignment horizontal="center" vertical="center" wrapText="1"/>
    </xf>
    <xf numFmtId="44" fontId="9" fillId="9" borderId="20" xfId="1" applyFont="1" applyFill="1" applyBorder="1" applyAlignment="1">
      <alignment horizontal="center"/>
    </xf>
    <xf numFmtId="0" fontId="2" fillId="3" borderId="19" xfId="2" applyFill="1" applyBorder="1" applyAlignment="1">
      <alignment horizontal="center"/>
    </xf>
    <xf numFmtId="164" fontId="2" fillId="4" borderId="20" xfId="2" applyNumberFormat="1" applyFill="1" applyBorder="1"/>
    <xf numFmtId="0" fontId="11" fillId="4" borderId="19" xfId="2" applyFont="1" applyFill="1" applyBorder="1" applyAlignment="1">
      <alignment horizontal="center" vertical="center"/>
    </xf>
    <xf numFmtId="0" fontId="9" fillId="3" borderId="19" xfId="2" applyFont="1" applyFill="1" applyBorder="1" applyAlignment="1">
      <alignment horizontal="center"/>
    </xf>
    <xf numFmtId="164" fontId="11" fillId="4" borderId="20" xfId="2" applyNumberFormat="1" applyFont="1" applyFill="1" applyBorder="1"/>
    <xf numFmtId="164" fontId="9" fillId="15" borderId="8" xfId="0" applyNumberFormat="1" applyFont="1" applyFill="1" applyBorder="1" applyAlignment="1">
      <alignment horizontal="center" vertical="center" wrapText="1"/>
    </xf>
    <xf numFmtId="164" fontId="29" fillId="15" borderId="44" xfId="0" applyNumberFormat="1" applyFont="1" applyFill="1" applyBorder="1" applyAlignment="1">
      <alignment horizontal="center" vertical="center" wrapText="1"/>
    </xf>
    <xf numFmtId="0" fontId="11" fillId="0" borderId="1" xfId="2" applyFont="1" applyBorder="1"/>
    <xf numFmtId="0" fontId="11" fillId="0" borderId="17" xfId="2" applyFont="1" applyBorder="1" applyAlignment="1">
      <alignment horizontal="center"/>
    </xf>
    <xf numFmtId="0" fontId="11" fillId="0" borderId="12" xfId="2" applyFont="1" applyBorder="1" applyAlignment="1">
      <alignment horizontal="center"/>
    </xf>
    <xf numFmtId="0" fontId="11" fillId="0" borderId="17" xfId="2" applyFont="1" applyBorder="1" applyAlignment="1">
      <alignment horizontal="center" wrapText="1"/>
    </xf>
    <xf numFmtId="0" fontId="11" fillId="0" borderId="3" xfId="2" applyFont="1" applyBorder="1" applyAlignment="1">
      <alignment horizontal="center" vertical="top" wrapText="1"/>
    </xf>
    <xf numFmtId="0" fontId="11" fillId="0" borderId="3" xfId="2" applyFont="1" applyBorder="1" applyAlignment="1">
      <alignment horizontal="center" wrapText="1"/>
    </xf>
    <xf numFmtId="0" fontId="61" fillId="2" borderId="1" xfId="2" applyFont="1" applyFill="1" applyBorder="1" applyAlignment="1">
      <alignment horizontal="center" wrapText="1"/>
    </xf>
    <xf numFmtId="164" fontId="11" fillId="0" borderId="1" xfId="2" applyNumberFormat="1" applyFont="1" applyBorder="1" applyAlignment="1">
      <alignment horizontal="left"/>
    </xf>
    <xf numFmtId="164" fontId="11" fillId="0" borderId="9" xfId="2" applyNumberFormat="1" applyFont="1" applyBorder="1" applyAlignment="1">
      <alignment horizontal="left"/>
    </xf>
    <xf numFmtId="0" fontId="24" fillId="0" borderId="1" xfId="2" applyFont="1" applyBorder="1" applyAlignment="1">
      <alignment horizontal="center"/>
    </xf>
    <xf numFmtId="0" fontId="62" fillId="3" borderId="8" xfId="2" applyFont="1" applyFill="1" applyBorder="1" applyAlignment="1">
      <alignment horizontal="center" vertical="center"/>
    </xf>
    <xf numFmtId="0" fontId="63" fillId="8" borderId="8" xfId="0" applyFont="1" applyFill="1" applyBorder="1" applyAlignment="1">
      <alignment horizontal="center"/>
    </xf>
    <xf numFmtId="0" fontId="62" fillId="2" borderId="33" xfId="2" applyFont="1" applyFill="1" applyBorder="1" applyAlignment="1">
      <alignment horizontal="center" vertical="center"/>
    </xf>
    <xf numFmtId="0" fontId="62" fillId="2" borderId="3" xfId="2" applyFont="1" applyFill="1" applyBorder="1" applyAlignment="1">
      <alignment horizontal="center" vertical="top" wrapText="1"/>
    </xf>
    <xf numFmtId="0" fontId="64" fillId="0" borderId="0" xfId="0" applyFont="1" applyAlignment="1">
      <alignment horizontal="justify" vertical="center"/>
    </xf>
    <xf numFmtId="0" fontId="62" fillId="2" borderId="1" xfId="2" applyFont="1" applyFill="1" applyBorder="1" applyAlignment="1">
      <alignment horizontal="center" vertical="top" wrapText="1"/>
    </xf>
    <xf numFmtId="0" fontId="65" fillId="8" borderId="17" xfId="2" applyFont="1" applyFill="1" applyBorder="1" applyAlignment="1">
      <alignment horizontal="center"/>
    </xf>
    <xf numFmtId="0" fontId="62" fillId="2" borderId="3" xfId="2" applyFont="1" applyFill="1" applyBorder="1" applyAlignment="1">
      <alignment horizontal="center" vertical="center" wrapText="1"/>
    </xf>
    <xf numFmtId="164" fontId="9" fillId="16" borderId="8" xfId="2" applyNumberFormat="1" applyFont="1" applyFill="1" applyBorder="1"/>
    <xf numFmtId="164" fontId="8" fillId="16" borderId="8" xfId="2" applyNumberFormat="1" applyFont="1" applyFill="1" applyBorder="1"/>
    <xf numFmtId="164" fontId="11" fillId="4" borderId="44" xfId="2" applyNumberFormat="1" applyFont="1" applyFill="1" applyBorder="1" applyAlignment="1">
      <alignment horizontal="center" vertical="center"/>
    </xf>
    <xf numFmtId="0" fontId="66" fillId="0" borderId="1" xfId="2" applyFont="1" applyBorder="1"/>
    <xf numFmtId="0" fontId="33" fillId="0" borderId="1" xfId="2" applyFont="1" applyBorder="1"/>
    <xf numFmtId="164" fontId="33" fillId="0" borderId="1" xfId="2" applyNumberFormat="1" applyFont="1" applyBorder="1"/>
    <xf numFmtId="164" fontId="33" fillId="0" borderId="2" xfId="2" applyNumberFormat="1" applyFont="1" applyBorder="1"/>
    <xf numFmtId="0" fontId="8" fillId="3" borderId="8" xfId="2" applyFont="1" applyFill="1" applyBorder="1" applyAlignment="1">
      <alignment horizontal="center" vertical="center"/>
    </xf>
    <xf numFmtId="0" fontId="8" fillId="3" borderId="19" xfId="0" applyFont="1" applyFill="1" applyBorder="1" applyAlignment="1">
      <alignment horizontal="center" vertical="center" wrapText="1"/>
    </xf>
    <xf numFmtId="0" fontId="2" fillId="4" borderId="19" xfId="0" applyFont="1" applyFill="1" applyBorder="1" applyAlignment="1">
      <alignment horizontal="center" vertical="center" wrapText="1"/>
    </xf>
    <xf numFmtId="164" fontId="43" fillId="4" borderId="20" xfId="0" applyNumberFormat="1" applyFont="1" applyFill="1" applyBorder="1" applyAlignment="1">
      <alignment horizontal="center" vertical="center" wrapText="1"/>
    </xf>
    <xf numFmtId="0" fontId="8" fillId="3" borderId="19" xfId="2" applyFont="1" applyFill="1" applyBorder="1" applyAlignment="1">
      <alignment horizontal="center" vertical="center" wrapText="1"/>
    </xf>
    <xf numFmtId="0" fontId="2" fillId="4" borderId="19" xfId="2" applyFill="1" applyBorder="1" applyAlignment="1">
      <alignment horizontal="center" vertical="center" wrapText="1"/>
    </xf>
    <xf numFmtId="164" fontId="2" fillId="4" borderId="22" xfId="2" applyNumberFormat="1" applyFill="1" applyBorder="1" applyAlignment="1">
      <alignment horizontal="center" vertical="center"/>
    </xf>
    <xf numFmtId="164" fontId="2" fillId="4" borderId="44" xfId="2" applyNumberFormat="1" applyFill="1" applyBorder="1" applyAlignment="1">
      <alignment horizontal="center" vertical="center"/>
    </xf>
    <xf numFmtId="164" fontId="43" fillId="4" borderId="44" xfId="0" applyNumberFormat="1" applyFont="1" applyFill="1" applyBorder="1" applyAlignment="1">
      <alignment horizontal="center" vertical="center" wrapText="1"/>
    </xf>
    <xf numFmtId="0" fontId="53" fillId="8" borderId="8" xfId="0" applyFont="1" applyFill="1" applyBorder="1" applyAlignment="1">
      <alignment horizontal="center"/>
    </xf>
    <xf numFmtId="0" fontId="35" fillId="0" borderId="22" xfId="0" applyFont="1" applyBorder="1" applyAlignment="1">
      <alignment horizontal="center" vertical="center"/>
    </xf>
    <xf numFmtId="164" fontId="53" fillId="3" borderId="8" xfId="0" applyNumberFormat="1" applyFont="1" applyFill="1" applyBorder="1" applyAlignment="1">
      <alignment horizontal="center" vertical="center"/>
    </xf>
    <xf numFmtId="0" fontId="35" fillId="0" borderId="8" xfId="0" applyFont="1" applyBorder="1" applyAlignment="1">
      <alignment horizontal="center" vertical="center"/>
    </xf>
    <xf numFmtId="0" fontId="8" fillId="2" borderId="33" xfId="2" applyFont="1" applyFill="1" applyBorder="1" applyAlignment="1">
      <alignment horizontal="center" vertical="center"/>
    </xf>
    <xf numFmtId="0" fontId="21" fillId="0" borderId="1" xfId="2" applyFont="1" applyBorder="1"/>
    <xf numFmtId="0" fontId="21" fillId="0" borderId="1" xfId="2" applyFont="1" applyBorder="1" applyAlignment="1">
      <alignment horizontal="center"/>
    </xf>
    <xf numFmtId="0" fontId="21" fillId="0" borderId="17" xfId="2" applyFont="1" applyBorder="1" applyAlignment="1">
      <alignment horizontal="center"/>
    </xf>
    <xf numFmtId="0" fontId="21" fillId="0" borderId="12" xfId="2" applyFont="1" applyBorder="1" applyAlignment="1">
      <alignment horizontal="center"/>
    </xf>
    <xf numFmtId="0" fontId="21" fillId="0" borderId="9" xfId="2" applyFont="1" applyBorder="1"/>
    <xf numFmtId="0" fontId="67" fillId="2" borderId="3" xfId="2" applyFont="1" applyFill="1" applyBorder="1" applyAlignment="1">
      <alignment horizontal="center" vertical="center" wrapText="1"/>
    </xf>
    <xf numFmtId="0" fontId="21" fillId="0" borderId="17" xfId="2" applyFont="1" applyBorder="1" applyAlignment="1">
      <alignment horizontal="center" wrapText="1"/>
    </xf>
    <xf numFmtId="0" fontId="21" fillId="0" borderId="3" xfId="2" applyFont="1" applyBorder="1" applyAlignment="1">
      <alignment horizontal="center" vertical="top" wrapText="1"/>
    </xf>
    <xf numFmtId="0" fontId="21" fillId="0" borderId="3" xfId="2" applyFont="1" applyBorder="1" applyAlignment="1">
      <alignment horizontal="center" wrapText="1"/>
    </xf>
    <xf numFmtId="0" fontId="68" fillId="0" borderId="17" xfId="2" applyFont="1" applyBorder="1" applyAlignment="1">
      <alignment horizontal="center"/>
    </xf>
    <xf numFmtId="164" fontId="21" fillId="0" borderId="1" xfId="2" applyNumberFormat="1" applyFont="1" applyBorder="1"/>
    <xf numFmtId="164" fontId="69" fillId="0" borderId="1" xfId="2" applyNumberFormat="1" applyFont="1" applyBorder="1"/>
    <xf numFmtId="0" fontId="68" fillId="0" borderId="1" xfId="2" applyFont="1" applyBorder="1"/>
    <xf numFmtId="0" fontId="70" fillId="2" borderId="1" xfId="2" applyFont="1" applyFill="1" applyBorder="1" applyAlignment="1">
      <alignment horizontal="center" wrapText="1"/>
    </xf>
    <xf numFmtId="0" fontId="9" fillId="3" borderId="20" xfId="2" applyFont="1" applyFill="1" applyBorder="1" applyAlignment="1">
      <alignment horizontal="center" vertical="center" wrapText="1"/>
    </xf>
    <xf numFmtId="0" fontId="29" fillId="8" borderId="10" xfId="0" applyFont="1" applyFill="1" applyBorder="1" applyAlignment="1">
      <alignment horizontal="center"/>
    </xf>
    <xf numFmtId="0" fontId="9" fillId="17" borderId="36" xfId="2" applyFont="1" applyFill="1" applyBorder="1" applyAlignment="1">
      <alignment horizontal="center" vertical="center" wrapText="1"/>
    </xf>
    <xf numFmtId="0" fontId="9" fillId="3" borderId="19" xfId="2" applyFont="1" applyFill="1" applyBorder="1" applyAlignment="1">
      <alignment horizontal="center" vertical="center"/>
    </xf>
    <xf numFmtId="0" fontId="30" fillId="16" borderId="36" xfId="4" applyFont="1" applyFill="1" applyBorder="1" applyAlignment="1">
      <alignment horizontal="center"/>
    </xf>
    <xf numFmtId="0" fontId="30" fillId="16" borderId="36" xfId="4" applyFont="1" applyFill="1" applyBorder="1" applyAlignment="1">
      <alignment horizontal="center" vertical="center"/>
    </xf>
    <xf numFmtId="164" fontId="30" fillId="16" borderId="36" xfId="4" applyNumberFormat="1" applyFont="1" applyFill="1" applyBorder="1"/>
    <xf numFmtId="0" fontId="9" fillId="3" borderId="36" xfId="2" applyFont="1" applyFill="1" applyBorder="1" applyAlignment="1">
      <alignment horizontal="center" vertical="center" wrapText="1"/>
    </xf>
    <xf numFmtId="0" fontId="11" fillId="4" borderId="36" xfId="2" applyFont="1" applyFill="1" applyBorder="1" applyAlignment="1">
      <alignment horizontal="center" vertical="center" wrapText="1"/>
    </xf>
    <xf numFmtId="164" fontId="11" fillId="0" borderId="36" xfId="2" applyNumberFormat="1" applyFont="1" applyBorder="1" applyAlignment="1">
      <alignment horizontal="center" vertical="center"/>
    </xf>
    <xf numFmtId="164" fontId="9" fillId="3" borderId="36" xfId="2" applyNumberFormat="1" applyFont="1" applyFill="1" applyBorder="1" applyAlignment="1">
      <alignment horizontal="center" vertical="center"/>
    </xf>
    <xf numFmtId="0" fontId="9" fillId="5" borderId="28" xfId="3" applyFont="1" applyFill="1" applyBorder="1" applyAlignment="1">
      <alignment horizontal="center" vertical="center"/>
    </xf>
    <xf numFmtId="164" fontId="13" fillId="4" borderId="8" xfId="3" applyNumberFormat="1" applyFont="1" applyFill="1" applyBorder="1" applyAlignment="1">
      <alignment horizontal="center" vertical="center"/>
    </xf>
    <xf numFmtId="0" fontId="13" fillId="0" borderId="8" xfId="3" applyFont="1" applyBorder="1" applyAlignment="1">
      <alignment horizontal="center"/>
    </xf>
    <xf numFmtId="0" fontId="13" fillId="0" borderId="10" xfId="3" applyFont="1" applyBorder="1" applyAlignment="1">
      <alignment horizontal="center"/>
    </xf>
    <xf numFmtId="164" fontId="9" fillId="3" borderId="10" xfId="3" applyNumberFormat="1" applyFont="1" applyFill="1" applyBorder="1" applyAlignment="1">
      <alignment horizontal="center" vertical="center"/>
    </xf>
    <xf numFmtId="0" fontId="11" fillId="0" borderId="1" xfId="4" applyFont="1" applyBorder="1" applyAlignment="1">
      <alignment horizontal="center"/>
    </xf>
    <xf numFmtId="0" fontId="7" fillId="0" borderId="12" xfId="4" applyFont="1" applyBorder="1" applyAlignment="1">
      <alignment horizontal="left" vertical="center"/>
    </xf>
    <xf numFmtId="0" fontId="7" fillId="0" borderId="12" xfId="4" applyFont="1" applyBorder="1" applyAlignment="1">
      <alignment horizontal="center" vertical="center"/>
    </xf>
    <xf numFmtId="164" fontId="2" fillId="0" borderId="17" xfId="4" applyNumberFormat="1" applyBorder="1"/>
    <xf numFmtId="0" fontId="20" fillId="0" borderId="1" xfId="4" applyFont="1" applyBorder="1"/>
    <xf numFmtId="0" fontId="11" fillId="4" borderId="36" xfId="0" applyFont="1" applyFill="1" applyBorder="1" applyAlignment="1">
      <alignment horizontal="center" vertical="center" wrapText="1"/>
    </xf>
    <xf numFmtId="164" fontId="11" fillId="4" borderId="37" xfId="0" applyNumberFormat="1" applyFont="1" applyFill="1" applyBorder="1" applyAlignment="1">
      <alignment horizontal="center" vertical="center" wrapText="1"/>
    </xf>
    <xf numFmtId="0" fontId="28" fillId="3" borderId="36" xfId="0" applyFont="1" applyFill="1" applyBorder="1" applyAlignment="1">
      <alignment horizontal="center"/>
    </xf>
    <xf numFmtId="164" fontId="27" fillId="7" borderId="37" xfId="0" applyNumberFormat="1" applyFont="1" applyFill="1" applyBorder="1" applyAlignment="1">
      <alignment horizontal="center" vertical="center"/>
    </xf>
    <xf numFmtId="164" fontId="29" fillId="3" borderId="37" xfId="0" applyNumberFormat="1" applyFont="1" applyFill="1" applyBorder="1" applyAlignment="1">
      <alignment horizontal="center" vertical="center" wrapText="1"/>
    </xf>
    <xf numFmtId="164" fontId="29" fillId="3" borderId="37" xfId="0" applyNumberFormat="1" applyFont="1" applyFill="1" applyBorder="1" applyAlignment="1">
      <alignment horizontal="center" vertical="center"/>
    </xf>
    <xf numFmtId="0" fontId="9" fillId="3" borderId="36" xfId="0" applyFont="1" applyFill="1" applyBorder="1" applyAlignment="1">
      <alignment horizontal="center" vertical="center" wrapText="1"/>
    </xf>
    <xf numFmtId="0" fontId="9" fillId="16" borderId="36" xfId="0" applyFont="1" applyFill="1" applyBorder="1" applyAlignment="1">
      <alignment horizontal="center" vertical="center" wrapText="1"/>
    </xf>
    <xf numFmtId="0" fontId="11" fillId="16" borderId="36" xfId="0" applyFont="1" applyFill="1" applyBorder="1" applyAlignment="1">
      <alignment horizontal="center" vertical="center" wrapText="1"/>
    </xf>
    <xf numFmtId="164" fontId="2" fillId="16" borderId="37" xfId="0" applyNumberFormat="1" applyFont="1" applyFill="1" applyBorder="1" applyAlignment="1">
      <alignment horizontal="center" vertical="center" wrapText="1"/>
    </xf>
    <xf numFmtId="164" fontId="29" fillId="16" borderId="37" xfId="0" applyNumberFormat="1" applyFont="1" applyFill="1" applyBorder="1" applyAlignment="1">
      <alignment horizontal="center" vertical="center" wrapText="1"/>
    </xf>
    <xf numFmtId="0" fontId="28" fillId="0" borderId="51" xfId="0" applyFont="1" applyBorder="1" applyAlignment="1">
      <alignment horizontal="center" vertical="center"/>
    </xf>
    <xf numFmtId="0" fontId="28" fillId="0" borderId="0" xfId="0" applyFont="1" applyAlignment="1">
      <alignment horizontal="center" vertical="center"/>
    </xf>
    <xf numFmtId="0" fontId="28" fillId="0" borderId="23" xfId="0" applyFont="1" applyBorder="1" applyAlignment="1">
      <alignment horizontal="center" vertical="center"/>
    </xf>
    <xf numFmtId="0" fontId="27" fillId="7" borderId="37" xfId="0" applyFont="1" applyFill="1" applyBorder="1" applyAlignment="1">
      <alignment horizontal="left" vertical="center"/>
    </xf>
    <xf numFmtId="0" fontId="9" fillId="16" borderId="8" xfId="0" applyFont="1" applyFill="1" applyBorder="1" applyAlignment="1">
      <alignment horizontal="center" vertical="center"/>
    </xf>
    <xf numFmtId="0" fontId="23" fillId="0" borderId="1" xfId="3" applyFont="1" applyBorder="1"/>
    <xf numFmtId="0" fontId="24" fillId="0" borderId="1" xfId="3" applyFont="1" applyBorder="1"/>
    <xf numFmtId="164" fontId="24" fillId="0" borderId="1" xfId="3" applyNumberFormat="1" applyFont="1" applyBorder="1"/>
    <xf numFmtId="164" fontId="24" fillId="0" borderId="2" xfId="3" applyNumberFormat="1" applyFont="1" applyBorder="1"/>
    <xf numFmtId="0" fontId="4" fillId="0" borderId="4" xfId="3" applyFont="1" applyBorder="1"/>
    <xf numFmtId="164" fontId="4" fillId="4" borderId="0" xfId="3" applyNumberFormat="1" applyFont="1" applyFill="1"/>
    <xf numFmtId="164" fontId="4" fillId="0" borderId="9" xfId="3" applyNumberFormat="1" applyFont="1" applyBorder="1"/>
    <xf numFmtId="0" fontId="5" fillId="0" borderId="3" xfId="3" applyFont="1" applyBorder="1"/>
    <xf numFmtId="164" fontId="2" fillId="4" borderId="8" xfId="0" applyNumberFormat="1" applyFont="1" applyFill="1" applyBorder="1" applyAlignment="1">
      <alignment horizontal="center" vertical="center"/>
    </xf>
    <xf numFmtId="164" fontId="2" fillId="0" borderId="8" xfId="2" applyNumberFormat="1" applyBorder="1" applyAlignment="1">
      <alignment horizontal="center" vertical="center"/>
    </xf>
    <xf numFmtId="164" fontId="9" fillId="9" borderId="8" xfId="2" applyNumberFormat="1" applyFont="1" applyFill="1" applyBorder="1" applyAlignment="1">
      <alignment horizontal="center"/>
    </xf>
    <xf numFmtId="0" fontId="7" fillId="0" borderId="3" xfId="2" applyFont="1" applyBorder="1" applyAlignment="1">
      <alignment horizontal="center" vertical="center" wrapText="1"/>
    </xf>
    <xf numFmtId="14" fontId="0" fillId="0" borderId="0" xfId="0" applyNumberFormat="1" applyAlignment="1">
      <alignment horizontal="center" vertical="center"/>
    </xf>
    <xf numFmtId="0" fontId="3" fillId="0" borderId="1" xfId="2" applyFont="1" applyBorder="1" applyAlignment="1">
      <alignment horizontal="right"/>
    </xf>
    <xf numFmtId="0" fontId="9" fillId="3" borderId="8" xfId="2" applyFont="1" applyFill="1" applyBorder="1" applyAlignment="1">
      <alignment horizontal="center" vertical="center"/>
    </xf>
    <xf numFmtId="0" fontId="9" fillId="4" borderId="19" xfId="2" applyFont="1" applyFill="1" applyBorder="1" applyAlignment="1">
      <alignment horizontal="center" vertical="center" wrapText="1"/>
    </xf>
    <xf numFmtId="0" fontId="29" fillId="4" borderId="8" xfId="0" applyFont="1" applyFill="1" applyBorder="1" applyAlignment="1">
      <alignment horizontal="center"/>
    </xf>
    <xf numFmtId="0" fontId="11" fillId="4" borderId="8" xfId="2" applyFont="1" applyFill="1" applyBorder="1" applyAlignment="1">
      <alignment horizontal="justify" vertical="center"/>
    </xf>
    <xf numFmtId="0" fontId="38" fillId="7" borderId="0" xfId="2" applyFont="1" applyFill="1" applyAlignment="1">
      <alignment horizontal="center" vertical="center"/>
    </xf>
    <xf numFmtId="0" fontId="72" fillId="4" borderId="0" xfId="2" applyFont="1" applyFill="1" applyAlignment="1">
      <alignment horizontal="center" vertical="center"/>
    </xf>
    <xf numFmtId="0" fontId="7" fillId="0" borderId="1" xfId="2" applyFont="1" applyBorder="1" applyAlignment="1">
      <alignment horizontal="left"/>
    </xf>
    <xf numFmtId="0" fontId="4" fillId="0" borderId="1" xfId="2" applyFont="1" applyBorder="1" applyAlignment="1">
      <alignment horizontal="left"/>
    </xf>
    <xf numFmtId="0" fontId="7" fillId="0" borderId="1" xfId="2" applyFont="1" applyBorder="1" applyAlignment="1">
      <alignment horizontal="center" vertical="center"/>
    </xf>
    <xf numFmtId="164" fontId="2" fillId="3" borderId="0" xfId="2" applyNumberFormat="1" applyFill="1" applyAlignment="1">
      <alignment horizontal="right" vertical="center"/>
    </xf>
    <xf numFmtId="164" fontId="2" fillId="4" borderId="0" xfId="3" applyNumberFormat="1" applyFill="1" applyAlignment="1">
      <alignment horizontal="right" vertical="center"/>
    </xf>
    <xf numFmtId="0" fontId="2" fillId="4" borderId="0" xfId="2" applyFill="1" applyAlignment="1">
      <alignment horizontal="center" vertical="center" wrapText="1"/>
    </xf>
    <xf numFmtId="0" fontId="2" fillId="0" borderId="0" xfId="2" applyAlignment="1">
      <alignment horizontal="center" vertical="center" wrapText="1"/>
    </xf>
    <xf numFmtId="164" fontId="8" fillId="3" borderId="8" xfId="3" applyNumberFormat="1" applyFont="1" applyFill="1" applyBorder="1" applyAlignment="1">
      <alignment horizontal="center" vertical="center"/>
    </xf>
    <xf numFmtId="164" fontId="2" fillId="4" borderId="8" xfId="3" applyNumberFormat="1" applyFill="1" applyBorder="1" applyAlignment="1">
      <alignment horizontal="center" vertical="center"/>
    </xf>
    <xf numFmtId="0" fontId="2" fillId="4" borderId="8" xfId="3" applyFill="1" applyBorder="1" applyAlignment="1">
      <alignment horizontal="center" vertical="center" wrapText="1"/>
    </xf>
    <xf numFmtId="0" fontId="8" fillId="3" borderId="8" xfId="3" applyFont="1" applyFill="1" applyBorder="1" applyAlignment="1">
      <alignment horizontal="center" vertical="center" wrapText="1"/>
    </xf>
    <xf numFmtId="164" fontId="8" fillId="0" borderId="0" xfId="2" applyNumberFormat="1" applyFont="1" applyAlignment="1">
      <alignment horizontal="center" vertical="center"/>
    </xf>
    <xf numFmtId="164" fontId="2" fillId="0" borderId="0" xfId="2" applyNumberFormat="1" applyAlignment="1">
      <alignment horizontal="right" vertical="center"/>
    </xf>
    <xf numFmtId="0" fontId="8" fillId="0" borderId="0" xfId="2" applyFont="1" applyAlignment="1">
      <alignment horizontal="center" vertical="center" wrapText="1"/>
    </xf>
    <xf numFmtId="164" fontId="2" fillId="4" borderId="0" xfId="2" applyNumberFormat="1" applyFill="1" applyAlignment="1">
      <alignment horizontal="right" vertical="center"/>
    </xf>
    <xf numFmtId="164" fontId="30" fillId="0" borderId="26" xfId="2" applyNumberFormat="1" applyFont="1" applyBorder="1"/>
    <xf numFmtId="0" fontId="2" fillId="0" borderId="13" xfId="2" applyBorder="1"/>
    <xf numFmtId="0" fontId="30" fillId="0" borderId="26" xfId="2" applyFont="1" applyBorder="1" applyAlignment="1">
      <alignment horizontal="right"/>
    </xf>
    <xf numFmtId="0" fontId="30" fillId="0" borderId="0" xfId="2" applyFont="1" applyAlignment="1">
      <alignment horizontal="right"/>
    </xf>
    <xf numFmtId="0" fontId="30" fillId="0" borderId="13" xfId="2" applyFont="1" applyBorder="1" applyAlignment="1">
      <alignment horizontal="right"/>
    </xf>
    <xf numFmtId="0" fontId="35" fillId="4" borderId="8" xfId="0" applyFont="1" applyFill="1" applyBorder="1" applyAlignment="1">
      <alignment horizontal="center" vertical="center" wrapText="1"/>
    </xf>
    <xf numFmtId="164" fontId="43" fillId="4" borderId="8" xfId="0" applyNumberFormat="1" applyFont="1" applyFill="1" applyBorder="1" applyAlignment="1">
      <alignment horizontal="center" vertical="center" wrapText="1"/>
    </xf>
    <xf numFmtId="0" fontId="7" fillId="0" borderId="9" xfId="2" applyFont="1" applyBorder="1"/>
    <xf numFmtId="0" fontId="8" fillId="3" borderId="10" xfId="4" applyFont="1" applyFill="1" applyBorder="1" applyAlignment="1">
      <alignment horizontal="center" vertical="center" wrapText="1"/>
    </xf>
    <xf numFmtId="0" fontId="2" fillId="4" borderId="10" xfId="4" applyFill="1" applyBorder="1" applyAlignment="1">
      <alignment horizontal="center" vertical="center" wrapText="1"/>
    </xf>
    <xf numFmtId="164" fontId="2" fillId="4" borderId="10" xfId="4" applyNumberFormat="1" applyFill="1" applyBorder="1" applyAlignment="1">
      <alignment horizontal="center" vertical="center"/>
    </xf>
    <xf numFmtId="164" fontId="8" fillId="3" borderId="10" xfId="4" applyNumberFormat="1" applyFont="1" applyFill="1" applyBorder="1" applyAlignment="1">
      <alignment horizontal="center" vertical="center"/>
    </xf>
    <xf numFmtId="0" fontId="8" fillId="3" borderId="52" xfId="4" applyFont="1" applyFill="1" applyBorder="1" applyAlignment="1">
      <alignment horizontal="center" vertical="center" wrapText="1"/>
    </xf>
    <xf numFmtId="0" fontId="2" fillId="4" borderId="52" xfId="4" applyFill="1" applyBorder="1" applyAlignment="1">
      <alignment horizontal="center" vertical="center" wrapText="1"/>
    </xf>
    <xf numFmtId="164" fontId="2" fillId="4" borderId="52" xfId="4" applyNumberFormat="1" applyFill="1" applyBorder="1" applyAlignment="1">
      <alignment horizontal="center" vertical="center"/>
    </xf>
    <xf numFmtId="0" fontId="11" fillId="4" borderId="9" xfId="2" applyFont="1" applyFill="1" applyBorder="1"/>
    <xf numFmtId="164" fontId="11" fillId="4" borderId="8" xfId="3" applyNumberFormat="1" applyFont="1" applyFill="1" applyBorder="1" applyAlignment="1">
      <alignment horizontal="center" vertical="center"/>
    </xf>
    <xf numFmtId="0" fontId="78" fillId="6" borderId="36" xfId="0" applyFont="1" applyFill="1" applyBorder="1" applyAlignment="1">
      <alignment horizontal="center"/>
    </xf>
    <xf numFmtId="164" fontId="27" fillId="4" borderId="53" xfId="0" applyNumberFormat="1" applyFont="1" applyFill="1" applyBorder="1" applyAlignment="1">
      <alignment horizontal="center" vertical="center" wrapText="1"/>
    </xf>
    <xf numFmtId="164" fontId="9" fillId="3" borderId="19" xfId="0" applyNumberFormat="1" applyFont="1" applyFill="1" applyBorder="1" applyAlignment="1">
      <alignment horizontal="center" vertical="center" wrapText="1"/>
    </xf>
    <xf numFmtId="0" fontId="36" fillId="15" borderId="19" xfId="2" applyFont="1" applyFill="1" applyBorder="1" applyAlignment="1">
      <alignment horizontal="center" vertical="center" wrapText="1"/>
    </xf>
    <xf numFmtId="17" fontId="80" fillId="18" borderId="54" xfId="0" applyNumberFormat="1" applyFont="1" applyFill="1" applyBorder="1" applyAlignment="1">
      <alignment horizontal="center"/>
    </xf>
    <xf numFmtId="17" fontId="80" fillId="4" borderId="0" xfId="0" applyNumberFormat="1" applyFont="1" applyFill="1" applyAlignment="1">
      <alignment horizontal="center"/>
    </xf>
    <xf numFmtId="0" fontId="80" fillId="19" borderId="8" xfId="0" applyFont="1" applyFill="1" applyBorder="1" applyAlignment="1">
      <alignment horizontal="center" vertical="center"/>
    </xf>
    <xf numFmtId="0" fontId="81" fillId="0" borderId="8" xfId="0" applyFont="1" applyBorder="1" applyAlignment="1">
      <alignment horizontal="center" vertical="center" wrapText="1"/>
    </xf>
    <xf numFmtId="44" fontId="82" fillId="10" borderId="8" xfId="1" applyFont="1" applyFill="1" applyBorder="1" applyAlignment="1">
      <alignment horizontal="center" vertical="center"/>
    </xf>
    <xf numFmtId="44" fontId="80" fillId="12" borderId="8" xfId="1" applyFont="1" applyFill="1" applyBorder="1" applyAlignment="1">
      <alignment horizontal="center" vertical="center"/>
    </xf>
    <xf numFmtId="0" fontId="80" fillId="5" borderId="8" xfId="0" applyFont="1" applyFill="1" applyBorder="1" applyAlignment="1">
      <alignment horizontal="center" vertical="center"/>
    </xf>
    <xf numFmtId="44" fontId="83" fillId="3" borderId="8" xfId="1" applyFont="1" applyFill="1" applyBorder="1" applyAlignment="1">
      <alignment horizontal="center" vertical="center"/>
    </xf>
    <xf numFmtId="0" fontId="80" fillId="20" borderId="8" xfId="0" applyFont="1" applyFill="1" applyBorder="1" applyAlignment="1">
      <alignment horizontal="center" vertical="center"/>
    </xf>
    <xf numFmtId="0" fontId="79" fillId="21" borderId="8" xfId="0" applyFont="1" applyFill="1" applyBorder="1" applyAlignment="1">
      <alignment horizontal="center"/>
    </xf>
    <xf numFmtId="44" fontId="79" fillId="10" borderId="8" xfId="1" applyFont="1" applyFill="1" applyBorder="1" applyAlignment="1">
      <alignment horizontal="center" vertical="center"/>
    </xf>
    <xf numFmtId="0" fontId="0" fillId="22" borderId="8" xfId="0" applyFill="1" applyBorder="1" applyAlignment="1">
      <alignment horizontal="center" vertical="center"/>
    </xf>
    <xf numFmtId="9" fontId="0" fillId="22" borderId="8" xfId="0" applyNumberFormat="1" applyFill="1" applyBorder="1" applyAlignment="1">
      <alignment horizontal="center" vertical="center"/>
    </xf>
    <xf numFmtId="10" fontId="0" fillId="22" borderId="8" xfId="0" applyNumberFormat="1" applyFill="1" applyBorder="1" applyAlignment="1">
      <alignment horizontal="center" vertical="center"/>
    </xf>
    <xf numFmtId="0" fontId="0" fillId="20" borderId="8" xfId="0" applyFill="1" applyBorder="1" applyAlignment="1">
      <alignment horizontal="center" vertical="center"/>
    </xf>
    <xf numFmtId="44" fontId="0" fillId="0" borderId="0" xfId="0" applyNumberFormat="1"/>
    <xf numFmtId="0" fontId="0" fillId="10" borderId="36" xfId="0" applyFill="1" applyBorder="1"/>
    <xf numFmtId="0" fontId="8" fillId="3" borderId="0" xfId="4" applyFont="1" applyFill="1" applyAlignment="1">
      <alignment horizontal="center" vertical="center" wrapText="1"/>
    </xf>
    <xf numFmtId="0" fontId="48" fillId="6" borderId="0" xfId="4" applyFont="1" applyFill="1" applyAlignment="1">
      <alignment horizontal="center" vertical="center" wrapText="1"/>
    </xf>
    <xf numFmtId="164" fontId="2" fillId="0" borderId="0" xfId="4" applyNumberFormat="1" applyAlignment="1">
      <alignment horizontal="center" vertical="center"/>
    </xf>
    <xf numFmtId="164" fontId="8" fillId="3" borderId="0" xfId="4" applyNumberFormat="1" applyFont="1" applyFill="1" applyAlignment="1">
      <alignment horizontal="center" vertical="center"/>
    </xf>
    <xf numFmtId="164" fontId="2" fillId="0" borderId="1" xfId="2" applyNumberFormat="1" applyBorder="1" applyAlignment="1">
      <alignment horizontal="center" vertical="center"/>
    </xf>
    <xf numFmtId="164" fontId="7" fillId="0" borderId="1" xfId="2" applyNumberFormat="1" applyFont="1" applyBorder="1" applyAlignment="1">
      <alignment horizontal="center" vertical="center"/>
    </xf>
    <xf numFmtId="164" fontId="19" fillId="0" borderId="1" xfId="2" applyNumberFormat="1" applyFont="1" applyBorder="1" applyAlignment="1">
      <alignment horizontal="center" vertical="center"/>
    </xf>
    <xf numFmtId="164" fontId="18" fillId="0" borderId="1" xfId="2" applyNumberFormat="1" applyFont="1" applyBorder="1" applyAlignment="1">
      <alignment horizontal="center" vertical="center"/>
    </xf>
    <xf numFmtId="164" fontId="21" fillId="0" borderId="1" xfId="2" applyNumberFormat="1" applyFont="1" applyBorder="1" applyAlignment="1">
      <alignment horizontal="center" vertical="center"/>
    </xf>
    <xf numFmtId="164" fontId="11" fillId="0" borderId="8" xfId="2" applyNumberFormat="1" applyFont="1" applyBorder="1" applyAlignment="1">
      <alignment horizontal="center" vertical="center"/>
    </xf>
    <xf numFmtId="0" fontId="29" fillId="0" borderId="8" xfId="0" applyFont="1" applyBorder="1" applyAlignment="1">
      <alignment horizontal="center"/>
    </xf>
    <xf numFmtId="0" fontId="36" fillId="0" borderId="19" xfId="2" applyFont="1" applyBorder="1" applyAlignment="1">
      <alignment horizontal="center" vertical="center" wrapText="1"/>
    </xf>
    <xf numFmtId="0" fontId="20" fillId="4" borderId="17" xfId="2" applyFont="1" applyFill="1" applyBorder="1" applyAlignment="1">
      <alignment horizontal="center" vertical="center"/>
    </xf>
    <xf numFmtId="0" fontId="86" fillId="0" borderId="8" xfId="0" applyFont="1" applyBorder="1" applyAlignment="1">
      <alignment horizontal="center"/>
    </xf>
    <xf numFmtId="0" fontId="30" fillId="3" borderId="36" xfId="4" applyFont="1" applyFill="1" applyBorder="1" applyAlignment="1">
      <alignment horizontal="center"/>
    </xf>
    <xf numFmtId="0" fontId="30" fillId="3" borderId="36" xfId="4" applyFont="1" applyFill="1" applyBorder="1" applyAlignment="1">
      <alignment horizontal="center" vertical="center"/>
    </xf>
    <xf numFmtId="164" fontId="30" fillId="3" borderId="36" xfId="4" applyNumberFormat="1" applyFont="1" applyFill="1" applyBorder="1"/>
    <xf numFmtId="0" fontId="11" fillId="4" borderId="8" xfId="3" applyFont="1" applyFill="1" applyBorder="1" applyAlignment="1">
      <alignment horizontal="center" vertical="center" wrapText="1"/>
    </xf>
    <xf numFmtId="0" fontId="23" fillId="0" borderId="5" xfId="2" applyFont="1" applyBorder="1"/>
    <xf numFmtId="0" fontId="24" fillId="0" borderId="6" xfId="2" applyFont="1" applyBorder="1"/>
    <xf numFmtId="164" fontId="24" fillId="0" borderId="7" xfId="2" applyNumberFormat="1" applyFont="1" applyBorder="1"/>
    <xf numFmtId="0" fontId="30" fillId="3" borderId="8" xfId="4" applyFont="1" applyFill="1" applyBorder="1" applyAlignment="1">
      <alignment horizontal="center"/>
    </xf>
    <xf numFmtId="0" fontId="30" fillId="3" borderId="8" xfId="4" applyFont="1" applyFill="1" applyBorder="1" applyAlignment="1">
      <alignment horizontal="center" vertical="center"/>
    </xf>
    <xf numFmtId="164" fontId="30" fillId="3" borderId="8" xfId="4" applyNumberFormat="1" applyFont="1" applyFill="1" applyBorder="1"/>
    <xf numFmtId="0" fontId="9" fillId="3" borderId="15" xfId="3" applyFont="1" applyFill="1" applyBorder="1" applyAlignment="1">
      <alignment horizontal="center" vertical="center"/>
    </xf>
    <xf numFmtId="0" fontId="9" fillId="3" borderId="42" xfId="3" applyFont="1" applyFill="1" applyBorder="1" applyAlignment="1">
      <alignment horizontal="center" vertical="center"/>
    </xf>
    <xf numFmtId="164" fontId="9" fillId="3" borderId="16" xfId="3" applyNumberFormat="1" applyFont="1" applyFill="1" applyBorder="1" applyAlignment="1">
      <alignment horizontal="center" vertical="center"/>
    </xf>
    <xf numFmtId="0" fontId="2" fillId="0" borderId="2" xfId="4" applyBorder="1"/>
    <xf numFmtId="164" fontId="19" fillId="0" borderId="17" xfId="4" applyNumberFormat="1" applyFont="1" applyBorder="1"/>
    <xf numFmtId="0" fontId="9" fillId="10" borderId="19" xfId="0" applyFont="1" applyFill="1" applyBorder="1" applyAlignment="1">
      <alignment horizontal="center" vertical="center" wrapText="1"/>
    </xf>
    <xf numFmtId="0" fontId="9" fillId="10" borderId="8" xfId="4" applyFont="1" applyFill="1" applyBorder="1" applyAlignment="1">
      <alignment horizontal="center" vertical="center"/>
    </xf>
    <xf numFmtId="164" fontId="9" fillId="10" borderId="8" xfId="4" applyNumberFormat="1" applyFont="1" applyFill="1" applyBorder="1" applyAlignment="1">
      <alignment horizontal="center" vertical="center"/>
    </xf>
    <xf numFmtId="0" fontId="0" fillId="6" borderId="0" xfId="0" applyFill="1"/>
    <xf numFmtId="164" fontId="27" fillId="4" borderId="36" xfId="3" applyNumberFormat="1" applyFont="1" applyFill="1" applyBorder="1" applyAlignment="1">
      <alignment horizontal="center" vertical="center"/>
    </xf>
    <xf numFmtId="164" fontId="29" fillId="3" borderId="36" xfId="3" applyNumberFormat="1" applyFont="1" applyFill="1" applyBorder="1" applyAlignment="1">
      <alignment horizontal="center" vertical="center"/>
    </xf>
    <xf numFmtId="0" fontId="2" fillId="0" borderId="9" xfId="3" applyBorder="1" applyAlignment="1">
      <alignment horizontal="left" vertical="top"/>
    </xf>
    <xf numFmtId="0" fontId="2" fillId="0" borderId="1" xfId="3" applyBorder="1" applyAlignment="1">
      <alignment horizontal="left" vertical="top"/>
    </xf>
    <xf numFmtId="164" fontId="29" fillId="3" borderId="37" xfId="3" applyNumberFormat="1" applyFont="1" applyFill="1" applyBorder="1" applyAlignment="1">
      <alignment horizontal="center" vertical="center"/>
    </xf>
    <xf numFmtId="0" fontId="29" fillId="5" borderId="37" xfId="3" applyFont="1" applyFill="1" applyBorder="1" applyAlignment="1">
      <alignment horizontal="center" vertical="center"/>
    </xf>
    <xf numFmtId="164" fontId="28" fillId="4" borderId="46" xfId="3" applyNumberFormat="1" applyFont="1" applyFill="1" applyBorder="1" applyAlignment="1">
      <alignment horizontal="right" vertical="center"/>
    </xf>
    <xf numFmtId="0" fontId="29" fillId="5" borderId="29" xfId="3" applyFont="1" applyFill="1" applyBorder="1" applyAlignment="1">
      <alignment horizontal="center" vertical="center"/>
    </xf>
    <xf numFmtId="0" fontId="28" fillId="0" borderId="47" xfId="3" applyFont="1" applyBorder="1" applyAlignment="1">
      <alignment horizontal="right"/>
    </xf>
    <xf numFmtId="0" fontId="87" fillId="0" borderId="2" xfId="2" applyFont="1" applyBorder="1" applyAlignment="1">
      <alignment horizontal="center" vertical="center" wrapText="1"/>
    </xf>
    <xf numFmtId="0" fontId="10" fillId="4" borderId="37" xfId="3" applyFont="1" applyFill="1" applyBorder="1" applyAlignment="1">
      <alignment horizontal="center" vertical="center" wrapText="1"/>
    </xf>
    <xf numFmtId="0" fontId="11" fillId="4" borderId="57" xfId="2" applyFont="1" applyFill="1" applyBorder="1" applyAlignment="1">
      <alignment horizontal="center" vertical="center" wrapText="1"/>
    </xf>
    <xf numFmtId="0" fontId="11" fillId="0" borderId="12" xfId="2" applyFont="1" applyBorder="1"/>
    <xf numFmtId="0" fontId="9" fillId="4" borderId="0" xfId="2" applyFont="1" applyFill="1" applyAlignment="1">
      <alignment horizontal="center" vertical="center" wrapText="1"/>
    </xf>
    <xf numFmtId="0" fontId="9" fillId="23" borderId="19" xfId="2" applyFont="1" applyFill="1" applyBorder="1" applyAlignment="1">
      <alignment horizontal="center" vertical="center" wrapText="1"/>
    </xf>
    <xf numFmtId="0" fontId="27" fillId="3" borderId="8" xfId="0" applyFont="1" applyFill="1" applyBorder="1" applyAlignment="1">
      <alignment horizontal="center" vertical="center"/>
    </xf>
    <xf numFmtId="0" fontId="39" fillId="11" borderId="8" xfId="0" applyFont="1" applyFill="1" applyBorder="1" applyAlignment="1">
      <alignment horizontal="center" vertical="center" wrapText="1"/>
    </xf>
    <xf numFmtId="0" fontId="11" fillId="4" borderId="3" xfId="2" applyFont="1" applyFill="1" applyBorder="1"/>
    <xf numFmtId="0" fontId="28" fillId="4" borderId="0" xfId="0" applyFont="1" applyFill="1" applyAlignment="1">
      <alignment horizontal="center" vertical="center"/>
    </xf>
    <xf numFmtId="164" fontId="29" fillId="4" borderId="0" xfId="0" applyNumberFormat="1" applyFont="1" applyFill="1" applyAlignment="1">
      <alignment horizontal="center" vertical="center"/>
    </xf>
    <xf numFmtId="0" fontId="20" fillId="0" borderId="3" xfId="2" applyFont="1" applyBorder="1" applyAlignment="1">
      <alignment horizontal="center" vertical="top" wrapText="1"/>
    </xf>
    <xf numFmtId="0" fontId="11" fillId="4" borderId="0" xfId="2" applyFont="1" applyFill="1" applyAlignment="1">
      <alignment horizontal="center" vertical="center" wrapText="1"/>
    </xf>
    <xf numFmtId="0" fontId="28" fillId="0" borderId="58" xfId="0" applyFont="1" applyBorder="1" applyAlignment="1">
      <alignment horizontal="center" vertical="center"/>
    </xf>
    <xf numFmtId="0" fontId="9" fillId="3" borderId="10" xfId="2" applyFont="1" applyFill="1" applyBorder="1" applyAlignment="1">
      <alignment horizontal="center" vertical="center" wrapText="1"/>
    </xf>
    <xf numFmtId="0" fontId="11" fillId="4" borderId="10" xfId="2" applyFont="1" applyFill="1" applyBorder="1" applyAlignment="1">
      <alignment horizontal="center" vertical="center" wrapText="1"/>
    </xf>
    <xf numFmtId="164" fontId="11" fillId="4" borderId="10" xfId="2" applyNumberFormat="1" applyFont="1" applyFill="1" applyBorder="1" applyAlignment="1">
      <alignment horizontal="center" vertical="center"/>
    </xf>
    <xf numFmtId="0" fontId="28" fillId="0" borderId="19" xfId="0" applyFont="1" applyBorder="1" applyAlignment="1">
      <alignment horizontal="center" vertical="center"/>
    </xf>
    <xf numFmtId="0" fontId="26" fillId="2" borderId="33" xfId="2" applyFont="1" applyFill="1" applyBorder="1" applyAlignment="1">
      <alignment horizontal="center" vertical="center"/>
    </xf>
    <xf numFmtId="0" fontId="50" fillId="6" borderId="0" xfId="0" applyFont="1" applyFill="1" applyAlignment="1">
      <alignment horizontal="center"/>
    </xf>
    <xf numFmtId="0" fontId="54" fillId="24" borderId="8" xfId="3" applyFont="1" applyFill="1" applyBorder="1" applyAlignment="1">
      <alignment horizontal="center" vertical="center"/>
    </xf>
    <xf numFmtId="0" fontId="9" fillId="3" borderId="0" xfId="4" applyFont="1" applyFill="1" applyAlignment="1">
      <alignment horizontal="center" vertical="center" wrapText="1"/>
    </xf>
    <xf numFmtId="0" fontId="8" fillId="3" borderId="15" xfId="4" applyFont="1" applyFill="1" applyBorder="1" applyAlignment="1">
      <alignment horizontal="center" vertical="center"/>
    </xf>
    <xf numFmtId="0" fontId="8" fillId="3" borderId="42" xfId="4" applyFont="1" applyFill="1" applyBorder="1" applyAlignment="1">
      <alignment horizontal="center" vertical="center"/>
    </xf>
    <xf numFmtId="0" fontId="8" fillId="3" borderId="16" xfId="4" applyFont="1" applyFill="1" applyBorder="1" applyAlignment="1">
      <alignment horizontal="center" vertical="center"/>
    </xf>
    <xf numFmtId="0" fontId="88" fillId="4" borderId="17" xfId="4" applyFont="1" applyFill="1" applyBorder="1" applyAlignment="1">
      <alignment horizontal="center" vertical="center" wrapText="1"/>
    </xf>
    <xf numFmtId="0" fontId="76" fillId="4" borderId="17" xfId="4" applyFont="1" applyFill="1" applyBorder="1" applyAlignment="1">
      <alignment horizontal="center" vertical="center" wrapText="1"/>
    </xf>
    <xf numFmtId="0" fontId="85" fillId="4" borderId="17" xfId="4" applyFont="1" applyFill="1" applyBorder="1" applyAlignment="1">
      <alignment horizontal="center" vertical="center" wrapText="1"/>
    </xf>
    <xf numFmtId="0" fontId="2" fillId="4" borderId="1" xfId="4" applyFill="1" applyBorder="1" applyAlignment="1">
      <alignment horizontal="center" vertical="center"/>
    </xf>
    <xf numFmtId="164" fontId="2" fillId="4" borderId="1" xfId="4" applyNumberFormat="1" applyFill="1" applyBorder="1"/>
    <xf numFmtId="0" fontId="8" fillId="3" borderId="0" xfId="2" applyFont="1" applyFill="1" applyAlignment="1">
      <alignment horizontal="center" vertical="center" wrapText="1"/>
    </xf>
    <xf numFmtId="164" fontId="2" fillId="0" borderId="0" xfId="2" applyNumberFormat="1" applyAlignment="1">
      <alignment horizontal="center" vertical="center"/>
    </xf>
    <xf numFmtId="0" fontId="8" fillId="3" borderId="8" xfId="0" applyFont="1" applyFill="1" applyBorder="1" applyAlignment="1">
      <alignment horizontal="center" vertical="center"/>
    </xf>
    <xf numFmtId="0" fontId="8" fillId="3" borderId="17" xfId="4" applyFont="1" applyFill="1" applyBorder="1" applyAlignment="1">
      <alignment horizontal="center"/>
    </xf>
    <xf numFmtId="0" fontId="80" fillId="0" borderId="0" xfId="0" applyFont="1" applyAlignment="1">
      <alignment horizontal="center" vertical="center"/>
    </xf>
    <xf numFmtId="0" fontId="13" fillId="4" borderId="8" xfId="0" applyFont="1" applyFill="1" applyBorder="1" applyAlignment="1">
      <alignment horizontal="center" vertical="center"/>
    </xf>
    <xf numFmtId="0" fontId="13" fillId="4" borderId="19" xfId="0" applyFont="1" applyFill="1" applyBorder="1" applyAlignment="1">
      <alignment horizontal="center" vertical="center"/>
    </xf>
    <xf numFmtId="164" fontId="11" fillId="4" borderId="8" xfId="0" applyNumberFormat="1" applyFont="1" applyFill="1" applyBorder="1" applyAlignment="1">
      <alignment horizontal="center" vertical="center" wrapText="1"/>
    </xf>
    <xf numFmtId="164" fontId="11" fillId="16" borderId="37" xfId="0" applyNumberFormat="1" applyFont="1" applyFill="1" applyBorder="1" applyAlignment="1">
      <alignment horizontal="center" vertical="center" wrapText="1"/>
    </xf>
    <xf numFmtId="0" fontId="30" fillId="0" borderId="25" xfId="2" applyFont="1" applyBorder="1" applyAlignment="1">
      <alignment horizontal="center" vertical="center"/>
    </xf>
    <xf numFmtId="0" fontId="11" fillId="4" borderId="8" xfId="0" applyFont="1" applyFill="1" applyBorder="1" applyAlignment="1">
      <alignment horizontal="center"/>
    </xf>
    <xf numFmtId="0" fontId="8" fillId="4" borderId="8" xfId="4" applyFont="1" applyFill="1" applyBorder="1" applyAlignment="1">
      <alignment horizontal="center" vertical="center" wrapText="1"/>
    </xf>
    <xf numFmtId="0" fontId="8" fillId="4" borderId="0" xfId="4" applyFont="1" applyFill="1" applyAlignment="1">
      <alignment horizontal="center" vertical="center" wrapText="1"/>
    </xf>
    <xf numFmtId="0" fontId="11" fillId="4" borderId="20" xfId="0" applyFont="1" applyFill="1" applyBorder="1" applyAlignment="1">
      <alignment horizontal="center" vertical="center" wrapText="1"/>
    </xf>
    <xf numFmtId="164" fontId="9" fillId="15" borderId="36" xfId="0" applyNumberFormat="1" applyFont="1" applyFill="1" applyBorder="1" applyAlignment="1">
      <alignment horizontal="center" vertical="center" wrapText="1"/>
    </xf>
    <xf numFmtId="164" fontId="63" fillId="15" borderId="36" xfId="0" applyNumberFormat="1" applyFont="1" applyFill="1" applyBorder="1" applyAlignment="1">
      <alignment horizontal="center" vertical="center" wrapText="1"/>
    </xf>
    <xf numFmtId="164" fontId="63" fillId="15" borderId="45" xfId="0" applyNumberFormat="1" applyFont="1" applyFill="1" applyBorder="1" applyAlignment="1">
      <alignment horizontal="center" vertical="center" wrapText="1"/>
    </xf>
    <xf numFmtId="164" fontId="9" fillId="15" borderId="45" xfId="0" applyNumberFormat="1" applyFont="1" applyFill="1" applyBorder="1" applyAlignment="1">
      <alignment horizontal="center" vertical="center" wrapText="1"/>
    </xf>
    <xf numFmtId="0" fontId="2" fillId="0" borderId="17" xfId="2" applyBorder="1"/>
    <xf numFmtId="164" fontId="63" fillId="4" borderId="0" xfId="0" applyNumberFormat="1" applyFont="1" applyFill="1" applyAlignment="1">
      <alignment horizontal="center" vertical="center" wrapText="1"/>
    </xf>
    <xf numFmtId="164" fontId="9" fillId="4" borderId="0" xfId="0" applyNumberFormat="1" applyFont="1" applyFill="1" applyAlignment="1">
      <alignment horizontal="center" vertical="center" wrapText="1"/>
    </xf>
    <xf numFmtId="164" fontId="27" fillId="4" borderId="21" xfId="0" applyNumberFormat="1" applyFont="1" applyFill="1" applyBorder="1" applyAlignment="1">
      <alignment horizontal="center" vertical="center" wrapText="1"/>
    </xf>
    <xf numFmtId="0" fontId="28" fillId="4" borderId="36" xfId="3" applyFont="1" applyFill="1" applyBorder="1" applyAlignment="1">
      <alignment horizontal="center" vertical="center" wrapText="1"/>
    </xf>
    <xf numFmtId="0" fontId="58" fillId="4" borderId="36" xfId="3" applyFont="1" applyFill="1" applyBorder="1" applyAlignment="1">
      <alignment horizontal="center" vertical="center" wrapText="1"/>
    </xf>
    <xf numFmtId="0" fontId="2" fillId="0" borderId="3" xfId="2" applyBorder="1" applyAlignment="1">
      <alignment horizontal="center"/>
    </xf>
    <xf numFmtId="0" fontId="2" fillId="0" borderId="1" xfId="2" applyBorder="1" applyAlignment="1">
      <alignment horizontal="center"/>
    </xf>
    <xf numFmtId="0" fontId="20" fillId="0" borderId="1" xfId="2" applyFont="1" applyBorder="1" applyAlignment="1">
      <alignment horizontal="center"/>
    </xf>
    <xf numFmtId="164" fontId="21" fillId="0" borderId="1" xfId="2" applyNumberFormat="1" applyFont="1" applyBorder="1" applyAlignment="1">
      <alignment horizontal="center"/>
    </xf>
    <xf numFmtId="0" fontId="21" fillId="0" borderId="3" xfId="2" applyFont="1" applyBorder="1" applyAlignment="1">
      <alignment horizontal="center"/>
    </xf>
    <xf numFmtId="164" fontId="21" fillId="0" borderId="9" xfId="2" applyNumberFormat="1" applyFont="1" applyBorder="1" applyAlignment="1">
      <alignment horizontal="center"/>
    </xf>
    <xf numFmtId="0" fontId="53" fillId="3" borderId="8" xfId="0" applyFont="1" applyFill="1" applyBorder="1" applyAlignment="1">
      <alignment horizontal="center" vertical="center" wrapText="1"/>
    </xf>
    <xf numFmtId="0" fontId="28" fillId="4" borderId="8" xfId="3" applyFont="1" applyFill="1" applyBorder="1" applyAlignment="1">
      <alignment horizontal="center" vertical="center" wrapText="1"/>
    </xf>
    <xf numFmtId="164" fontId="29" fillId="3" borderId="8" xfId="0" applyNumberFormat="1" applyFont="1" applyFill="1" applyBorder="1" applyAlignment="1">
      <alignment horizontal="center" vertical="center" wrapText="1"/>
    </xf>
    <xf numFmtId="0" fontId="28" fillId="0" borderId="10" xfId="0" applyFont="1" applyBorder="1" applyAlignment="1">
      <alignment horizontal="center" vertical="center"/>
    </xf>
    <xf numFmtId="164" fontId="29" fillId="3" borderId="10" xfId="0" applyNumberFormat="1" applyFont="1" applyFill="1" applyBorder="1" applyAlignment="1">
      <alignment horizontal="center" vertical="center"/>
    </xf>
    <xf numFmtId="0" fontId="29" fillId="23" borderId="8" xfId="0" applyFont="1" applyFill="1" applyBorder="1" applyAlignment="1">
      <alignment horizontal="center"/>
    </xf>
    <xf numFmtId="0" fontId="9" fillId="4" borderId="8" xfId="0" applyFont="1" applyFill="1" applyBorder="1" applyAlignment="1">
      <alignment horizontal="center" vertical="center"/>
    </xf>
    <xf numFmtId="0" fontId="9" fillId="4" borderId="10" xfId="0" applyFont="1" applyFill="1" applyBorder="1" applyAlignment="1">
      <alignment horizontal="center" vertical="center"/>
    </xf>
    <xf numFmtId="0" fontId="9" fillId="16" borderId="8" xfId="0" applyFont="1" applyFill="1" applyBorder="1" applyAlignment="1">
      <alignment horizontal="center" vertical="center" wrapText="1"/>
    </xf>
    <xf numFmtId="0" fontId="11" fillId="16" borderId="8" xfId="0" applyFont="1" applyFill="1" applyBorder="1" applyAlignment="1">
      <alignment horizontal="center" vertical="center" wrapText="1"/>
    </xf>
    <xf numFmtId="164" fontId="11" fillId="16" borderId="10" xfId="0" applyNumberFormat="1" applyFont="1" applyFill="1" applyBorder="1" applyAlignment="1">
      <alignment horizontal="center" vertical="center" wrapText="1"/>
    </xf>
    <xf numFmtId="164" fontId="29" fillId="3" borderId="10" xfId="0" applyNumberFormat="1" applyFont="1" applyFill="1" applyBorder="1" applyAlignment="1">
      <alignment horizontal="center" vertical="center" wrapText="1"/>
    </xf>
    <xf numFmtId="44" fontId="27" fillId="4" borderId="20" xfId="1" applyFont="1" applyFill="1" applyBorder="1" applyAlignment="1">
      <alignment horizontal="center" vertical="center" wrapText="1"/>
    </xf>
    <xf numFmtId="44" fontId="9" fillId="3" borderId="8" xfId="1" applyFont="1" applyFill="1" applyBorder="1" applyAlignment="1">
      <alignment horizontal="center" vertical="center" wrapText="1"/>
    </xf>
    <xf numFmtId="44" fontId="27" fillId="4" borderId="44" xfId="1" applyFont="1" applyFill="1" applyBorder="1" applyAlignment="1">
      <alignment horizontal="center" vertical="center" wrapText="1"/>
    </xf>
    <xf numFmtId="44" fontId="27" fillId="4" borderId="0" xfId="1" applyFont="1" applyFill="1" applyBorder="1" applyAlignment="1">
      <alignment horizontal="center" vertical="center" wrapText="1"/>
    </xf>
    <xf numFmtId="0" fontId="11" fillId="4" borderId="0" xfId="2" applyFont="1" applyFill="1"/>
    <xf numFmtId="0" fontId="8" fillId="4" borderId="0" xfId="2" applyFont="1" applyFill="1" applyAlignment="1">
      <alignment horizontal="center" vertical="center"/>
    </xf>
    <xf numFmtId="44" fontId="9" fillId="4" borderId="0" xfId="1" applyFont="1" applyFill="1" applyBorder="1" applyAlignment="1">
      <alignment horizontal="center" vertical="center"/>
    </xf>
    <xf numFmtId="0" fontId="26" fillId="3" borderId="10" xfId="2" applyFont="1" applyFill="1" applyBorder="1" applyAlignment="1">
      <alignment horizontal="center" vertical="center"/>
    </xf>
    <xf numFmtId="44" fontId="27" fillId="4" borderId="8" xfId="1" applyFont="1" applyFill="1" applyBorder="1" applyAlignment="1">
      <alignment horizontal="center" vertical="center" wrapText="1"/>
    </xf>
    <xf numFmtId="0" fontId="93" fillId="24" borderId="8" xfId="2" applyFont="1" applyFill="1" applyBorder="1" applyAlignment="1">
      <alignment horizontal="center"/>
    </xf>
    <xf numFmtId="164" fontId="93" fillId="24" borderId="8" xfId="2" applyNumberFormat="1" applyFont="1" applyFill="1" applyBorder="1" applyAlignment="1">
      <alignment horizontal="center"/>
    </xf>
    <xf numFmtId="164" fontId="4" fillId="0" borderId="2" xfId="2" applyNumberFormat="1" applyFont="1" applyBorder="1" applyAlignment="1">
      <alignment horizontal="left"/>
    </xf>
    <xf numFmtId="164" fontId="4" fillId="0" borderId="1" xfId="2" applyNumberFormat="1" applyFont="1" applyBorder="1" applyAlignment="1">
      <alignment horizontal="left"/>
    </xf>
    <xf numFmtId="164" fontId="11" fillId="0" borderId="10" xfId="4" applyNumberFormat="1" applyFont="1" applyBorder="1" applyAlignment="1">
      <alignment horizontal="center" vertical="center"/>
    </xf>
    <xf numFmtId="164" fontId="9" fillId="3" borderId="10" xfId="4" applyNumberFormat="1" applyFont="1" applyFill="1" applyBorder="1" applyAlignment="1">
      <alignment horizontal="center" vertical="center"/>
    </xf>
    <xf numFmtId="164" fontId="2" fillId="0" borderId="17" xfId="2" applyNumberFormat="1" applyBorder="1" applyAlignment="1">
      <alignment horizontal="center" vertical="center"/>
    </xf>
    <xf numFmtId="164" fontId="2" fillId="4" borderId="0" xfId="4" applyNumberFormat="1" applyFill="1" applyAlignment="1">
      <alignment horizontal="center" vertical="center"/>
    </xf>
    <xf numFmtId="164" fontId="8" fillId="4" borderId="0" xfId="4" applyNumberFormat="1" applyFont="1" applyFill="1" applyAlignment="1">
      <alignment horizontal="center" vertical="center"/>
    </xf>
    <xf numFmtId="0" fontId="29" fillId="25" borderId="8" xfId="0" applyFont="1" applyFill="1" applyBorder="1" applyAlignment="1">
      <alignment horizontal="center"/>
    </xf>
    <xf numFmtId="0" fontId="9" fillId="25" borderId="19" xfId="2" applyFont="1" applyFill="1" applyBorder="1" applyAlignment="1">
      <alignment horizontal="center" vertical="center" wrapText="1"/>
    </xf>
    <xf numFmtId="0" fontId="2" fillId="0" borderId="1" xfId="3" applyBorder="1" applyAlignment="1">
      <alignment horizontal="center" vertical="center"/>
    </xf>
    <xf numFmtId="0" fontId="2" fillId="4" borderId="1" xfId="3" applyFill="1" applyBorder="1" applyAlignment="1">
      <alignment horizontal="center" vertical="center"/>
    </xf>
    <xf numFmtId="0" fontId="11" fillId="0" borderId="3" xfId="3" applyFont="1" applyBorder="1" applyAlignment="1">
      <alignment horizontal="center" vertical="center"/>
    </xf>
    <xf numFmtId="0" fontId="16" fillId="0" borderId="2" xfId="2" applyFont="1" applyBorder="1" applyAlignment="1">
      <alignment horizontal="left" vertical="center"/>
    </xf>
    <xf numFmtId="0" fontId="43" fillId="0" borderId="36" xfId="0" applyFont="1" applyBorder="1"/>
    <xf numFmtId="0" fontId="94" fillId="4" borderId="36" xfId="0" applyFont="1" applyFill="1" applyBorder="1" applyAlignment="1">
      <alignment horizontal="left" vertical="center" wrapText="1"/>
    </xf>
    <xf numFmtId="0" fontId="40" fillId="4" borderId="36" xfId="0" applyFont="1" applyFill="1" applyBorder="1" applyAlignment="1">
      <alignment horizontal="left" vertical="center" wrapText="1"/>
    </xf>
    <xf numFmtId="0" fontId="95" fillId="3" borderId="8" xfId="2" applyFont="1" applyFill="1" applyBorder="1" applyAlignment="1">
      <alignment horizontal="center" vertical="center"/>
    </xf>
    <xf numFmtId="0" fontId="2" fillId="13" borderId="35" xfId="2" applyFill="1" applyBorder="1" applyAlignment="1">
      <alignment wrapText="1"/>
    </xf>
    <xf numFmtId="0" fontId="2" fillId="13" borderId="35" xfId="2" applyFill="1" applyBorder="1" applyAlignment="1">
      <alignment horizontal="left" wrapText="1" indent="1"/>
    </xf>
    <xf numFmtId="0" fontId="30" fillId="26" borderId="0" xfId="2" applyFont="1" applyFill="1"/>
    <xf numFmtId="4" fontId="30" fillId="26" borderId="0" xfId="2" applyNumberFormat="1" applyFont="1" applyFill="1" applyAlignment="1">
      <alignment horizontal="left" indent="1"/>
    </xf>
    <xf numFmtId="0" fontId="30" fillId="26" borderId="0" xfId="2" applyFont="1" applyFill="1" applyAlignment="1">
      <alignment wrapText="1"/>
    </xf>
    <xf numFmtId="0" fontId="30" fillId="26" borderId="6" xfId="2" applyFont="1" applyFill="1" applyBorder="1" applyAlignment="1">
      <alignment wrapText="1"/>
    </xf>
    <xf numFmtId="4" fontId="30" fillId="26" borderId="6" xfId="2" applyNumberFormat="1" applyFont="1" applyFill="1" applyBorder="1" applyAlignment="1">
      <alignment horizontal="left" indent="1"/>
    </xf>
    <xf numFmtId="0" fontId="30" fillId="26" borderId="6" xfId="2" applyFont="1" applyFill="1" applyBorder="1"/>
    <xf numFmtId="0" fontId="80" fillId="27" borderId="0" xfId="0" applyFont="1" applyFill="1"/>
    <xf numFmtId="0" fontId="30" fillId="0" borderId="1" xfId="2" applyFont="1" applyBorder="1"/>
    <xf numFmtId="0" fontId="30" fillId="13" borderId="1" xfId="2" applyFont="1" applyFill="1" applyBorder="1"/>
    <xf numFmtId="0" fontId="2" fillId="26" borderId="18" xfId="2" applyFill="1" applyBorder="1"/>
    <xf numFmtId="164" fontId="30" fillId="26" borderId="1" xfId="2" applyNumberFormat="1" applyFont="1" applyFill="1" applyBorder="1" applyAlignment="1">
      <alignment wrapText="1"/>
    </xf>
    <xf numFmtId="164" fontId="30" fillId="0" borderId="5" xfId="2" applyNumberFormat="1" applyFont="1" applyBorder="1"/>
    <xf numFmtId="164" fontId="2" fillId="26" borderId="12" xfId="2" applyNumberFormat="1" applyFill="1" applyBorder="1" applyAlignment="1">
      <alignment horizontal="left" wrapText="1" indent="5"/>
    </xf>
    <xf numFmtId="0" fontId="2" fillId="0" borderId="6" xfId="2" applyBorder="1"/>
    <xf numFmtId="0" fontId="2" fillId="26" borderId="6" xfId="2" applyFill="1" applyBorder="1"/>
    <xf numFmtId="164" fontId="30" fillId="26" borderId="5" xfId="2" applyNumberFormat="1" applyFont="1" applyFill="1" applyBorder="1"/>
    <xf numFmtId="4" fontId="80" fillId="0" borderId="0" xfId="0" applyNumberFormat="1" applyFont="1"/>
    <xf numFmtId="0" fontId="80" fillId="28" borderId="0" xfId="0" applyFont="1" applyFill="1"/>
    <xf numFmtId="0" fontId="30" fillId="19" borderId="1" xfId="2" applyFont="1" applyFill="1" applyBorder="1" applyAlignment="1">
      <alignment wrapText="1"/>
    </xf>
    <xf numFmtId="164" fontId="15" fillId="29" borderId="1" xfId="2" applyNumberFormat="1" applyFont="1" applyFill="1" applyBorder="1" applyAlignment="1">
      <alignment horizontal="center" vertical="center"/>
    </xf>
    <xf numFmtId="0" fontId="29" fillId="30" borderId="8" xfId="0" applyFont="1" applyFill="1" applyBorder="1" applyAlignment="1">
      <alignment horizontal="center"/>
    </xf>
    <xf numFmtId="0" fontId="9" fillId="31" borderId="19" xfId="2" applyFont="1" applyFill="1" applyBorder="1" applyAlignment="1">
      <alignment horizontal="center" vertical="center" wrapText="1"/>
    </xf>
    <xf numFmtId="0" fontId="9" fillId="9" borderId="19" xfId="0" applyFont="1" applyFill="1" applyBorder="1" applyAlignment="1">
      <alignment horizontal="center" vertical="center" wrapText="1"/>
    </xf>
    <xf numFmtId="164" fontId="9" fillId="9" borderId="8" xfId="4" applyNumberFormat="1" applyFont="1" applyFill="1" applyBorder="1" applyAlignment="1">
      <alignment horizontal="center" vertical="center"/>
    </xf>
    <xf numFmtId="164" fontId="29" fillId="9" borderId="20" xfId="0" applyNumberFormat="1" applyFont="1" applyFill="1" applyBorder="1" applyAlignment="1">
      <alignment horizontal="center" vertical="center" wrapText="1"/>
    </xf>
    <xf numFmtId="0" fontId="11" fillId="16" borderId="37" xfId="0" applyFont="1" applyFill="1" applyBorder="1" applyAlignment="1">
      <alignment horizontal="center" vertical="center" wrapText="1"/>
    </xf>
    <xf numFmtId="0" fontId="25" fillId="0" borderId="5" xfId="5" applyFont="1" applyBorder="1" applyAlignment="1">
      <alignment horizontal="justify" vertical="center"/>
    </xf>
    <xf numFmtId="0" fontId="25" fillId="0" borderId="6" xfId="5" applyFont="1" applyBorder="1" applyAlignment="1">
      <alignment horizontal="justify" vertical="center"/>
    </xf>
    <xf numFmtId="0" fontId="25" fillId="0" borderId="0" xfId="5" applyFont="1" applyAlignment="1">
      <alignment horizontal="justify" vertical="center"/>
    </xf>
    <xf numFmtId="0" fontId="25" fillId="0" borderId="7" xfId="5" applyFont="1" applyBorder="1" applyAlignment="1">
      <alignment horizontal="justify" vertical="center"/>
    </xf>
    <xf numFmtId="0" fontId="3" fillId="0" borderId="1" xfId="2" applyFont="1" applyBorder="1" applyAlignment="1">
      <alignment horizontal="right"/>
    </xf>
    <xf numFmtId="0" fontId="5" fillId="0" borderId="3" xfId="2" applyFont="1" applyBorder="1" applyAlignment="1">
      <alignment horizontal="left" indent="1"/>
    </xf>
    <xf numFmtId="0" fontId="5" fillId="0" borderId="9" xfId="2" applyFont="1" applyBorder="1" applyAlignment="1">
      <alignment horizontal="left" indent="1"/>
    </xf>
    <xf numFmtId="0" fontId="6" fillId="0" borderId="5" xfId="2" applyFont="1" applyBorder="1" applyAlignment="1">
      <alignment horizontal="justify" vertical="center"/>
    </xf>
    <xf numFmtId="0" fontId="6" fillId="0" borderId="6" xfId="2" applyFont="1" applyBorder="1" applyAlignment="1">
      <alignment horizontal="justify" vertical="center"/>
    </xf>
    <xf numFmtId="0" fontId="6" fillId="0" borderId="0" xfId="2" applyFont="1" applyAlignment="1">
      <alignment horizontal="justify" vertical="center"/>
    </xf>
    <xf numFmtId="0" fontId="6" fillId="0" borderId="7" xfId="2" applyFont="1" applyBorder="1" applyAlignment="1">
      <alignment horizontal="justify" vertical="center"/>
    </xf>
    <xf numFmtId="0" fontId="9" fillId="3" borderId="27" xfId="2" applyFont="1" applyFill="1" applyBorder="1" applyAlignment="1">
      <alignment horizontal="center" vertical="center"/>
    </xf>
    <xf numFmtId="0" fontId="9" fillId="3" borderId="23" xfId="2" applyFont="1" applyFill="1" applyBorder="1" applyAlignment="1">
      <alignment horizontal="center" vertical="center"/>
    </xf>
    <xf numFmtId="0" fontId="9" fillId="3" borderId="24" xfId="2" applyFont="1" applyFill="1" applyBorder="1" applyAlignment="1">
      <alignment horizontal="center" vertical="center"/>
    </xf>
    <xf numFmtId="0" fontId="25" fillId="0" borderId="3" xfId="5" applyFont="1" applyBorder="1" applyAlignment="1">
      <alignment horizontal="justify" vertical="center"/>
    </xf>
    <xf numFmtId="0" fontId="25" fillId="0" borderId="4" xfId="5" applyFont="1" applyBorder="1" applyAlignment="1">
      <alignment horizontal="justify" vertical="center"/>
    </xf>
    <xf numFmtId="0" fontId="25" fillId="0" borderId="35" xfId="5" applyFont="1" applyBorder="1" applyAlignment="1">
      <alignment horizontal="justify" vertical="center"/>
    </xf>
    <xf numFmtId="0" fontId="25" fillId="0" borderId="9" xfId="5" applyFont="1" applyBorder="1" applyAlignment="1">
      <alignment horizontal="justify" vertical="center"/>
    </xf>
    <xf numFmtId="0" fontId="30" fillId="3" borderId="27" xfId="2" applyFont="1" applyFill="1" applyBorder="1" applyAlignment="1">
      <alignment horizontal="right"/>
    </xf>
    <xf numFmtId="0" fontId="30" fillId="3" borderId="38" xfId="2" applyFont="1" applyFill="1" applyBorder="1" applyAlignment="1">
      <alignment horizontal="right"/>
    </xf>
    <xf numFmtId="0" fontId="30" fillId="3" borderId="39" xfId="2" applyFont="1" applyFill="1" applyBorder="1" applyAlignment="1">
      <alignment horizontal="right"/>
    </xf>
    <xf numFmtId="0" fontId="3" fillId="0" borderId="1" xfId="4" applyFont="1" applyBorder="1" applyAlignment="1">
      <alignment horizontal="right"/>
    </xf>
    <xf numFmtId="0" fontId="8" fillId="3" borderId="15" xfId="4" applyFont="1" applyFill="1" applyBorder="1" applyAlignment="1">
      <alignment horizontal="center" vertical="center"/>
    </xf>
    <xf numFmtId="0" fontId="8" fillId="3" borderId="42" xfId="4" applyFont="1" applyFill="1" applyBorder="1" applyAlignment="1">
      <alignment horizontal="center" vertical="center"/>
    </xf>
    <xf numFmtId="0" fontId="8" fillId="3" borderId="16" xfId="4" applyFont="1" applyFill="1" applyBorder="1" applyAlignment="1">
      <alignment horizontal="center" vertical="center"/>
    </xf>
    <xf numFmtId="0" fontId="30" fillId="3" borderId="41" xfId="2" applyFont="1" applyFill="1" applyBorder="1" applyAlignment="1">
      <alignment horizontal="right"/>
    </xf>
    <xf numFmtId="0" fontId="30" fillId="3" borderId="23" xfId="2" applyFont="1" applyFill="1" applyBorder="1" applyAlignment="1">
      <alignment horizontal="right"/>
    </xf>
    <xf numFmtId="0" fontId="30" fillId="3" borderId="24" xfId="2" applyFont="1" applyFill="1" applyBorder="1" applyAlignment="1">
      <alignment horizontal="right"/>
    </xf>
    <xf numFmtId="0" fontId="13" fillId="3" borderId="8" xfId="2" applyFont="1" applyFill="1" applyBorder="1" applyAlignment="1">
      <alignment horizontal="center" vertical="center"/>
    </xf>
    <xf numFmtId="0" fontId="8" fillId="3" borderId="27" xfId="2" applyFont="1" applyFill="1" applyBorder="1" applyAlignment="1">
      <alignment horizontal="center"/>
    </xf>
    <xf numFmtId="0" fontId="8" fillId="3" borderId="38" xfId="2" applyFont="1" applyFill="1" applyBorder="1" applyAlignment="1">
      <alignment horizontal="center"/>
    </xf>
    <xf numFmtId="0" fontId="8" fillId="3" borderId="39" xfId="2" applyFont="1" applyFill="1" applyBorder="1" applyAlignment="1">
      <alignment horizontal="center"/>
    </xf>
    <xf numFmtId="0" fontId="9" fillId="3" borderId="8" xfId="2" applyFont="1" applyFill="1" applyBorder="1" applyAlignment="1">
      <alignment horizontal="center" vertical="center"/>
    </xf>
    <xf numFmtId="0" fontId="3" fillId="0" borderId="1" xfId="3" applyFont="1" applyBorder="1" applyAlignment="1">
      <alignment horizontal="right"/>
    </xf>
    <xf numFmtId="0" fontId="3" fillId="0" borderId="3" xfId="2" applyFont="1" applyBorder="1" applyAlignment="1">
      <alignment horizontal="center" vertical="center"/>
    </xf>
    <xf numFmtId="0" fontId="3" fillId="0" borderId="4" xfId="2" applyFont="1" applyBorder="1" applyAlignment="1">
      <alignment horizontal="center" vertical="center"/>
    </xf>
    <xf numFmtId="0" fontId="3" fillId="0" borderId="35" xfId="2" applyFont="1" applyBorder="1" applyAlignment="1">
      <alignment horizontal="center" vertical="center"/>
    </xf>
    <xf numFmtId="0" fontId="3" fillId="0" borderId="9" xfId="2" applyFont="1" applyBorder="1" applyAlignment="1">
      <alignment horizontal="center" vertical="center"/>
    </xf>
    <xf numFmtId="0" fontId="9" fillId="3" borderId="48" xfId="3" applyFont="1" applyFill="1" applyBorder="1" applyAlignment="1">
      <alignment horizontal="center" vertical="center"/>
    </xf>
    <xf numFmtId="0" fontId="9" fillId="3" borderId="49" xfId="3" applyFont="1" applyFill="1" applyBorder="1" applyAlignment="1">
      <alignment horizontal="center" vertical="center"/>
    </xf>
    <xf numFmtId="0" fontId="9" fillId="3" borderId="50" xfId="3" applyFont="1" applyFill="1" applyBorder="1" applyAlignment="1">
      <alignment horizontal="center" vertical="center"/>
    </xf>
    <xf numFmtId="0" fontId="9" fillId="3" borderId="15" xfId="3" applyFont="1" applyFill="1" applyBorder="1" applyAlignment="1">
      <alignment horizontal="center" vertical="center"/>
    </xf>
    <xf numFmtId="0" fontId="9" fillId="3" borderId="42" xfId="3" applyFont="1" applyFill="1" applyBorder="1" applyAlignment="1">
      <alignment horizontal="center" vertical="center"/>
    </xf>
    <xf numFmtId="0" fontId="9" fillId="3" borderId="16" xfId="3" applyFont="1" applyFill="1" applyBorder="1" applyAlignment="1">
      <alignment horizontal="center" vertical="center"/>
    </xf>
    <xf numFmtId="0" fontId="29" fillId="3" borderId="41" xfId="2" applyFont="1" applyFill="1" applyBorder="1" applyAlignment="1">
      <alignment horizontal="center" vertical="center"/>
    </xf>
    <xf numFmtId="0" fontId="29" fillId="3" borderId="23" xfId="2" applyFont="1" applyFill="1" applyBorder="1" applyAlignment="1">
      <alignment horizontal="center" vertical="center"/>
    </xf>
    <xf numFmtId="0" fontId="29" fillId="3" borderId="24" xfId="2" applyFont="1" applyFill="1" applyBorder="1" applyAlignment="1">
      <alignment horizontal="center" vertical="center"/>
    </xf>
    <xf numFmtId="0" fontId="25" fillId="0" borderId="5" xfId="3" applyFont="1" applyBorder="1" applyAlignment="1">
      <alignment horizontal="justify" vertical="center"/>
    </xf>
    <xf numFmtId="0" fontId="25" fillId="0" borderId="6" xfId="3" applyFont="1" applyBorder="1" applyAlignment="1">
      <alignment horizontal="justify" vertical="center"/>
    </xf>
    <xf numFmtId="0" fontId="25" fillId="0" borderId="0" xfId="3" applyFont="1" applyAlignment="1">
      <alignment horizontal="justify" vertical="center"/>
    </xf>
    <xf numFmtId="0" fontId="25" fillId="0" borderId="7" xfId="3" applyFont="1" applyBorder="1" applyAlignment="1">
      <alignment horizontal="justify" vertical="center"/>
    </xf>
    <xf numFmtId="0" fontId="9" fillId="3" borderId="55" xfId="3" applyFont="1" applyFill="1" applyBorder="1" applyAlignment="1">
      <alignment horizontal="center" vertical="center"/>
    </xf>
    <xf numFmtId="0" fontId="9" fillId="3" borderId="56" xfId="3" applyFont="1" applyFill="1" applyBorder="1" applyAlignment="1">
      <alignment horizontal="center" vertical="center"/>
    </xf>
    <xf numFmtId="0" fontId="9" fillId="3" borderId="59" xfId="3" applyFont="1" applyFill="1" applyBorder="1" applyAlignment="1">
      <alignment horizontal="center" vertical="center"/>
    </xf>
    <xf numFmtId="0" fontId="29" fillId="3" borderId="48" xfId="3" applyFont="1" applyFill="1" applyBorder="1" applyAlignment="1">
      <alignment horizontal="right" vertical="center"/>
    </xf>
    <xf numFmtId="0" fontId="29" fillId="3" borderId="49" xfId="3" applyFont="1" applyFill="1" applyBorder="1" applyAlignment="1">
      <alignment horizontal="right" vertical="center"/>
    </xf>
    <xf numFmtId="0" fontId="29" fillId="3" borderId="50" xfId="3" applyFont="1" applyFill="1" applyBorder="1" applyAlignment="1">
      <alignment horizontal="right" vertical="center"/>
    </xf>
    <xf numFmtId="0" fontId="29" fillId="3" borderId="8" xfId="2" applyFont="1" applyFill="1" applyBorder="1" applyAlignment="1">
      <alignment horizontal="center" vertical="center"/>
    </xf>
    <xf numFmtId="0" fontId="29" fillId="3" borderId="15" xfId="2" applyFont="1" applyFill="1" applyBorder="1" applyAlignment="1">
      <alignment horizontal="center" vertical="center"/>
    </xf>
    <xf numFmtId="0" fontId="29" fillId="3" borderId="55" xfId="2" applyFont="1" applyFill="1" applyBorder="1" applyAlignment="1">
      <alignment horizontal="center" vertical="center"/>
    </xf>
    <xf numFmtId="0" fontId="29" fillId="3" borderId="56" xfId="2" applyFont="1" applyFill="1" applyBorder="1" applyAlignment="1">
      <alignment horizontal="center" vertical="center"/>
    </xf>
    <xf numFmtId="0" fontId="9" fillId="3" borderId="48" xfId="3" applyFont="1" applyFill="1" applyBorder="1" applyAlignment="1">
      <alignment horizontal="right" vertical="center"/>
    </xf>
    <xf numFmtId="0" fontId="9" fillId="3" borderId="49" xfId="3" applyFont="1" applyFill="1" applyBorder="1" applyAlignment="1">
      <alignment horizontal="right" vertical="center"/>
    </xf>
    <xf numFmtId="0" fontId="9" fillId="3" borderId="50" xfId="3" applyFont="1" applyFill="1" applyBorder="1" applyAlignment="1">
      <alignment horizontal="right" vertical="center"/>
    </xf>
    <xf numFmtId="0" fontId="30" fillId="3" borderId="27" xfId="2" applyFont="1" applyFill="1" applyBorder="1" applyAlignment="1">
      <alignment horizontal="center"/>
    </xf>
    <xf numFmtId="0" fontId="30" fillId="3" borderId="38" xfId="2" applyFont="1" applyFill="1" applyBorder="1" applyAlignment="1">
      <alignment horizontal="center"/>
    </xf>
    <xf numFmtId="0" fontId="30" fillId="3" borderId="39" xfId="2" applyFont="1" applyFill="1" applyBorder="1" applyAlignment="1">
      <alignment horizontal="center"/>
    </xf>
    <xf numFmtId="0" fontId="29" fillId="3" borderId="59" xfId="2" applyFont="1" applyFill="1" applyBorder="1" applyAlignment="1">
      <alignment horizontal="center" vertical="center"/>
    </xf>
  </cellXfs>
  <cellStyles count="6">
    <cellStyle name="Moneda" xfId="1" builtinId="4"/>
    <cellStyle name="Normal" xfId="0" builtinId="0"/>
    <cellStyle name="Normal 2" xfId="3" xr:uid="{AEDE062E-7F88-47A2-8689-047A56194F34}"/>
    <cellStyle name="Normal 3" xfId="2" xr:uid="{1EA5B4FE-F180-4FE5-934F-682E9EADFE89}"/>
    <cellStyle name="Normal 4" xfId="5" xr:uid="{6B25CB93-6C8A-437B-9DE3-A74CAB522F63}"/>
    <cellStyle name="Normal 6" xfId="4" xr:uid="{97C80A6B-C8F4-4124-A08C-3B10BCAA2875}"/>
  </cellStyles>
  <dxfs count="21">
    <dxf>
      <font>
        <b/>
      </font>
      <numFmt numFmtId="164" formatCode="&quot;$&quot;#,##0.00;[Red]&quot;$&quot;#,##0.00"/>
      <border diagonalUp="0" diagonalDown="0" outline="0">
        <left style="thin">
          <color indexed="9"/>
        </left>
        <right/>
        <top style="thin">
          <color indexed="9"/>
        </top>
        <bottom/>
      </border>
    </dxf>
    <dxf>
      <border diagonalUp="0" diagonalDown="0" outline="0">
        <left/>
        <right/>
        <top style="thin">
          <color indexed="9"/>
        </top>
        <bottom/>
      </border>
    </dxf>
    <dxf>
      <border outline="0">
        <top style="thin">
          <color indexed="9"/>
        </top>
      </border>
    </dxf>
    <dxf>
      <border outline="0">
        <left style="thin">
          <color indexed="9"/>
        </left>
        <right style="thin">
          <color indexed="9"/>
        </right>
        <top style="thin">
          <color indexed="9"/>
        </top>
        <bottom style="thin">
          <color indexed="9"/>
        </bottom>
      </border>
    </dxf>
    <dxf>
      <border outline="0">
        <bottom style="thin">
          <color indexed="9"/>
        </bottom>
      </border>
    </dxf>
    <dxf>
      <fill>
        <patternFill patternType="solid">
          <fgColor indexed="64"/>
          <bgColor theme="0"/>
        </patternFill>
      </fill>
      <border diagonalUp="0" diagonalDown="0">
        <left/>
        <right/>
        <top style="thin">
          <color indexed="9"/>
        </top>
        <bottom/>
        <vertical/>
        <horizontal/>
      </border>
    </dxf>
    <dxf>
      <fill>
        <patternFill patternType="solid">
          <fgColor indexed="64"/>
          <bgColor theme="0"/>
        </patternFill>
      </fill>
      <border diagonalUp="0" diagonalDown="0">
        <left/>
        <right/>
        <top style="thin">
          <color indexed="9"/>
        </top>
        <bottom/>
        <vertical/>
        <horizontal/>
      </border>
    </dxf>
    <dxf>
      <border outline="0">
        <top style="thin">
          <color indexed="9"/>
        </top>
      </border>
    </dxf>
    <dxf>
      <border outline="0">
        <left style="thin">
          <color indexed="9"/>
        </left>
        <right style="thin">
          <color indexed="9"/>
        </right>
        <top style="thin">
          <color indexed="9"/>
        </top>
        <bottom style="thin">
          <color indexed="9"/>
        </bottom>
      </border>
    </dxf>
    <dxf>
      <fill>
        <patternFill patternType="solid">
          <fgColor indexed="64"/>
          <bgColor theme="0"/>
        </patternFill>
      </fill>
    </dxf>
    <dxf>
      <border outline="0">
        <bottom style="thin">
          <color indexed="9"/>
        </bottom>
      </border>
    </dxf>
    <dxf>
      <fill>
        <patternFill patternType="solid">
          <fgColor indexed="64"/>
          <bgColor theme="3" tint="0.749992370372631"/>
        </patternFill>
      </fill>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styles" Target="style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externalLink" Target="externalLinks/externalLink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13FA941-9AEA-42F5-BF75-951F203939C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668F8504-0442-4C67-9347-3ACA5B334FEA}"/>
            </a:ext>
          </a:extLst>
        </xdr:cNvPr>
        <xdr:cNvSpPr txBox="1">
          <a:spLocks noChangeArrowheads="1"/>
        </xdr:cNvSpPr>
      </xdr:nvSpPr>
      <xdr:spPr bwMode="auto">
        <a:xfrm>
          <a:off x="3335655" y="457200"/>
          <a:ext cx="48977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83F67E3-8967-4E2E-AEEF-57641C95380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A0304520-55DB-4EEA-9C7E-79BB9B39EC1F}"/>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AA9AD444-2194-4C23-A0F2-C251EA9B9D7F}"/>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3557C2DC-C8F0-471D-8B1A-AB9F890331F7}"/>
            </a:ext>
          </a:extLst>
        </xdr:cNvPr>
        <xdr:cNvSpPr txBox="1">
          <a:spLocks noChangeArrowheads="1"/>
        </xdr:cNvSpPr>
      </xdr:nvSpPr>
      <xdr:spPr bwMode="auto">
        <a:xfrm>
          <a:off x="3012925" y="950259"/>
          <a:ext cx="375094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F23A7A3A-A4B0-49D7-BBF0-AD93F10261F0}"/>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68F06B99-1158-4EB0-881D-E1DD5E416F93}"/>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2880272-B843-4194-B030-6DCB1424937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BD80AD50-C17B-46E0-8E70-A89DA023A013}"/>
            </a:ext>
          </a:extLst>
        </xdr:cNvPr>
        <xdr:cNvSpPr txBox="1">
          <a:spLocks noChangeArrowheads="1"/>
        </xdr:cNvSpPr>
      </xdr:nvSpPr>
      <xdr:spPr bwMode="auto">
        <a:xfrm>
          <a:off x="3488055" y="224117"/>
          <a:ext cx="398671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286870</xdr:colOff>
      <xdr:row>0</xdr:row>
      <xdr:rowOff>237004</xdr:rowOff>
    </xdr:from>
    <xdr:ext cx="2400300" cy="1847290"/>
    <xdr:pic>
      <xdr:nvPicPr>
        <xdr:cNvPr id="2" name="image1.png">
          <a:extLst>
            <a:ext uri="{FF2B5EF4-FFF2-40B4-BE49-F238E27FC236}">
              <a16:creationId xmlns:a16="http://schemas.microsoft.com/office/drawing/2014/main" id="{FF57E082-1E92-4F67-85CD-A225A289F1FF}"/>
            </a:ext>
          </a:extLst>
        </xdr:cNvPr>
        <xdr:cNvPicPr preferRelativeResize="0"/>
      </xdr:nvPicPr>
      <xdr:blipFill>
        <a:blip xmlns:r="http://schemas.openxmlformats.org/officeDocument/2006/relationships" r:embed="rId1" cstate="print"/>
        <a:stretch>
          <a:fillRect/>
        </a:stretch>
      </xdr:blipFill>
      <xdr:spPr>
        <a:xfrm>
          <a:off x="286870" y="237004"/>
          <a:ext cx="2400300" cy="1847290"/>
        </a:xfrm>
        <a:prstGeom prst="rect">
          <a:avLst/>
        </a:prstGeom>
        <a:noFill/>
      </xdr:spPr>
    </xdr:pic>
    <xdr:clientData fLocksWithSheet="0"/>
  </xdr:oneCellAnchor>
  <xdr:twoCellAnchor>
    <xdr:from>
      <xdr:col>1</xdr:col>
      <xdr:colOff>2455769</xdr:colOff>
      <xdr:row>0</xdr:row>
      <xdr:rowOff>916641</xdr:rowOff>
    </xdr:from>
    <xdr:to>
      <xdr:col>2</xdr:col>
      <xdr:colOff>522195</xdr:colOff>
      <xdr:row>7</xdr:row>
      <xdr:rowOff>202826</xdr:rowOff>
    </xdr:to>
    <xdr:sp macro="" textlink="">
      <xdr:nvSpPr>
        <xdr:cNvPr id="3" name="Text Box 2">
          <a:extLst>
            <a:ext uri="{FF2B5EF4-FFF2-40B4-BE49-F238E27FC236}">
              <a16:creationId xmlns:a16="http://schemas.microsoft.com/office/drawing/2014/main" id="{8448A82D-E9CA-40F9-89DE-2895374D63A7}"/>
            </a:ext>
          </a:extLst>
        </xdr:cNvPr>
        <xdr:cNvSpPr txBox="1">
          <a:spLocks noChangeArrowheads="1"/>
        </xdr:cNvSpPr>
      </xdr:nvSpPr>
      <xdr:spPr bwMode="auto">
        <a:xfrm>
          <a:off x="2867249" y="916641"/>
          <a:ext cx="4383406" cy="13969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6CA6CA81-2242-4E43-8716-6716A36FD00A}"/>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5DA7833B-7284-4B26-BE4D-B7771F83E503}"/>
            </a:ext>
          </a:extLst>
        </xdr:cNvPr>
        <xdr:cNvSpPr txBox="1">
          <a:spLocks noChangeArrowheads="1"/>
        </xdr:cNvSpPr>
      </xdr:nvSpPr>
      <xdr:spPr bwMode="auto">
        <a:xfrm>
          <a:off x="3630516" y="513522"/>
          <a:ext cx="336961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286870</xdr:colOff>
      <xdr:row>0</xdr:row>
      <xdr:rowOff>237004</xdr:rowOff>
    </xdr:from>
    <xdr:ext cx="2400300" cy="1847290"/>
    <xdr:pic>
      <xdr:nvPicPr>
        <xdr:cNvPr id="2" name="image1.png">
          <a:extLst>
            <a:ext uri="{FF2B5EF4-FFF2-40B4-BE49-F238E27FC236}">
              <a16:creationId xmlns:a16="http://schemas.microsoft.com/office/drawing/2014/main" id="{AB195541-231B-44C6-A811-5E4C3B68E2A8}"/>
            </a:ext>
          </a:extLst>
        </xdr:cNvPr>
        <xdr:cNvPicPr preferRelativeResize="0"/>
      </xdr:nvPicPr>
      <xdr:blipFill>
        <a:blip xmlns:r="http://schemas.openxmlformats.org/officeDocument/2006/relationships" r:embed="rId1" cstate="print"/>
        <a:stretch>
          <a:fillRect/>
        </a:stretch>
      </xdr:blipFill>
      <xdr:spPr>
        <a:xfrm>
          <a:off x="286870" y="237004"/>
          <a:ext cx="2400300" cy="1847290"/>
        </a:xfrm>
        <a:prstGeom prst="rect">
          <a:avLst/>
        </a:prstGeom>
        <a:noFill/>
      </xdr:spPr>
    </xdr:pic>
    <xdr:clientData fLocksWithSheet="0"/>
  </xdr:oneCellAnchor>
  <xdr:twoCellAnchor>
    <xdr:from>
      <xdr:col>1</xdr:col>
      <xdr:colOff>2455769</xdr:colOff>
      <xdr:row>0</xdr:row>
      <xdr:rowOff>916641</xdr:rowOff>
    </xdr:from>
    <xdr:to>
      <xdr:col>2</xdr:col>
      <xdr:colOff>522195</xdr:colOff>
      <xdr:row>7</xdr:row>
      <xdr:rowOff>202826</xdr:rowOff>
    </xdr:to>
    <xdr:sp macro="" textlink="">
      <xdr:nvSpPr>
        <xdr:cNvPr id="3" name="Text Box 2">
          <a:extLst>
            <a:ext uri="{FF2B5EF4-FFF2-40B4-BE49-F238E27FC236}">
              <a16:creationId xmlns:a16="http://schemas.microsoft.com/office/drawing/2014/main" id="{A91B90A4-8167-481C-AE30-BD89B477E917}"/>
            </a:ext>
          </a:extLst>
        </xdr:cNvPr>
        <xdr:cNvSpPr txBox="1">
          <a:spLocks noChangeArrowheads="1"/>
        </xdr:cNvSpPr>
      </xdr:nvSpPr>
      <xdr:spPr bwMode="auto">
        <a:xfrm>
          <a:off x="2867249" y="916641"/>
          <a:ext cx="4383406" cy="13969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BDF0A31-F6A7-4D3B-8BC8-27766A07F3F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F4404F31-80F2-4977-8E96-8D41154B7D0D}"/>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286870</xdr:colOff>
      <xdr:row>0</xdr:row>
      <xdr:rowOff>237004</xdr:rowOff>
    </xdr:from>
    <xdr:ext cx="2400300" cy="1847290"/>
    <xdr:pic>
      <xdr:nvPicPr>
        <xdr:cNvPr id="2" name="image1.png">
          <a:extLst>
            <a:ext uri="{FF2B5EF4-FFF2-40B4-BE49-F238E27FC236}">
              <a16:creationId xmlns:a16="http://schemas.microsoft.com/office/drawing/2014/main" id="{F17A4FC6-D87B-41F0-884D-5F5E3268A5AC}"/>
            </a:ext>
          </a:extLst>
        </xdr:cNvPr>
        <xdr:cNvPicPr preferRelativeResize="0"/>
      </xdr:nvPicPr>
      <xdr:blipFill>
        <a:blip xmlns:r="http://schemas.openxmlformats.org/officeDocument/2006/relationships" r:embed="rId1" cstate="print"/>
        <a:stretch>
          <a:fillRect/>
        </a:stretch>
      </xdr:blipFill>
      <xdr:spPr>
        <a:xfrm>
          <a:off x="286870" y="237004"/>
          <a:ext cx="2400300" cy="1847290"/>
        </a:xfrm>
        <a:prstGeom prst="rect">
          <a:avLst/>
        </a:prstGeom>
        <a:noFill/>
      </xdr:spPr>
    </xdr:pic>
    <xdr:clientData fLocksWithSheet="0"/>
  </xdr:oneCellAnchor>
  <xdr:twoCellAnchor>
    <xdr:from>
      <xdr:col>1</xdr:col>
      <xdr:colOff>2455769</xdr:colOff>
      <xdr:row>0</xdr:row>
      <xdr:rowOff>916641</xdr:rowOff>
    </xdr:from>
    <xdr:to>
      <xdr:col>2</xdr:col>
      <xdr:colOff>522195</xdr:colOff>
      <xdr:row>7</xdr:row>
      <xdr:rowOff>202826</xdr:rowOff>
    </xdr:to>
    <xdr:sp macro="" textlink="">
      <xdr:nvSpPr>
        <xdr:cNvPr id="3" name="Text Box 2">
          <a:extLst>
            <a:ext uri="{FF2B5EF4-FFF2-40B4-BE49-F238E27FC236}">
              <a16:creationId xmlns:a16="http://schemas.microsoft.com/office/drawing/2014/main" id="{E68F66E4-0976-47E1-A708-533C1D091F6B}"/>
            </a:ext>
          </a:extLst>
        </xdr:cNvPr>
        <xdr:cNvSpPr txBox="1">
          <a:spLocks noChangeArrowheads="1"/>
        </xdr:cNvSpPr>
      </xdr:nvSpPr>
      <xdr:spPr bwMode="auto">
        <a:xfrm>
          <a:off x="2867249" y="916641"/>
          <a:ext cx="4383406" cy="13969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F9041683-2CB2-4CCD-B32E-B597FB5833F8}"/>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769620</xdr:colOff>
      <xdr:row>8</xdr:row>
      <xdr:rowOff>161925</xdr:rowOff>
    </xdr:to>
    <xdr:sp macro="" textlink="">
      <xdr:nvSpPr>
        <xdr:cNvPr id="3" name="Text Box 2">
          <a:extLst>
            <a:ext uri="{FF2B5EF4-FFF2-40B4-BE49-F238E27FC236}">
              <a16:creationId xmlns:a16="http://schemas.microsoft.com/office/drawing/2014/main" id="{78143A39-A9A3-4329-8169-90A66402644B}"/>
            </a:ext>
          </a:extLst>
        </xdr:cNvPr>
        <xdr:cNvSpPr txBox="1">
          <a:spLocks noChangeArrowheads="1"/>
        </xdr:cNvSpPr>
      </xdr:nvSpPr>
      <xdr:spPr bwMode="auto">
        <a:xfrm>
          <a:off x="3078480" y="1247775"/>
          <a:ext cx="441960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B876113-4284-4771-9CAA-A10CC67E364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3E46FE1A-FDFA-4B2A-8601-D89660780748}"/>
            </a:ext>
          </a:extLst>
        </xdr:cNvPr>
        <xdr:cNvSpPr txBox="1">
          <a:spLocks noChangeArrowheads="1"/>
        </xdr:cNvSpPr>
      </xdr:nvSpPr>
      <xdr:spPr bwMode="auto">
        <a:xfrm>
          <a:off x="3488055" y="224117"/>
          <a:ext cx="54573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3A579012-020C-41A2-BA45-394040D74B85}"/>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9EF21410-05E0-4B20-BA27-99A8C00A34BE}"/>
            </a:ext>
          </a:extLst>
        </xdr:cNvPr>
        <xdr:cNvSpPr txBox="1">
          <a:spLocks noChangeArrowheads="1"/>
        </xdr:cNvSpPr>
      </xdr:nvSpPr>
      <xdr:spPr bwMode="auto">
        <a:xfrm>
          <a:off x="3630516" y="513522"/>
          <a:ext cx="336961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F8C0003E-CE01-4225-A3F9-F74443346F02}"/>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9F710563-E9A2-4F99-ABCD-384AFA43562F}"/>
            </a:ext>
          </a:extLst>
        </xdr:cNvPr>
        <xdr:cNvSpPr txBox="1">
          <a:spLocks noChangeArrowheads="1"/>
        </xdr:cNvSpPr>
      </xdr:nvSpPr>
      <xdr:spPr bwMode="auto">
        <a:xfrm>
          <a:off x="3335655" y="457200"/>
          <a:ext cx="344233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10DC40F1-3D66-4852-B9C5-F8DBE1A719B6}"/>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2906245</xdr:colOff>
      <xdr:row>0</xdr:row>
      <xdr:rowOff>331695</xdr:rowOff>
    </xdr:from>
    <xdr:to>
      <xdr:col>3</xdr:col>
      <xdr:colOff>4483</xdr:colOff>
      <xdr:row>5</xdr:row>
      <xdr:rowOff>66115</xdr:rowOff>
    </xdr:to>
    <xdr:sp macro="" textlink="">
      <xdr:nvSpPr>
        <xdr:cNvPr id="3" name="Text Box 2">
          <a:extLst>
            <a:ext uri="{FF2B5EF4-FFF2-40B4-BE49-F238E27FC236}">
              <a16:creationId xmlns:a16="http://schemas.microsoft.com/office/drawing/2014/main" id="{7D5D5322-A18C-4AED-97D9-5B07B7A12B7E}"/>
            </a:ext>
          </a:extLst>
        </xdr:cNvPr>
        <xdr:cNvSpPr txBox="1">
          <a:spLocks noChangeArrowheads="1"/>
        </xdr:cNvSpPr>
      </xdr:nvSpPr>
      <xdr:spPr bwMode="auto">
        <a:xfrm>
          <a:off x="3318621" y="331695"/>
          <a:ext cx="4709274" cy="142874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DE PROYECTOS HIDRAHULICOS, AFOROS, EQUIPAMIENTOS, REHABILITACION, POZOS PROFUNDOS</a:t>
          </a:r>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1</xdr:col>
      <xdr:colOff>38100</xdr:colOff>
      <xdr:row>0</xdr:row>
      <xdr:rowOff>238125</xdr:rowOff>
    </xdr:from>
    <xdr:ext cx="2076450" cy="1647825"/>
    <xdr:pic>
      <xdr:nvPicPr>
        <xdr:cNvPr id="2" name="image1.png">
          <a:extLst>
            <a:ext uri="{FF2B5EF4-FFF2-40B4-BE49-F238E27FC236}">
              <a16:creationId xmlns:a16="http://schemas.microsoft.com/office/drawing/2014/main" id="{F3C3F347-F2F6-424F-85F7-7D3BD9BFF7AA}"/>
            </a:ext>
          </a:extLst>
        </xdr:cNvPr>
        <xdr:cNvPicPr preferRelativeResize="0"/>
      </xdr:nvPicPr>
      <xdr:blipFill>
        <a:blip xmlns:r="http://schemas.openxmlformats.org/officeDocument/2006/relationships" r:embed="rId1" cstate="print"/>
        <a:stretch>
          <a:fillRect/>
        </a:stretch>
      </xdr:blipFill>
      <xdr:spPr>
        <a:xfrm>
          <a:off x="449580" y="238125"/>
          <a:ext cx="2076450" cy="1647825"/>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28770B45-42CA-4AFB-9C2F-469A9A7BF324}"/>
            </a:ext>
          </a:extLst>
        </xdr:cNvPr>
        <xdr:cNvSpPr txBox="1">
          <a:spLocks noChangeArrowheads="1"/>
        </xdr:cNvSpPr>
      </xdr:nvSpPr>
      <xdr:spPr bwMode="auto">
        <a:xfrm>
          <a:off x="3078480" y="124777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1</xdr:col>
      <xdr:colOff>38100</xdr:colOff>
      <xdr:row>0</xdr:row>
      <xdr:rowOff>238125</xdr:rowOff>
    </xdr:from>
    <xdr:ext cx="2076450" cy="1647825"/>
    <xdr:pic>
      <xdr:nvPicPr>
        <xdr:cNvPr id="2" name="image1.png">
          <a:extLst>
            <a:ext uri="{FF2B5EF4-FFF2-40B4-BE49-F238E27FC236}">
              <a16:creationId xmlns:a16="http://schemas.microsoft.com/office/drawing/2014/main" id="{8D0AA7DC-2047-4CE5-810A-D6574D9FDFD8}"/>
            </a:ext>
          </a:extLst>
        </xdr:cNvPr>
        <xdr:cNvPicPr preferRelativeResize="0"/>
      </xdr:nvPicPr>
      <xdr:blipFill>
        <a:blip xmlns:r="http://schemas.openxmlformats.org/officeDocument/2006/relationships" r:embed="rId1" cstate="print"/>
        <a:stretch>
          <a:fillRect/>
        </a:stretch>
      </xdr:blipFill>
      <xdr:spPr>
        <a:xfrm>
          <a:off x="449580" y="238125"/>
          <a:ext cx="2076450" cy="1647825"/>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49928F5E-8AE4-401F-976C-8C0FBD16FF91}"/>
            </a:ext>
          </a:extLst>
        </xdr:cNvPr>
        <xdr:cNvSpPr txBox="1">
          <a:spLocks noChangeArrowheads="1"/>
        </xdr:cNvSpPr>
      </xdr:nvSpPr>
      <xdr:spPr bwMode="auto">
        <a:xfrm>
          <a:off x="3078480" y="124777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06EEFA93-7419-4DD9-B60B-434C41CDDC3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9D31380B-595D-4120-BE6E-368F236344EB}"/>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03A1522-B8DE-4F41-B764-C862DE7458B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3581400</xdr:colOff>
      <xdr:row>0</xdr:row>
      <xdr:rowOff>609600</xdr:rowOff>
    </xdr:from>
    <xdr:to>
      <xdr:col>3</xdr:col>
      <xdr:colOff>308610</xdr:colOff>
      <xdr:row>5</xdr:row>
      <xdr:rowOff>106679</xdr:rowOff>
    </xdr:to>
    <xdr:sp macro="" textlink="">
      <xdr:nvSpPr>
        <xdr:cNvPr id="3" name="Text Box 2">
          <a:extLst>
            <a:ext uri="{FF2B5EF4-FFF2-40B4-BE49-F238E27FC236}">
              <a16:creationId xmlns:a16="http://schemas.microsoft.com/office/drawing/2014/main" id="{B823151E-6FBB-4F09-AD11-F888EDC07FED}"/>
            </a:ext>
          </a:extLst>
        </xdr:cNvPr>
        <xdr:cNvSpPr txBox="1">
          <a:spLocks noChangeArrowheads="1"/>
        </xdr:cNvSpPr>
      </xdr:nvSpPr>
      <xdr:spPr bwMode="auto">
        <a:xfrm>
          <a:off x="3954780" y="609600"/>
          <a:ext cx="3196590" cy="11810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80DD580-3DD5-45E5-9967-81329AB08D2F}"/>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25B475A3-BC56-4892-B9F6-FFEC03061301}"/>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93065E26-2180-4DAD-9AC2-5EED24261519}"/>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0CE721DB-9D16-4988-AA5B-F564DD497420}"/>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4062467D-6A1F-42A2-8484-F87EC98C2B8E}"/>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46A9D4F5-8545-42D4-BB59-76544873E683}"/>
            </a:ext>
          </a:extLst>
        </xdr:cNvPr>
        <xdr:cNvSpPr txBox="1">
          <a:spLocks noChangeArrowheads="1"/>
        </xdr:cNvSpPr>
      </xdr:nvSpPr>
      <xdr:spPr bwMode="auto">
        <a:xfrm>
          <a:off x="3488055" y="224117"/>
          <a:ext cx="41238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ED6B0E71-1096-466D-A605-0D087EFAE56B}"/>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C42F11DE-954F-43D2-BC5C-7F5E45D6B941}"/>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A2A10420-1081-4106-B80F-D5CE46F5B38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85EA87F0-1827-42F8-80EA-F9C96F14FD01}"/>
            </a:ext>
          </a:extLst>
        </xdr:cNvPr>
        <xdr:cNvSpPr txBox="1">
          <a:spLocks noChangeArrowheads="1"/>
        </xdr:cNvSpPr>
      </xdr:nvSpPr>
      <xdr:spPr bwMode="auto">
        <a:xfrm>
          <a:off x="3488055" y="224117"/>
          <a:ext cx="29732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DD24E2B-8600-4D3B-A33C-DBA6AAC83EBB}"/>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AF6222C8-9B7D-41CC-A2CC-910D0FC8452C}"/>
            </a:ext>
          </a:extLst>
        </xdr:cNvPr>
        <xdr:cNvSpPr txBox="1">
          <a:spLocks noChangeArrowheads="1"/>
        </xdr:cNvSpPr>
      </xdr:nvSpPr>
      <xdr:spPr bwMode="auto">
        <a:xfrm>
          <a:off x="3488055" y="224117"/>
          <a:ext cx="36209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6FAF24E6-81EC-48A9-870B-7F08ED0A250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C1F9AD96-95B3-4A61-BB8D-AEFC8054FD25}"/>
            </a:ext>
          </a:extLst>
        </xdr:cNvPr>
        <xdr:cNvSpPr txBox="1">
          <a:spLocks noChangeArrowheads="1"/>
        </xdr:cNvSpPr>
      </xdr:nvSpPr>
      <xdr:spPr bwMode="auto">
        <a:xfrm>
          <a:off x="3488055" y="224117"/>
          <a:ext cx="41238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3CEAA76-A392-40D3-BAF2-5F0750617B5B}"/>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AA9DE6F6-6C9A-4F0E-A19C-E4F1FBE0D076}"/>
            </a:ext>
          </a:extLst>
        </xdr:cNvPr>
        <xdr:cNvSpPr txBox="1">
          <a:spLocks noChangeArrowheads="1"/>
        </xdr:cNvSpPr>
      </xdr:nvSpPr>
      <xdr:spPr bwMode="auto">
        <a:xfrm>
          <a:off x="3488055" y="224117"/>
          <a:ext cx="38495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446D3B44-3251-4045-AED4-D2B2A5EADE4F}"/>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13A3DC15-3FF8-4AD7-B3D1-37947E1B8FC5}"/>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1CA609A1-5422-43FB-9C4C-A0E6F1ACE5BC}"/>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CF24C435-3ECB-4162-8C6A-1A8530566F16}"/>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3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A310ED12-33BB-4DE1-8976-C5A243FF27F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B5E8E132-D6D6-4DEB-B417-4B09DC7BB834}"/>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3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9FB1AE1-6222-4105-8187-905F0F6815AC}"/>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3D103D2F-C7F1-4A17-A8CA-67F1C92D6B9E}"/>
            </a:ext>
          </a:extLst>
        </xdr:cNvPr>
        <xdr:cNvSpPr txBox="1">
          <a:spLocks noChangeArrowheads="1"/>
        </xdr:cNvSpPr>
      </xdr:nvSpPr>
      <xdr:spPr bwMode="auto">
        <a:xfrm>
          <a:off x="3488055" y="224117"/>
          <a:ext cx="23636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3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B1E8C2FC-E163-4E46-A189-3D36A47A4EEB}"/>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C2AA08C5-5970-44A1-AF91-EEEC0BD7DBEC}"/>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3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33702E8-C378-477F-9365-F02001BD29F3}"/>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2628339</xdr:colOff>
      <xdr:row>0</xdr:row>
      <xdr:rowOff>328705</xdr:rowOff>
    </xdr:from>
    <xdr:to>
      <xdr:col>11</xdr:col>
      <xdr:colOff>508001</xdr:colOff>
      <xdr:row>5</xdr:row>
      <xdr:rowOff>185270</xdr:rowOff>
    </xdr:to>
    <xdr:sp macro="" textlink="">
      <xdr:nvSpPr>
        <xdr:cNvPr id="3" name="Text Box 2">
          <a:extLst>
            <a:ext uri="{FF2B5EF4-FFF2-40B4-BE49-F238E27FC236}">
              <a16:creationId xmlns:a16="http://schemas.microsoft.com/office/drawing/2014/main" id="{D1BD483B-942B-4D32-97A2-C344DC3BB450}"/>
            </a:ext>
          </a:extLst>
        </xdr:cNvPr>
        <xdr:cNvSpPr txBox="1">
          <a:spLocks noChangeArrowheads="1"/>
        </xdr:cNvSpPr>
      </xdr:nvSpPr>
      <xdr:spPr bwMode="auto">
        <a:xfrm>
          <a:off x="3039221" y="328705"/>
          <a:ext cx="4140015" cy="15449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3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85F49F8-8D27-4E20-A590-3223C43BE913}"/>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5FBBF6EC-DE1C-4F14-8FA4-F57571B92F73}"/>
            </a:ext>
          </a:extLst>
        </xdr:cNvPr>
        <xdr:cNvSpPr txBox="1">
          <a:spLocks noChangeArrowheads="1"/>
        </xdr:cNvSpPr>
      </xdr:nvSpPr>
      <xdr:spPr bwMode="auto">
        <a:xfrm>
          <a:off x="3488055" y="224117"/>
          <a:ext cx="23636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3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F07A1CB-163E-4A19-969B-569579C35180}"/>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F2BBEB9A-25BC-4CF7-BDCA-EFBDCF5A5CBD}"/>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199C5DBF-D883-4E23-8B3D-6F28CBC35B54}"/>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C7D34BAE-7A15-46B4-825E-9AD23ABB2BB8}"/>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F3E4CCBB-DE33-45B7-9F77-07B9C9E23EC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338F1BA4-0917-4FBB-A6EC-BD587721BC87}"/>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946A942-BAB7-481E-BC03-7C7A81401009}"/>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80AA614F-FB25-4908-9AD6-7E64FA220A4F}"/>
            </a:ext>
          </a:extLst>
        </xdr:cNvPr>
        <xdr:cNvSpPr txBox="1">
          <a:spLocks noChangeArrowheads="1"/>
        </xdr:cNvSpPr>
      </xdr:nvSpPr>
      <xdr:spPr bwMode="auto">
        <a:xfrm>
          <a:off x="3121399" y="493059"/>
          <a:ext cx="4902014" cy="15508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28575</xdr:colOff>
      <xdr:row>0</xdr:row>
      <xdr:rowOff>9525</xdr:rowOff>
    </xdr:from>
    <xdr:to>
      <xdr:col>4</xdr:col>
      <xdr:colOff>61232</xdr:colOff>
      <xdr:row>8</xdr:row>
      <xdr:rowOff>3175</xdr:rowOff>
    </xdr:to>
    <xdr:pic>
      <xdr:nvPicPr>
        <xdr:cNvPr id="2" name="Imagen 1">
          <a:extLst>
            <a:ext uri="{FF2B5EF4-FFF2-40B4-BE49-F238E27FC236}">
              <a16:creationId xmlns:a16="http://schemas.microsoft.com/office/drawing/2014/main" id="{A422D618-6144-472E-91D4-C649C20B7F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9525"/>
          <a:ext cx="6934200" cy="1456690"/>
        </a:xfrm>
        <a:prstGeom prst="rect">
          <a:avLst/>
        </a:prstGeom>
        <a:noFill/>
      </xdr:spPr>
    </xdr:pic>
    <xdr:clientData/>
  </xdr:twoCellAnchor>
  <xdr:twoCellAnchor editAs="oneCell">
    <xdr:from>
      <xdr:col>0</xdr:col>
      <xdr:colOff>0</xdr:colOff>
      <xdr:row>0</xdr:row>
      <xdr:rowOff>66675</xdr:rowOff>
    </xdr:from>
    <xdr:to>
      <xdr:col>1</xdr:col>
      <xdr:colOff>609600</xdr:colOff>
      <xdr:row>6</xdr:row>
      <xdr:rowOff>38099</xdr:rowOff>
    </xdr:to>
    <xdr:pic>
      <xdr:nvPicPr>
        <xdr:cNvPr id="3" name="Picture 217" descr="Icono&#10;&#10;Descripción generada automáticamente">
          <a:extLst>
            <a:ext uri="{FF2B5EF4-FFF2-40B4-BE49-F238E27FC236}">
              <a16:creationId xmlns:a16="http://schemas.microsoft.com/office/drawing/2014/main" id="{E4797D17-9402-4FC8-8938-0D63E07B450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6675"/>
          <a:ext cx="1394460" cy="1068704"/>
        </a:xfrm>
        <a:prstGeom prst="rect">
          <a:avLst/>
        </a:prstGeom>
        <a:ln>
          <a:noFill/>
        </a:ln>
        <a:effectLst>
          <a:softEdge rad="112500"/>
        </a:effectLst>
      </xdr:spPr>
    </xdr:pic>
    <xdr:clientData/>
  </xdr:twoCellAnchor>
</xdr:wsDr>
</file>

<file path=xl/drawings/drawing4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931BCF6A-6B81-44F1-AB2B-7A7EECB719C6}"/>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878292D8-8817-4756-A279-0F34258B6A87}"/>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EBCDA778-0395-4EC0-ACCF-A0814F372111}"/>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38985F05-36F0-4DE4-868A-5C1D5540BDC0}"/>
            </a:ext>
          </a:extLst>
        </xdr:cNvPr>
        <xdr:cNvSpPr txBox="1">
          <a:spLocks noChangeArrowheads="1"/>
        </xdr:cNvSpPr>
      </xdr:nvSpPr>
      <xdr:spPr bwMode="auto">
        <a:xfrm>
          <a:off x="3120503" y="493059"/>
          <a:ext cx="490291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4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9AAE1B6F-8594-4C97-AE9E-155A37E960EB}"/>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1C538FEF-321B-4F0F-A229-D85B43BF41BE}"/>
            </a:ext>
          </a:extLst>
        </xdr:cNvPr>
        <xdr:cNvSpPr txBox="1">
          <a:spLocks noChangeArrowheads="1"/>
        </xdr:cNvSpPr>
      </xdr:nvSpPr>
      <xdr:spPr bwMode="auto">
        <a:xfrm>
          <a:off x="3120503" y="493059"/>
          <a:ext cx="490291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4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CE77898-28FF-4FCA-9A5B-19A67864AE7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2985135</xdr:colOff>
      <xdr:row>0</xdr:row>
      <xdr:rowOff>609601</xdr:rowOff>
    </xdr:from>
    <xdr:to>
      <xdr:col>3</xdr:col>
      <xdr:colOff>308610</xdr:colOff>
      <xdr:row>3</xdr:row>
      <xdr:rowOff>121921</xdr:rowOff>
    </xdr:to>
    <xdr:sp macro="" textlink="">
      <xdr:nvSpPr>
        <xdr:cNvPr id="3" name="Text Box 2">
          <a:extLst>
            <a:ext uri="{FF2B5EF4-FFF2-40B4-BE49-F238E27FC236}">
              <a16:creationId xmlns:a16="http://schemas.microsoft.com/office/drawing/2014/main" id="{F9AE2F0D-F9C1-4330-A65B-A589332BE6C5}"/>
            </a:ext>
          </a:extLst>
        </xdr:cNvPr>
        <xdr:cNvSpPr txBox="1">
          <a:spLocks noChangeArrowheads="1"/>
        </xdr:cNvSpPr>
      </xdr:nvSpPr>
      <xdr:spPr bwMode="auto">
        <a:xfrm>
          <a:off x="3358515" y="609601"/>
          <a:ext cx="3625215" cy="7696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289FBCE-0E13-4184-8D9E-113D59C568DB}"/>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2985135</xdr:colOff>
      <xdr:row>0</xdr:row>
      <xdr:rowOff>609601</xdr:rowOff>
    </xdr:from>
    <xdr:to>
      <xdr:col>3</xdr:col>
      <xdr:colOff>308610</xdr:colOff>
      <xdr:row>3</xdr:row>
      <xdr:rowOff>121921</xdr:rowOff>
    </xdr:to>
    <xdr:sp macro="" textlink="">
      <xdr:nvSpPr>
        <xdr:cNvPr id="3" name="Text Box 2">
          <a:extLst>
            <a:ext uri="{FF2B5EF4-FFF2-40B4-BE49-F238E27FC236}">
              <a16:creationId xmlns:a16="http://schemas.microsoft.com/office/drawing/2014/main" id="{12AB963C-165F-4DDE-9680-1A9A2844A760}"/>
            </a:ext>
          </a:extLst>
        </xdr:cNvPr>
        <xdr:cNvSpPr txBox="1">
          <a:spLocks noChangeArrowheads="1"/>
        </xdr:cNvSpPr>
      </xdr:nvSpPr>
      <xdr:spPr bwMode="auto">
        <a:xfrm>
          <a:off x="3358515" y="609601"/>
          <a:ext cx="3625215" cy="7696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5FBB569-4368-446C-993B-55EACD69FC0A}"/>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2985135</xdr:colOff>
      <xdr:row>0</xdr:row>
      <xdr:rowOff>609600</xdr:rowOff>
    </xdr:from>
    <xdr:to>
      <xdr:col>3</xdr:col>
      <xdr:colOff>308610</xdr:colOff>
      <xdr:row>4</xdr:row>
      <xdr:rowOff>91439</xdr:rowOff>
    </xdr:to>
    <xdr:sp macro="" textlink="">
      <xdr:nvSpPr>
        <xdr:cNvPr id="3" name="Text Box 2">
          <a:extLst>
            <a:ext uri="{FF2B5EF4-FFF2-40B4-BE49-F238E27FC236}">
              <a16:creationId xmlns:a16="http://schemas.microsoft.com/office/drawing/2014/main" id="{49161448-2FFD-4FDC-A3DB-32E160FC949D}"/>
            </a:ext>
          </a:extLst>
        </xdr:cNvPr>
        <xdr:cNvSpPr txBox="1">
          <a:spLocks noChangeArrowheads="1"/>
        </xdr:cNvSpPr>
      </xdr:nvSpPr>
      <xdr:spPr bwMode="auto">
        <a:xfrm>
          <a:off x="3358515" y="609600"/>
          <a:ext cx="3625215" cy="9524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6.xml><?xml version="1.0" encoding="utf-8"?>
<xdr:wsDr xmlns:xdr="http://schemas.openxmlformats.org/drawingml/2006/spreadsheetDrawing" xmlns:a="http://schemas.openxmlformats.org/drawingml/2006/main">
  <xdr:oneCellAnchor>
    <xdr:from>
      <xdr:col>0</xdr:col>
      <xdr:colOff>53340</xdr:colOff>
      <xdr:row>0</xdr:row>
      <xdr:rowOff>518160</xdr:rowOff>
    </xdr:from>
    <xdr:ext cx="2400300" cy="1524000"/>
    <xdr:pic>
      <xdr:nvPicPr>
        <xdr:cNvPr id="2" name="image1.png">
          <a:extLst>
            <a:ext uri="{FF2B5EF4-FFF2-40B4-BE49-F238E27FC236}">
              <a16:creationId xmlns:a16="http://schemas.microsoft.com/office/drawing/2014/main" id="{551896AB-103B-4069-A282-B7D86CCBBFE9}"/>
            </a:ext>
          </a:extLst>
        </xdr:cNvPr>
        <xdr:cNvPicPr preferRelativeResize="0"/>
      </xdr:nvPicPr>
      <xdr:blipFill>
        <a:blip xmlns:r="http://schemas.openxmlformats.org/officeDocument/2006/relationships" r:embed="rId1" cstate="print"/>
        <a:stretch>
          <a:fillRect/>
        </a:stretch>
      </xdr:blipFill>
      <xdr:spPr>
        <a:xfrm>
          <a:off x="53340" y="518160"/>
          <a:ext cx="2400300" cy="1524000"/>
        </a:xfrm>
        <a:prstGeom prst="rect">
          <a:avLst/>
        </a:prstGeom>
        <a:noFill/>
      </xdr:spPr>
    </xdr:pic>
    <xdr:clientData fLocksWithSheet="0"/>
  </xdr:oneCellAnchor>
  <xdr:twoCellAnchor>
    <xdr:from>
      <xdr:col>1</xdr:col>
      <xdr:colOff>2994660</xdr:colOff>
      <xdr:row>0</xdr:row>
      <xdr:rowOff>716280</xdr:rowOff>
    </xdr:from>
    <xdr:to>
      <xdr:col>1</xdr:col>
      <xdr:colOff>6619875</xdr:colOff>
      <xdr:row>4</xdr:row>
      <xdr:rowOff>198119</xdr:rowOff>
    </xdr:to>
    <xdr:sp macro="" textlink="">
      <xdr:nvSpPr>
        <xdr:cNvPr id="4" name="Text Box 2">
          <a:extLst>
            <a:ext uri="{FF2B5EF4-FFF2-40B4-BE49-F238E27FC236}">
              <a16:creationId xmlns:a16="http://schemas.microsoft.com/office/drawing/2014/main" id="{F187A054-1B29-4955-A1B9-5F6792C0B2EC}"/>
            </a:ext>
          </a:extLst>
        </xdr:cNvPr>
        <xdr:cNvSpPr txBox="1">
          <a:spLocks noChangeArrowheads="1"/>
        </xdr:cNvSpPr>
      </xdr:nvSpPr>
      <xdr:spPr bwMode="auto">
        <a:xfrm>
          <a:off x="3406140" y="716280"/>
          <a:ext cx="3625215" cy="9524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71146A48-DFF0-490D-A0D6-1521887F909C}"/>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9975EA10-9A64-4950-8A36-B72A97E2C53B}"/>
            </a:ext>
          </a:extLst>
        </xdr:cNvPr>
        <xdr:cNvSpPr txBox="1">
          <a:spLocks noChangeArrowheads="1"/>
        </xdr:cNvSpPr>
      </xdr:nvSpPr>
      <xdr:spPr bwMode="auto">
        <a:xfrm>
          <a:off x="3120503" y="493059"/>
          <a:ext cx="490291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48.xml><?xml version="1.0" encoding="utf-8"?>
<xdr:wsDr xmlns:xdr="http://schemas.openxmlformats.org/drawingml/2006/spreadsheetDrawing" xmlns:a="http://schemas.openxmlformats.org/drawingml/2006/main">
  <xdr:oneCellAnchor>
    <xdr:from>
      <xdr:col>0</xdr:col>
      <xdr:colOff>53340</xdr:colOff>
      <xdr:row>0</xdr:row>
      <xdr:rowOff>518160</xdr:rowOff>
    </xdr:from>
    <xdr:ext cx="2400300" cy="1524000"/>
    <xdr:pic>
      <xdr:nvPicPr>
        <xdr:cNvPr id="2" name="image1.png">
          <a:extLst>
            <a:ext uri="{FF2B5EF4-FFF2-40B4-BE49-F238E27FC236}">
              <a16:creationId xmlns:a16="http://schemas.microsoft.com/office/drawing/2014/main" id="{75F34891-1C79-45B6-AACD-1443A167BB09}"/>
            </a:ext>
          </a:extLst>
        </xdr:cNvPr>
        <xdr:cNvPicPr preferRelativeResize="0"/>
      </xdr:nvPicPr>
      <xdr:blipFill>
        <a:blip xmlns:r="http://schemas.openxmlformats.org/officeDocument/2006/relationships" r:embed="rId1" cstate="print"/>
        <a:stretch>
          <a:fillRect/>
        </a:stretch>
      </xdr:blipFill>
      <xdr:spPr>
        <a:xfrm>
          <a:off x="53340" y="518160"/>
          <a:ext cx="2400300" cy="1524000"/>
        </a:xfrm>
        <a:prstGeom prst="rect">
          <a:avLst/>
        </a:prstGeom>
        <a:noFill/>
      </xdr:spPr>
    </xdr:pic>
    <xdr:clientData fLocksWithSheet="0"/>
  </xdr:oneCellAnchor>
  <xdr:twoCellAnchor>
    <xdr:from>
      <xdr:col>1</xdr:col>
      <xdr:colOff>2994660</xdr:colOff>
      <xdr:row>0</xdr:row>
      <xdr:rowOff>716280</xdr:rowOff>
    </xdr:from>
    <xdr:to>
      <xdr:col>1</xdr:col>
      <xdr:colOff>6619875</xdr:colOff>
      <xdr:row>4</xdr:row>
      <xdr:rowOff>198119</xdr:rowOff>
    </xdr:to>
    <xdr:sp macro="" textlink="">
      <xdr:nvSpPr>
        <xdr:cNvPr id="3" name="Text Box 2">
          <a:extLst>
            <a:ext uri="{FF2B5EF4-FFF2-40B4-BE49-F238E27FC236}">
              <a16:creationId xmlns:a16="http://schemas.microsoft.com/office/drawing/2014/main" id="{05475C9B-7A7D-4D32-8FE4-43B0E2C62D91}"/>
            </a:ext>
          </a:extLst>
        </xdr:cNvPr>
        <xdr:cNvSpPr txBox="1">
          <a:spLocks noChangeArrowheads="1"/>
        </xdr:cNvSpPr>
      </xdr:nvSpPr>
      <xdr:spPr bwMode="auto">
        <a:xfrm>
          <a:off x="3406140" y="716280"/>
          <a:ext cx="3625215" cy="9524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CBDB9AE-67C2-4149-BB3D-C7E7314633D2}"/>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3BA76F97-0CB8-4D5C-9660-DA1A8E9418D1}"/>
            </a:ext>
          </a:extLst>
        </xdr:cNvPr>
        <xdr:cNvSpPr txBox="1">
          <a:spLocks noChangeArrowheads="1"/>
        </xdr:cNvSpPr>
      </xdr:nvSpPr>
      <xdr:spPr bwMode="auto">
        <a:xfrm>
          <a:off x="3120503" y="493059"/>
          <a:ext cx="490291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5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CB030F8-4A47-4CEB-9F35-E1472DE7477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2906245</xdr:colOff>
      <xdr:row>0</xdr:row>
      <xdr:rowOff>313765</xdr:rowOff>
    </xdr:from>
    <xdr:to>
      <xdr:col>3</xdr:col>
      <xdr:colOff>58271</xdr:colOff>
      <xdr:row>5</xdr:row>
      <xdr:rowOff>48185</xdr:rowOff>
    </xdr:to>
    <xdr:sp macro="" textlink="">
      <xdr:nvSpPr>
        <xdr:cNvPr id="3" name="Text Box 2">
          <a:extLst>
            <a:ext uri="{FF2B5EF4-FFF2-40B4-BE49-F238E27FC236}">
              <a16:creationId xmlns:a16="http://schemas.microsoft.com/office/drawing/2014/main" id="{D5DF8DCC-1A35-48BB-959B-CD5B1FF1804F}"/>
            </a:ext>
          </a:extLst>
        </xdr:cNvPr>
        <xdr:cNvSpPr txBox="1">
          <a:spLocks noChangeArrowheads="1"/>
        </xdr:cNvSpPr>
      </xdr:nvSpPr>
      <xdr:spPr bwMode="auto">
        <a:xfrm>
          <a:off x="3318621" y="313765"/>
          <a:ext cx="4709274" cy="142874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C270E024-509D-4FC8-B557-43B51CCA25F2}"/>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3264834</xdr:colOff>
      <xdr:row>0</xdr:row>
      <xdr:rowOff>528918</xdr:rowOff>
    </xdr:from>
    <xdr:to>
      <xdr:col>3</xdr:col>
      <xdr:colOff>363072</xdr:colOff>
      <xdr:row>6</xdr:row>
      <xdr:rowOff>48185</xdr:rowOff>
    </xdr:to>
    <xdr:sp macro="" textlink="">
      <xdr:nvSpPr>
        <xdr:cNvPr id="3" name="Text Box 2">
          <a:extLst>
            <a:ext uri="{FF2B5EF4-FFF2-40B4-BE49-F238E27FC236}">
              <a16:creationId xmlns:a16="http://schemas.microsoft.com/office/drawing/2014/main" id="{A9634BE1-A22E-467F-807F-4303BD68A442}"/>
            </a:ext>
          </a:extLst>
        </xdr:cNvPr>
        <xdr:cNvSpPr txBox="1">
          <a:spLocks noChangeArrowheads="1"/>
        </xdr:cNvSpPr>
      </xdr:nvSpPr>
      <xdr:spPr bwMode="auto">
        <a:xfrm>
          <a:off x="3676314" y="528918"/>
          <a:ext cx="4139118"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1AE0FA7F-90EA-4FA6-928A-85CD4EDAE7E9}"/>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BA8C214B-B5AB-496B-9EA0-BE3EC32D4DFF}"/>
            </a:ext>
          </a:extLst>
        </xdr:cNvPr>
        <xdr:cNvSpPr txBox="1">
          <a:spLocks noChangeArrowheads="1"/>
        </xdr:cNvSpPr>
      </xdr:nvSpPr>
      <xdr:spPr bwMode="auto">
        <a:xfrm>
          <a:off x="3120503" y="493059"/>
          <a:ext cx="490291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5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67CCAFC0-911F-4B0B-868A-C895CB6C8253}"/>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C16E9EA9-3B10-47B5-A995-70521815C6FF}"/>
            </a:ext>
          </a:extLst>
        </xdr:cNvPr>
        <xdr:cNvSpPr txBox="1">
          <a:spLocks noChangeArrowheads="1"/>
        </xdr:cNvSpPr>
      </xdr:nvSpPr>
      <xdr:spPr bwMode="auto">
        <a:xfrm>
          <a:off x="3120503" y="493059"/>
          <a:ext cx="511627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5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938964A5-30A8-482A-BBEA-EE60DC59F037}"/>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E6E9805A-BACE-48C9-BAFE-CB4E93E7A223}"/>
            </a:ext>
          </a:extLst>
        </xdr:cNvPr>
        <xdr:cNvSpPr txBox="1">
          <a:spLocks noChangeArrowheads="1"/>
        </xdr:cNvSpPr>
      </xdr:nvSpPr>
      <xdr:spPr bwMode="auto">
        <a:xfrm>
          <a:off x="3120503" y="493059"/>
          <a:ext cx="511627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5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6F03648C-280C-4DA9-A621-51C9A7D0C15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D1F078E4-719A-451A-88AC-BD1DD012F4DA}"/>
            </a:ext>
          </a:extLst>
        </xdr:cNvPr>
        <xdr:cNvSpPr txBox="1">
          <a:spLocks noChangeArrowheads="1"/>
        </xdr:cNvSpPr>
      </xdr:nvSpPr>
      <xdr:spPr bwMode="auto">
        <a:xfrm>
          <a:off x="1566023" y="180639"/>
          <a:ext cx="1572970" cy="10511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5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91BA4B5-0708-472B-A4BA-B66F68D0E1D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60567E5B-8D1D-440D-8936-E6D015E95AD6}"/>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3994B61-7459-4EFB-9A92-DC0928BF4A9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6B2D7B0F-B4FD-4D20-B36E-DC8566535269}"/>
            </a:ext>
          </a:extLst>
        </xdr:cNvPr>
        <xdr:cNvSpPr txBox="1">
          <a:spLocks noChangeArrowheads="1"/>
        </xdr:cNvSpPr>
      </xdr:nvSpPr>
      <xdr:spPr bwMode="auto">
        <a:xfrm>
          <a:off x="3120503" y="493059"/>
          <a:ext cx="511627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58.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B9515AD-E322-4FE6-B0B2-E239580B9F9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2881540D-9E61-4A9F-AF71-4F77804A51B4}"/>
            </a:ext>
          </a:extLst>
        </xdr:cNvPr>
        <xdr:cNvSpPr txBox="1">
          <a:spLocks noChangeArrowheads="1"/>
        </xdr:cNvSpPr>
      </xdr:nvSpPr>
      <xdr:spPr bwMode="auto">
        <a:xfrm>
          <a:off x="3097530" y="323850"/>
          <a:ext cx="390334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2EE1CEAD-1EC0-4454-A79E-EFD28DD0C2B7}"/>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92571FAE-D013-40F4-A515-691E20C11CE2}"/>
            </a:ext>
          </a:extLst>
        </xdr:cNvPr>
        <xdr:cNvSpPr txBox="1">
          <a:spLocks noChangeArrowheads="1"/>
        </xdr:cNvSpPr>
      </xdr:nvSpPr>
      <xdr:spPr bwMode="auto">
        <a:xfrm>
          <a:off x="3488055" y="224117"/>
          <a:ext cx="23636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6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4078668-EA28-492C-8BE4-458D98B7F60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96A48007-3B22-4156-BDC7-2714940C3881}"/>
            </a:ext>
          </a:extLst>
        </xdr:cNvPr>
        <xdr:cNvSpPr txBox="1">
          <a:spLocks noChangeArrowheads="1"/>
        </xdr:cNvSpPr>
      </xdr:nvSpPr>
      <xdr:spPr bwMode="auto">
        <a:xfrm>
          <a:off x="3097530" y="323850"/>
          <a:ext cx="390334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C02FC02-BCD7-4F40-A28C-9B20771E719E}"/>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118C1DF8-4970-4A41-B7ED-992844E08F53}"/>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C341AC6-F5EE-4ABF-BAD9-C932BE26A632}"/>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A0E3F6F4-DE9F-4F4B-9DA1-CB5E7C564747}"/>
            </a:ext>
          </a:extLst>
        </xdr:cNvPr>
        <xdr:cNvSpPr txBox="1">
          <a:spLocks noChangeArrowheads="1"/>
        </xdr:cNvSpPr>
      </xdr:nvSpPr>
      <xdr:spPr bwMode="auto">
        <a:xfrm>
          <a:off x="3097530" y="323850"/>
          <a:ext cx="390334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EF763F7-99C4-48D7-9233-AD2D2DB0FB3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D0298DE3-2E68-47DA-AABC-40CEEFC65B12}"/>
            </a:ext>
          </a:extLst>
        </xdr:cNvPr>
        <xdr:cNvSpPr txBox="1">
          <a:spLocks noChangeArrowheads="1"/>
        </xdr:cNvSpPr>
      </xdr:nvSpPr>
      <xdr:spPr bwMode="auto">
        <a:xfrm>
          <a:off x="3488055" y="224117"/>
          <a:ext cx="41238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64.xml><?xml version="1.0" encoding="utf-8"?>
<xdr:wsDr xmlns:xdr="http://schemas.openxmlformats.org/drawingml/2006/spreadsheetDrawing" xmlns:a="http://schemas.openxmlformats.org/drawingml/2006/main">
  <xdr:oneCellAnchor>
    <xdr:from>
      <xdr:col>1</xdr:col>
      <xdr:colOff>47625</xdr:colOff>
      <xdr:row>0</xdr:row>
      <xdr:rowOff>123825</xdr:rowOff>
    </xdr:from>
    <xdr:ext cx="2400300" cy="1885950"/>
    <xdr:pic>
      <xdr:nvPicPr>
        <xdr:cNvPr id="2" name="image1.png">
          <a:extLst>
            <a:ext uri="{FF2B5EF4-FFF2-40B4-BE49-F238E27FC236}">
              <a16:creationId xmlns:a16="http://schemas.microsoft.com/office/drawing/2014/main" id="{8FDE0A44-351D-4334-8492-DD8F5CCCA250}"/>
            </a:ext>
          </a:extLst>
        </xdr:cNvPr>
        <xdr:cNvPicPr preferRelativeResize="0"/>
      </xdr:nvPicPr>
      <xdr:blipFill>
        <a:blip xmlns:r="http://schemas.openxmlformats.org/officeDocument/2006/relationships" r:embed="rId1" cstate="print"/>
        <a:stretch>
          <a:fillRect/>
        </a:stretch>
      </xdr:blipFill>
      <xdr:spPr>
        <a:xfrm>
          <a:off x="459105" y="123825"/>
          <a:ext cx="2400300" cy="188595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0CCBEA9D-88B5-4751-B3CD-1DE681D0D597}"/>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2C83609-8131-4467-A694-12A1BCF795E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9CC048C7-C31D-4ACE-B6F8-DAA10E2F6970}"/>
            </a:ext>
          </a:extLst>
        </xdr:cNvPr>
        <xdr:cNvSpPr txBox="1">
          <a:spLocks noChangeArrowheads="1"/>
        </xdr:cNvSpPr>
      </xdr:nvSpPr>
      <xdr:spPr bwMode="auto">
        <a:xfrm>
          <a:off x="3488055" y="224117"/>
          <a:ext cx="32170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6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B182A714-F644-48F5-BA3B-6D1110E7C2CE}"/>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070CC3CD-270F-4EE7-B7C3-9941704A6F79}"/>
            </a:ext>
          </a:extLst>
        </xdr:cNvPr>
        <xdr:cNvSpPr txBox="1">
          <a:spLocks noChangeArrowheads="1"/>
        </xdr:cNvSpPr>
      </xdr:nvSpPr>
      <xdr:spPr bwMode="auto">
        <a:xfrm>
          <a:off x="3120503" y="493059"/>
          <a:ext cx="511627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6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47122C54-6886-4F45-A709-0B036EF4888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2449045</xdr:colOff>
      <xdr:row>0</xdr:row>
      <xdr:rowOff>421341</xdr:rowOff>
    </xdr:from>
    <xdr:to>
      <xdr:col>3</xdr:col>
      <xdr:colOff>708211</xdr:colOff>
      <xdr:row>6</xdr:row>
      <xdr:rowOff>62753</xdr:rowOff>
    </xdr:to>
    <xdr:sp macro="" textlink="">
      <xdr:nvSpPr>
        <xdr:cNvPr id="3" name="Text Box 2">
          <a:extLst>
            <a:ext uri="{FF2B5EF4-FFF2-40B4-BE49-F238E27FC236}">
              <a16:creationId xmlns:a16="http://schemas.microsoft.com/office/drawing/2014/main" id="{AD7AD0AB-EF34-4690-8E27-6AA62066712F}"/>
            </a:ext>
          </a:extLst>
        </xdr:cNvPr>
        <xdr:cNvSpPr txBox="1">
          <a:spLocks noChangeArrowheads="1"/>
        </xdr:cNvSpPr>
      </xdr:nvSpPr>
      <xdr:spPr bwMode="auto">
        <a:xfrm>
          <a:off x="2861421" y="421341"/>
          <a:ext cx="3530414" cy="15508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6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F4108DFC-8C93-45BE-8125-73F4D294C37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BEE4879F-7221-4B20-A145-C62A42DF6FCE}"/>
            </a:ext>
          </a:extLst>
        </xdr:cNvPr>
        <xdr:cNvSpPr txBox="1">
          <a:spLocks noChangeArrowheads="1"/>
        </xdr:cNvSpPr>
      </xdr:nvSpPr>
      <xdr:spPr bwMode="auto">
        <a:xfrm>
          <a:off x="3488055" y="224117"/>
          <a:ext cx="398671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6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2B9E1E0F-4E81-4936-8270-CF18AF79F2E9}"/>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2449045</xdr:colOff>
      <xdr:row>0</xdr:row>
      <xdr:rowOff>421341</xdr:rowOff>
    </xdr:from>
    <xdr:to>
      <xdr:col>3</xdr:col>
      <xdr:colOff>708211</xdr:colOff>
      <xdr:row>6</xdr:row>
      <xdr:rowOff>62753</xdr:rowOff>
    </xdr:to>
    <xdr:sp macro="" textlink="">
      <xdr:nvSpPr>
        <xdr:cNvPr id="3" name="Text Box 2">
          <a:extLst>
            <a:ext uri="{FF2B5EF4-FFF2-40B4-BE49-F238E27FC236}">
              <a16:creationId xmlns:a16="http://schemas.microsoft.com/office/drawing/2014/main" id="{1629275E-9042-4C63-8FE1-C07DB2726D53}"/>
            </a:ext>
          </a:extLst>
        </xdr:cNvPr>
        <xdr:cNvSpPr txBox="1">
          <a:spLocks noChangeArrowheads="1"/>
        </xdr:cNvSpPr>
      </xdr:nvSpPr>
      <xdr:spPr bwMode="auto">
        <a:xfrm>
          <a:off x="2860525" y="421341"/>
          <a:ext cx="3524586"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7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1EDE8C1-F700-44D2-AB5A-E5070859986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53A94A1F-C35A-4D04-BC0B-3CA586427F66}"/>
            </a:ext>
          </a:extLst>
        </xdr:cNvPr>
        <xdr:cNvSpPr txBox="1">
          <a:spLocks noChangeArrowheads="1"/>
        </xdr:cNvSpPr>
      </xdr:nvSpPr>
      <xdr:spPr bwMode="auto">
        <a:xfrm>
          <a:off x="3097530" y="323850"/>
          <a:ext cx="390334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1.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2E974BA4-577B-4E1E-9B8B-B3023FE45B5C}"/>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71EEBAF9-0B53-4801-B17D-0EB01026982B}"/>
            </a:ext>
          </a:extLst>
        </xdr:cNvPr>
        <xdr:cNvSpPr txBox="1">
          <a:spLocks noChangeArrowheads="1"/>
        </xdr:cNvSpPr>
      </xdr:nvSpPr>
      <xdr:spPr bwMode="auto">
        <a:xfrm>
          <a:off x="3630516" y="513522"/>
          <a:ext cx="336961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2.xml><?xml version="1.0" encoding="utf-8"?>
<xdr:wsDr xmlns:xdr="http://schemas.openxmlformats.org/drawingml/2006/spreadsheetDrawing" xmlns:a="http://schemas.openxmlformats.org/drawingml/2006/main">
  <xdr:oneCellAnchor>
    <xdr:from>
      <xdr:col>0</xdr:col>
      <xdr:colOff>53340</xdr:colOff>
      <xdr:row>0</xdr:row>
      <xdr:rowOff>518160</xdr:rowOff>
    </xdr:from>
    <xdr:ext cx="2400300" cy="1524000"/>
    <xdr:pic>
      <xdr:nvPicPr>
        <xdr:cNvPr id="2" name="image1.png">
          <a:extLst>
            <a:ext uri="{FF2B5EF4-FFF2-40B4-BE49-F238E27FC236}">
              <a16:creationId xmlns:a16="http://schemas.microsoft.com/office/drawing/2014/main" id="{CDEBC632-68EF-40EF-A9C6-C439D3AFC468}"/>
            </a:ext>
          </a:extLst>
        </xdr:cNvPr>
        <xdr:cNvPicPr preferRelativeResize="0"/>
      </xdr:nvPicPr>
      <xdr:blipFill>
        <a:blip xmlns:r="http://schemas.openxmlformats.org/officeDocument/2006/relationships" r:embed="rId1" cstate="print"/>
        <a:stretch>
          <a:fillRect/>
        </a:stretch>
      </xdr:blipFill>
      <xdr:spPr>
        <a:xfrm>
          <a:off x="53340" y="518160"/>
          <a:ext cx="2400300" cy="1524000"/>
        </a:xfrm>
        <a:prstGeom prst="rect">
          <a:avLst/>
        </a:prstGeom>
        <a:noFill/>
      </xdr:spPr>
    </xdr:pic>
    <xdr:clientData fLocksWithSheet="0"/>
  </xdr:oneCellAnchor>
  <xdr:twoCellAnchor>
    <xdr:from>
      <xdr:col>1</xdr:col>
      <xdr:colOff>2994660</xdr:colOff>
      <xdr:row>0</xdr:row>
      <xdr:rowOff>716280</xdr:rowOff>
    </xdr:from>
    <xdr:to>
      <xdr:col>1</xdr:col>
      <xdr:colOff>6619875</xdr:colOff>
      <xdr:row>4</xdr:row>
      <xdr:rowOff>198119</xdr:rowOff>
    </xdr:to>
    <xdr:sp macro="" textlink="">
      <xdr:nvSpPr>
        <xdr:cNvPr id="3" name="Text Box 2">
          <a:extLst>
            <a:ext uri="{FF2B5EF4-FFF2-40B4-BE49-F238E27FC236}">
              <a16:creationId xmlns:a16="http://schemas.microsoft.com/office/drawing/2014/main" id="{DC3688F5-66D4-4706-904B-A3A0A1AD4796}"/>
            </a:ext>
          </a:extLst>
        </xdr:cNvPr>
        <xdr:cNvSpPr txBox="1">
          <a:spLocks noChangeArrowheads="1"/>
        </xdr:cNvSpPr>
      </xdr:nvSpPr>
      <xdr:spPr bwMode="auto">
        <a:xfrm>
          <a:off x="3406140" y="716280"/>
          <a:ext cx="3625215" cy="9524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3.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B09C54C0-6158-4067-9447-A0FF9DFD4B6E}"/>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3</xdr:col>
      <xdr:colOff>45720</xdr:colOff>
      <xdr:row>4</xdr:row>
      <xdr:rowOff>107674</xdr:rowOff>
    </xdr:to>
    <xdr:sp macro="" textlink="">
      <xdr:nvSpPr>
        <xdr:cNvPr id="3" name="Text Box 2">
          <a:extLst>
            <a:ext uri="{FF2B5EF4-FFF2-40B4-BE49-F238E27FC236}">
              <a16:creationId xmlns:a16="http://schemas.microsoft.com/office/drawing/2014/main" id="{0B98002D-00AF-4C59-8EAF-001D66A7BF3D}"/>
            </a:ext>
          </a:extLst>
        </xdr:cNvPr>
        <xdr:cNvSpPr txBox="1">
          <a:spLocks noChangeArrowheads="1"/>
        </xdr:cNvSpPr>
      </xdr:nvSpPr>
      <xdr:spPr bwMode="auto">
        <a:xfrm>
          <a:off x="3630516" y="513522"/>
          <a:ext cx="426380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EEFC6434-6C39-4E14-BDE1-F13563CCCDA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0F479490-50F8-4E76-84BC-06192CA093AC}"/>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5.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E8816F85-67AE-4CA2-B169-0EDFD05B8A8B}"/>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3</xdr:col>
      <xdr:colOff>45720</xdr:colOff>
      <xdr:row>4</xdr:row>
      <xdr:rowOff>107674</xdr:rowOff>
    </xdr:to>
    <xdr:sp macro="" textlink="">
      <xdr:nvSpPr>
        <xdr:cNvPr id="3" name="Text Box 2">
          <a:extLst>
            <a:ext uri="{FF2B5EF4-FFF2-40B4-BE49-F238E27FC236}">
              <a16:creationId xmlns:a16="http://schemas.microsoft.com/office/drawing/2014/main" id="{39EB7DBA-2745-4B6E-912B-7422045856EB}"/>
            </a:ext>
          </a:extLst>
        </xdr:cNvPr>
        <xdr:cNvSpPr txBox="1">
          <a:spLocks noChangeArrowheads="1"/>
        </xdr:cNvSpPr>
      </xdr:nvSpPr>
      <xdr:spPr bwMode="auto">
        <a:xfrm>
          <a:off x="3630516" y="513522"/>
          <a:ext cx="426380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2F9EED33-5E60-4DDD-AB7C-BB632BEB1467}"/>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2709023</xdr:colOff>
      <xdr:row>0</xdr:row>
      <xdr:rowOff>493059</xdr:rowOff>
    </xdr:from>
    <xdr:to>
      <xdr:col>3</xdr:col>
      <xdr:colOff>860613</xdr:colOff>
      <xdr:row>6</xdr:row>
      <xdr:rowOff>134471</xdr:rowOff>
    </xdr:to>
    <xdr:sp macro="" textlink="">
      <xdr:nvSpPr>
        <xdr:cNvPr id="3" name="Text Box 2">
          <a:extLst>
            <a:ext uri="{FF2B5EF4-FFF2-40B4-BE49-F238E27FC236}">
              <a16:creationId xmlns:a16="http://schemas.microsoft.com/office/drawing/2014/main" id="{A12112DF-C9B2-4E62-A22B-309C7C1C4FAA}"/>
            </a:ext>
          </a:extLst>
        </xdr:cNvPr>
        <xdr:cNvSpPr txBox="1">
          <a:spLocks noChangeArrowheads="1"/>
        </xdr:cNvSpPr>
      </xdr:nvSpPr>
      <xdr:spPr bwMode="auto">
        <a:xfrm>
          <a:off x="3120503" y="493059"/>
          <a:ext cx="4415230"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77.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67FC66E0-7DC0-4AE1-A3C6-8F09B3961D60}"/>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3</xdr:col>
      <xdr:colOff>45720</xdr:colOff>
      <xdr:row>4</xdr:row>
      <xdr:rowOff>107674</xdr:rowOff>
    </xdr:to>
    <xdr:sp macro="" textlink="">
      <xdr:nvSpPr>
        <xdr:cNvPr id="3" name="Text Box 2">
          <a:extLst>
            <a:ext uri="{FF2B5EF4-FFF2-40B4-BE49-F238E27FC236}">
              <a16:creationId xmlns:a16="http://schemas.microsoft.com/office/drawing/2014/main" id="{D64100AE-BAD3-4CCA-9EB4-FDAFA15A94E3}"/>
            </a:ext>
          </a:extLst>
        </xdr:cNvPr>
        <xdr:cNvSpPr txBox="1">
          <a:spLocks noChangeArrowheads="1"/>
        </xdr:cNvSpPr>
      </xdr:nvSpPr>
      <xdr:spPr bwMode="auto">
        <a:xfrm>
          <a:off x="3630516" y="513522"/>
          <a:ext cx="426380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54BDE0C-A76C-47A7-81CE-24787CED381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AE76B5BE-58B9-46F1-8523-6CAAC00A775E}"/>
            </a:ext>
          </a:extLst>
        </xdr:cNvPr>
        <xdr:cNvSpPr txBox="1">
          <a:spLocks noChangeArrowheads="1"/>
        </xdr:cNvSpPr>
      </xdr:nvSpPr>
      <xdr:spPr bwMode="auto">
        <a:xfrm>
          <a:off x="3488055" y="224117"/>
          <a:ext cx="23636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7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54927FE-1B42-42E2-9A9A-6E6060732664}"/>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2762810</xdr:colOff>
      <xdr:row>0</xdr:row>
      <xdr:rowOff>448235</xdr:rowOff>
    </xdr:from>
    <xdr:to>
      <xdr:col>12</xdr:col>
      <xdr:colOff>573741</xdr:colOff>
      <xdr:row>6</xdr:row>
      <xdr:rowOff>89647</xdr:rowOff>
    </xdr:to>
    <xdr:sp macro="" textlink="">
      <xdr:nvSpPr>
        <xdr:cNvPr id="3" name="Text Box 2">
          <a:extLst>
            <a:ext uri="{FF2B5EF4-FFF2-40B4-BE49-F238E27FC236}">
              <a16:creationId xmlns:a16="http://schemas.microsoft.com/office/drawing/2014/main" id="{A475416C-CF8C-4A6F-BF29-F40D92A4E9D0}"/>
            </a:ext>
          </a:extLst>
        </xdr:cNvPr>
        <xdr:cNvSpPr txBox="1">
          <a:spLocks noChangeArrowheads="1"/>
        </xdr:cNvSpPr>
      </xdr:nvSpPr>
      <xdr:spPr bwMode="auto">
        <a:xfrm>
          <a:off x="3175186" y="448235"/>
          <a:ext cx="4875120" cy="15508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80.xml><?xml version="1.0" encoding="utf-8"?>
<xdr:wsDr xmlns:xdr="http://schemas.openxmlformats.org/drawingml/2006/spreadsheetDrawing" xmlns:a="http://schemas.openxmlformats.org/drawingml/2006/main">
  <xdr:oneCellAnchor>
    <xdr:from>
      <xdr:col>0</xdr:col>
      <xdr:colOff>398930</xdr:colOff>
      <xdr:row>0</xdr:row>
      <xdr:rowOff>100854</xdr:rowOff>
    </xdr:from>
    <xdr:ext cx="2400300" cy="1432112"/>
    <xdr:pic>
      <xdr:nvPicPr>
        <xdr:cNvPr id="2" name="image1.png">
          <a:extLst>
            <a:ext uri="{FF2B5EF4-FFF2-40B4-BE49-F238E27FC236}">
              <a16:creationId xmlns:a16="http://schemas.microsoft.com/office/drawing/2014/main" id="{BE1874A9-880F-4EBD-A176-433370355EE7}"/>
            </a:ext>
          </a:extLst>
        </xdr:cNvPr>
        <xdr:cNvPicPr preferRelativeResize="0"/>
      </xdr:nvPicPr>
      <xdr:blipFill>
        <a:blip xmlns:r="http://schemas.openxmlformats.org/officeDocument/2006/relationships" r:embed="rId1" cstate="print"/>
        <a:stretch>
          <a:fillRect/>
        </a:stretch>
      </xdr:blipFill>
      <xdr:spPr>
        <a:xfrm>
          <a:off x="398930" y="100854"/>
          <a:ext cx="2400300" cy="1432112"/>
        </a:xfrm>
        <a:prstGeom prst="rect">
          <a:avLst/>
        </a:prstGeom>
        <a:noFill/>
      </xdr:spPr>
    </xdr:pic>
    <xdr:clientData fLocksWithSheet="0"/>
  </xdr:oneCellAnchor>
  <xdr:twoCellAnchor>
    <xdr:from>
      <xdr:col>1</xdr:col>
      <xdr:colOff>2350433</xdr:colOff>
      <xdr:row>0</xdr:row>
      <xdr:rowOff>412377</xdr:rowOff>
    </xdr:from>
    <xdr:to>
      <xdr:col>3</xdr:col>
      <xdr:colOff>923364</xdr:colOff>
      <xdr:row>4</xdr:row>
      <xdr:rowOff>179295</xdr:rowOff>
    </xdr:to>
    <xdr:sp macro="" textlink="">
      <xdr:nvSpPr>
        <xdr:cNvPr id="3" name="Text Box 2">
          <a:extLst>
            <a:ext uri="{FF2B5EF4-FFF2-40B4-BE49-F238E27FC236}">
              <a16:creationId xmlns:a16="http://schemas.microsoft.com/office/drawing/2014/main" id="{5F854A9B-3A12-4C51-8F8A-A39C39976B74}"/>
            </a:ext>
          </a:extLst>
        </xdr:cNvPr>
        <xdr:cNvSpPr txBox="1">
          <a:spLocks noChangeArrowheads="1"/>
        </xdr:cNvSpPr>
      </xdr:nvSpPr>
      <xdr:spPr bwMode="auto">
        <a:xfrm>
          <a:off x="2762809" y="412377"/>
          <a:ext cx="3897967" cy="12460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8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4FB73D3B-ADC0-4DB8-AB61-3D9CB192913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2762810</xdr:colOff>
      <xdr:row>0</xdr:row>
      <xdr:rowOff>448235</xdr:rowOff>
    </xdr:from>
    <xdr:to>
      <xdr:col>12</xdr:col>
      <xdr:colOff>573741</xdr:colOff>
      <xdr:row>6</xdr:row>
      <xdr:rowOff>89647</xdr:rowOff>
    </xdr:to>
    <xdr:sp macro="" textlink="">
      <xdr:nvSpPr>
        <xdr:cNvPr id="3" name="Text Box 2">
          <a:extLst>
            <a:ext uri="{FF2B5EF4-FFF2-40B4-BE49-F238E27FC236}">
              <a16:creationId xmlns:a16="http://schemas.microsoft.com/office/drawing/2014/main" id="{B17F9420-38BF-420B-9AC6-753A3BAE1B7C}"/>
            </a:ext>
          </a:extLst>
        </xdr:cNvPr>
        <xdr:cNvSpPr txBox="1">
          <a:spLocks noChangeArrowheads="1"/>
        </xdr:cNvSpPr>
      </xdr:nvSpPr>
      <xdr:spPr bwMode="auto">
        <a:xfrm>
          <a:off x="3174290" y="448235"/>
          <a:ext cx="4859431" cy="15387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8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A0470AA-151C-454C-8BC0-EE066348FE3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8B5F98E3-AA70-465F-85E0-A6C62BBBC52A}"/>
            </a:ext>
          </a:extLst>
        </xdr:cNvPr>
        <xdr:cNvSpPr txBox="1">
          <a:spLocks noChangeArrowheads="1"/>
        </xdr:cNvSpPr>
      </xdr:nvSpPr>
      <xdr:spPr bwMode="auto">
        <a:xfrm>
          <a:off x="3488055" y="224117"/>
          <a:ext cx="38495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8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BEBE8427-75FC-4C44-BD3E-814AFEC74979}"/>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893659C9-7097-4498-93FC-2A9AAAE07816}"/>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84.xml><?xml version="1.0" encoding="utf-8"?>
<xdr:wsDr xmlns:xdr="http://schemas.openxmlformats.org/drawingml/2006/spreadsheetDrawing" xmlns:a="http://schemas.openxmlformats.org/drawingml/2006/main">
  <xdr:oneCellAnchor>
    <xdr:from>
      <xdr:col>1</xdr:col>
      <xdr:colOff>38100</xdr:colOff>
      <xdr:row>0</xdr:row>
      <xdr:rowOff>238125</xdr:rowOff>
    </xdr:from>
    <xdr:ext cx="2076450" cy="1647825"/>
    <xdr:pic>
      <xdr:nvPicPr>
        <xdr:cNvPr id="2" name="image1.png">
          <a:extLst>
            <a:ext uri="{FF2B5EF4-FFF2-40B4-BE49-F238E27FC236}">
              <a16:creationId xmlns:a16="http://schemas.microsoft.com/office/drawing/2014/main" id="{5501B493-ADC0-4864-9750-C9A5DF4DC36E}"/>
            </a:ext>
          </a:extLst>
        </xdr:cNvPr>
        <xdr:cNvPicPr preferRelativeResize="0"/>
      </xdr:nvPicPr>
      <xdr:blipFill>
        <a:blip xmlns:r="http://schemas.openxmlformats.org/officeDocument/2006/relationships" r:embed="rId1" cstate="print"/>
        <a:stretch>
          <a:fillRect/>
        </a:stretch>
      </xdr:blipFill>
      <xdr:spPr>
        <a:xfrm>
          <a:off x="449580" y="238125"/>
          <a:ext cx="2076450" cy="1647825"/>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D69D9472-7CC1-486D-B29A-65BDD827E3B8}"/>
            </a:ext>
          </a:extLst>
        </xdr:cNvPr>
        <xdr:cNvSpPr txBox="1">
          <a:spLocks noChangeArrowheads="1"/>
        </xdr:cNvSpPr>
      </xdr:nvSpPr>
      <xdr:spPr bwMode="auto">
        <a:xfrm>
          <a:off x="3078480" y="124777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FD1798A-DF57-441F-81EA-22F2E1571D3E}"/>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5B0FEC9E-78B6-4E14-92CD-74F0DDBB4611}"/>
            </a:ext>
          </a:extLst>
        </xdr:cNvPr>
        <xdr:cNvSpPr txBox="1">
          <a:spLocks noChangeArrowheads="1"/>
        </xdr:cNvSpPr>
      </xdr:nvSpPr>
      <xdr:spPr bwMode="auto">
        <a:xfrm>
          <a:off x="3488055" y="224117"/>
          <a:ext cx="41238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8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EDF8FA18-FBC4-4EB6-9399-0413985E3276}"/>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E5F7AD63-AC27-4FD0-A7C1-4CA68D62114F}"/>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8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C723CAA4-D7FB-4A91-9DDA-06B6AD78ECFF}"/>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70EBE065-41F2-4675-AC67-0C98B76195EC}"/>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9E17E64-7A55-45F5-BD06-56ECCD55C3E4}"/>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8DE3A755-FE6D-4ECC-970F-AD8578621A4B}"/>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8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C30A0470-7BE4-4EF7-9CAC-A6029567117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1309C563-8813-4F46-90AB-EBF6B834D291}"/>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9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8D7F9273-55A2-46E3-8D67-A7CEC06350A7}"/>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B59D8317-E324-454D-AD5F-7B19D3B8ECE2}"/>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B6CBDD1-FDC7-4BE9-80D1-B4781F56A9D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49E1919C-4687-467D-9793-FE8BDF5CAD96}"/>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92.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BD0A6EEE-1019-48C6-B7DD-C80CAACC12B3}"/>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DFC839C8-8E4B-4584-8BED-42021A730EF4}"/>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97DEB1C8-A2CC-457D-8F2E-0F8E9A629D10}"/>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00354C1D-2901-4916-A907-9BBA8EA5FDC0}"/>
            </a:ext>
          </a:extLst>
        </xdr:cNvPr>
        <xdr:cNvSpPr txBox="1">
          <a:spLocks noChangeArrowheads="1"/>
        </xdr:cNvSpPr>
      </xdr:nvSpPr>
      <xdr:spPr bwMode="auto">
        <a:xfrm>
          <a:off x="1524000" y="485775"/>
          <a:ext cx="457200" cy="1200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4.xml><?xml version="1.0" encoding="utf-8"?>
<xdr:wsDr xmlns:xdr="http://schemas.openxmlformats.org/drawingml/2006/spreadsheetDrawing" xmlns:a="http://schemas.openxmlformats.org/drawingml/2006/main">
  <xdr:oneCellAnchor>
    <xdr:from>
      <xdr:col>0</xdr:col>
      <xdr:colOff>398930</xdr:colOff>
      <xdr:row>0</xdr:row>
      <xdr:rowOff>100853</xdr:rowOff>
    </xdr:from>
    <xdr:ext cx="1779494" cy="1378323"/>
    <xdr:pic>
      <xdr:nvPicPr>
        <xdr:cNvPr id="2" name="image1.png">
          <a:extLst>
            <a:ext uri="{FF2B5EF4-FFF2-40B4-BE49-F238E27FC236}">
              <a16:creationId xmlns:a16="http://schemas.microsoft.com/office/drawing/2014/main" id="{66C4A10B-B247-4758-861B-22AD9FEA791F}"/>
            </a:ext>
          </a:extLst>
        </xdr:cNvPr>
        <xdr:cNvPicPr preferRelativeResize="0"/>
      </xdr:nvPicPr>
      <xdr:blipFill>
        <a:blip xmlns:r="http://schemas.openxmlformats.org/officeDocument/2006/relationships" r:embed="rId1" cstate="print"/>
        <a:stretch>
          <a:fillRect/>
        </a:stretch>
      </xdr:blipFill>
      <xdr:spPr>
        <a:xfrm>
          <a:off x="398930" y="100853"/>
          <a:ext cx="1779494" cy="1378323"/>
        </a:xfrm>
        <a:prstGeom prst="rect">
          <a:avLst/>
        </a:prstGeom>
        <a:noFill/>
      </xdr:spPr>
    </xdr:pic>
    <xdr:clientData fLocksWithSheet="0"/>
  </xdr:oneCellAnchor>
  <xdr:twoCellAnchor>
    <xdr:from>
      <xdr:col>1</xdr:col>
      <xdr:colOff>2590800</xdr:colOff>
      <xdr:row>0</xdr:row>
      <xdr:rowOff>80683</xdr:rowOff>
    </xdr:from>
    <xdr:to>
      <xdr:col>3</xdr:col>
      <xdr:colOff>398930</xdr:colOff>
      <xdr:row>4</xdr:row>
      <xdr:rowOff>0</xdr:rowOff>
    </xdr:to>
    <xdr:sp macro="" textlink="">
      <xdr:nvSpPr>
        <xdr:cNvPr id="3" name="Text Box 2">
          <a:extLst>
            <a:ext uri="{FF2B5EF4-FFF2-40B4-BE49-F238E27FC236}">
              <a16:creationId xmlns:a16="http://schemas.microsoft.com/office/drawing/2014/main" id="{20551AF0-DF4F-4E4C-8C3F-CEC563637477}"/>
            </a:ext>
          </a:extLst>
        </xdr:cNvPr>
        <xdr:cNvSpPr txBox="1">
          <a:spLocks noChangeArrowheads="1"/>
        </xdr:cNvSpPr>
      </xdr:nvSpPr>
      <xdr:spPr bwMode="auto">
        <a:xfrm>
          <a:off x="3003176" y="80683"/>
          <a:ext cx="3393142" cy="142874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5.xml><?xml version="1.0" encoding="utf-8"?>
<xdr:wsDr xmlns:xdr="http://schemas.openxmlformats.org/drawingml/2006/spreadsheetDrawing" xmlns:a="http://schemas.openxmlformats.org/drawingml/2006/main">
  <xdr:oneCellAnchor>
    <xdr:from>
      <xdr:col>0</xdr:col>
      <xdr:colOff>398930</xdr:colOff>
      <xdr:row>0</xdr:row>
      <xdr:rowOff>100853</xdr:rowOff>
    </xdr:from>
    <xdr:ext cx="1779494" cy="1378323"/>
    <xdr:pic>
      <xdr:nvPicPr>
        <xdr:cNvPr id="2" name="image1.png">
          <a:extLst>
            <a:ext uri="{FF2B5EF4-FFF2-40B4-BE49-F238E27FC236}">
              <a16:creationId xmlns:a16="http://schemas.microsoft.com/office/drawing/2014/main" id="{2421A62E-AF88-49EB-AF5D-D656F4A4C1EB}"/>
            </a:ext>
          </a:extLst>
        </xdr:cNvPr>
        <xdr:cNvPicPr preferRelativeResize="0"/>
      </xdr:nvPicPr>
      <xdr:blipFill>
        <a:blip xmlns:r="http://schemas.openxmlformats.org/officeDocument/2006/relationships" r:embed="rId1" cstate="print"/>
        <a:stretch>
          <a:fillRect/>
        </a:stretch>
      </xdr:blipFill>
      <xdr:spPr>
        <a:xfrm>
          <a:off x="398930" y="100853"/>
          <a:ext cx="1779494" cy="1378323"/>
        </a:xfrm>
        <a:prstGeom prst="rect">
          <a:avLst/>
        </a:prstGeom>
        <a:noFill/>
      </xdr:spPr>
    </xdr:pic>
    <xdr:clientData fLocksWithSheet="0"/>
  </xdr:oneCellAnchor>
  <xdr:twoCellAnchor>
    <xdr:from>
      <xdr:col>1</xdr:col>
      <xdr:colOff>2590800</xdr:colOff>
      <xdr:row>0</xdr:row>
      <xdr:rowOff>80683</xdr:rowOff>
    </xdr:from>
    <xdr:to>
      <xdr:col>3</xdr:col>
      <xdr:colOff>398930</xdr:colOff>
      <xdr:row>4</xdr:row>
      <xdr:rowOff>0</xdr:rowOff>
    </xdr:to>
    <xdr:sp macro="" textlink="">
      <xdr:nvSpPr>
        <xdr:cNvPr id="3" name="Text Box 2">
          <a:extLst>
            <a:ext uri="{FF2B5EF4-FFF2-40B4-BE49-F238E27FC236}">
              <a16:creationId xmlns:a16="http://schemas.microsoft.com/office/drawing/2014/main" id="{4FF913D3-6D71-4D6D-B589-69735D90F24B}"/>
            </a:ext>
          </a:extLst>
        </xdr:cNvPr>
        <xdr:cNvSpPr txBox="1">
          <a:spLocks noChangeArrowheads="1"/>
        </xdr:cNvSpPr>
      </xdr:nvSpPr>
      <xdr:spPr bwMode="auto">
        <a:xfrm>
          <a:off x="2990850" y="80683"/>
          <a:ext cx="3237380" cy="138616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459315F-60E4-46D0-8D17-57E7C3A306F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8DE16C89-5F79-408D-B61B-0C03FEF1259E}"/>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9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4DE820E-CA8B-4D36-919D-1410F261EC01}"/>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31B6F66B-503F-4F39-B37D-9EF4CF6EEA34}"/>
            </a:ext>
          </a:extLst>
        </xdr:cNvPr>
        <xdr:cNvSpPr txBox="1">
          <a:spLocks noChangeArrowheads="1"/>
        </xdr:cNvSpPr>
      </xdr:nvSpPr>
      <xdr:spPr bwMode="auto">
        <a:xfrm>
          <a:off x="3001495" y="950259"/>
          <a:ext cx="4524376" cy="137664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8.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C66AB4D9-DF31-4972-944F-8325E08EC721}"/>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80C483A3-5DA3-4E35-A834-68011AC4FCC0}"/>
            </a:ext>
          </a:extLst>
        </xdr:cNvPr>
        <xdr:cNvSpPr txBox="1">
          <a:spLocks noChangeArrowheads="1"/>
        </xdr:cNvSpPr>
      </xdr:nvSpPr>
      <xdr:spPr bwMode="auto">
        <a:xfrm>
          <a:off x="3630516" y="513522"/>
          <a:ext cx="336961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9.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BC6F315B-FB3A-40CF-BD2E-C5DC3BA70D80}"/>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18B0A43E-508B-4D7D-8864-B025188718E2}"/>
            </a:ext>
          </a:extLst>
        </xdr:cNvPr>
        <xdr:cNvSpPr txBox="1">
          <a:spLocks noChangeArrowheads="1"/>
        </xdr:cNvSpPr>
      </xdr:nvSpPr>
      <xdr:spPr bwMode="auto">
        <a:xfrm>
          <a:off x="3630516" y="513522"/>
          <a:ext cx="336961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0.xml><?xml version="1.0" encoding="utf-8"?>
<xdr:wsDr xmlns:xdr="http://schemas.openxmlformats.org/drawingml/2006/spreadsheetDrawing" xmlns:a="http://schemas.openxmlformats.org/drawingml/2006/main">
  <xdr:oneCellAnchor>
    <xdr:from>
      <xdr:col>0</xdr:col>
      <xdr:colOff>53340</xdr:colOff>
      <xdr:row>0</xdr:row>
      <xdr:rowOff>518160</xdr:rowOff>
    </xdr:from>
    <xdr:ext cx="2400300" cy="1524000"/>
    <xdr:pic>
      <xdr:nvPicPr>
        <xdr:cNvPr id="2" name="image1.png">
          <a:extLst>
            <a:ext uri="{FF2B5EF4-FFF2-40B4-BE49-F238E27FC236}">
              <a16:creationId xmlns:a16="http://schemas.microsoft.com/office/drawing/2014/main" id="{2925BF7C-04F7-4299-BC75-E58BF893096F}"/>
            </a:ext>
          </a:extLst>
        </xdr:cNvPr>
        <xdr:cNvPicPr preferRelativeResize="0"/>
      </xdr:nvPicPr>
      <xdr:blipFill>
        <a:blip xmlns:r="http://schemas.openxmlformats.org/officeDocument/2006/relationships" r:embed="rId1" cstate="print"/>
        <a:stretch>
          <a:fillRect/>
        </a:stretch>
      </xdr:blipFill>
      <xdr:spPr>
        <a:xfrm>
          <a:off x="53340" y="518160"/>
          <a:ext cx="2400300" cy="1524000"/>
        </a:xfrm>
        <a:prstGeom prst="rect">
          <a:avLst/>
        </a:prstGeom>
        <a:noFill/>
      </xdr:spPr>
    </xdr:pic>
    <xdr:clientData fLocksWithSheet="0"/>
  </xdr:oneCellAnchor>
  <xdr:twoCellAnchor>
    <xdr:from>
      <xdr:col>1</xdr:col>
      <xdr:colOff>2994660</xdr:colOff>
      <xdr:row>0</xdr:row>
      <xdr:rowOff>716280</xdr:rowOff>
    </xdr:from>
    <xdr:to>
      <xdr:col>1</xdr:col>
      <xdr:colOff>6619875</xdr:colOff>
      <xdr:row>4</xdr:row>
      <xdr:rowOff>198119</xdr:rowOff>
    </xdr:to>
    <xdr:sp macro="" textlink="">
      <xdr:nvSpPr>
        <xdr:cNvPr id="3" name="Text Box 2">
          <a:extLst>
            <a:ext uri="{FF2B5EF4-FFF2-40B4-BE49-F238E27FC236}">
              <a16:creationId xmlns:a16="http://schemas.microsoft.com/office/drawing/2014/main" id="{05A40EA9-5502-46C6-9889-70DA8B1E16E4}"/>
            </a:ext>
          </a:extLst>
        </xdr:cNvPr>
        <xdr:cNvSpPr txBox="1">
          <a:spLocks noChangeArrowheads="1"/>
        </xdr:cNvSpPr>
      </xdr:nvSpPr>
      <xdr:spPr bwMode="auto">
        <a:xfrm>
          <a:off x="3406140" y="716280"/>
          <a:ext cx="3625215" cy="9524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1.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3B059FCF-8F0E-414A-A90F-5832302B5654}"/>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21F14D6D-B28E-46F7-A7AE-F2CB9F98DBD8}"/>
            </a:ext>
          </a:extLst>
        </xdr:cNvPr>
        <xdr:cNvSpPr txBox="1">
          <a:spLocks noChangeArrowheads="1"/>
        </xdr:cNvSpPr>
      </xdr:nvSpPr>
      <xdr:spPr bwMode="auto">
        <a:xfrm>
          <a:off x="3630516" y="513522"/>
          <a:ext cx="336961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B3082E2E-EC3B-4AFD-A514-D6B783A108C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588504AB-B6CA-4564-A6A6-492EEC4219E4}"/>
            </a:ext>
          </a:extLst>
        </xdr:cNvPr>
        <xdr:cNvSpPr txBox="1">
          <a:spLocks noChangeArrowheads="1"/>
        </xdr:cNvSpPr>
      </xdr:nvSpPr>
      <xdr:spPr bwMode="auto">
        <a:xfrm>
          <a:off x="3001495" y="950259"/>
          <a:ext cx="3552826" cy="137664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mc:AlternateContent xmlns:mc="http://schemas.openxmlformats.org/markup-compatibility/2006">
    <mc:Choice xmlns:a14="http://schemas.microsoft.com/office/drawing/2010/main" Requires="a14">
      <xdr:twoCellAnchor editAs="oneCell">
        <xdr:from>
          <xdr:col>1</xdr:col>
          <xdr:colOff>1</xdr:colOff>
          <xdr:row>102</xdr:row>
          <xdr:rowOff>0</xdr:rowOff>
        </xdr:from>
        <xdr:to>
          <xdr:col>13</xdr:col>
          <xdr:colOff>392207</xdr:colOff>
          <xdr:row>180</xdr:row>
          <xdr:rowOff>145678</xdr:rowOff>
        </xdr:to>
        <xdr:pic>
          <xdr:nvPicPr>
            <xdr:cNvPr id="11" name="Imagen 10">
              <a:extLst>
                <a:ext uri="{FF2B5EF4-FFF2-40B4-BE49-F238E27FC236}">
                  <a16:creationId xmlns:a16="http://schemas.microsoft.com/office/drawing/2014/main" id="{2F845B3A-91F6-5B42-0254-0E50ADF915E3}"/>
                </a:ext>
              </a:extLst>
            </xdr:cNvPr>
            <xdr:cNvPicPr>
              <a:picLocks noChangeAspect="1" noChangeArrowheads="1"/>
              <a:extLst>
                <a:ext uri="{84589F7E-364E-4C9E-8A38-B11213B215E9}">
                  <a14:cameraTool cellRange="'[1]Table 1'!$A$2:$H$55" spid="_x0000_s120089"/>
                </a:ext>
              </a:extLst>
            </xdr:cNvPicPr>
          </xdr:nvPicPr>
          <xdr:blipFill rotWithShape="1">
            <a:blip xmlns:r="http://schemas.openxmlformats.org/officeDocument/2006/relationships" r:embed="rId2"/>
            <a:srcRect r="15309"/>
            <a:stretch>
              <a:fillRect/>
            </a:stretch>
          </xdr:blipFill>
          <xdr:spPr bwMode="auto">
            <a:xfrm>
              <a:off x="403413" y="27050999"/>
              <a:ext cx="8213912" cy="138280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18CF21B-2155-4FA6-801C-5F3205DBF77F}"/>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021D29A4-CFEF-4373-9728-2C3C2506E5E2}"/>
            </a:ext>
          </a:extLst>
        </xdr:cNvPr>
        <xdr:cNvSpPr txBox="1">
          <a:spLocks noChangeArrowheads="1"/>
        </xdr:cNvSpPr>
      </xdr:nvSpPr>
      <xdr:spPr bwMode="auto">
        <a:xfrm>
          <a:off x="3012925" y="950259"/>
          <a:ext cx="343852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B0F871E2-EFEA-4894-A49A-15A825AEAF36}"/>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C74523F3-AD74-4A7C-8CEC-33CDD6D528FD}"/>
            </a:ext>
          </a:extLst>
        </xdr:cNvPr>
        <xdr:cNvSpPr txBox="1">
          <a:spLocks noChangeArrowheads="1"/>
        </xdr:cNvSpPr>
      </xdr:nvSpPr>
      <xdr:spPr bwMode="auto">
        <a:xfrm>
          <a:off x="3012925" y="950259"/>
          <a:ext cx="343852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525B240-AEF1-4AB1-A8C7-81D5341BD9E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67E58B2F-F456-480C-AD9F-F006B22C804D}"/>
            </a:ext>
          </a:extLst>
        </xdr:cNvPr>
        <xdr:cNvSpPr txBox="1">
          <a:spLocks noChangeArrowheads="1"/>
        </xdr:cNvSpPr>
      </xdr:nvSpPr>
      <xdr:spPr bwMode="auto">
        <a:xfrm>
          <a:off x="3488055" y="224117"/>
          <a:ext cx="32551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0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7B667F64-6E0F-4828-97AD-E01E7757E3BE}"/>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B3B1C585-9EEF-4B0F-9227-9AA0E6B313A9}"/>
            </a:ext>
          </a:extLst>
        </xdr:cNvPr>
        <xdr:cNvSpPr txBox="1">
          <a:spLocks noChangeArrowheads="1"/>
        </xdr:cNvSpPr>
      </xdr:nvSpPr>
      <xdr:spPr bwMode="auto">
        <a:xfrm>
          <a:off x="3488055" y="224117"/>
          <a:ext cx="32551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0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B1967302-5615-46F3-B1A7-EE923A378AF7}"/>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918CA152-26E1-4772-8E90-09C01D7FBE27}"/>
            </a:ext>
          </a:extLst>
        </xdr:cNvPr>
        <xdr:cNvSpPr txBox="1">
          <a:spLocks noChangeArrowheads="1"/>
        </xdr:cNvSpPr>
      </xdr:nvSpPr>
      <xdr:spPr bwMode="auto">
        <a:xfrm>
          <a:off x="3488055" y="224117"/>
          <a:ext cx="32551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08.xml><?xml version="1.0" encoding="utf-8"?>
<xdr:wsDr xmlns:xdr="http://schemas.openxmlformats.org/drawingml/2006/spreadsheetDrawing" xmlns:a="http://schemas.openxmlformats.org/drawingml/2006/main">
  <xdr:oneCellAnchor>
    <xdr:from>
      <xdr:col>0</xdr:col>
      <xdr:colOff>53340</xdr:colOff>
      <xdr:row>0</xdr:row>
      <xdr:rowOff>518160</xdr:rowOff>
    </xdr:from>
    <xdr:ext cx="2400300" cy="1524000"/>
    <xdr:pic>
      <xdr:nvPicPr>
        <xdr:cNvPr id="2" name="image1.png">
          <a:extLst>
            <a:ext uri="{FF2B5EF4-FFF2-40B4-BE49-F238E27FC236}">
              <a16:creationId xmlns:a16="http://schemas.microsoft.com/office/drawing/2014/main" id="{6133E2B9-C05C-4DD8-A37F-CFD8B82C748F}"/>
            </a:ext>
          </a:extLst>
        </xdr:cNvPr>
        <xdr:cNvPicPr preferRelativeResize="0"/>
      </xdr:nvPicPr>
      <xdr:blipFill>
        <a:blip xmlns:r="http://schemas.openxmlformats.org/officeDocument/2006/relationships" r:embed="rId1" cstate="print"/>
        <a:stretch>
          <a:fillRect/>
        </a:stretch>
      </xdr:blipFill>
      <xdr:spPr>
        <a:xfrm>
          <a:off x="53340" y="518160"/>
          <a:ext cx="2400300" cy="1524000"/>
        </a:xfrm>
        <a:prstGeom prst="rect">
          <a:avLst/>
        </a:prstGeom>
        <a:noFill/>
      </xdr:spPr>
    </xdr:pic>
    <xdr:clientData fLocksWithSheet="0"/>
  </xdr:oneCellAnchor>
  <xdr:twoCellAnchor>
    <xdr:from>
      <xdr:col>1</xdr:col>
      <xdr:colOff>2994660</xdr:colOff>
      <xdr:row>0</xdr:row>
      <xdr:rowOff>716280</xdr:rowOff>
    </xdr:from>
    <xdr:to>
      <xdr:col>1</xdr:col>
      <xdr:colOff>6619875</xdr:colOff>
      <xdr:row>4</xdr:row>
      <xdr:rowOff>198119</xdr:rowOff>
    </xdr:to>
    <xdr:sp macro="" textlink="">
      <xdr:nvSpPr>
        <xdr:cNvPr id="3" name="Text Box 2">
          <a:extLst>
            <a:ext uri="{FF2B5EF4-FFF2-40B4-BE49-F238E27FC236}">
              <a16:creationId xmlns:a16="http://schemas.microsoft.com/office/drawing/2014/main" id="{0F8BCA52-1BDE-4754-9E6A-4B2E05F11974}"/>
            </a:ext>
          </a:extLst>
        </xdr:cNvPr>
        <xdr:cNvSpPr txBox="1">
          <a:spLocks noChangeArrowheads="1"/>
        </xdr:cNvSpPr>
      </xdr:nvSpPr>
      <xdr:spPr bwMode="auto">
        <a:xfrm>
          <a:off x="3406140" y="716280"/>
          <a:ext cx="3625215" cy="9524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93709C73-1E7D-4B3E-A11E-452D393BFFF4}"/>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7B5C3F72-0140-459E-94A4-397F59185534}"/>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1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5708B653-DFA1-43E8-A863-254A2B234E23}"/>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E81A38E1-E302-4C29-955C-5D6F1AA5AB64}"/>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1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1CA573B-5A18-4203-869E-92F5594302B1}"/>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74F15010-6223-4D41-AA94-A30848BD8000}"/>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1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7A26A4CE-BBAB-48BE-B13C-3B3DFAC22350}"/>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F469A736-F2E4-4786-853E-4508982F2E06}"/>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1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CB081124-E545-405A-93A9-5C5DF57ECEF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CB56BFBA-8A52-4E17-B2B1-4BE5BC11BBEC}"/>
            </a:ext>
          </a:extLst>
        </xdr:cNvPr>
        <xdr:cNvSpPr txBox="1">
          <a:spLocks noChangeArrowheads="1"/>
        </xdr:cNvSpPr>
      </xdr:nvSpPr>
      <xdr:spPr bwMode="auto">
        <a:xfrm>
          <a:off x="3488055" y="224117"/>
          <a:ext cx="32551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1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C481E2F2-78F3-4B53-BEDE-E6A1675C9C8E}"/>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EC349295-FDC4-40F7-A506-61CFB461CFED}"/>
            </a:ext>
          </a:extLst>
        </xdr:cNvPr>
        <xdr:cNvSpPr txBox="1">
          <a:spLocks noChangeArrowheads="1"/>
        </xdr:cNvSpPr>
      </xdr:nvSpPr>
      <xdr:spPr bwMode="auto">
        <a:xfrm>
          <a:off x="3488055" y="224117"/>
          <a:ext cx="32551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1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20E8B0F6-A376-4FCA-8409-C96F4C8F402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5E530FB6-56D0-45A3-A2A3-92E8F5610C34}"/>
            </a:ext>
          </a:extLst>
        </xdr:cNvPr>
        <xdr:cNvSpPr txBox="1">
          <a:spLocks noChangeArrowheads="1"/>
        </xdr:cNvSpPr>
      </xdr:nvSpPr>
      <xdr:spPr bwMode="auto">
        <a:xfrm>
          <a:off x="3488055" y="224117"/>
          <a:ext cx="32551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1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761BBBDB-CD02-4407-A4F7-FE86153F3230}"/>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2307321B-D509-48FB-AA03-66715B1F664F}"/>
            </a:ext>
          </a:extLst>
        </xdr:cNvPr>
        <xdr:cNvSpPr txBox="1">
          <a:spLocks noChangeArrowheads="1"/>
        </xdr:cNvSpPr>
      </xdr:nvSpPr>
      <xdr:spPr bwMode="auto">
        <a:xfrm>
          <a:off x="3488055" y="224117"/>
          <a:ext cx="4085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17.xml><?xml version="1.0" encoding="utf-8"?>
<xdr:wsDr xmlns:xdr="http://schemas.openxmlformats.org/drawingml/2006/spreadsheetDrawing" xmlns:a="http://schemas.openxmlformats.org/drawingml/2006/main">
  <xdr:oneCellAnchor>
    <xdr:from>
      <xdr:col>0</xdr:col>
      <xdr:colOff>398930</xdr:colOff>
      <xdr:row>0</xdr:row>
      <xdr:rowOff>100853</xdr:rowOff>
    </xdr:from>
    <xdr:ext cx="1779494" cy="1378323"/>
    <xdr:pic>
      <xdr:nvPicPr>
        <xdr:cNvPr id="2" name="image1.png">
          <a:extLst>
            <a:ext uri="{FF2B5EF4-FFF2-40B4-BE49-F238E27FC236}">
              <a16:creationId xmlns:a16="http://schemas.microsoft.com/office/drawing/2014/main" id="{827DD81F-5D23-4870-AD20-5B96CC9474D8}"/>
            </a:ext>
          </a:extLst>
        </xdr:cNvPr>
        <xdr:cNvPicPr preferRelativeResize="0"/>
      </xdr:nvPicPr>
      <xdr:blipFill>
        <a:blip xmlns:r="http://schemas.openxmlformats.org/officeDocument/2006/relationships" r:embed="rId1" cstate="print"/>
        <a:stretch>
          <a:fillRect/>
        </a:stretch>
      </xdr:blipFill>
      <xdr:spPr>
        <a:xfrm>
          <a:off x="398930" y="100853"/>
          <a:ext cx="1779494" cy="1378323"/>
        </a:xfrm>
        <a:prstGeom prst="rect">
          <a:avLst/>
        </a:prstGeom>
        <a:noFill/>
      </xdr:spPr>
    </xdr:pic>
    <xdr:clientData fLocksWithSheet="0"/>
  </xdr:oneCellAnchor>
  <xdr:twoCellAnchor>
    <xdr:from>
      <xdr:col>1</xdr:col>
      <xdr:colOff>2590800</xdr:colOff>
      <xdr:row>0</xdr:row>
      <xdr:rowOff>80683</xdr:rowOff>
    </xdr:from>
    <xdr:to>
      <xdr:col>3</xdr:col>
      <xdr:colOff>398930</xdr:colOff>
      <xdr:row>4</xdr:row>
      <xdr:rowOff>0</xdr:rowOff>
    </xdr:to>
    <xdr:sp macro="" textlink="">
      <xdr:nvSpPr>
        <xdr:cNvPr id="3" name="Text Box 2">
          <a:extLst>
            <a:ext uri="{FF2B5EF4-FFF2-40B4-BE49-F238E27FC236}">
              <a16:creationId xmlns:a16="http://schemas.microsoft.com/office/drawing/2014/main" id="{5D736117-CAD2-41EB-A7D8-7A9158FC61F5}"/>
            </a:ext>
          </a:extLst>
        </xdr:cNvPr>
        <xdr:cNvSpPr txBox="1">
          <a:spLocks noChangeArrowheads="1"/>
        </xdr:cNvSpPr>
      </xdr:nvSpPr>
      <xdr:spPr bwMode="auto">
        <a:xfrm>
          <a:off x="3002280" y="80683"/>
          <a:ext cx="3393590" cy="13899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8.xml><?xml version="1.0" encoding="utf-8"?>
<xdr:wsDr xmlns:xdr="http://schemas.openxmlformats.org/drawingml/2006/spreadsheetDrawing" xmlns:a="http://schemas.openxmlformats.org/drawingml/2006/main">
  <xdr:oneCellAnchor>
    <xdr:from>
      <xdr:col>0</xdr:col>
      <xdr:colOff>398930</xdr:colOff>
      <xdr:row>0</xdr:row>
      <xdr:rowOff>100853</xdr:rowOff>
    </xdr:from>
    <xdr:ext cx="1779494" cy="1378323"/>
    <xdr:pic>
      <xdr:nvPicPr>
        <xdr:cNvPr id="2" name="image1.png">
          <a:extLst>
            <a:ext uri="{FF2B5EF4-FFF2-40B4-BE49-F238E27FC236}">
              <a16:creationId xmlns:a16="http://schemas.microsoft.com/office/drawing/2014/main" id="{03255FB0-0C1B-4C10-906E-79A2555CAC35}"/>
            </a:ext>
          </a:extLst>
        </xdr:cNvPr>
        <xdr:cNvPicPr preferRelativeResize="0"/>
      </xdr:nvPicPr>
      <xdr:blipFill>
        <a:blip xmlns:r="http://schemas.openxmlformats.org/officeDocument/2006/relationships" r:embed="rId1" cstate="print"/>
        <a:stretch>
          <a:fillRect/>
        </a:stretch>
      </xdr:blipFill>
      <xdr:spPr>
        <a:xfrm>
          <a:off x="398930" y="100853"/>
          <a:ext cx="1779494" cy="1378323"/>
        </a:xfrm>
        <a:prstGeom prst="rect">
          <a:avLst/>
        </a:prstGeom>
        <a:noFill/>
      </xdr:spPr>
    </xdr:pic>
    <xdr:clientData fLocksWithSheet="0"/>
  </xdr:oneCellAnchor>
  <xdr:twoCellAnchor>
    <xdr:from>
      <xdr:col>1</xdr:col>
      <xdr:colOff>2590800</xdr:colOff>
      <xdr:row>0</xdr:row>
      <xdr:rowOff>80683</xdr:rowOff>
    </xdr:from>
    <xdr:to>
      <xdr:col>3</xdr:col>
      <xdr:colOff>398930</xdr:colOff>
      <xdr:row>4</xdr:row>
      <xdr:rowOff>0</xdr:rowOff>
    </xdr:to>
    <xdr:sp macro="" textlink="">
      <xdr:nvSpPr>
        <xdr:cNvPr id="3" name="Text Box 2">
          <a:extLst>
            <a:ext uri="{FF2B5EF4-FFF2-40B4-BE49-F238E27FC236}">
              <a16:creationId xmlns:a16="http://schemas.microsoft.com/office/drawing/2014/main" id="{1582A6B9-7481-40A5-AFB7-106EA4A64C71}"/>
            </a:ext>
          </a:extLst>
        </xdr:cNvPr>
        <xdr:cNvSpPr txBox="1">
          <a:spLocks noChangeArrowheads="1"/>
        </xdr:cNvSpPr>
      </xdr:nvSpPr>
      <xdr:spPr bwMode="auto">
        <a:xfrm>
          <a:off x="3002280" y="80683"/>
          <a:ext cx="3393590" cy="13899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5533AC0E-0C70-4410-A2E5-E0DD5E779E53}"/>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3264834</xdr:colOff>
      <xdr:row>0</xdr:row>
      <xdr:rowOff>528918</xdr:rowOff>
    </xdr:from>
    <xdr:to>
      <xdr:col>3</xdr:col>
      <xdr:colOff>363072</xdr:colOff>
      <xdr:row>6</xdr:row>
      <xdr:rowOff>48185</xdr:rowOff>
    </xdr:to>
    <xdr:sp macro="" textlink="">
      <xdr:nvSpPr>
        <xdr:cNvPr id="3" name="Text Box 2">
          <a:extLst>
            <a:ext uri="{FF2B5EF4-FFF2-40B4-BE49-F238E27FC236}">
              <a16:creationId xmlns:a16="http://schemas.microsoft.com/office/drawing/2014/main" id="{B9C58E49-2981-4CA5-AE4A-A12B6863149A}"/>
            </a:ext>
          </a:extLst>
        </xdr:cNvPr>
        <xdr:cNvSpPr txBox="1">
          <a:spLocks noChangeArrowheads="1"/>
        </xdr:cNvSpPr>
      </xdr:nvSpPr>
      <xdr:spPr bwMode="auto">
        <a:xfrm>
          <a:off x="3676314" y="528918"/>
          <a:ext cx="2683698"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759BBF53-B88B-41EC-8581-87CB3E62CA80}"/>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B2751353-8C96-4B69-BC66-F608C1A2D44A}"/>
            </a:ext>
          </a:extLst>
        </xdr:cNvPr>
        <xdr:cNvSpPr txBox="1">
          <a:spLocks noChangeArrowheads="1"/>
        </xdr:cNvSpPr>
      </xdr:nvSpPr>
      <xdr:spPr bwMode="auto">
        <a:xfrm>
          <a:off x="3488055" y="224117"/>
          <a:ext cx="497731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2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C885B20C-2041-44D6-9ACC-8A6A5FC20F0B}"/>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3299012</xdr:colOff>
      <xdr:row>0</xdr:row>
      <xdr:rowOff>448234</xdr:rowOff>
    </xdr:from>
    <xdr:to>
      <xdr:col>3</xdr:col>
      <xdr:colOff>475130</xdr:colOff>
      <xdr:row>6</xdr:row>
      <xdr:rowOff>89646</xdr:rowOff>
    </xdr:to>
    <xdr:sp macro="" textlink="">
      <xdr:nvSpPr>
        <xdr:cNvPr id="3" name="Text Box 2">
          <a:extLst>
            <a:ext uri="{FF2B5EF4-FFF2-40B4-BE49-F238E27FC236}">
              <a16:creationId xmlns:a16="http://schemas.microsoft.com/office/drawing/2014/main" id="{C129BFF5-78E9-4F84-8FB2-006AA702DA8F}"/>
            </a:ext>
          </a:extLst>
        </xdr:cNvPr>
        <xdr:cNvSpPr txBox="1">
          <a:spLocks noChangeArrowheads="1"/>
        </xdr:cNvSpPr>
      </xdr:nvSpPr>
      <xdr:spPr bwMode="auto">
        <a:xfrm>
          <a:off x="3711388" y="448234"/>
          <a:ext cx="3541060" cy="15508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2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4BAC07D-1777-4646-B75C-C63F7279C58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3A322188-990C-4422-906F-D3692C3F7F8D}"/>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44F4D440-412F-49AC-A776-C179C5A2F77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347AADA7-3C0A-4B75-A80F-787074B26520}"/>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9110DD14-9CD0-4B6E-9C0E-2E50414CA21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D6DBB73D-1150-4CCE-8524-D94B7396CE09}"/>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3066062-6A96-4CC6-8518-F9E28DB85051}"/>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CCDEC5B5-506C-47D5-AFFB-EEED8DE29947}"/>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1DE5C63-1092-4738-B031-DD9F5FD6B74F}"/>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475CE79C-76C5-4AFB-A271-2CAFFFBB1C2D}"/>
            </a:ext>
          </a:extLst>
        </xdr:cNvPr>
        <xdr:cNvSpPr txBox="1">
          <a:spLocks noChangeArrowheads="1"/>
        </xdr:cNvSpPr>
      </xdr:nvSpPr>
      <xdr:spPr bwMode="auto">
        <a:xfrm>
          <a:off x="3488055" y="224117"/>
          <a:ext cx="497731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2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1B72B105-252C-4C08-9496-C2549C36E52F}"/>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32710947-8CFA-448F-8D22-7FD74C9D61DB}"/>
            </a:ext>
          </a:extLst>
        </xdr:cNvPr>
        <xdr:cNvSpPr txBox="1">
          <a:spLocks noChangeArrowheads="1"/>
        </xdr:cNvSpPr>
      </xdr:nvSpPr>
      <xdr:spPr bwMode="auto">
        <a:xfrm>
          <a:off x="3488055" y="224117"/>
          <a:ext cx="50763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2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A0BDAFEC-B78E-40F8-B86C-F34B3D311087}"/>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16912554-4B02-49DF-BA57-CDBBFC1BDC83}"/>
            </a:ext>
          </a:extLst>
        </xdr:cNvPr>
        <xdr:cNvSpPr txBox="1">
          <a:spLocks noChangeArrowheads="1"/>
        </xdr:cNvSpPr>
      </xdr:nvSpPr>
      <xdr:spPr bwMode="auto">
        <a:xfrm>
          <a:off x="3488055" y="224117"/>
          <a:ext cx="50763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2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B8BE03E-BEA7-4DDE-BB65-23F615887D0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BDE228D6-03F5-4FF3-9253-FC4876F8E6F7}"/>
            </a:ext>
          </a:extLst>
        </xdr:cNvPr>
        <xdr:cNvSpPr txBox="1">
          <a:spLocks noChangeArrowheads="1"/>
        </xdr:cNvSpPr>
      </xdr:nvSpPr>
      <xdr:spPr bwMode="auto">
        <a:xfrm>
          <a:off x="3488055" y="224117"/>
          <a:ext cx="37047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3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4FC3603-5ACB-4E81-9B26-5C07942CCC62}"/>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397364A7-3E73-44B8-9B0C-10180470723F}"/>
            </a:ext>
          </a:extLst>
        </xdr:cNvPr>
        <xdr:cNvSpPr txBox="1">
          <a:spLocks noChangeArrowheads="1"/>
        </xdr:cNvSpPr>
      </xdr:nvSpPr>
      <xdr:spPr bwMode="auto">
        <a:xfrm>
          <a:off x="3488055" y="224117"/>
          <a:ext cx="32932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3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CBD3AF7-B764-4698-B494-657E5780D8A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C2743648-D7DF-4F36-91A1-570E4F00EAF2}"/>
            </a:ext>
          </a:extLst>
        </xdr:cNvPr>
        <xdr:cNvSpPr txBox="1">
          <a:spLocks noChangeArrowheads="1"/>
        </xdr:cNvSpPr>
      </xdr:nvSpPr>
      <xdr:spPr bwMode="auto">
        <a:xfrm>
          <a:off x="3488055" y="224117"/>
          <a:ext cx="346855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3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436C863-87AD-486C-B026-6F254A55BFF0}"/>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B1260C0C-7C38-4DAB-98B4-5A9B8A31427D}"/>
            </a:ext>
          </a:extLst>
        </xdr:cNvPr>
        <xdr:cNvSpPr txBox="1">
          <a:spLocks noChangeArrowheads="1"/>
        </xdr:cNvSpPr>
      </xdr:nvSpPr>
      <xdr:spPr bwMode="auto">
        <a:xfrm>
          <a:off x="3488055" y="224117"/>
          <a:ext cx="32170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13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BD994E43-4FA9-4556-AC61-7C7C5024AA09}"/>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C1EE69FA-F223-45DE-ABD0-3AB847E73217}"/>
            </a:ext>
          </a:extLst>
        </xdr:cNvPr>
        <xdr:cNvSpPr txBox="1">
          <a:spLocks noChangeArrowheads="1"/>
        </xdr:cNvSpPr>
      </xdr:nvSpPr>
      <xdr:spPr bwMode="auto">
        <a:xfrm>
          <a:off x="3488055" y="224117"/>
          <a:ext cx="321709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ondra%20Cisneros\Downloads\AYTO%20ZAPOTILTIC_POZO%20SAN%20MAMES_EQUIP%20PREMIUM%20POZO%2050%20LT.xlsx" TargetMode="External"/><Relationship Id="rId1" Type="http://schemas.openxmlformats.org/officeDocument/2006/relationships/externalLinkPath" Target="file:///C:\Users\Alondra%20Cisneros\Downloads\AYTO%20ZAPOTILTIC_POZO%20SAN%20MAMES_EQUIP%20PREMIUM%20POZO%2050%20L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1"/>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A83629-B09E-4F76-9474-49B185A6BA25}" name="Tabla1" displayName="Tabla1" ref="A11:G17" totalsRowShown="0" headerRowDxfId="20" dataDxfId="19">
  <autoFilter ref="A11:G17" xr:uid="{C631F841-2FEF-4F1C-A165-4D35DFBAD230}"/>
  <tableColumns count="7">
    <tableColumn id="1" xr3:uid="{ABF1989A-EF5D-4D40-8D88-AC17EC58B8EC}" name="Fecha " dataDxfId="18"/>
    <tableColumn id="2" xr3:uid="{F6DBB5A9-8841-47D0-8479-5BE9861E662A}" name="Descripcion " dataDxfId="17"/>
    <tableColumn id="3" xr3:uid="{5EAF1858-6650-47EE-B904-E8FFAFBA5F85}" name="No. De factura" dataDxfId="16"/>
    <tableColumn id="7" xr3:uid="{FD0EF7C4-BC88-4C1E-9369-4C674A4DDEA6}" name="Cantidad " dataDxfId="15" dataCellStyle="Moneda"/>
    <tableColumn id="8" xr3:uid="{87F20E0E-4965-4C83-87CA-FD21DFB45FC2}" name="Pago " dataDxfId="14" dataCellStyle="Moneda"/>
    <tableColumn id="4" xr3:uid="{53256592-3EEE-4F09-835C-BE625B2B1265}" name="OC" dataDxfId="13"/>
    <tableColumn id="5" xr3:uid="{4D16D97C-8228-40F1-8AA4-793A34363601}" name="Estado "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65D9E9-5F45-4CB1-94F9-0ADD2A13801E}" name="Tabla43" displayName="Tabla43" ref="B192:C196" totalsRowShown="0" headerRowDxfId="11" dataDxfId="9" headerRowBorderDxfId="10" tableBorderDxfId="8" totalsRowBorderDxfId="7" headerRowCellStyle="Normal 3" dataCellStyle="Normal 3">
  <autoFilter ref="B192:C196" xr:uid="{2A65D9E9-5F45-4CB1-94F9-0ADD2A13801E}"/>
  <tableColumns count="2">
    <tableColumn id="1" xr3:uid="{42EB4FA8-DDF7-48C3-8E7A-11F42EDDABAA}" name="TUBERIA 10&quot; TOTAL " dataDxfId="6" dataCellStyle="Normal 3"/>
    <tableColumn id="2" xr3:uid="{5EA6A249-0C64-4BCF-B20A-2BE315E0912B}" name="562,617.52" dataDxfId="5" dataCellStyle="Normal 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79BE95-7108-44CD-9BB5-0F9818AD2FD0}" name="Tabla5" displayName="Tabla5" ref="B203:C208" totalsRowShown="0" headerRowBorderDxfId="4" tableBorderDxfId="3" totalsRowBorderDxfId="2">
  <autoFilter ref="B203:C208" xr:uid="{1079BE95-7108-44CD-9BB5-0F9818AD2FD0}"/>
  <tableColumns count="2">
    <tableColumn id="1" xr3:uid="{1359DD5F-B85F-46D1-9A20-A5F748FE16A2}" name="DESCUENTOS " dataDxfId="1" dataCellStyle="Normal 3"/>
    <tableColumn id="2" xr3:uid="{AF87BA38-C3EA-484F-92B4-6AD3A9CE29B6}" name="$" dataDxfId="0" dataCellStyle="Normal 3">
      <calculatedColumnFormula>183168*0.95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2.xml"/><Relationship Id="rId1" Type="http://schemas.openxmlformats.org/officeDocument/2006/relationships/printerSettings" Target="../printerSettings/printerSettings103.bin"/><Relationship Id="rId5" Type="http://schemas.openxmlformats.org/officeDocument/2006/relationships/table" Target="../tables/table3.xml"/><Relationship Id="rId4" Type="http://schemas.openxmlformats.org/officeDocument/2006/relationships/table" Target="../tables/table2.xml"/></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132.bin"/></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133.bin"/></Relationships>
</file>

<file path=xl/worksheets/_rels/sheet135.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1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5927-20B5-40DE-984C-05B4738A2EA5}">
  <sheetPr>
    <tabColor theme="4" tint="-0.249977111117893"/>
    <pageSetUpPr fitToPage="1"/>
  </sheetPr>
  <dimension ref="A1:G62"/>
  <sheetViews>
    <sheetView topLeftCell="A10" zoomScaleNormal="100" workbookViewId="0">
      <selection activeCell="F24" sqref="F24"/>
    </sheetView>
  </sheetViews>
  <sheetFormatPr baseColWidth="10" defaultColWidth="10.33203125" defaultRowHeight="13.2" x14ac:dyDescent="0.25"/>
  <cols>
    <col min="1" max="1" width="5.44140625" style="1" customWidth="1"/>
    <col min="2" max="2" width="76.5546875" style="1" customWidth="1"/>
    <col min="3" max="3" width="12.6640625" style="3" bestFit="1" customWidth="1"/>
    <col min="4" max="4" width="15.44140625" style="3" customWidth="1"/>
    <col min="5" max="16384" width="10.332031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t="s">
        <v>1</v>
      </c>
      <c r="C7" s="6"/>
      <c r="D7" s="6"/>
    </row>
    <row r="8" spans="1:7" s="4" customFormat="1" ht="16.8" x14ac:dyDescent="0.4">
      <c r="A8" s="5" t="s">
        <v>2</v>
      </c>
      <c r="C8" s="6"/>
      <c r="D8" s="6"/>
    </row>
    <row r="9" spans="1:7" s="4" customFormat="1" ht="16.8" x14ac:dyDescent="0.4">
      <c r="A9" s="5" t="s">
        <v>3</v>
      </c>
      <c r="C9" s="6"/>
      <c r="D9" s="6"/>
    </row>
    <row r="10" spans="1:7" s="4" customFormat="1" ht="16.8" x14ac:dyDescent="0.4">
      <c r="A10" s="5" t="s">
        <v>4</v>
      </c>
      <c r="C10" s="7"/>
      <c r="D10" s="6"/>
    </row>
    <row r="11" spans="1:7" s="4" customFormat="1" ht="16.8" x14ac:dyDescent="0.4">
      <c r="A11" s="8" t="s">
        <v>178</v>
      </c>
      <c r="B11" s="9"/>
      <c r="C11" s="7"/>
      <c r="D11" s="6"/>
    </row>
    <row r="12" spans="1:7" s="4" customFormat="1" ht="15" customHeight="1" x14ac:dyDescent="0.4">
      <c r="A12" s="751" t="s">
        <v>6</v>
      </c>
      <c r="B12" s="752"/>
      <c r="C12" s="753"/>
      <c r="D12" s="754"/>
      <c r="E12" s="10"/>
    </row>
    <row r="13" spans="1:7" s="4" customFormat="1" ht="26.4" x14ac:dyDescent="0.4">
      <c r="A13" s="11" t="s">
        <v>7</v>
      </c>
      <c r="B13" s="11" t="s">
        <v>8</v>
      </c>
      <c r="C13" s="12" t="s">
        <v>9</v>
      </c>
      <c r="D13" s="12" t="s">
        <v>10</v>
      </c>
      <c r="E13" s="13"/>
    </row>
    <row r="14" spans="1:7" s="4" customFormat="1" ht="16.8" x14ac:dyDescent="0.4">
      <c r="A14" s="14"/>
      <c r="B14" s="15"/>
      <c r="C14" s="16"/>
      <c r="D14" s="16"/>
      <c r="E14" s="17"/>
      <c r="F14" s="10"/>
    </row>
    <row r="15" spans="1:7" s="10" customFormat="1" ht="60" x14ac:dyDescent="0.4">
      <c r="A15" s="18">
        <v>440</v>
      </c>
      <c r="B15" s="19" t="s">
        <v>174</v>
      </c>
      <c r="C15" s="20">
        <v>78</v>
      </c>
      <c r="D15" s="21">
        <f t="shared" ref="D15:D19" si="0">A15*C15</f>
        <v>34320</v>
      </c>
      <c r="E15" s="17"/>
      <c r="G15" s="4"/>
    </row>
    <row r="16" spans="1:7" ht="60" x14ac:dyDescent="0.25">
      <c r="A16" s="18">
        <v>440</v>
      </c>
      <c r="B16" s="19" t="s">
        <v>174</v>
      </c>
      <c r="C16" s="20">
        <v>78</v>
      </c>
      <c r="D16" s="21">
        <f t="shared" ref="D16" si="1">A16*C16</f>
        <v>34320</v>
      </c>
      <c r="E16" s="17"/>
    </row>
    <row r="17" spans="1:7" s="23" customFormat="1" ht="15.6" x14ac:dyDescent="0.25">
      <c r="A17" s="18">
        <v>1</v>
      </c>
      <c r="B17" s="19" t="s">
        <v>175</v>
      </c>
      <c r="C17" s="20">
        <v>5270</v>
      </c>
      <c r="D17" s="21">
        <f>A17*C17</f>
        <v>5270</v>
      </c>
      <c r="E17" s="1"/>
      <c r="F17" s="1"/>
      <c r="G17" s="1"/>
    </row>
    <row r="18" spans="1:7" ht="30" x14ac:dyDescent="0.25">
      <c r="A18" s="18">
        <v>3</v>
      </c>
      <c r="B18" s="22" t="s">
        <v>11</v>
      </c>
      <c r="C18" s="20">
        <f>1870*1.4</f>
        <v>2618</v>
      </c>
      <c r="D18" s="21">
        <f>A18*C18</f>
        <v>7854</v>
      </c>
    </row>
    <row r="19" spans="1:7" ht="15.6" x14ac:dyDescent="0.25">
      <c r="A19" s="18">
        <v>1</v>
      </c>
      <c r="B19" s="19" t="s">
        <v>176</v>
      </c>
      <c r="C19" s="20">
        <v>1800</v>
      </c>
      <c r="D19" s="21">
        <f t="shared" si="0"/>
        <v>1800</v>
      </c>
    </row>
    <row r="20" spans="1:7" ht="15.6" x14ac:dyDescent="0.25">
      <c r="A20" s="24"/>
      <c r="B20" s="272" t="s">
        <v>177</v>
      </c>
      <c r="C20" s="25" t="s">
        <v>12</v>
      </c>
      <c r="D20" s="26">
        <f>SUM(D15:D19)</f>
        <v>83564</v>
      </c>
    </row>
    <row r="21" spans="1:7" ht="15.6" x14ac:dyDescent="0.3">
      <c r="A21" s="27"/>
      <c r="B21" s="272"/>
      <c r="C21" s="28" t="s">
        <v>13</v>
      </c>
      <c r="D21" s="29">
        <f>D20*0.16</f>
        <v>13370.24</v>
      </c>
    </row>
    <row r="22" spans="1:7" ht="16.2" thickBot="1" x14ac:dyDescent="0.35">
      <c r="A22" s="30"/>
      <c r="B22" s="31"/>
      <c r="C22" s="32" t="s">
        <v>14</v>
      </c>
      <c r="D22" s="33">
        <f>D20+D21</f>
        <v>96934.24</v>
      </c>
    </row>
    <row r="23" spans="1:7" ht="16.2" thickBot="1" x14ac:dyDescent="0.3">
      <c r="A23" s="34"/>
      <c r="B23" s="35" t="s">
        <v>179</v>
      </c>
      <c r="C23" s="36"/>
      <c r="D23" s="37"/>
    </row>
    <row r="24" spans="1:7" ht="13.8" x14ac:dyDescent="0.25">
      <c r="A24" s="38"/>
      <c r="B24" s="39" t="s">
        <v>15</v>
      </c>
      <c r="C24" s="40"/>
      <c r="D24" s="41"/>
    </row>
    <row r="25" spans="1:7" ht="17.399999999999999" x14ac:dyDescent="0.25">
      <c r="A25" s="42"/>
      <c r="B25" s="43" t="s">
        <v>16</v>
      </c>
      <c r="C25" s="44"/>
      <c r="D25" s="45"/>
    </row>
    <row r="26" spans="1:7" ht="15.6" x14ac:dyDescent="0.25">
      <c r="A26" s="46"/>
      <c r="B26" s="47" t="s">
        <v>17</v>
      </c>
      <c r="C26" s="48" t="s">
        <v>18</v>
      </c>
      <c r="D26" s="49">
        <f>D22</f>
        <v>96934.24</v>
      </c>
      <c r="E26" s="13"/>
    </row>
    <row r="27" spans="1:7" ht="15.6" x14ac:dyDescent="0.25">
      <c r="A27" s="46"/>
      <c r="B27" s="50" t="s">
        <v>79</v>
      </c>
      <c r="C27" s="48" t="s">
        <v>20</v>
      </c>
      <c r="D27" s="49">
        <f>D26*7%</f>
        <v>6785.3968000000013</v>
      </c>
    </row>
    <row r="28" spans="1:7" ht="15.6" x14ac:dyDescent="0.25">
      <c r="A28" s="46"/>
      <c r="B28" s="50" t="s">
        <v>21</v>
      </c>
      <c r="C28" s="48" t="s">
        <v>22</v>
      </c>
      <c r="D28" s="49">
        <f>D26-D27</f>
        <v>90148.843200000003</v>
      </c>
    </row>
    <row r="29" spans="1:7" ht="13.8" x14ac:dyDescent="0.25">
      <c r="A29" s="51"/>
      <c r="B29" s="52" t="s">
        <v>23</v>
      </c>
      <c r="C29" s="53"/>
      <c r="D29" s="54"/>
    </row>
    <row r="30" spans="1:7" ht="27.6" x14ac:dyDescent="0.25">
      <c r="A30" s="46"/>
      <c r="B30" s="55" t="s">
        <v>24</v>
      </c>
      <c r="C30" s="53"/>
      <c r="D30" s="56"/>
    </row>
    <row r="31" spans="1:7" ht="41.4" x14ac:dyDescent="0.25">
      <c r="A31" s="46"/>
      <c r="B31" s="55" t="s">
        <v>25</v>
      </c>
      <c r="C31" s="57"/>
      <c r="D31" s="58"/>
    </row>
    <row r="32" spans="1:7" ht="15" x14ac:dyDescent="0.25">
      <c r="A32" s="46"/>
      <c r="B32" s="52" t="s">
        <v>26</v>
      </c>
      <c r="C32" s="57"/>
      <c r="D32" s="58"/>
    </row>
    <row r="33" spans="1:4" ht="15" x14ac:dyDescent="0.25">
      <c r="A33" s="46"/>
      <c r="B33" s="59" t="s">
        <v>27</v>
      </c>
      <c r="C33" s="57"/>
    </row>
    <row r="34" spans="1:4" ht="15" x14ac:dyDescent="0.25">
      <c r="A34" s="46"/>
      <c r="B34" s="60" t="s">
        <v>28</v>
      </c>
      <c r="C34" s="57"/>
      <c r="D34" s="1"/>
    </row>
    <row r="35" spans="1:4" ht="13.8" x14ac:dyDescent="0.25">
      <c r="A35" s="51"/>
      <c r="B35" s="52" t="s">
        <v>29</v>
      </c>
      <c r="C35" s="53"/>
      <c r="D35" s="1"/>
    </row>
    <row r="36" spans="1:4" ht="15" x14ac:dyDescent="0.25">
      <c r="A36" s="46"/>
      <c r="B36" s="61" t="s">
        <v>30</v>
      </c>
      <c r="C36" s="57"/>
      <c r="D36" s="1"/>
    </row>
    <row r="37" spans="1:4" ht="15" x14ac:dyDescent="0.25">
      <c r="A37" s="46"/>
      <c r="B37" s="50" t="s">
        <v>31</v>
      </c>
      <c r="C37" s="57"/>
      <c r="D37" s="1"/>
    </row>
    <row r="38" spans="1:4" ht="15" x14ac:dyDescent="0.25">
      <c r="A38" s="62"/>
      <c r="B38" s="63" t="s">
        <v>32</v>
      </c>
      <c r="D38" s="64"/>
    </row>
    <row r="39" spans="1:4" ht="50.4" x14ac:dyDescent="0.25">
      <c r="A39" s="65" t="s">
        <v>0</v>
      </c>
      <c r="B39" s="66" t="s">
        <v>33</v>
      </c>
      <c r="C39" s="57"/>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7" fitToWidth="0" orientation="portrait" r:id="rId1"/>
  <headerFooter alignWithMargins="0">
    <oddFooter>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76B8-1709-4BBF-9A9F-372513E42821}">
  <sheetPr>
    <tabColor theme="4" tint="-0.249977111117893"/>
    <pageSetUpPr fitToPage="1"/>
  </sheetPr>
  <dimension ref="A1:P59"/>
  <sheetViews>
    <sheetView topLeftCell="A14" zoomScale="85" zoomScaleNormal="85" workbookViewId="0">
      <selection activeCell="D27" sqref="D27"/>
    </sheetView>
  </sheetViews>
  <sheetFormatPr baseColWidth="10" defaultColWidth="11.44140625" defaultRowHeight="13.2" x14ac:dyDescent="0.25"/>
  <cols>
    <col min="1" max="1" width="6" style="1" customWidth="1"/>
    <col min="2" max="2" width="100.88671875" style="1" customWidth="1"/>
    <col min="3" max="3" width="14.88671875" style="3" bestFit="1"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34</v>
      </c>
      <c r="B8" s="68"/>
      <c r="C8" s="69"/>
      <c r="D8" s="69"/>
    </row>
    <row r="9" spans="1:16" s="4" customFormat="1" ht="19.2" x14ac:dyDescent="0.45">
      <c r="A9" s="67" t="s">
        <v>35</v>
      </c>
      <c r="B9" s="68"/>
      <c r="C9" s="69"/>
      <c r="D9" s="69"/>
    </row>
    <row r="10" spans="1:16" s="4" customFormat="1" ht="19.2" x14ac:dyDescent="0.45">
      <c r="A10" s="67" t="s">
        <v>36</v>
      </c>
      <c r="B10" s="68"/>
      <c r="C10" s="69"/>
      <c r="D10" s="69"/>
    </row>
    <row r="11" spans="1:16" s="4" customFormat="1" ht="19.2" x14ac:dyDescent="0.45">
      <c r="A11" s="67" t="s">
        <v>37</v>
      </c>
      <c r="B11" s="68"/>
      <c r="C11" s="70"/>
      <c r="D11" s="69"/>
    </row>
    <row r="12" spans="1:16" s="4" customFormat="1" ht="15" customHeight="1" x14ac:dyDescent="0.45">
      <c r="A12" s="67" t="s">
        <v>38</v>
      </c>
      <c r="B12" s="68"/>
      <c r="C12" s="70"/>
      <c r="D12" s="69"/>
    </row>
    <row r="13" spans="1:16" s="4" customFormat="1" ht="15" customHeight="1" x14ac:dyDescent="0.45">
      <c r="A13" s="71" t="s">
        <v>39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t="s">
        <v>41</v>
      </c>
      <c r="C15" s="16"/>
      <c r="D15" s="16"/>
      <c r="E15" s="17"/>
      <c r="F15" s="23"/>
      <c r="G15" s="23"/>
      <c r="H15" s="1"/>
      <c r="I15" s="1"/>
      <c r="J15" s="1"/>
      <c r="K15" s="1"/>
      <c r="L15" s="1"/>
      <c r="M15" s="1"/>
      <c r="N15" s="1"/>
      <c r="O15" s="1"/>
      <c r="P15" s="1"/>
    </row>
    <row r="16" spans="1:16" ht="15.6" x14ac:dyDescent="0.3">
      <c r="A16" s="76">
        <v>120</v>
      </c>
      <c r="B16" s="77" t="s">
        <v>42</v>
      </c>
      <c r="C16" s="78">
        <f>733*1.35</f>
        <v>989.55000000000007</v>
      </c>
      <c r="D16" s="79">
        <f t="shared" ref="D16:D21" si="0">A16*C16</f>
        <v>118746.00000000001</v>
      </c>
      <c r="E16" s="17"/>
      <c r="H16" s="23"/>
      <c r="I16" s="23"/>
      <c r="J16" s="23"/>
      <c r="K16" s="23"/>
      <c r="L16" s="23"/>
      <c r="N16" s="23"/>
      <c r="O16" s="23"/>
      <c r="P16" s="23"/>
    </row>
    <row r="17" spans="1:16" s="23" customFormat="1" ht="15.6" x14ac:dyDescent="0.3">
      <c r="A17" s="76">
        <v>2</v>
      </c>
      <c r="B17" s="77" t="s">
        <v>43</v>
      </c>
      <c r="C17" s="78">
        <f>9774*1.35</f>
        <v>13194.900000000001</v>
      </c>
      <c r="D17" s="79">
        <f t="shared" si="0"/>
        <v>26389.800000000003</v>
      </c>
      <c r="E17" s="17"/>
      <c r="F17" s="1"/>
      <c r="G17" s="1"/>
      <c r="M17" s="1"/>
    </row>
    <row r="18" spans="1:16" s="23" customFormat="1" ht="15.6" x14ac:dyDescent="0.3">
      <c r="A18" s="76">
        <v>4</v>
      </c>
      <c r="B18" s="77" t="s">
        <v>44</v>
      </c>
      <c r="C18" s="78">
        <f>699*1.35</f>
        <v>943.65000000000009</v>
      </c>
      <c r="D18" s="79">
        <f t="shared" si="0"/>
        <v>3774.6000000000004</v>
      </c>
      <c r="E18" s="17"/>
      <c r="F18" s="1"/>
      <c r="G18" s="1"/>
      <c r="M18"/>
    </row>
    <row r="19" spans="1:16" s="23" customFormat="1" ht="15.6" x14ac:dyDescent="0.3">
      <c r="A19" s="76">
        <v>120</v>
      </c>
      <c r="B19" s="77" t="s">
        <v>45</v>
      </c>
      <c r="C19" s="78">
        <f>24*1.35</f>
        <v>32.400000000000006</v>
      </c>
      <c r="D19" s="79">
        <f t="shared" si="0"/>
        <v>3888.0000000000009</v>
      </c>
      <c r="E19" s="17"/>
      <c r="F19" s="1"/>
      <c r="G19" s="1"/>
      <c r="M19" s="1"/>
    </row>
    <row r="20" spans="1:16" s="23" customFormat="1" ht="15.6" x14ac:dyDescent="0.3">
      <c r="A20" s="76">
        <v>60</v>
      </c>
      <c r="B20" s="77" t="s">
        <v>46</v>
      </c>
      <c r="C20" s="78">
        <f>54*1.35</f>
        <v>72.900000000000006</v>
      </c>
      <c r="D20" s="79">
        <f t="shared" si="0"/>
        <v>4374</v>
      </c>
      <c r="E20" s="17"/>
      <c r="F20" s="1"/>
      <c r="G20" s="1"/>
      <c r="M20" s="1"/>
      <c r="N20" s="1"/>
      <c r="O20" s="1"/>
      <c r="P20" s="1"/>
    </row>
    <row r="21" spans="1:16" ht="15.6" x14ac:dyDescent="0.3">
      <c r="A21" s="76">
        <v>1</v>
      </c>
      <c r="B21" s="77" t="s">
        <v>47</v>
      </c>
      <c r="C21" s="78">
        <v>5640</v>
      </c>
      <c r="D21" s="79">
        <f t="shared" si="0"/>
        <v>5640</v>
      </c>
      <c r="E21" s="17"/>
      <c r="H21" s="23"/>
      <c r="I21" s="23"/>
      <c r="J21" s="23"/>
      <c r="K21" s="23"/>
      <c r="L21" s="23"/>
    </row>
    <row r="22" spans="1:16" ht="15.6" x14ac:dyDescent="0.25">
      <c r="A22" s="80"/>
      <c r="B22" s="81"/>
      <c r="C22" s="82"/>
      <c r="D22" s="83"/>
      <c r="E22" s="13"/>
    </row>
    <row r="23" spans="1:16" ht="15.6" x14ac:dyDescent="0.3">
      <c r="A23" s="84"/>
      <c r="B23" s="85" t="s">
        <v>48</v>
      </c>
      <c r="C23" s="86" t="s">
        <v>49</v>
      </c>
      <c r="D23" s="87">
        <f>SUM(D15:D22)</f>
        <v>162812.40000000002</v>
      </c>
      <c r="O23" s="88"/>
      <c r="P23" s="88"/>
    </row>
    <row r="24" spans="1:16" s="88" customFormat="1" ht="15.6" x14ac:dyDescent="0.3">
      <c r="A24" s="89"/>
      <c r="B24" s="85" t="s">
        <v>50</v>
      </c>
      <c r="C24" s="90" t="s">
        <v>51</v>
      </c>
      <c r="D24" s="87">
        <f>D23*0.08</f>
        <v>13024.992000000002</v>
      </c>
      <c r="E24" s="1"/>
      <c r="F24" s="1"/>
      <c r="G24" s="1"/>
      <c r="H24" s="1"/>
      <c r="I24" s="1"/>
      <c r="J24" s="1"/>
      <c r="K24" s="1"/>
      <c r="L24" s="1"/>
      <c r="M24" s="1"/>
      <c r="N24" s="1"/>
      <c r="O24" s="1"/>
      <c r="P24" s="1"/>
    </row>
    <row r="25" spans="1:16" ht="15.6" x14ac:dyDescent="0.3">
      <c r="A25" s="89"/>
      <c r="B25" s="91"/>
      <c r="C25" s="90" t="s">
        <v>52</v>
      </c>
      <c r="D25" s="87">
        <f>SUM(D23:D24)</f>
        <v>175837.39200000002</v>
      </c>
    </row>
    <row r="26" spans="1:16" ht="18" thickBot="1" x14ac:dyDescent="0.3">
      <c r="A26" s="92"/>
      <c r="B26" s="75" t="s">
        <v>53</v>
      </c>
      <c r="C26" s="93"/>
      <c r="D26" s="94"/>
    </row>
    <row r="27" spans="1:16" ht="15.6" x14ac:dyDescent="0.25">
      <c r="A27" s="95">
        <v>135</v>
      </c>
      <c r="B27" s="96" t="s">
        <v>54</v>
      </c>
      <c r="C27" s="97">
        <f>(365)*(1.33)</f>
        <v>485.45000000000005</v>
      </c>
      <c r="D27" s="98">
        <f>A27*C27</f>
        <v>65535.750000000007</v>
      </c>
    </row>
    <row r="28" spans="1:16" ht="15.6" x14ac:dyDescent="0.25">
      <c r="A28" s="99"/>
      <c r="B28" s="100"/>
      <c r="C28" s="86" t="s">
        <v>49</v>
      </c>
      <c r="D28" s="87">
        <f>SUM(D27)</f>
        <v>65535.750000000007</v>
      </c>
    </row>
    <row r="29" spans="1:16" ht="15.6" x14ac:dyDescent="0.25">
      <c r="A29" s="99"/>
      <c r="B29" s="100"/>
      <c r="C29" s="90" t="s">
        <v>51</v>
      </c>
      <c r="D29" s="87">
        <f>D28*0.16</f>
        <v>10485.720000000001</v>
      </c>
      <c r="N29" s="88"/>
    </row>
    <row r="30" spans="1:16" ht="15.6" x14ac:dyDescent="0.25">
      <c r="A30" s="99"/>
      <c r="B30" s="100"/>
      <c r="C30" s="90" t="s">
        <v>52</v>
      </c>
      <c r="D30" s="87">
        <f>SUM(D28:D29)</f>
        <v>76021.47</v>
      </c>
    </row>
    <row r="31" spans="1:16" ht="17.399999999999999" x14ac:dyDescent="0.25">
      <c r="A31" s="99"/>
      <c r="B31" s="101" t="s">
        <v>55</v>
      </c>
      <c r="C31" s="102"/>
      <c r="D31" s="98"/>
    </row>
    <row r="32" spans="1:16" ht="15.6" x14ac:dyDescent="0.25">
      <c r="A32" s="103">
        <v>1</v>
      </c>
      <c r="B32" s="104" t="s">
        <v>56</v>
      </c>
      <c r="C32" s="105">
        <f>130*90+6000</f>
        <v>17700</v>
      </c>
      <c r="D32" s="79">
        <f>A32*C32</f>
        <v>17700</v>
      </c>
    </row>
    <row r="33" spans="1:5" ht="15.6" x14ac:dyDescent="0.25">
      <c r="A33" s="106">
        <v>120</v>
      </c>
      <c r="B33" s="107" t="s">
        <v>57</v>
      </c>
      <c r="C33" s="108">
        <v>36.869999999999997</v>
      </c>
      <c r="D33" s="109">
        <f>A33*C33</f>
        <v>4424.3999999999996</v>
      </c>
    </row>
    <row r="34" spans="1:5" ht="15.6" x14ac:dyDescent="0.25">
      <c r="A34" s="103">
        <v>1</v>
      </c>
      <c r="B34" s="104" t="s">
        <v>58</v>
      </c>
      <c r="C34" s="105">
        <v>1025</v>
      </c>
      <c r="D34" s="109">
        <f>A34*C34</f>
        <v>1025</v>
      </c>
    </row>
    <row r="35" spans="1:5" ht="15.6" x14ac:dyDescent="0.25">
      <c r="A35" s="110"/>
      <c r="B35" s="111"/>
      <c r="C35" s="112" t="s">
        <v>52</v>
      </c>
      <c r="D35" s="113">
        <f>SUM(D32:D34)</f>
        <v>23149.4</v>
      </c>
      <c r="E35" s="13"/>
    </row>
    <row r="36" spans="1:5" ht="15.6" x14ac:dyDescent="0.25">
      <c r="A36" s="110"/>
      <c r="B36" s="111"/>
      <c r="C36" s="114"/>
      <c r="D36" s="115"/>
    </row>
    <row r="37" spans="1:5" ht="15" x14ac:dyDescent="0.25">
      <c r="A37" s="116"/>
      <c r="B37" s="117"/>
      <c r="C37" s="118"/>
      <c r="D37" s="119"/>
    </row>
    <row r="38" spans="1:5" ht="13.8" x14ac:dyDescent="0.25">
      <c r="A38" s="34"/>
      <c r="B38" s="120" t="s">
        <v>15</v>
      </c>
      <c r="C38" s="121"/>
      <c r="D38" s="122"/>
    </row>
    <row r="39" spans="1:5" ht="17.399999999999999" x14ac:dyDescent="0.3">
      <c r="A39" s="34"/>
      <c r="B39" s="123"/>
      <c r="C39" s="124" t="s">
        <v>18</v>
      </c>
      <c r="D39" s="125">
        <f>SUM(D25+D30+D35)</f>
        <v>275008.26200000005</v>
      </c>
      <c r="E39" s="13"/>
    </row>
    <row r="40" spans="1:5" ht="17.399999999999999" x14ac:dyDescent="0.3">
      <c r="A40" s="34"/>
      <c r="B40" s="126" t="s">
        <v>17</v>
      </c>
      <c r="C40" s="124" t="s">
        <v>20</v>
      </c>
      <c r="D40" s="125">
        <v>7500</v>
      </c>
    </row>
    <row r="41" spans="1:5" ht="17.399999999999999" x14ac:dyDescent="0.3">
      <c r="A41" s="62"/>
      <c r="B41" s="127" t="s">
        <v>19</v>
      </c>
      <c r="C41" s="124" t="s">
        <v>18</v>
      </c>
      <c r="D41" s="125">
        <f>SUM(D40-D39)</f>
        <v>-267508.26200000005</v>
      </c>
    </row>
    <row r="42" spans="1:5" ht="15" x14ac:dyDescent="0.25">
      <c r="A42" s="62"/>
      <c r="B42" s="128" t="s">
        <v>59</v>
      </c>
      <c r="C42" s="1"/>
      <c r="D42" s="1"/>
    </row>
    <row r="43" spans="1:5" ht="15" x14ac:dyDescent="0.25">
      <c r="A43" s="62"/>
      <c r="B43" s="129" t="s">
        <v>60</v>
      </c>
      <c r="C43" s="121"/>
      <c r="D43" s="122"/>
    </row>
    <row r="44" spans="1:5" ht="15" x14ac:dyDescent="0.25">
      <c r="A44" s="62"/>
      <c r="B44" s="130" t="s">
        <v>23</v>
      </c>
      <c r="C44" s="131" t="s">
        <v>61</v>
      </c>
      <c r="D44" s="131">
        <f>282985.04-267508.26</f>
        <v>15476.77999999997</v>
      </c>
      <c r="E44" s="13"/>
    </row>
    <row r="45" spans="1:5" ht="27.6" x14ac:dyDescent="0.25">
      <c r="A45" s="62"/>
      <c r="B45" s="132" t="s">
        <v>62</v>
      </c>
      <c r="C45" s="133"/>
      <c r="D45" s="134"/>
    </row>
    <row r="46" spans="1:5" ht="15" x14ac:dyDescent="0.25">
      <c r="A46" s="62"/>
      <c r="B46" s="135" t="s">
        <v>26</v>
      </c>
      <c r="C46" s="54"/>
      <c r="D46" s="58"/>
    </row>
    <row r="47" spans="1:5" ht="15" x14ac:dyDescent="0.25">
      <c r="A47" s="62"/>
      <c r="B47" s="136" t="s">
        <v>63</v>
      </c>
      <c r="C47" s="54"/>
      <c r="D47" s="54"/>
    </row>
    <row r="48" spans="1:5" ht="15" x14ac:dyDescent="0.25">
      <c r="A48" s="62"/>
      <c r="B48" s="137" t="s">
        <v>28</v>
      </c>
      <c r="C48" s="54"/>
      <c r="D48" s="54"/>
    </row>
    <row r="49" spans="1:4" ht="15" x14ac:dyDescent="0.25">
      <c r="A49" s="62"/>
      <c r="B49" s="135" t="s">
        <v>29</v>
      </c>
      <c r="D49" s="56"/>
    </row>
    <row r="50" spans="1:4" ht="12.75" customHeight="1" x14ac:dyDescent="0.25">
      <c r="B50" s="138" t="s">
        <v>64</v>
      </c>
      <c r="C50" s="54"/>
      <c r="D50" s="58"/>
    </row>
    <row r="51" spans="1:4" ht="15" x14ac:dyDescent="0.25">
      <c r="A51" s="62"/>
      <c r="B51" s="127" t="s">
        <v>31</v>
      </c>
      <c r="C51" s="54"/>
      <c r="D51" s="58"/>
    </row>
    <row r="52" spans="1:4" ht="15" x14ac:dyDescent="0.25">
      <c r="A52" s="62"/>
      <c r="B52" s="127" t="s">
        <v>32</v>
      </c>
      <c r="C52" s="54"/>
    </row>
    <row r="53" spans="1:4" ht="33.6" x14ac:dyDescent="0.4">
      <c r="A53" s="139" t="s">
        <v>0</v>
      </c>
      <c r="B53" s="140" t="s">
        <v>65</v>
      </c>
      <c r="C53" s="141"/>
      <c r="D53" s="1"/>
    </row>
    <row r="54" spans="1:4" x14ac:dyDescent="0.25">
      <c r="A54" s="142"/>
      <c r="B54" s="64"/>
      <c r="C54" s="64"/>
      <c r="D54" s="1"/>
    </row>
    <row r="55" spans="1:4" x14ac:dyDescent="0.25">
      <c r="A55" s="142"/>
      <c r="B55" s="64"/>
      <c r="C55" s="64"/>
      <c r="D55" s="1"/>
    </row>
    <row r="56" spans="1:4" x14ac:dyDescent="0.25">
      <c r="A56" s="142"/>
      <c r="B56" s="143"/>
      <c r="C56" s="64"/>
      <c r="D56" s="1"/>
    </row>
    <row r="57" spans="1:4" ht="15" x14ac:dyDescent="0.35">
      <c r="A57" s="144"/>
      <c r="B57" s="145"/>
      <c r="C57" s="64"/>
      <c r="D57" s="64"/>
    </row>
    <row r="58" spans="1:4" ht="15.75" customHeight="1" x14ac:dyDescent="0.25">
      <c r="A58" s="146" t="s">
        <v>0</v>
      </c>
    </row>
    <row r="59" spans="1:4" ht="15" customHeight="1" x14ac:dyDescent="0.25">
      <c r="A59" s="1" t="s">
        <v>0</v>
      </c>
    </row>
  </sheetData>
  <mergeCells count="2">
    <mergeCell ref="A4:D4"/>
    <mergeCell ref="A14:D14"/>
  </mergeCells>
  <printOptions horizontalCentered="1"/>
  <pageMargins left="0.25" right="0.25" top="0.75" bottom="0.75" header="0.3" footer="0.3"/>
  <pageSetup paperSize="9" scale="68" fitToWidth="0" orientation="portrait" r:id="rId1"/>
  <headerFooter alignWithMargins="0">
    <oddFooter>Página &amp;P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42DC1-5526-4F1C-8D7D-B69D22B24847}">
  <sheetPr>
    <tabColor theme="4" tint="-0.249977111117893"/>
    <pageSetUpPr fitToPage="1"/>
  </sheetPr>
  <dimension ref="A1:P59"/>
  <sheetViews>
    <sheetView zoomScale="85" zoomScaleNormal="85" workbookViewId="0">
      <selection activeCell="M14" sqref="M14"/>
    </sheetView>
  </sheetViews>
  <sheetFormatPr baseColWidth="10" defaultColWidth="11.44140625" defaultRowHeight="13.2" x14ac:dyDescent="0.25"/>
  <cols>
    <col min="1" max="1" width="6" style="1" customWidth="1"/>
    <col min="2" max="2" width="82.88671875" style="1" customWidth="1"/>
    <col min="3" max="3" width="14.10937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66</v>
      </c>
      <c r="B8" s="68"/>
      <c r="C8" s="69"/>
      <c r="D8" s="69"/>
      <c r="E8" s="68"/>
      <c r="F8" s="68"/>
    </row>
    <row r="9" spans="1:16" s="4" customFormat="1" ht="19.2" x14ac:dyDescent="0.45">
      <c r="A9" s="67" t="s">
        <v>67</v>
      </c>
      <c r="B9" s="68"/>
      <c r="C9" s="69"/>
      <c r="D9" s="69"/>
      <c r="E9" s="68"/>
      <c r="F9" s="68"/>
    </row>
    <row r="10" spans="1:16" s="4" customFormat="1" ht="19.2" x14ac:dyDescent="0.45">
      <c r="A10" s="67" t="s">
        <v>68</v>
      </c>
      <c r="B10" s="68"/>
      <c r="C10" s="70"/>
      <c r="D10" s="69"/>
      <c r="E10" s="68"/>
      <c r="F10" s="68"/>
    </row>
    <row r="11" spans="1:16" s="4" customFormat="1" ht="19.2" x14ac:dyDescent="0.45">
      <c r="A11" s="67" t="s">
        <v>69</v>
      </c>
      <c r="B11" s="68"/>
      <c r="C11" s="70"/>
      <c r="D11" s="69"/>
      <c r="E11" s="68"/>
      <c r="F11" s="68"/>
    </row>
    <row r="12" spans="1:16" s="4" customFormat="1" ht="15" customHeight="1" x14ac:dyDescent="0.45">
      <c r="A12" s="67" t="s">
        <v>38</v>
      </c>
      <c r="B12" s="72"/>
      <c r="C12" s="73"/>
      <c r="D12" s="74"/>
      <c r="E12" s="68"/>
      <c r="F12" s="68"/>
    </row>
    <row r="13" spans="1:16" s="4" customFormat="1" ht="15" customHeight="1" x14ac:dyDescent="0.45">
      <c r="A13" s="71" t="s">
        <v>70</v>
      </c>
      <c r="B13" s="72"/>
      <c r="C13" s="73"/>
      <c r="D13" s="74"/>
      <c r="E13" s="68"/>
      <c r="F13" s="68"/>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3.8" x14ac:dyDescent="0.25">
      <c r="A15" s="14"/>
      <c r="B15" s="15"/>
      <c r="C15" s="16"/>
      <c r="D15" s="16"/>
      <c r="E15" s="17"/>
      <c r="F15" s="23"/>
      <c r="G15" s="23"/>
      <c r="H15" s="1"/>
      <c r="I15" s="1"/>
      <c r="J15" s="1"/>
      <c r="K15" s="1"/>
      <c r="L15" s="1"/>
      <c r="M15" s="1"/>
      <c r="N15" s="1"/>
      <c r="O15" s="1"/>
      <c r="P15" s="1"/>
    </row>
    <row r="16" spans="1:16" ht="15.6" x14ac:dyDescent="0.25">
      <c r="A16" s="147"/>
      <c r="B16" s="148" t="s">
        <v>71</v>
      </c>
      <c r="C16" s="149"/>
      <c r="D16" s="150"/>
      <c r="E16" s="17"/>
      <c r="H16" s="23"/>
      <c r="I16" s="23"/>
      <c r="J16" s="23"/>
      <c r="K16" s="23"/>
      <c r="L16" s="23"/>
      <c r="M16" s="23"/>
      <c r="N16" s="23"/>
      <c r="O16" s="23"/>
      <c r="P16" s="23"/>
    </row>
    <row r="17" spans="1:16" s="23" customFormat="1" ht="15.6" x14ac:dyDescent="0.3">
      <c r="A17" s="151">
        <v>1</v>
      </c>
      <c r="B17" s="152" t="s">
        <v>72</v>
      </c>
      <c r="C17" s="153">
        <f>39009*1.35</f>
        <v>52662.15</v>
      </c>
      <c r="D17" s="150">
        <f t="shared" ref="D17:D19" si="0">A17*C17</f>
        <v>52662.15</v>
      </c>
      <c r="E17" s="17"/>
      <c r="F17" s="1"/>
      <c r="G17" s="1"/>
    </row>
    <row r="18" spans="1:16" s="23" customFormat="1" ht="15.6" x14ac:dyDescent="0.3">
      <c r="A18" s="151"/>
      <c r="B18" s="152" t="s">
        <v>73</v>
      </c>
      <c r="C18" s="154"/>
      <c r="D18" s="155"/>
      <c r="E18" s="17"/>
      <c r="F18" s="1"/>
      <c r="G18" s="1"/>
      <c r="M18" s="156"/>
    </row>
    <row r="19" spans="1:16" s="23" customFormat="1" ht="15.6" x14ac:dyDescent="0.3">
      <c r="A19" s="76">
        <v>1</v>
      </c>
      <c r="B19" s="77" t="s">
        <v>74</v>
      </c>
      <c r="C19" s="157">
        <f>1800*2+1300</f>
        <v>4900</v>
      </c>
      <c r="D19" s="155">
        <f t="shared" si="0"/>
        <v>4900</v>
      </c>
      <c r="E19" s="13"/>
      <c r="F19" s="1"/>
      <c r="G19" s="1"/>
      <c r="H19" s="1"/>
      <c r="I19" s="1"/>
      <c r="J19" s="1"/>
      <c r="K19" s="1"/>
      <c r="L19" s="1"/>
      <c r="M19" s="1"/>
      <c r="N19" s="1"/>
    </row>
    <row r="20" spans="1:16" s="23" customFormat="1" ht="15.6" x14ac:dyDescent="0.25">
      <c r="A20" s="80"/>
      <c r="B20" s="158"/>
      <c r="C20" s="82"/>
      <c r="D20" s="83"/>
      <c r="E20" s="13"/>
      <c r="F20" s="1"/>
      <c r="G20" s="1"/>
      <c r="H20" s="1"/>
      <c r="I20" s="1"/>
      <c r="J20" s="1"/>
      <c r="K20" s="1"/>
      <c r="L20" s="1"/>
      <c r="M20" s="1"/>
      <c r="N20" s="1"/>
      <c r="O20" s="1"/>
      <c r="P20" s="1"/>
    </row>
    <row r="21" spans="1:16" ht="15.6" x14ac:dyDescent="0.3">
      <c r="A21" s="159"/>
      <c r="B21" s="160" t="s">
        <v>75</v>
      </c>
      <c r="C21" s="90" t="s">
        <v>49</v>
      </c>
      <c r="D21" s="87">
        <f>SUM(D15:D20)</f>
        <v>57562.15</v>
      </c>
      <c r="E21" s="13"/>
    </row>
    <row r="22" spans="1:16" ht="15.6" x14ac:dyDescent="0.3">
      <c r="A22" s="161"/>
      <c r="B22" s="160" t="s">
        <v>76</v>
      </c>
      <c r="C22" s="90" t="s">
        <v>51</v>
      </c>
      <c r="D22" s="87">
        <f>D21*0.16</f>
        <v>9209.9440000000013</v>
      </c>
      <c r="E22" s="13"/>
    </row>
    <row r="23" spans="1:16" ht="16.2" thickBot="1" x14ac:dyDescent="0.35">
      <c r="A23" s="161"/>
      <c r="B23" s="92"/>
      <c r="C23" s="90" t="s">
        <v>77</v>
      </c>
      <c r="D23" s="87">
        <f>D21+D22</f>
        <v>66772.093999999997</v>
      </c>
      <c r="N23" s="88"/>
      <c r="O23" s="88"/>
      <c r="P23" s="88"/>
    </row>
    <row r="24" spans="1:16" s="88" customFormat="1" ht="16.2" thickBot="1" x14ac:dyDescent="0.3">
      <c r="A24" s="92"/>
      <c r="B24" s="162" t="s">
        <v>78</v>
      </c>
      <c r="C24" s="93"/>
      <c r="D24" s="94"/>
      <c r="E24" s="1"/>
      <c r="F24" s="1"/>
      <c r="G24" s="1"/>
      <c r="H24" s="1"/>
      <c r="I24" s="1"/>
      <c r="J24" s="1"/>
      <c r="K24" s="1"/>
      <c r="L24" s="1"/>
      <c r="M24" s="1"/>
      <c r="N24" s="1"/>
      <c r="O24" s="1"/>
      <c r="P24" s="1"/>
    </row>
    <row r="25" spans="1:16" ht="15" x14ac:dyDescent="0.25">
      <c r="A25" s="116"/>
      <c r="B25" s="117"/>
      <c r="C25" s="163"/>
      <c r="D25" s="164"/>
      <c r="E25" s="13"/>
    </row>
    <row r="26" spans="1:16" ht="13.8" x14ac:dyDescent="0.25">
      <c r="A26" s="34"/>
      <c r="B26" s="126" t="s">
        <v>15</v>
      </c>
      <c r="C26" s="165"/>
      <c r="D26" s="56"/>
      <c r="E26" s="13"/>
    </row>
    <row r="27" spans="1:16" ht="15.6" x14ac:dyDescent="0.25">
      <c r="A27" s="34"/>
      <c r="B27" s="123"/>
      <c r="C27" s="165"/>
      <c r="D27" s="56"/>
    </row>
    <row r="28" spans="1:16" ht="13.8" x14ac:dyDescent="0.25">
      <c r="A28" s="34"/>
      <c r="B28" s="126" t="s">
        <v>17</v>
      </c>
      <c r="D28" s="56"/>
    </row>
    <row r="29" spans="1:16" ht="15" x14ac:dyDescent="0.25">
      <c r="A29" s="62"/>
      <c r="B29" s="127" t="s">
        <v>79</v>
      </c>
      <c r="D29" s="56"/>
    </row>
    <row r="30" spans="1:16" ht="15" x14ac:dyDescent="0.25">
      <c r="A30" s="62"/>
      <c r="B30" s="127" t="s">
        <v>21</v>
      </c>
      <c r="D30" s="56"/>
    </row>
    <row r="31" spans="1:16" ht="15" x14ac:dyDescent="0.25">
      <c r="A31" s="62"/>
      <c r="B31" s="127" t="s">
        <v>60</v>
      </c>
      <c r="D31" s="56"/>
    </row>
    <row r="32" spans="1:16" ht="15" x14ac:dyDescent="0.25">
      <c r="A32" s="62"/>
      <c r="B32" s="135" t="s">
        <v>23</v>
      </c>
    </row>
    <row r="33" spans="1:4" ht="13.8" x14ac:dyDescent="0.25">
      <c r="B33" s="166"/>
    </row>
    <row r="34" spans="1:4" ht="27.6" x14ac:dyDescent="0.25">
      <c r="A34" s="62"/>
      <c r="B34" s="132" t="s">
        <v>62</v>
      </c>
      <c r="C34" s="54"/>
      <c r="D34" s="58"/>
    </row>
    <row r="35" spans="1:4" ht="15" x14ac:dyDescent="0.25">
      <c r="A35" s="62"/>
      <c r="B35" s="135" t="s">
        <v>26</v>
      </c>
      <c r="C35" s="54"/>
      <c r="D35" s="58"/>
    </row>
    <row r="36" spans="1:4" ht="27.6" x14ac:dyDescent="0.25">
      <c r="A36" s="62"/>
      <c r="B36" s="136" t="s">
        <v>80</v>
      </c>
      <c r="C36" s="54"/>
      <c r="D36" s="54"/>
    </row>
    <row r="37" spans="1:4" ht="15" x14ac:dyDescent="0.25">
      <c r="A37" s="62"/>
      <c r="B37" s="137" t="s">
        <v>28</v>
      </c>
      <c r="C37" s="54"/>
      <c r="D37" s="54"/>
    </row>
    <row r="38" spans="1:4" ht="15" x14ac:dyDescent="0.25">
      <c r="A38" s="62"/>
      <c r="B38" s="135" t="s">
        <v>29</v>
      </c>
      <c r="D38" s="56"/>
    </row>
    <row r="39" spans="1:4" ht="13.8" x14ac:dyDescent="0.25">
      <c r="B39" s="138" t="s">
        <v>81</v>
      </c>
      <c r="C39" s="54"/>
      <c r="D39" s="58"/>
    </row>
    <row r="40" spans="1:4" ht="15" x14ac:dyDescent="0.25">
      <c r="A40" s="62"/>
      <c r="B40" s="127" t="s">
        <v>31</v>
      </c>
      <c r="C40" s="54"/>
      <c r="D40" s="58"/>
    </row>
    <row r="41" spans="1:4" ht="15" x14ac:dyDescent="0.25">
      <c r="A41" s="62"/>
      <c r="B41" s="127" t="s">
        <v>32</v>
      </c>
      <c r="C41" s="54"/>
    </row>
    <row r="42" spans="1:4" ht="50.4" x14ac:dyDescent="0.4">
      <c r="A42" s="139" t="s">
        <v>0</v>
      </c>
      <c r="B42" s="140" t="s">
        <v>65</v>
      </c>
      <c r="C42" s="141"/>
      <c r="D42" s="1"/>
    </row>
    <row r="43" spans="1:4" x14ac:dyDescent="0.25">
      <c r="A43" s="142"/>
      <c r="B43" s="64"/>
      <c r="C43" s="64"/>
      <c r="D43" s="1"/>
    </row>
    <row r="44" spans="1:4" x14ac:dyDescent="0.25">
      <c r="A44" s="142"/>
      <c r="B44" s="64"/>
      <c r="C44" s="64"/>
      <c r="D44" s="1"/>
    </row>
    <row r="45" spans="1:4" x14ac:dyDescent="0.25">
      <c r="A45" s="142"/>
      <c r="B45" s="143"/>
      <c r="C45" s="64"/>
      <c r="D45" s="1"/>
    </row>
    <row r="46" spans="1:4" ht="15" x14ac:dyDescent="0.35">
      <c r="A46" s="144"/>
      <c r="B46" s="145"/>
      <c r="C46" s="64"/>
      <c r="D46" s="64"/>
    </row>
    <row r="47" spans="1:4" x14ac:dyDescent="0.25">
      <c r="A47" s="146" t="s">
        <v>0</v>
      </c>
    </row>
    <row r="48" spans="1:4" x14ac:dyDescent="0.25">
      <c r="A48" s="1" t="s">
        <v>0</v>
      </c>
    </row>
    <row r="50" ht="12.75" customHeight="1" x14ac:dyDescent="0.25"/>
    <row r="54" ht="16.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2" fitToWidth="0" orientation="portrait" r:id="rId1"/>
  <headerFooter alignWithMargins="0">
    <oddFooter>Página &amp;P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9A96-8C83-46CD-B97E-9E4905D1EA99}">
  <sheetPr>
    <tabColor theme="4" tint="-0.249977111117893"/>
    <pageSetUpPr fitToPage="1"/>
  </sheetPr>
  <dimension ref="A1:P59"/>
  <sheetViews>
    <sheetView topLeftCell="A8" zoomScale="85" zoomScaleNormal="85" workbookViewId="0">
      <selection activeCell="B42" sqref="B42:B44"/>
    </sheetView>
  </sheetViews>
  <sheetFormatPr baseColWidth="10" defaultColWidth="11.44140625" defaultRowHeight="13.2" x14ac:dyDescent="0.25"/>
  <cols>
    <col min="1" max="1" width="6" style="1" customWidth="1"/>
    <col min="2" max="2" width="96.88671875" style="1" customWidth="1"/>
    <col min="3" max="3" width="14.10937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82</v>
      </c>
      <c r="B8" s="68"/>
      <c r="C8" s="69"/>
      <c r="D8" s="69"/>
    </row>
    <row r="9" spans="1:16" s="4" customFormat="1" ht="19.2" x14ac:dyDescent="0.45">
      <c r="A9" s="67" t="s">
        <v>83</v>
      </c>
      <c r="B9" s="68"/>
      <c r="C9" s="69"/>
      <c r="D9" s="69"/>
    </row>
    <row r="10" spans="1:16" s="4" customFormat="1" ht="19.2" x14ac:dyDescent="0.45">
      <c r="A10" s="67" t="s">
        <v>84</v>
      </c>
      <c r="B10" s="68"/>
      <c r="C10" s="69"/>
      <c r="D10" s="69"/>
    </row>
    <row r="11" spans="1:16" s="4" customFormat="1" ht="19.2" x14ac:dyDescent="0.45">
      <c r="A11" s="67" t="s">
        <v>85</v>
      </c>
      <c r="B11" s="68"/>
      <c r="C11" s="70"/>
      <c r="D11" s="69"/>
    </row>
    <row r="12" spans="1:16" s="4" customFormat="1" ht="15" customHeight="1" x14ac:dyDescent="0.45">
      <c r="A12" s="67" t="s">
        <v>38</v>
      </c>
      <c r="B12" s="68"/>
      <c r="C12" s="70"/>
      <c r="D12" s="69"/>
    </row>
    <row r="13" spans="1:16" s="4" customFormat="1" ht="15" customHeight="1" x14ac:dyDescent="0.45">
      <c r="A13" s="71" t="s">
        <v>70</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3.8" x14ac:dyDescent="0.25">
      <c r="A15" s="14"/>
      <c r="B15" s="15"/>
      <c r="C15" s="16"/>
      <c r="D15" s="16"/>
      <c r="E15" s="17"/>
      <c r="F15" s="23"/>
      <c r="G15" s="23"/>
      <c r="H15" s="1"/>
      <c r="I15" s="1"/>
      <c r="J15" s="1"/>
      <c r="K15" s="1"/>
      <c r="L15" s="1"/>
      <c r="M15" s="1"/>
      <c r="N15" s="1"/>
      <c r="O15" s="1"/>
      <c r="P15" s="1"/>
    </row>
    <row r="16" spans="1:16" ht="30" x14ac:dyDescent="0.25">
      <c r="A16" s="80">
        <v>1</v>
      </c>
      <c r="B16" s="167" t="s">
        <v>86</v>
      </c>
      <c r="C16" s="168">
        <f>470*120</f>
        <v>56400</v>
      </c>
      <c r="D16" s="79">
        <f t="shared" ref="D16:D22" si="0">A16*C16</f>
        <v>56400</v>
      </c>
      <c r="E16" s="17"/>
      <c r="H16" s="23"/>
      <c r="I16" s="23"/>
      <c r="J16" s="23"/>
      <c r="K16" s="23"/>
      <c r="L16" s="23"/>
      <c r="M16" s="23"/>
      <c r="N16" s="23"/>
      <c r="O16" s="23"/>
      <c r="P16" s="23"/>
    </row>
    <row r="17" spans="1:16" s="23" customFormat="1" ht="30" x14ac:dyDescent="0.25">
      <c r="A17" s="80">
        <v>1</v>
      </c>
      <c r="B17" s="167" t="s">
        <v>87</v>
      </c>
      <c r="C17" s="168">
        <f>470*80</f>
        <v>37600</v>
      </c>
      <c r="D17" s="79">
        <f t="shared" si="0"/>
        <v>37600</v>
      </c>
      <c r="E17" s="17"/>
      <c r="F17" s="1"/>
      <c r="G17" s="1"/>
    </row>
    <row r="18" spans="1:16" s="23" customFormat="1" ht="30" x14ac:dyDescent="0.25">
      <c r="A18" s="80">
        <v>1</v>
      </c>
      <c r="B18" s="167" t="s">
        <v>88</v>
      </c>
      <c r="C18" s="168">
        <f>470*80</f>
        <v>37600</v>
      </c>
      <c r="D18" s="79">
        <f t="shared" si="0"/>
        <v>37600</v>
      </c>
      <c r="E18" s="17"/>
      <c r="F18" s="1"/>
      <c r="G18" s="1"/>
    </row>
    <row r="19" spans="1:16" s="23" customFormat="1" ht="30" x14ac:dyDescent="0.25">
      <c r="A19" s="80">
        <v>1</v>
      </c>
      <c r="B19" s="167" t="s">
        <v>89</v>
      </c>
      <c r="C19" s="168">
        <f>470*120</f>
        <v>56400</v>
      </c>
      <c r="D19" s="79">
        <f t="shared" si="0"/>
        <v>56400</v>
      </c>
      <c r="E19" s="17"/>
      <c r="F19" s="1"/>
      <c r="G19" s="1"/>
      <c r="M19" s="156"/>
    </row>
    <row r="20" spans="1:16" s="23" customFormat="1" ht="30" x14ac:dyDescent="0.25">
      <c r="A20" s="80">
        <v>1</v>
      </c>
      <c r="B20" s="167" t="s">
        <v>90</v>
      </c>
      <c r="C20" s="168"/>
      <c r="D20" s="79">
        <f t="shared" si="0"/>
        <v>0</v>
      </c>
      <c r="E20" s="17"/>
      <c r="F20" s="1"/>
      <c r="G20" s="1"/>
      <c r="M20" s="1"/>
      <c r="N20" s="1"/>
      <c r="O20" s="1"/>
      <c r="P20" s="1"/>
    </row>
    <row r="21" spans="1:16" ht="15.6" x14ac:dyDescent="0.25">
      <c r="A21" s="106">
        <v>1</v>
      </c>
      <c r="B21" s="107" t="s">
        <v>91</v>
      </c>
      <c r="C21" s="169"/>
      <c r="D21" s="83">
        <f t="shared" si="0"/>
        <v>0</v>
      </c>
      <c r="E21" s="17"/>
      <c r="H21" s="23"/>
      <c r="I21" s="23"/>
      <c r="J21" s="23"/>
      <c r="K21" s="23"/>
      <c r="L21" s="23"/>
    </row>
    <row r="22" spans="1:16" ht="15.6" x14ac:dyDescent="0.25">
      <c r="A22" s="80">
        <v>1</v>
      </c>
      <c r="B22" s="167" t="s">
        <v>92</v>
      </c>
      <c r="C22" s="168"/>
      <c r="D22" s="83">
        <f t="shared" si="0"/>
        <v>0</v>
      </c>
      <c r="E22" s="17"/>
      <c r="H22" s="23"/>
      <c r="I22" s="23"/>
      <c r="J22" s="23"/>
      <c r="K22" s="23"/>
      <c r="L22" s="23"/>
    </row>
    <row r="23" spans="1:16" ht="15.6" x14ac:dyDescent="0.3">
      <c r="A23" s="159"/>
      <c r="B23" s="158"/>
      <c r="C23" s="82"/>
      <c r="D23" s="83"/>
      <c r="E23" s="17"/>
      <c r="H23" s="23"/>
      <c r="I23" s="23"/>
      <c r="J23" s="23"/>
      <c r="K23" s="23"/>
      <c r="L23" s="23"/>
      <c r="O23" s="88"/>
      <c r="P23" s="88"/>
    </row>
    <row r="24" spans="1:16" s="88" customFormat="1" ht="15.6" x14ac:dyDescent="0.3">
      <c r="A24" s="161"/>
      <c r="B24" s="161"/>
      <c r="C24" s="170" t="s">
        <v>49</v>
      </c>
      <c r="D24" s="171">
        <f>SUM(D15:D23)</f>
        <v>188000</v>
      </c>
      <c r="E24" s="13"/>
      <c r="F24" s="1"/>
      <c r="G24" s="1"/>
      <c r="H24" s="1"/>
      <c r="I24" s="1"/>
      <c r="J24" s="1"/>
      <c r="K24" s="1"/>
      <c r="L24" s="1"/>
      <c r="M24" s="1"/>
      <c r="N24" s="1"/>
      <c r="O24" s="1"/>
      <c r="P24" s="1"/>
    </row>
    <row r="25" spans="1:16" ht="15.6" x14ac:dyDescent="0.3">
      <c r="A25" s="161"/>
      <c r="B25" s="161"/>
      <c r="C25" s="172" t="s">
        <v>93</v>
      </c>
      <c r="D25" s="171">
        <f>D24*0.16</f>
        <v>30080</v>
      </c>
      <c r="E25" s="13"/>
    </row>
    <row r="26" spans="1:16" ht="16.2" thickBot="1" x14ac:dyDescent="0.3">
      <c r="A26" s="92"/>
      <c r="B26" s="92"/>
      <c r="C26" s="173" t="s">
        <v>77</v>
      </c>
      <c r="D26" s="174">
        <f>D24+D25</f>
        <v>218080</v>
      </c>
      <c r="E26" s="13"/>
    </row>
    <row r="27" spans="1:16" ht="16.2" thickBot="1" x14ac:dyDescent="0.3">
      <c r="A27" s="116"/>
      <c r="B27" s="755" t="s">
        <v>94</v>
      </c>
      <c r="C27" s="756"/>
      <c r="D27" s="757"/>
      <c r="E27" s="175"/>
      <c r="F27" s="88"/>
      <c r="G27" s="88"/>
      <c r="H27" s="88"/>
      <c r="I27" s="88"/>
      <c r="J27" s="88"/>
      <c r="K27" s="88"/>
      <c r="L27" s="88"/>
    </row>
    <row r="28" spans="1:16" x14ac:dyDescent="0.25">
      <c r="A28" s="34"/>
      <c r="B28" s="117"/>
      <c r="C28" s="163"/>
      <c r="D28" s="164"/>
    </row>
    <row r="29" spans="1:16" ht="17.25" customHeight="1" x14ac:dyDescent="0.25">
      <c r="A29" s="34"/>
      <c r="B29" s="126" t="s">
        <v>15</v>
      </c>
      <c r="C29" s="165"/>
      <c r="D29" s="56"/>
      <c r="N29" s="88"/>
    </row>
    <row r="30" spans="1:16" ht="15.6" x14ac:dyDescent="0.25">
      <c r="A30" s="34"/>
      <c r="B30" s="176"/>
      <c r="C30" s="165"/>
      <c r="D30" s="56"/>
      <c r="M30" s="88"/>
    </row>
    <row r="31" spans="1:16" ht="13.5" customHeight="1" x14ac:dyDescent="0.25">
      <c r="A31" s="62"/>
      <c r="B31" s="126" t="s">
        <v>17</v>
      </c>
      <c r="D31" s="56"/>
    </row>
    <row r="32" spans="1:16" ht="15" x14ac:dyDescent="0.25">
      <c r="A32" s="62"/>
      <c r="B32" s="127" t="s">
        <v>19</v>
      </c>
      <c r="D32" s="56"/>
    </row>
    <row r="33" spans="1:5" ht="15" x14ac:dyDescent="0.25">
      <c r="A33" s="62"/>
      <c r="B33" s="127" t="s">
        <v>21</v>
      </c>
      <c r="D33" s="56"/>
    </row>
    <row r="34" spans="1:5" ht="15" x14ac:dyDescent="0.25">
      <c r="A34" s="62"/>
      <c r="B34" s="127" t="s">
        <v>60</v>
      </c>
      <c r="D34" s="56"/>
    </row>
    <row r="35" spans="1:5" ht="13.8" x14ac:dyDescent="0.25">
      <c r="B35" s="135" t="s">
        <v>23</v>
      </c>
    </row>
    <row r="36" spans="1:5" ht="27.6" x14ac:dyDescent="0.25">
      <c r="A36" s="62"/>
      <c r="B36" s="166" t="s">
        <v>95</v>
      </c>
    </row>
    <row r="37" spans="1:5" ht="27.6" x14ac:dyDescent="0.25">
      <c r="A37" s="62"/>
      <c r="B37" s="132" t="s">
        <v>62</v>
      </c>
      <c r="C37" s="54"/>
      <c r="D37" s="58"/>
      <c r="E37" s="13"/>
    </row>
    <row r="38" spans="1:5" ht="15" x14ac:dyDescent="0.25">
      <c r="A38" s="62"/>
      <c r="B38" s="135" t="s">
        <v>26</v>
      </c>
      <c r="C38" s="54"/>
      <c r="D38" s="58"/>
      <c r="E38" s="13"/>
    </row>
    <row r="39" spans="1:5" ht="15" x14ac:dyDescent="0.25">
      <c r="A39" s="62"/>
      <c r="B39" s="136" t="s">
        <v>96</v>
      </c>
      <c r="C39" s="54"/>
      <c r="D39" s="54"/>
    </row>
    <row r="40" spans="1:5" ht="15" x14ac:dyDescent="0.25">
      <c r="A40" s="62"/>
      <c r="B40" s="137" t="s">
        <v>28</v>
      </c>
      <c r="C40" s="54"/>
      <c r="D40" s="54"/>
    </row>
    <row r="41" spans="1:5" ht="13.8" x14ac:dyDescent="0.25">
      <c r="B41" s="135" t="s">
        <v>29</v>
      </c>
      <c r="D41" s="56"/>
    </row>
    <row r="42" spans="1:5" ht="15" x14ac:dyDescent="0.25">
      <c r="A42" s="62"/>
      <c r="B42" s="138" t="s">
        <v>81</v>
      </c>
      <c r="C42" s="54"/>
      <c r="D42" s="58"/>
    </row>
    <row r="43" spans="1:5" ht="15" x14ac:dyDescent="0.25">
      <c r="A43" s="62"/>
      <c r="B43" s="127" t="s">
        <v>31</v>
      </c>
      <c r="C43" s="54"/>
      <c r="D43" s="58"/>
    </row>
    <row r="44" spans="1:5" ht="13.8" x14ac:dyDescent="0.25">
      <c r="A44" s="139" t="s">
        <v>0</v>
      </c>
      <c r="B44" s="127" t="s">
        <v>32</v>
      </c>
      <c r="C44" s="54"/>
    </row>
    <row r="45" spans="1:5" ht="50.4" x14ac:dyDescent="0.4">
      <c r="A45" s="142"/>
      <c r="B45" s="140" t="s">
        <v>65</v>
      </c>
      <c r="C45" s="141"/>
      <c r="D45" s="1"/>
    </row>
    <row r="46" spans="1:5" x14ac:dyDescent="0.25">
      <c r="A46" s="142"/>
      <c r="B46" s="64"/>
      <c r="C46" s="64"/>
      <c r="D46" s="1"/>
    </row>
    <row r="47" spans="1:5" x14ac:dyDescent="0.25">
      <c r="A47" s="142"/>
      <c r="B47" s="64"/>
      <c r="C47" s="64"/>
      <c r="D47" s="1"/>
    </row>
    <row r="48" spans="1:5" x14ac:dyDescent="0.25">
      <c r="A48" s="144"/>
      <c r="B48" s="143"/>
      <c r="C48" s="64"/>
      <c r="D48" s="1"/>
    </row>
    <row r="49" spans="1:4" ht="15" x14ac:dyDescent="0.35">
      <c r="A49" s="146" t="s">
        <v>0</v>
      </c>
      <c r="B49" s="145"/>
      <c r="C49" s="64"/>
      <c r="D49" s="64"/>
    </row>
    <row r="50" spans="1:4" ht="12.75" customHeight="1" x14ac:dyDescent="0.25">
      <c r="A50" s="1" t="s">
        <v>0</v>
      </c>
    </row>
    <row r="54" spans="1:4" ht="16.5" customHeight="1" x14ac:dyDescent="0.25"/>
    <row r="58" spans="1:4" ht="15.75" customHeight="1" x14ac:dyDescent="0.25"/>
    <row r="59" spans="1:4" ht="15" customHeight="1" x14ac:dyDescent="0.25"/>
  </sheetData>
  <mergeCells count="3">
    <mergeCell ref="A4:D4"/>
    <mergeCell ref="A14:D14"/>
    <mergeCell ref="B27:D27"/>
  </mergeCells>
  <printOptions horizontalCentered="1"/>
  <pageMargins left="0" right="0" top="0" bottom="0" header="0" footer="0"/>
  <pageSetup paperSize="9" scale="73" fitToWidth="0" orientation="portrait" r:id="rId1"/>
  <headerFooter alignWithMargins="0">
    <oddFooter>Página &amp;P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7D593-2233-4EB7-A589-C72963AC770B}">
  <sheetPr>
    <tabColor theme="4" tint="-0.249977111117893"/>
    <pageSetUpPr fitToPage="1"/>
  </sheetPr>
  <dimension ref="A1:P59"/>
  <sheetViews>
    <sheetView topLeftCell="A6" zoomScale="85" zoomScaleNormal="85" workbookViewId="0">
      <selection activeCell="A21" sqref="A21:D21"/>
    </sheetView>
  </sheetViews>
  <sheetFormatPr baseColWidth="10" defaultColWidth="11.44140625" defaultRowHeight="13.2" x14ac:dyDescent="0.25"/>
  <cols>
    <col min="1" max="1" width="6" style="1" customWidth="1"/>
    <col min="2" max="2" width="85.5546875" style="1" customWidth="1"/>
    <col min="3" max="3" width="14.88671875" style="3" bestFit="1"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34</v>
      </c>
      <c r="B8" s="68"/>
      <c r="C8" s="69"/>
      <c r="D8" s="69"/>
    </row>
    <row r="9" spans="1:16" s="4" customFormat="1" ht="19.2" x14ac:dyDescent="0.45">
      <c r="A9" s="67" t="s">
        <v>35</v>
      </c>
      <c r="B9" s="68"/>
      <c r="C9" s="69"/>
      <c r="D9" s="69"/>
    </row>
    <row r="10" spans="1:16" s="4" customFormat="1" ht="19.2" x14ac:dyDescent="0.45">
      <c r="A10" s="67" t="s">
        <v>36</v>
      </c>
      <c r="B10" s="68"/>
      <c r="C10" s="69"/>
      <c r="D10" s="69"/>
    </row>
    <row r="11" spans="1:16" s="4" customFormat="1" ht="19.2" x14ac:dyDescent="0.45">
      <c r="A11" s="67" t="s">
        <v>37</v>
      </c>
      <c r="B11" s="68"/>
      <c r="C11" s="70"/>
      <c r="D11" s="69"/>
    </row>
    <row r="12" spans="1:16" s="4" customFormat="1" ht="15" customHeight="1" x14ac:dyDescent="0.45">
      <c r="A12" s="67" t="s">
        <v>38</v>
      </c>
      <c r="B12" s="68"/>
      <c r="C12" s="70"/>
      <c r="D12" s="69"/>
    </row>
    <row r="13" spans="1:16" s="4" customFormat="1" ht="15" customHeight="1" x14ac:dyDescent="0.45">
      <c r="A13" s="71" t="s">
        <v>114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8" thickBot="1" x14ac:dyDescent="0.3">
      <c r="A15" s="92"/>
      <c r="B15" s="75" t="s">
        <v>53</v>
      </c>
      <c r="C15" s="93"/>
      <c r="D15" s="94"/>
      <c r="E15" s="1"/>
      <c r="F15" s="1"/>
      <c r="G15" s="1"/>
      <c r="H15" s="1"/>
      <c r="I15" s="1"/>
      <c r="J15" s="1"/>
      <c r="K15" s="1"/>
      <c r="L15" s="1"/>
      <c r="M15" s="1"/>
      <c r="N15" s="1"/>
      <c r="O15" s="1"/>
      <c r="P15" s="1"/>
    </row>
    <row r="16" spans="1:16" ht="15.6" x14ac:dyDescent="0.25">
      <c r="A16" s="95">
        <v>2</v>
      </c>
      <c r="B16" s="96" t="s">
        <v>115</v>
      </c>
      <c r="C16" s="97">
        <f>(226*19*1.4)</f>
        <v>6011.5999999999995</v>
      </c>
      <c r="D16" s="98">
        <f>A16*C16</f>
        <v>12023.199999999999</v>
      </c>
      <c r="N16" s="23"/>
      <c r="O16" s="23"/>
      <c r="P16" s="23"/>
    </row>
    <row r="17" spans="1:16" s="23" customFormat="1" ht="15.6" x14ac:dyDescent="0.25">
      <c r="A17" s="99"/>
      <c r="B17" s="100"/>
      <c r="C17" s="86" t="s">
        <v>49</v>
      </c>
      <c r="D17" s="87">
        <f>SUM(D16)</f>
        <v>12023.199999999999</v>
      </c>
      <c r="E17" s="1"/>
      <c r="F17" s="1"/>
      <c r="G17" s="1"/>
      <c r="H17" s="1"/>
      <c r="I17" s="1"/>
      <c r="J17" s="1"/>
      <c r="K17" s="1"/>
      <c r="L17" s="1"/>
      <c r="M17" s="1"/>
    </row>
    <row r="18" spans="1:16" s="23" customFormat="1" ht="15.6" x14ac:dyDescent="0.25">
      <c r="A18" s="99"/>
      <c r="B18" s="100"/>
      <c r="C18" s="90" t="s">
        <v>51</v>
      </c>
      <c r="D18" s="87">
        <f>D17*0.16</f>
        <v>1923.7119999999998</v>
      </c>
      <c r="E18" s="1"/>
      <c r="F18" s="1"/>
      <c r="G18" s="1"/>
      <c r="H18" s="1"/>
      <c r="I18" s="1"/>
      <c r="J18" s="1"/>
      <c r="K18" s="1"/>
      <c r="L18" s="1"/>
      <c r="M18" s="1"/>
    </row>
    <row r="19" spans="1:16" s="23" customFormat="1" ht="15.6" x14ac:dyDescent="0.25">
      <c r="A19" s="99"/>
      <c r="B19" s="100"/>
      <c r="C19" s="90" t="s">
        <v>52</v>
      </c>
      <c r="D19" s="87">
        <f>SUM(D17:D18)</f>
        <v>13946.911999999998</v>
      </c>
      <c r="E19" s="1"/>
      <c r="F19" s="1"/>
      <c r="G19" s="1"/>
      <c r="H19" s="1"/>
      <c r="I19" s="1"/>
      <c r="J19" s="1"/>
      <c r="K19" s="1"/>
      <c r="L19" s="1"/>
      <c r="M19" s="1"/>
    </row>
    <row r="20" spans="1:16" s="23" customFormat="1" ht="17.399999999999999" x14ac:dyDescent="0.25">
      <c r="A20" s="99"/>
      <c r="B20" s="101" t="s">
        <v>55</v>
      </c>
      <c r="C20" s="102"/>
      <c r="D20" s="98"/>
      <c r="E20" s="1"/>
      <c r="F20" s="1"/>
      <c r="G20" s="1"/>
      <c r="H20" s="1"/>
      <c r="I20" s="1"/>
      <c r="J20" s="1"/>
      <c r="K20" s="1"/>
      <c r="L20" s="1"/>
      <c r="M20" s="1"/>
      <c r="N20" s="1"/>
      <c r="O20" s="1"/>
      <c r="P20" s="1"/>
    </row>
    <row r="21" spans="1:16" ht="30" x14ac:dyDescent="0.25">
      <c r="A21" s="103">
        <v>1</v>
      </c>
      <c r="B21" s="104" t="s">
        <v>116</v>
      </c>
      <c r="C21" s="105">
        <v>7300</v>
      </c>
      <c r="D21" s="79">
        <f>A21*C21</f>
        <v>7300</v>
      </c>
    </row>
    <row r="22" spans="1:16" ht="45" x14ac:dyDescent="0.25">
      <c r="A22" s="106">
        <v>1</v>
      </c>
      <c r="B22" s="107" t="s">
        <v>117</v>
      </c>
      <c r="C22" s="108">
        <v>62000</v>
      </c>
      <c r="D22" s="109">
        <f>A22*C22</f>
        <v>62000</v>
      </c>
    </row>
    <row r="23" spans="1:16" ht="15.6" x14ac:dyDescent="0.25">
      <c r="A23" s="106">
        <v>2</v>
      </c>
      <c r="B23" s="107" t="s">
        <v>118</v>
      </c>
      <c r="C23" s="108">
        <v>2350</v>
      </c>
      <c r="D23" s="109">
        <f>A23*C23</f>
        <v>4700</v>
      </c>
      <c r="O23" s="88"/>
      <c r="P23" s="88"/>
    </row>
    <row r="24" spans="1:16" s="88" customFormat="1" ht="15.6" x14ac:dyDescent="0.25">
      <c r="A24" s="194">
        <v>4</v>
      </c>
      <c r="B24" s="195" t="s">
        <v>119</v>
      </c>
      <c r="C24" s="108">
        <v>320</v>
      </c>
      <c r="D24" s="109">
        <f>A24*C24</f>
        <v>1280</v>
      </c>
      <c r="E24" s="13"/>
      <c r="F24" s="1"/>
      <c r="G24" s="1"/>
      <c r="H24" s="1"/>
      <c r="I24" s="1"/>
      <c r="J24" s="1"/>
      <c r="K24" s="1"/>
      <c r="L24" s="1"/>
      <c r="M24" s="1"/>
      <c r="N24" s="1"/>
      <c r="O24" s="1"/>
      <c r="P24" s="1"/>
    </row>
    <row r="25" spans="1:16" ht="31.2" x14ac:dyDescent="0.25">
      <c r="A25" s="110"/>
      <c r="B25" s="196" t="s">
        <v>120</v>
      </c>
      <c r="C25" s="112" t="s">
        <v>52</v>
      </c>
      <c r="D25" s="113">
        <f>SUM(D21:D24)</f>
        <v>75280</v>
      </c>
      <c r="E25" s="13"/>
    </row>
    <row r="26" spans="1:16" ht="15.6" x14ac:dyDescent="0.25">
      <c r="A26" s="110"/>
      <c r="B26" s="111"/>
      <c r="C26" s="114"/>
      <c r="D26" s="115"/>
    </row>
    <row r="27" spans="1:16" ht="15" x14ac:dyDescent="0.25">
      <c r="A27" s="116"/>
      <c r="B27" s="117"/>
      <c r="C27" s="118"/>
      <c r="D27" s="119"/>
    </row>
    <row r="28" spans="1:16" ht="13.8" x14ac:dyDescent="0.25">
      <c r="A28" s="34"/>
      <c r="B28" s="120" t="s">
        <v>15</v>
      </c>
      <c r="C28" s="121"/>
      <c r="D28" s="122"/>
    </row>
    <row r="29" spans="1:16" ht="17.399999999999999" x14ac:dyDescent="0.3">
      <c r="A29" s="34"/>
      <c r="B29" s="123"/>
      <c r="C29" s="124" t="s">
        <v>18</v>
      </c>
      <c r="D29" s="125">
        <f>SUM(D19+D25)</f>
        <v>89226.911999999997</v>
      </c>
      <c r="E29" s="13"/>
      <c r="N29" s="88"/>
    </row>
    <row r="30" spans="1:16" ht="13.8" x14ac:dyDescent="0.25">
      <c r="A30" s="34"/>
      <c r="B30" s="126" t="s">
        <v>17</v>
      </c>
      <c r="C30" s="1"/>
      <c r="D30" s="1"/>
    </row>
    <row r="31" spans="1:16" ht="15" x14ac:dyDescent="0.25">
      <c r="A31" s="62"/>
      <c r="B31" s="127" t="s">
        <v>19</v>
      </c>
      <c r="C31" s="1"/>
      <c r="D31" s="1"/>
    </row>
    <row r="32" spans="1:16" ht="15" x14ac:dyDescent="0.25">
      <c r="A32" s="62"/>
      <c r="B32" s="129" t="s">
        <v>60</v>
      </c>
      <c r="C32" s="1"/>
      <c r="D32" s="1"/>
    </row>
    <row r="33" spans="1:4" ht="15" x14ac:dyDescent="0.25">
      <c r="A33" s="62"/>
      <c r="B33" s="130" t="s">
        <v>23</v>
      </c>
      <c r="C33" s="13"/>
      <c r="D33" s="1"/>
    </row>
    <row r="34" spans="1:4" ht="27.6" x14ac:dyDescent="0.25">
      <c r="A34" s="62"/>
      <c r="B34" s="132" t="s">
        <v>62</v>
      </c>
      <c r="C34" s="133"/>
      <c r="D34" s="134"/>
    </row>
    <row r="35" spans="1:4" ht="15" x14ac:dyDescent="0.25">
      <c r="A35" s="62"/>
      <c r="B35" s="135" t="s">
        <v>26</v>
      </c>
      <c r="C35" s="54"/>
      <c r="D35" s="58"/>
    </row>
    <row r="36" spans="1:4" ht="27.6" x14ac:dyDescent="0.25">
      <c r="A36" s="62"/>
      <c r="B36" s="136" t="s">
        <v>121</v>
      </c>
      <c r="C36" s="54"/>
      <c r="D36" s="54"/>
    </row>
    <row r="37" spans="1:4" ht="15" x14ac:dyDescent="0.25">
      <c r="A37" s="62"/>
      <c r="B37" s="137" t="s">
        <v>28</v>
      </c>
      <c r="C37" s="54"/>
      <c r="D37" s="54"/>
    </row>
    <row r="38" spans="1:4" ht="15" x14ac:dyDescent="0.25">
      <c r="A38" s="62"/>
      <c r="B38" s="135" t="s">
        <v>29</v>
      </c>
      <c r="D38" s="56"/>
    </row>
    <row r="39" spans="1:4" ht="13.8" x14ac:dyDescent="0.25">
      <c r="B39" s="138" t="s">
        <v>64</v>
      </c>
      <c r="C39" s="54"/>
      <c r="D39" s="58"/>
    </row>
    <row r="40" spans="1:4" ht="15" x14ac:dyDescent="0.25">
      <c r="A40" s="62"/>
      <c r="B40" s="127" t="s">
        <v>31</v>
      </c>
      <c r="C40" s="54"/>
      <c r="D40" s="58"/>
    </row>
    <row r="41" spans="1:4" ht="15" x14ac:dyDescent="0.25">
      <c r="A41" s="62"/>
      <c r="B41" s="127" t="s">
        <v>32</v>
      </c>
      <c r="C41" s="54"/>
    </row>
    <row r="42" spans="1:4" ht="50.4" x14ac:dyDescent="0.4">
      <c r="A42" s="139" t="s">
        <v>0</v>
      </c>
      <c r="B42" s="140" t="s">
        <v>65</v>
      </c>
      <c r="C42" s="141"/>
      <c r="D42" s="1"/>
    </row>
    <row r="43" spans="1:4" x14ac:dyDescent="0.25">
      <c r="A43" s="142"/>
      <c r="B43" s="64"/>
      <c r="C43" s="64"/>
      <c r="D43" s="1"/>
    </row>
    <row r="44" spans="1:4" x14ac:dyDescent="0.25">
      <c r="A44" s="142"/>
      <c r="B44" s="64"/>
      <c r="C44" s="64"/>
      <c r="D44" s="1"/>
    </row>
    <row r="45" spans="1:4" x14ac:dyDescent="0.25">
      <c r="A45" s="142"/>
      <c r="B45" s="143"/>
      <c r="C45" s="64"/>
      <c r="D45" s="1"/>
    </row>
    <row r="46" spans="1:4" ht="15" x14ac:dyDescent="0.35">
      <c r="A46" s="144"/>
      <c r="B46" s="145"/>
      <c r="C46" s="64"/>
      <c r="D46" s="64"/>
    </row>
    <row r="47" spans="1:4" x14ac:dyDescent="0.25">
      <c r="A47" s="146" t="s">
        <v>0</v>
      </c>
    </row>
    <row r="48" spans="1:4" x14ac:dyDescent="0.25">
      <c r="A48"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9" fitToWidth="0" orientation="portrait" r:id="rId1"/>
  <headerFooter alignWithMargins="0">
    <oddFooter>Página &amp;P de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303C4-DDFD-41F0-B424-45B17A30A40B}">
  <sheetPr>
    <tabColor theme="4" tint="-0.249977111117893"/>
    <pageSetUpPr fitToPage="1"/>
  </sheetPr>
  <dimension ref="A1:K56"/>
  <sheetViews>
    <sheetView topLeftCell="A6" zoomScale="85" zoomScaleNormal="85" workbookViewId="0">
      <selection activeCell="C17" sqref="C17"/>
    </sheetView>
  </sheetViews>
  <sheetFormatPr baseColWidth="10" defaultColWidth="11.44140625" defaultRowHeight="13.2" x14ac:dyDescent="0.25"/>
  <cols>
    <col min="1" max="1" width="6" style="1" customWidth="1"/>
    <col min="2" max="2" width="92.1093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122</v>
      </c>
      <c r="B8" s="68"/>
      <c r="C8" s="69"/>
      <c r="D8" s="69"/>
    </row>
    <row r="9" spans="1:7" s="4" customFormat="1" ht="19.2" x14ac:dyDescent="0.45">
      <c r="A9" s="67" t="s">
        <v>123</v>
      </c>
      <c r="B9" s="68"/>
      <c r="C9" s="69"/>
      <c r="D9" s="69"/>
    </row>
    <row r="10" spans="1:7" s="4" customFormat="1" ht="19.2" x14ac:dyDescent="0.45">
      <c r="A10" s="67" t="s">
        <v>124</v>
      </c>
      <c r="B10" s="68"/>
      <c r="C10" s="69"/>
      <c r="D10" s="69"/>
    </row>
    <row r="11" spans="1:7" s="4" customFormat="1" ht="19.2" x14ac:dyDescent="0.45">
      <c r="A11" s="67" t="s">
        <v>125</v>
      </c>
      <c r="B11" s="68"/>
      <c r="C11" s="70"/>
      <c r="D11" s="69"/>
    </row>
    <row r="12" spans="1:7" s="4" customFormat="1" ht="15" customHeight="1" x14ac:dyDescent="0.45">
      <c r="A12" s="67" t="s">
        <v>38</v>
      </c>
      <c r="B12" s="68"/>
      <c r="C12" s="70"/>
      <c r="D12" s="69"/>
    </row>
    <row r="13" spans="1:7" s="4" customFormat="1" ht="15" customHeight="1" x14ac:dyDescent="0.45">
      <c r="B13" s="72"/>
      <c r="C13" s="73"/>
      <c r="D13" s="74"/>
    </row>
    <row r="14" spans="1:7" s="4" customFormat="1" ht="15" customHeight="1" x14ac:dyDescent="0.45">
      <c r="A14" s="71" t="s">
        <v>39</v>
      </c>
      <c r="B14" s="72"/>
      <c r="C14" s="73"/>
      <c r="D14" s="74"/>
      <c r="E14" s="10"/>
      <c r="F14" s="10"/>
      <c r="G14" s="10"/>
    </row>
    <row r="15" spans="1:7" s="10" customFormat="1" ht="19.2" x14ac:dyDescent="0.25">
      <c r="A15" s="758" t="s">
        <v>40</v>
      </c>
      <c r="B15" s="759"/>
      <c r="C15" s="760"/>
      <c r="D15" s="761"/>
      <c r="E15" s="1"/>
      <c r="F15" s="1"/>
      <c r="G15" s="1"/>
    </row>
    <row r="16" spans="1:7" x14ac:dyDescent="0.25">
      <c r="A16" s="197"/>
      <c r="B16" s="198"/>
      <c r="C16" s="199"/>
      <c r="D16" s="199"/>
      <c r="E16" s="17"/>
      <c r="F16" s="23"/>
      <c r="G16" s="23"/>
    </row>
    <row r="17" spans="1:7" s="23" customFormat="1" ht="93" customHeight="1" x14ac:dyDescent="0.25">
      <c r="A17" s="200">
        <v>1</v>
      </c>
      <c r="B17" s="303" t="s">
        <v>126</v>
      </c>
      <c r="C17" s="201">
        <f>((2245*19)*1.3)+4000</f>
        <v>59451.5</v>
      </c>
      <c r="D17" s="202">
        <f t="shared" ref="D17" si="0">A17*C17</f>
        <v>59451.5</v>
      </c>
      <c r="E17" s="17"/>
      <c r="F17" s="1"/>
      <c r="G17" s="1"/>
    </row>
    <row r="18" spans="1:7" s="23" customFormat="1" ht="25.5" customHeight="1" x14ac:dyDescent="0.25">
      <c r="A18" s="200">
        <v>2</v>
      </c>
      <c r="B18" s="203" t="s">
        <v>127</v>
      </c>
      <c r="C18" s="201">
        <f>2352+500</f>
        <v>2852</v>
      </c>
      <c r="D18" s="202">
        <f>A18*C18</f>
        <v>5704</v>
      </c>
      <c r="E18" s="17"/>
      <c r="F18" s="1"/>
      <c r="G18" s="1"/>
    </row>
    <row r="19" spans="1:7" x14ac:dyDescent="0.25">
      <c r="A19" s="204"/>
      <c r="B19" s="205"/>
      <c r="C19" s="206"/>
      <c r="D19" s="207"/>
      <c r="E19" s="13"/>
    </row>
    <row r="20" spans="1:7" x14ac:dyDescent="0.25">
      <c r="A20" s="208"/>
      <c r="B20" s="208"/>
      <c r="C20" s="209" t="s">
        <v>49</v>
      </c>
      <c r="D20" s="210">
        <f>SUM(D16:D19)</f>
        <v>65155.5</v>
      </c>
      <c r="E20" s="13"/>
    </row>
    <row r="21" spans="1:7" x14ac:dyDescent="0.25">
      <c r="A21" s="208"/>
      <c r="B21" s="208"/>
      <c r="C21" s="209" t="s">
        <v>128</v>
      </c>
      <c r="D21" s="210">
        <f>D20*0.16</f>
        <v>10424.880000000001</v>
      </c>
      <c r="E21" s="13"/>
    </row>
    <row r="22" spans="1:7" ht="13.8" thickBot="1" x14ac:dyDescent="0.3">
      <c r="A22" s="208"/>
      <c r="B22" s="208"/>
      <c r="C22" s="211" t="s">
        <v>77</v>
      </c>
      <c r="D22" s="207">
        <f>SUM(D20:D21)</f>
        <v>75580.38</v>
      </c>
      <c r="E22" s="13"/>
    </row>
    <row r="23" spans="1:7" ht="13.8" thickBot="1" x14ac:dyDescent="0.3">
      <c r="A23" s="34"/>
      <c r="B23" s="762" t="s">
        <v>129</v>
      </c>
      <c r="C23" s="763"/>
      <c r="D23" s="764"/>
    </row>
    <row r="24" spans="1:7" x14ac:dyDescent="0.25">
      <c r="A24" s="34"/>
      <c r="B24" s="117"/>
      <c r="C24" s="163"/>
      <c r="D24" s="164"/>
    </row>
    <row r="25" spans="1:7" ht="13.8" x14ac:dyDescent="0.25">
      <c r="A25" s="34"/>
      <c r="B25" s="126" t="s">
        <v>15</v>
      </c>
      <c r="C25" s="165"/>
      <c r="D25" s="56"/>
    </row>
    <row r="26" spans="1:7" ht="35.25" customHeight="1" x14ac:dyDescent="0.25">
      <c r="A26" s="34"/>
      <c r="B26" s="212" t="s">
        <v>130</v>
      </c>
      <c r="C26" s="165"/>
      <c r="D26" s="56"/>
    </row>
    <row r="27" spans="1:7" ht="17.25" customHeight="1" x14ac:dyDescent="0.25">
      <c r="A27" s="62"/>
      <c r="B27" s="126" t="s">
        <v>17</v>
      </c>
      <c r="D27" s="56"/>
    </row>
    <row r="28" spans="1:7" ht="15" x14ac:dyDescent="0.25">
      <c r="A28" s="62"/>
      <c r="B28" s="213" t="s">
        <v>19</v>
      </c>
      <c r="D28" s="56"/>
    </row>
    <row r="29" spans="1:7" ht="15" x14ac:dyDescent="0.25">
      <c r="A29" s="62"/>
      <c r="B29" s="213" t="s">
        <v>60</v>
      </c>
      <c r="D29" s="56"/>
    </row>
    <row r="30" spans="1:7" ht="13.8" x14ac:dyDescent="0.25">
      <c r="B30" s="135" t="s">
        <v>23</v>
      </c>
    </row>
    <row r="31" spans="1:7" ht="15" x14ac:dyDescent="0.25">
      <c r="A31" s="62"/>
      <c r="B31" s="214" t="s">
        <v>131</v>
      </c>
      <c r="E31" s="13"/>
    </row>
    <row r="32" spans="1:7" ht="27.6" x14ac:dyDescent="0.25">
      <c r="A32" s="62"/>
      <c r="B32" s="214" t="s">
        <v>62</v>
      </c>
      <c r="C32" s="54"/>
      <c r="D32" s="58"/>
      <c r="E32" s="13"/>
    </row>
    <row r="33" spans="1:4" ht="15" x14ac:dyDescent="0.25">
      <c r="A33" s="62"/>
      <c r="B33" s="135" t="s">
        <v>26</v>
      </c>
      <c r="C33" s="54"/>
      <c r="D33" s="58"/>
    </row>
    <row r="34" spans="1:4" ht="27.6" x14ac:dyDescent="0.25">
      <c r="A34" s="62"/>
      <c r="B34" s="215" t="s">
        <v>132</v>
      </c>
      <c r="C34" s="54"/>
      <c r="D34" s="54"/>
    </row>
    <row r="35" spans="1:4" ht="15" x14ac:dyDescent="0.25">
      <c r="A35" s="62"/>
      <c r="B35" s="215" t="s">
        <v>28</v>
      </c>
      <c r="C35" s="54"/>
      <c r="D35" s="54"/>
    </row>
    <row r="36" spans="1:4" ht="13.8" x14ac:dyDescent="0.25">
      <c r="B36" s="135" t="s">
        <v>29</v>
      </c>
      <c r="D36" s="56"/>
    </row>
    <row r="37" spans="1:4" ht="15" x14ac:dyDescent="0.25">
      <c r="A37" s="62"/>
      <c r="B37" s="216" t="s">
        <v>133</v>
      </c>
      <c r="C37" s="54"/>
      <c r="D37" s="58"/>
    </row>
    <row r="38" spans="1:4" ht="15" x14ac:dyDescent="0.25">
      <c r="A38" s="62"/>
      <c r="B38" s="63" t="s">
        <v>31</v>
      </c>
      <c r="C38" s="54"/>
      <c r="D38" s="58"/>
    </row>
    <row r="39" spans="1:4" ht="13.8" x14ac:dyDescent="0.25">
      <c r="A39" s="139" t="s">
        <v>0</v>
      </c>
      <c r="B39" s="63" t="s">
        <v>32</v>
      </c>
      <c r="C39" s="54"/>
    </row>
    <row r="40" spans="1:4" ht="50.4" x14ac:dyDescent="0.4">
      <c r="A40" s="142"/>
      <c r="B40" s="217" t="s">
        <v>65</v>
      </c>
      <c r="C40" s="141"/>
      <c r="D40" s="1"/>
    </row>
    <row r="41" spans="1:4" x14ac:dyDescent="0.25">
      <c r="A41" s="142"/>
      <c r="B41" s="64"/>
      <c r="C41" s="64"/>
      <c r="D41" s="1"/>
    </row>
    <row r="42" spans="1:4" x14ac:dyDescent="0.25">
      <c r="A42" s="142"/>
      <c r="B42" s="64"/>
      <c r="C42" s="64"/>
      <c r="D42" s="1"/>
    </row>
    <row r="43" spans="1:4" x14ac:dyDescent="0.25">
      <c r="A43" s="144"/>
      <c r="B43" s="143"/>
      <c r="C43" s="64"/>
      <c r="D43" s="1"/>
    </row>
    <row r="44" spans="1:4" ht="15" x14ac:dyDescent="0.35">
      <c r="A44" s="146" t="s">
        <v>0</v>
      </c>
      <c r="B44" s="145"/>
      <c r="C44" s="64"/>
      <c r="D44" s="64"/>
    </row>
    <row r="45" spans="1:4" x14ac:dyDescent="0.25">
      <c r="A45" s="1" t="s">
        <v>0</v>
      </c>
    </row>
    <row r="47" spans="1:4" ht="12.75" customHeight="1" x14ac:dyDescent="0.25"/>
    <row r="51" ht="16.5" customHeight="1" x14ac:dyDescent="0.25"/>
    <row r="55" ht="15.75" customHeight="1" x14ac:dyDescent="0.25"/>
    <row r="56" ht="15" customHeight="1" x14ac:dyDescent="0.25"/>
  </sheetData>
  <mergeCells count="3">
    <mergeCell ref="A4:D4"/>
    <mergeCell ref="A15:D15"/>
    <mergeCell ref="B23:D23"/>
  </mergeCells>
  <printOptions horizontalCentered="1"/>
  <pageMargins left="0" right="0" top="0" bottom="0" header="0" footer="0"/>
  <pageSetup paperSize="9" scale="74" orientation="portrait" r:id="rId1"/>
  <headerFooter alignWithMargins="0">
    <oddFooter>Página &amp;P de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265D8-E97B-4950-8853-4F4DFD4C41A6}">
  <sheetPr>
    <tabColor theme="4" tint="-0.249977111117893"/>
    <pageSetUpPr fitToPage="1"/>
  </sheetPr>
  <dimension ref="A1:F69"/>
  <sheetViews>
    <sheetView topLeftCell="A22" zoomScaleNormal="100" workbookViewId="0">
      <selection activeCell="A32" sqref="A32:D41"/>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1</v>
      </c>
      <c r="B7" s="4"/>
      <c r="C7" s="227"/>
      <c r="D7" s="227"/>
    </row>
    <row r="8" spans="1:6" s="224" customFormat="1" ht="16.8" x14ac:dyDescent="0.4">
      <c r="A8" s="5" t="s">
        <v>2</v>
      </c>
      <c r="B8" s="4"/>
      <c r="C8" s="227"/>
      <c r="D8" s="227"/>
    </row>
    <row r="9" spans="1:6" s="224" customFormat="1" ht="16.8" x14ac:dyDescent="0.4">
      <c r="A9" s="5" t="s">
        <v>3</v>
      </c>
      <c r="B9" s="4"/>
      <c r="C9" s="227"/>
      <c r="D9" s="227"/>
    </row>
    <row r="10" spans="1:6" s="224" customFormat="1" ht="16.8" x14ac:dyDescent="0.4">
      <c r="A10" s="5" t="s">
        <v>4</v>
      </c>
      <c r="B10" s="4"/>
      <c r="C10" s="228"/>
      <c r="D10" s="227"/>
    </row>
    <row r="11" spans="1:6" s="224" customFormat="1" ht="16.8" x14ac:dyDescent="0.4">
      <c r="A11" s="8" t="s">
        <v>5</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3.8" x14ac:dyDescent="0.25">
      <c r="A15" s="236">
        <v>1</v>
      </c>
      <c r="B15" s="237" t="s">
        <v>143</v>
      </c>
      <c r="C15" s="238">
        <f>(43676)*(1.35)</f>
        <v>58962.600000000006</v>
      </c>
      <c r="D15" s="239">
        <f t="shared" ref="D15:D41" si="0">A15*C15</f>
        <v>58962.600000000006</v>
      </c>
      <c r="E15" s="234"/>
      <c r="F15" s="222"/>
    </row>
    <row r="16" spans="1:6" x14ac:dyDescent="0.25">
      <c r="A16" s="240"/>
      <c r="B16" s="241" t="s">
        <v>144</v>
      </c>
      <c r="C16" s="238"/>
      <c r="D16" s="239"/>
      <c r="E16" s="233"/>
      <c r="F16" s="242"/>
    </row>
    <row r="17" spans="1:5" s="242" customFormat="1" ht="16.5" customHeight="1" x14ac:dyDescent="0.25">
      <c r="A17" s="240">
        <v>1</v>
      </c>
      <c r="B17" s="241" t="s">
        <v>145</v>
      </c>
      <c r="C17" s="238">
        <f>(87670)*(1.35)</f>
        <v>118354.50000000001</v>
      </c>
      <c r="D17" s="239">
        <f t="shared" si="0"/>
        <v>118354.50000000001</v>
      </c>
      <c r="E17" s="233"/>
    </row>
    <row r="18" spans="1:5" ht="13.5" customHeight="1" x14ac:dyDescent="0.25">
      <c r="A18" s="243">
        <v>2</v>
      </c>
      <c r="B18" s="244" t="s">
        <v>146</v>
      </c>
      <c r="C18" s="238">
        <f>(6304)*(1.35)</f>
        <v>8510.4000000000015</v>
      </c>
      <c r="D18" s="239">
        <f t="shared" si="0"/>
        <v>17020.800000000003</v>
      </c>
      <c r="E18" s="13"/>
    </row>
    <row r="19" spans="1:5" ht="13.5" customHeight="1" x14ac:dyDescent="0.25">
      <c r="A19" s="243">
        <v>1</v>
      </c>
      <c r="B19" s="244" t="s">
        <v>147</v>
      </c>
      <c r="C19" s="238">
        <f>(4050)*(1.35)</f>
        <v>5467.5</v>
      </c>
      <c r="D19" s="239">
        <f t="shared" si="0"/>
        <v>5467.5</v>
      </c>
      <c r="E19" s="13"/>
    </row>
    <row r="20" spans="1:5" ht="13.5" customHeight="1" x14ac:dyDescent="0.25">
      <c r="A20" s="243">
        <v>45</v>
      </c>
      <c r="B20" s="244" t="s">
        <v>148</v>
      </c>
      <c r="C20" s="245">
        <f>2385*1.32</f>
        <v>3148.2000000000003</v>
      </c>
      <c r="D20" s="246">
        <f t="shared" si="0"/>
        <v>141669</v>
      </c>
      <c r="E20" s="233"/>
    </row>
    <row r="21" spans="1:5" ht="13.5" customHeight="1" x14ac:dyDescent="0.25">
      <c r="A21" s="247">
        <v>310</v>
      </c>
      <c r="B21" s="248" t="s">
        <v>149</v>
      </c>
      <c r="C21" s="249">
        <v>884</v>
      </c>
      <c r="D21" s="250">
        <f>A21*C21</f>
        <v>274040</v>
      </c>
      <c r="E21" s="233"/>
    </row>
    <row r="22" spans="1:5" x14ac:dyDescent="0.25">
      <c r="A22" s="243">
        <v>290</v>
      </c>
      <c r="B22" s="244" t="s">
        <v>150</v>
      </c>
      <c r="C22" s="245">
        <v>70</v>
      </c>
      <c r="D22" s="246">
        <f t="shared" si="0"/>
        <v>20300</v>
      </c>
      <c r="E22" s="233"/>
    </row>
    <row r="23" spans="1:5" x14ac:dyDescent="0.25">
      <c r="A23" s="243"/>
      <c r="B23" s="244" t="s">
        <v>151</v>
      </c>
      <c r="C23" s="245"/>
      <c r="D23" s="246"/>
      <c r="E23" s="233"/>
    </row>
    <row r="24" spans="1:5" x14ac:dyDescent="0.25">
      <c r="A24" s="243">
        <v>1</v>
      </c>
      <c r="B24" s="244" t="s">
        <v>152</v>
      </c>
      <c r="C24" s="245">
        <v>4100</v>
      </c>
      <c r="D24" s="246">
        <f t="shared" si="0"/>
        <v>4100</v>
      </c>
      <c r="E24" s="233"/>
    </row>
    <row r="25" spans="1:5" ht="26.4" x14ac:dyDescent="0.25">
      <c r="A25" s="243"/>
      <c r="B25" s="244" t="s">
        <v>153</v>
      </c>
      <c r="C25" s="245"/>
      <c r="D25" s="246"/>
      <c r="E25" s="233"/>
    </row>
    <row r="26" spans="1:5" x14ac:dyDescent="0.25">
      <c r="A26" s="243">
        <v>1</v>
      </c>
      <c r="B26" s="244" t="s">
        <v>154</v>
      </c>
      <c r="C26" s="245">
        <v>2587</v>
      </c>
      <c r="D26" s="246">
        <f t="shared" si="0"/>
        <v>2587</v>
      </c>
      <c r="E26" s="233"/>
    </row>
    <row r="27" spans="1:5" x14ac:dyDescent="0.25">
      <c r="A27" s="243">
        <v>290</v>
      </c>
      <c r="B27" s="244" t="s">
        <v>155</v>
      </c>
      <c r="C27" s="245">
        <v>18.399999999999999</v>
      </c>
      <c r="D27" s="246">
        <f t="shared" si="0"/>
        <v>5336</v>
      </c>
      <c r="E27" s="233"/>
    </row>
    <row r="28" spans="1:5" ht="13.5" customHeight="1" x14ac:dyDescent="0.25">
      <c r="A28" s="243">
        <v>1</v>
      </c>
      <c r="B28" s="244" t="s">
        <v>156</v>
      </c>
      <c r="C28" s="238">
        <f>1807*19*1.3</f>
        <v>44632.9</v>
      </c>
      <c r="D28" s="246">
        <f t="shared" si="0"/>
        <v>44632.9</v>
      </c>
      <c r="E28" s="233"/>
    </row>
    <row r="29" spans="1:5" x14ac:dyDescent="0.25">
      <c r="A29" s="243">
        <v>1</v>
      </c>
      <c r="B29" s="244" t="s">
        <v>157</v>
      </c>
      <c r="C29" s="238">
        <f>(6100)*1.3</f>
        <v>7930</v>
      </c>
      <c r="D29" s="246">
        <f t="shared" si="0"/>
        <v>7930</v>
      </c>
      <c r="E29" s="233"/>
    </row>
    <row r="30" spans="1:5" ht="52.8" x14ac:dyDescent="0.25">
      <c r="A30" s="243">
        <v>1</v>
      </c>
      <c r="B30" s="244" t="s">
        <v>158</v>
      </c>
      <c r="C30" s="238">
        <v>6340</v>
      </c>
      <c r="D30" s="246">
        <f t="shared" si="0"/>
        <v>6340</v>
      </c>
      <c r="E30" s="233"/>
    </row>
    <row r="31" spans="1:5" x14ac:dyDescent="0.25">
      <c r="A31" s="243">
        <v>1</v>
      </c>
      <c r="B31" s="244" t="s">
        <v>159</v>
      </c>
      <c r="C31" s="245">
        <f>4200*1.4</f>
        <v>5880</v>
      </c>
      <c r="D31" s="246">
        <f t="shared" si="0"/>
        <v>5880</v>
      </c>
      <c r="E31" s="233"/>
    </row>
    <row r="32" spans="1:5" x14ac:dyDescent="0.25">
      <c r="A32" s="243">
        <v>2</v>
      </c>
      <c r="B32" s="244" t="s">
        <v>160</v>
      </c>
      <c r="C32" s="245">
        <f>2300*1.4</f>
        <v>3220</v>
      </c>
      <c r="D32" s="246">
        <f t="shared" si="0"/>
        <v>6440</v>
      </c>
      <c r="E32" s="233"/>
    </row>
    <row r="33" spans="1:5" x14ac:dyDescent="0.25">
      <c r="A33" s="243">
        <v>1</v>
      </c>
      <c r="B33" s="244" t="s">
        <v>161</v>
      </c>
      <c r="C33" s="245">
        <v>1543</v>
      </c>
      <c r="D33" s="246">
        <f t="shared" si="0"/>
        <v>1543</v>
      </c>
      <c r="E33" s="233"/>
    </row>
    <row r="34" spans="1:5" x14ac:dyDescent="0.25">
      <c r="A34" s="243">
        <v>1</v>
      </c>
      <c r="B34" s="244" t="s">
        <v>162</v>
      </c>
      <c r="C34" s="245">
        <f>4500*1.3</f>
        <v>5850</v>
      </c>
      <c r="D34" s="246">
        <f t="shared" si="0"/>
        <v>5850</v>
      </c>
      <c r="E34" s="233"/>
    </row>
    <row r="35" spans="1:5" x14ac:dyDescent="0.25">
      <c r="A35" s="243">
        <v>1</v>
      </c>
      <c r="B35" s="244" t="s">
        <v>163</v>
      </c>
      <c r="C35" s="245">
        <f>2900*1.3</f>
        <v>3770</v>
      </c>
      <c r="D35" s="246">
        <f t="shared" si="0"/>
        <v>3770</v>
      </c>
      <c r="E35" s="233"/>
    </row>
    <row r="36" spans="1:5" x14ac:dyDescent="0.25">
      <c r="A36" s="243">
        <v>1</v>
      </c>
      <c r="B36" s="244" t="s">
        <v>164</v>
      </c>
      <c r="C36" s="245">
        <f>2467*1.3</f>
        <v>3207.1</v>
      </c>
      <c r="D36" s="246">
        <f t="shared" si="0"/>
        <v>3207.1</v>
      </c>
      <c r="E36" s="233"/>
    </row>
    <row r="37" spans="1:5" x14ac:dyDescent="0.25">
      <c r="A37" s="243">
        <v>1</v>
      </c>
      <c r="B37" s="244" t="s">
        <v>165</v>
      </c>
      <c r="C37" s="245">
        <f>2267*1.3</f>
        <v>2947.1</v>
      </c>
      <c r="D37" s="246">
        <f t="shared" si="0"/>
        <v>2947.1</v>
      </c>
      <c r="E37" s="233"/>
    </row>
    <row r="38" spans="1:5" x14ac:dyDescent="0.25">
      <c r="A38" s="243">
        <v>8</v>
      </c>
      <c r="B38" s="244" t="s">
        <v>166</v>
      </c>
      <c r="C38" s="245">
        <f>22*1.4</f>
        <v>30.799999999999997</v>
      </c>
      <c r="D38" s="246">
        <f t="shared" si="0"/>
        <v>246.39999999999998</v>
      </c>
      <c r="E38" s="233"/>
    </row>
    <row r="39" spans="1:5" x14ac:dyDescent="0.25">
      <c r="A39" s="243">
        <v>1</v>
      </c>
      <c r="B39" s="244" t="s">
        <v>167</v>
      </c>
      <c r="C39" s="245">
        <f>19*1.39</f>
        <v>26.409999999999997</v>
      </c>
      <c r="D39" s="246">
        <f t="shared" si="0"/>
        <v>26.409999999999997</v>
      </c>
      <c r="E39" s="233"/>
    </row>
    <row r="40" spans="1:5" x14ac:dyDescent="0.25">
      <c r="A40" s="243">
        <v>56</v>
      </c>
      <c r="B40" s="244" t="s">
        <v>168</v>
      </c>
      <c r="C40" s="245">
        <v>28</v>
      </c>
      <c r="D40" s="246">
        <f t="shared" si="0"/>
        <v>1568</v>
      </c>
      <c r="E40" s="233"/>
    </row>
    <row r="41" spans="1:5" x14ac:dyDescent="0.25">
      <c r="A41" s="243">
        <v>6</v>
      </c>
      <c r="B41" s="244" t="s">
        <v>169</v>
      </c>
      <c r="C41" s="245">
        <v>14</v>
      </c>
      <c r="D41" s="246">
        <f t="shared" si="0"/>
        <v>84</v>
      </c>
      <c r="E41" s="233"/>
    </row>
    <row r="42" spans="1:5" x14ac:dyDescent="0.25">
      <c r="A42" s="243"/>
      <c r="B42" s="243"/>
      <c r="C42" s="243"/>
      <c r="D42" s="246"/>
      <c r="E42" s="233"/>
    </row>
    <row r="43" spans="1:5" x14ac:dyDescent="0.25">
      <c r="A43" s="251"/>
      <c r="B43" s="252"/>
      <c r="C43" s="253" t="s">
        <v>170</v>
      </c>
      <c r="D43" s="254">
        <f>SUM(D15:D42)</f>
        <v>738302.31</v>
      </c>
      <c r="E43" s="233"/>
    </row>
    <row r="44" spans="1:5" x14ac:dyDescent="0.25">
      <c r="A44" s="38"/>
      <c r="B44" s="38"/>
      <c r="C44" s="253" t="s">
        <v>13</v>
      </c>
      <c r="D44" s="254">
        <f>D43*0.16</f>
        <v>118128.36960000001</v>
      </c>
      <c r="E44" s="255"/>
    </row>
    <row r="45" spans="1:5" ht="13.8" thickBot="1" x14ac:dyDescent="0.3">
      <c r="A45" s="38"/>
      <c r="B45" s="256"/>
      <c r="C45" s="257" t="s">
        <v>14</v>
      </c>
      <c r="D45" s="258">
        <f>D43+D44</f>
        <v>856430.67960000003</v>
      </c>
    </row>
    <row r="46" spans="1:5" ht="13.8" thickBot="1" x14ac:dyDescent="0.3">
      <c r="A46" s="38"/>
      <c r="B46" s="766" t="s">
        <v>171</v>
      </c>
      <c r="C46" s="767"/>
      <c r="D46" s="768"/>
    </row>
    <row r="47" spans="1:5" ht="13.8" x14ac:dyDescent="0.25">
      <c r="A47" s="38"/>
      <c r="B47" s="39" t="s">
        <v>15</v>
      </c>
      <c r="C47" s="40"/>
      <c r="D47" s="259"/>
    </row>
    <row r="48" spans="1:5" ht="17.399999999999999" x14ac:dyDescent="0.25">
      <c r="A48" s="42"/>
      <c r="B48" s="43" t="s">
        <v>16</v>
      </c>
      <c r="C48" s="255"/>
      <c r="D48" s="260"/>
    </row>
    <row r="49" spans="1:4" ht="15" x14ac:dyDescent="0.25">
      <c r="A49" s="46"/>
      <c r="B49" s="52" t="s">
        <v>17</v>
      </c>
      <c r="D49" s="260"/>
    </row>
    <row r="50" spans="1:4" ht="15.75" customHeight="1" x14ac:dyDescent="0.25">
      <c r="A50" s="46"/>
      <c r="B50" s="50" t="s">
        <v>19</v>
      </c>
      <c r="D50" s="260"/>
    </row>
    <row r="51" spans="1:4" ht="15" x14ac:dyDescent="0.25">
      <c r="A51" s="46"/>
      <c r="B51" s="50" t="s">
        <v>21</v>
      </c>
      <c r="D51" s="260"/>
    </row>
    <row r="52" spans="1:4" ht="15" x14ac:dyDescent="0.25">
      <c r="A52" s="46"/>
      <c r="B52" s="261" t="s">
        <v>172</v>
      </c>
      <c r="D52" s="260"/>
    </row>
    <row r="53" spans="1:4" ht="13.8" x14ac:dyDescent="0.25">
      <c r="A53" s="51"/>
      <c r="B53" s="52" t="s">
        <v>23</v>
      </c>
    </row>
    <row r="54" spans="1:4" ht="15" x14ac:dyDescent="0.25">
      <c r="A54" s="46"/>
      <c r="B54" s="55" t="s">
        <v>24</v>
      </c>
    </row>
    <row r="55" spans="1:4" ht="41.4" x14ac:dyDescent="0.25">
      <c r="A55" s="46"/>
      <c r="B55" s="55" t="s">
        <v>25</v>
      </c>
      <c r="C55" s="57"/>
      <c r="D55" s="262"/>
    </row>
    <row r="56" spans="1:4" ht="15" x14ac:dyDescent="0.25">
      <c r="A56" s="46"/>
      <c r="B56" s="52" t="s">
        <v>26</v>
      </c>
      <c r="C56" s="57"/>
      <c r="D56" s="262"/>
    </row>
    <row r="57" spans="1:4" ht="15" x14ac:dyDescent="0.25">
      <c r="A57" s="46"/>
      <c r="B57" s="59" t="s">
        <v>173</v>
      </c>
      <c r="C57" s="57"/>
      <c r="D57" s="57"/>
    </row>
    <row r="58" spans="1:4" ht="15" x14ac:dyDescent="0.25">
      <c r="A58" s="46"/>
      <c r="B58" s="60" t="s">
        <v>28</v>
      </c>
      <c r="C58" s="57"/>
      <c r="D58" s="57"/>
    </row>
    <row r="59" spans="1:4" ht="13.8" x14ac:dyDescent="0.25">
      <c r="A59" s="51"/>
      <c r="B59" s="52" t="s">
        <v>29</v>
      </c>
      <c r="D59" s="260"/>
    </row>
    <row r="60" spans="1:4" ht="15" customHeight="1" x14ac:dyDescent="0.25">
      <c r="A60" s="46"/>
      <c r="B60" s="61" t="s">
        <v>30</v>
      </c>
      <c r="C60" s="57"/>
      <c r="D60" s="262"/>
    </row>
    <row r="61" spans="1:4" ht="15" x14ac:dyDescent="0.25">
      <c r="A61" s="46"/>
      <c r="B61" s="50" t="s">
        <v>31</v>
      </c>
      <c r="C61" s="57"/>
      <c r="D61" s="262"/>
    </row>
    <row r="62" spans="1:4" ht="15" x14ac:dyDescent="0.25">
      <c r="A62" s="62"/>
      <c r="B62" s="63" t="s">
        <v>32</v>
      </c>
      <c r="C62" s="3"/>
      <c r="D62" s="64"/>
    </row>
    <row r="63" spans="1:4" ht="33.6" x14ac:dyDescent="0.25">
      <c r="A63" s="65" t="s">
        <v>0</v>
      </c>
      <c r="B63" s="66" t="s">
        <v>33</v>
      </c>
      <c r="C63" s="57"/>
      <c r="D63" s="57"/>
    </row>
    <row r="64" spans="1:4" ht="16.8" x14ac:dyDescent="0.4">
      <c r="A64" s="263"/>
      <c r="B64" s="264"/>
      <c r="C64" s="265"/>
      <c r="D64" s="265"/>
    </row>
    <row r="65" spans="1:4" x14ac:dyDescent="0.25">
      <c r="A65" s="266"/>
      <c r="B65" s="267"/>
      <c r="C65" s="267"/>
      <c r="D65" s="222"/>
    </row>
    <row r="66" spans="1:4" x14ac:dyDescent="0.25">
      <c r="A66" s="266"/>
      <c r="B66" s="267"/>
      <c r="C66" s="267"/>
      <c r="D66" s="222"/>
    </row>
    <row r="67" spans="1:4" x14ac:dyDescent="0.25">
      <c r="A67" s="268"/>
      <c r="B67" s="269"/>
      <c r="C67" s="267"/>
      <c r="D67" s="222"/>
    </row>
    <row r="68" spans="1:4" ht="15" x14ac:dyDescent="0.35">
      <c r="A68" s="270" t="s">
        <v>0</v>
      </c>
      <c r="B68" s="271"/>
      <c r="C68" s="267"/>
      <c r="D68" s="267"/>
    </row>
    <row r="69" spans="1:4" x14ac:dyDescent="0.25">
      <c r="A69" s="222" t="s">
        <v>0</v>
      </c>
    </row>
  </sheetData>
  <mergeCells count="2">
    <mergeCell ref="A4:D4"/>
    <mergeCell ref="B46:D46"/>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8FBC9-D592-4CBA-B388-2AD4DA3A9023}">
  <sheetPr>
    <tabColor theme="4" tint="-0.249977111117893"/>
    <pageSetUpPr fitToPage="1"/>
  </sheetPr>
  <dimension ref="A1:L58"/>
  <sheetViews>
    <sheetView topLeftCell="A9" zoomScale="85" zoomScaleNormal="85" workbookViewId="0">
      <selection activeCell="B26" sqref="B26:B28"/>
    </sheetView>
  </sheetViews>
  <sheetFormatPr baseColWidth="10" defaultColWidth="11.44140625" defaultRowHeight="13.2" x14ac:dyDescent="0.25"/>
  <cols>
    <col min="1" max="1" width="6" style="1" customWidth="1"/>
    <col min="2" max="2" width="92.1093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122</v>
      </c>
      <c r="B8" s="68"/>
      <c r="C8" s="69"/>
      <c r="D8" s="69"/>
    </row>
    <row r="9" spans="1:7" s="4" customFormat="1" ht="19.2" x14ac:dyDescent="0.45">
      <c r="A9" s="67" t="s">
        <v>123</v>
      </c>
      <c r="B9" s="68"/>
      <c r="C9" s="69"/>
      <c r="D9" s="69"/>
    </row>
    <row r="10" spans="1:7" s="4" customFormat="1" ht="19.2" x14ac:dyDescent="0.45">
      <c r="A10" s="67" t="s">
        <v>124</v>
      </c>
      <c r="B10" s="68"/>
      <c r="C10" s="69"/>
      <c r="D10" s="69"/>
    </row>
    <row r="11" spans="1:7" s="4" customFormat="1" ht="19.2" x14ac:dyDescent="0.45">
      <c r="A11" s="67" t="s">
        <v>134</v>
      </c>
      <c r="B11" s="68"/>
      <c r="C11" s="70"/>
      <c r="D11" s="69"/>
    </row>
    <row r="12" spans="1:7" s="4" customFormat="1" ht="15" customHeight="1" x14ac:dyDescent="0.45">
      <c r="A12" s="67" t="s">
        <v>38</v>
      </c>
      <c r="B12" s="68"/>
      <c r="C12" s="70"/>
      <c r="D12" s="69"/>
    </row>
    <row r="13" spans="1:7" s="4" customFormat="1" ht="15" customHeight="1" x14ac:dyDescent="0.45">
      <c r="B13" s="72"/>
      <c r="C13" s="73"/>
      <c r="D13" s="74"/>
    </row>
    <row r="14" spans="1:7" s="4" customFormat="1" ht="15" customHeight="1" x14ac:dyDescent="0.45">
      <c r="A14" s="71" t="s">
        <v>114</v>
      </c>
      <c r="B14" s="72"/>
      <c r="C14" s="73"/>
      <c r="D14" s="74"/>
      <c r="E14" s="10"/>
      <c r="F14" s="10"/>
      <c r="G14" s="10"/>
    </row>
    <row r="15" spans="1:7" s="10" customFormat="1" ht="19.2" x14ac:dyDescent="0.25">
      <c r="A15" s="758" t="s">
        <v>40</v>
      </c>
      <c r="B15" s="759"/>
      <c r="C15" s="760"/>
      <c r="D15" s="761"/>
      <c r="E15" s="1"/>
      <c r="F15" s="1"/>
      <c r="G15" s="1"/>
    </row>
    <row r="16" spans="1:7" x14ac:dyDescent="0.25">
      <c r="A16" s="197"/>
      <c r="B16" s="198"/>
      <c r="C16" s="199"/>
      <c r="D16" s="199"/>
      <c r="E16" s="17"/>
      <c r="F16" s="23"/>
      <c r="G16" s="23"/>
    </row>
    <row r="17" spans="1:12" s="23" customFormat="1" ht="34.5" customHeight="1" x14ac:dyDescent="0.25">
      <c r="A17" s="200">
        <v>1</v>
      </c>
      <c r="B17" s="203" t="s">
        <v>135</v>
      </c>
      <c r="C17" s="218">
        <v>22000</v>
      </c>
      <c r="D17" s="219">
        <f t="shared" ref="D17" si="0">A17*C17</f>
        <v>22000</v>
      </c>
      <c r="E17" s="17"/>
      <c r="F17" s="1"/>
      <c r="G17" s="1"/>
      <c r="L17" s="220"/>
    </row>
    <row r="18" spans="1:12" s="23" customFormat="1" ht="31.5" customHeight="1" x14ac:dyDescent="0.25">
      <c r="A18" s="200">
        <v>1</v>
      </c>
      <c r="B18" s="203" t="s">
        <v>136</v>
      </c>
      <c r="C18" s="201">
        <v>3500</v>
      </c>
      <c r="D18" s="202">
        <f>A18*C18</f>
        <v>3500</v>
      </c>
      <c r="E18" s="17"/>
      <c r="F18" s="1"/>
      <c r="G18" s="1"/>
    </row>
    <row r="19" spans="1:12" s="23" customFormat="1" ht="31.5" customHeight="1" x14ac:dyDescent="0.25">
      <c r="A19" s="200">
        <v>1</v>
      </c>
      <c r="B19" s="203" t="s">
        <v>137</v>
      </c>
      <c r="C19" s="201">
        <v>16000</v>
      </c>
      <c r="D19" s="202">
        <f>A19*C19</f>
        <v>16000</v>
      </c>
      <c r="E19" s="17"/>
      <c r="F19" s="1"/>
      <c r="G19" s="1"/>
    </row>
    <row r="20" spans="1:12" s="23" customFormat="1" ht="31.5" customHeight="1" x14ac:dyDescent="0.25">
      <c r="A20" s="200">
        <v>1</v>
      </c>
      <c r="B20" s="203" t="s">
        <v>138</v>
      </c>
      <c r="C20" s="201">
        <v>7500</v>
      </c>
      <c r="D20" s="202">
        <f>A20*C20</f>
        <v>7500</v>
      </c>
      <c r="E20" s="17"/>
      <c r="F20" s="1"/>
      <c r="G20" s="1"/>
    </row>
    <row r="21" spans="1:12" x14ac:dyDescent="0.25">
      <c r="A21" s="204"/>
      <c r="B21" s="205"/>
      <c r="C21" s="206"/>
      <c r="D21" s="207"/>
      <c r="E21" s="13"/>
    </row>
    <row r="22" spans="1:12" x14ac:dyDescent="0.25">
      <c r="A22" s="208"/>
      <c r="B22" s="208"/>
      <c r="C22" s="221" t="s">
        <v>49</v>
      </c>
      <c r="D22" s="207">
        <f>SUM(D16:D21)</f>
        <v>49000</v>
      </c>
      <c r="E22" s="13"/>
    </row>
    <row r="23" spans="1:12" ht="13.8" thickBot="1" x14ac:dyDescent="0.3">
      <c r="A23" s="34"/>
      <c r="B23" s="769"/>
      <c r="C23" s="770"/>
      <c r="D23" s="771"/>
    </row>
    <row r="24" spans="1:12" x14ac:dyDescent="0.25">
      <c r="A24" s="34"/>
      <c r="B24" s="117"/>
      <c r="C24" s="163"/>
      <c r="D24" s="164"/>
    </row>
    <row r="25" spans="1:12" ht="13.8" x14ac:dyDescent="0.25">
      <c r="A25" s="34"/>
      <c r="B25" s="126" t="s">
        <v>15</v>
      </c>
      <c r="C25" s="165"/>
      <c r="D25" s="56"/>
    </row>
    <row r="26" spans="1:12" ht="17.399999999999999" x14ac:dyDescent="0.25">
      <c r="A26" s="34"/>
      <c r="B26" s="273" t="s">
        <v>130</v>
      </c>
      <c r="C26" s="165"/>
      <c r="D26" s="56"/>
    </row>
    <row r="27" spans="1:12" ht="17.399999999999999" x14ac:dyDescent="0.25">
      <c r="A27" s="34"/>
      <c r="B27" s="274" t="s">
        <v>139</v>
      </c>
      <c r="C27" s="165"/>
      <c r="D27" s="56"/>
    </row>
    <row r="28" spans="1:12" ht="17.399999999999999" x14ac:dyDescent="0.25">
      <c r="A28" s="34"/>
      <c r="B28" s="275" t="s">
        <v>140</v>
      </c>
      <c r="C28" s="165"/>
      <c r="D28" s="56"/>
    </row>
    <row r="29" spans="1:12" ht="17.25" customHeight="1" x14ac:dyDescent="0.25">
      <c r="A29" s="62"/>
      <c r="B29" s="126" t="s">
        <v>17</v>
      </c>
      <c r="D29" s="56"/>
    </row>
    <row r="30" spans="1:12" ht="15" x14ac:dyDescent="0.25">
      <c r="A30" s="62"/>
      <c r="B30" s="213" t="s">
        <v>19</v>
      </c>
      <c r="D30" s="56"/>
    </row>
    <row r="31" spans="1:12" ht="15" x14ac:dyDescent="0.25">
      <c r="A31" s="62"/>
      <c r="B31" s="213" t="s">
        <v>60</v>
      </c>
      <c r="D31" s="56"/>
    </row>
    <row r="32" spans="1:12" ht="13.8" x14ac:dyDescent="0.25">
      <c r="B32" s="135" t="s">
        <v>23</v>
      </c>
    </row>
    <row r="33" spans="1:5" ht="15" x14ac:dyDescent="0.25">
      <c r="A33" s="62"/>
      <c r="B33" s="214" t="s">
        <v>141</v>
      </c>
      <c r="E33" s="13"/>
    </row>
    <row r="34" spans="1:5" ht="27.6" x14ac:dyDescent="0.25">
      <c r="A34" s="62"/>
      <c r="B34" s="214" t="s">
        <v>62</v>
      </c>
      <c r="C34" s="54"/>
      <c r="D34" s="58"/>
      <c r="E34" s="13"/>
    </row>
    <row r="35" spans="1:5" ht="15" x14ac:dyDescent="0.25">
      <c r="A35" s="62"/>
      <c r="B35" s="135" t="s">
        <v>26</v>
      </c>
      <c r="C35" s="54"/>
      <c r="D35" s="58"/>
    </row>
    <row r="36" spans="1:5" ht="27.6" x14ac:dyDescent="0.25">
      <c r="A36" s="62"/>
      <c r="B36" s="215" t="s">
        <v>142</v>
      </c>
      <c r="C36" s="54"/>
      <c r="D36" s="54"/>
    </row>
    <row r="37" spans="1:5" ht="15" x14ac:dyDescent="0.25">
      <c r="A37" s="62"/>
      <c r="B37" s="215" t="s">
        <v>28</v>
      </c>
      <c r="C37" s="54"/>
      <c r="D37" s="54"/>
    </row>
    <row r="38" spans="1:5" ht="13.8" x14ac:dyDescent="0.25">
      <c r="B38" s="135" t="s">
        <v>29</v>
      </c>
      <c r="D38" s="56"/>
    </row>
    <row r="39" spans="1:5" ht="15" x14ac:dyDescent="0.25">
      <c r="A39" s="62"/>
      <c r="B39" s="216" t="s">
        <v>133</v>
      </c>
      <c r="C39" s="54"/>
      <c r="D39" s="58"/>
    </row>
    <row r="40" spans="1:5" ht="15" x14ac:dyDescent="0.25">
      <c r="A40" s="62"/>
      <c r="B40" s="63" t="s">
        <v>31</v>
      </c>
      <c r="C40" s="54"/>
      <c r="D40" s="58"/>
    </row>
    <row r="41" spans="1:5" ht="13.8" x14ac:dyDescent="0.25">
      <c r="A41" s="139" t="s">
        <v>0</v>
      </c>
      <c r="B41" s="63" t="s">
        <v>32</v>
      </c>
      <c r="C41" s="54"/>
    </row>
    <row r="42" spans="1:5" ht="50.4" x14ac:dyDescent="0.4">
      <c r="A42" s="142"/>
      <c r="B42" s="217" t="s">
        <v>65</v>
      </c>
      <c r="C42" s="141"/>
      <c r="D42" s="1"/>
    </row>
    <row r="43" spans="1:5" x14ac:dyDescent="0.25">
      <c r="A43" s="142"/>
      <c r="B43" s="64"/>
      <c r="C43" s="64"/>
      <c r="D43" s="1"/>
    </row>
    <row r="44" spans="1:5" x14ac:dyDescent="0.25">
      <c r="A44" s="142"/>
      <c r="B44" s="64"/>
      <c r="C44" s="64"/>
      <c r="D44" s="1"/>
    </row>
    <row r="45" spans="1:5" x14ac:dyDescent="0.25">
      <c r="A45" s="144"/>
      <c r="B45" s="143"/>
      <c r="C45" s="64"/>
      <c r="D45" s="1"/>
    </row>
    <row r="46" spans="1:5" ht="15" x14ac:dyDescent="0.35">
      <c r="A46" s="146" t="s">
        <v>0</v>
      </c>
      <c r="B46" s="145"/>
      <c r="C46" s="64"/>
      <c r="D46" s="64"/>
    </row>
    <row r="47" spans="1:5" x14ac:dyDescent="0.25">
      <c r="A47" s="1" t="s">
        <v>0</v>
      </c>
    </row>
    <row r="49" ht="12.75" customHeight="1" x14ac:dyDescent="0.25"/>
    <row r="53" ht="16.5" customHeight="1" x14ac:dyDescent="0.25"/>
    <row r="57" ht="15.75" customHeight="1" x14ac:dyDescent="0.25"/>
    <row r="58" ht="15" customHeight="1" x14ac:dyDescent="0.25"/>
  </sheetData>
  <mergeCells count="3">
    <mergeCell ref="A4:D4"/>
    <mergeCell ref="A15:D15"/>
    <mergeCell ref="B23:D23"/>
  </mergeCells>
  <printOptions horizontalCentered="1"/>
  <pageMargins left="0" right="0" top="0" bottom="0" header="0" footer="0"/>
  <pageSetup paperSize="9" scale="70" orientation="portrait" r:id="rId1"/>
  <headerFooter alignWithMargins="0">
    <oddFooter>Página &amp;P de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517B-4FC3-417A-9994-5D23204961D6}">
  <sheetPr>
    <tabColor theme="4" tint="-0.249977111117893"/>
    <pageSetUpPr fitToPage="1"/>
  </sheetPr>
  <dimension ref="A1:M59"/>
  <sheetViews>
    <sheetView topLeftCell="A17" zoomScale="85" zoomScaleNormal="85" workbookViewId="0">
      <selection activeCell="B31" sqref="B31"/>
    </sheetView>
  </sheetViews>
  <sheetFormatPr baseColWidth="10" defaultColWidth="11.44140625" defaultRowHeight="13.2" x14ac:dyDescent="0.25"/>
  <cols>
    <col min="1" max="1" width="6" style="1" customWidth="1"/>
    <col min="2" max="2" width="96.886718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180</v>
      </c>
      <c r="B8" s="68"/>
      <c r="C8" s="69"/>
      <c r="D8" s="69"/>
    </row>
    <row r="9" spans="1:7" s="4" customFormat="1" ht="19.2" x14ac:dyDescent="0.45">
      <c r="A9" s="67" t="s">
        <v>181</v>
      </c>
      <c r="B9" s="68"/>
      <c r="C9" s="69"/>
      <c r="D9" s="69"/>
    </row>
    <row r="10" spans="1:7" s="4" customFormat="1" ht="19.2" x14ac:dyDescent="0.45">
      <c r="A10" s="67" t="s">
        <v>182</v>
      </c>
      <c r="B10" s="68"/>
      <c r="C10" s="69"/>
      <c r="D10" s="69"/>
    </row>
    <row r="11" spans="1:7" s="4" customFormat="1" ht="19.2" x14ac:dyDescent="0.45">
      <c r="A11" s="67" t="s">
        <v>183</v>
      </c>
      <c r="B11" s="68"/>
      <c r="C11" s="70"/>
      <c r="D11" s="69"/>
    </row>
    <row r="12" spans="1:7" s="4" customFormat="1" ht="15" customHeight="1" x14ac:dyDescent="0.45">
      <c r="A12" s="67" t="s">
        <v>38</v>
      </c>
      <c r="B12" s="68"/>
      <c r="C12" s="70"/>
      <c r="D12" s="69"/>
    </row>
    <row r="13" spans="1:7" s="4" customFormat="1" ht="15" customHeight="1" x14ac:dyDescent="0.45">
      <c r="B13" s="72"/>
      <c r="C13" s="73"/>
      <c r="D13" s="74"/>
    </row>
    <row r="14" spans="1:7" s="4" customFormat="1" ht="15" customHeight="1" x14ac:dyDescent="0.45">
      <c r="A14" s="71" t="s">
        <v>184</v>
      </c>
      <c r="B14" s="72"/>
      <c r="C14" s="73"/>
      <c r="D14" s="74"/>
      <c r="E14" s="10"/>
      <c r="F14" s="10"/>
      <c r="G14" s="10"/>
    </row>
    <row r="15" spans="1:7" s="10" customFormat="1" ht="19.2" x14ac:dyDescent="0.25">
      <c r="A15" s="744" t="s">
        <v>40</v>
      </c>
      <c r="B15" s="745"/>
      <c r="C15" s="746"/>
      <c r="D15" s="747"/>
      <c r="E15" s="1"/>
      <c r="F15" s="1"/>
      <c r="G15" s="1"/>
    </row>
    <row r="16" spans="1:7" x14ac:dyDescent="0.25">
      <c r="A16" s="14"/>
      <c r="B16" s="15"/>
      <c r="C16" s="16"/>
      <c r="D16" s="16"/>
      <c r="E16" s="17"/>
      <c r="F16" s="23"/>
      <c r="G16" s="23"/>
    </row>
    <row r="17" spans="1:13" s="23" customFormat="1" ht="24" customHeight="1" x14ac:dyDescent="0.25">
      <c r="A17" s="297">
        <v>3</v>
      </c>
      <c r="B17" s="298" t="s">
        <v>185</v>
      </c>
      <c r="C17" s="168">
        <v>3230</v>
      </c>
      <c r="D17" s="299">
        <f>A17*C17</f>
        <v>9690</v>
      </c>
      <c r="E17" s="17"/>
      <c r="F17" s="1"/>
      <c r="G17" s="1"/>
    </row>
    <row r="18" spans="1:13" s="23" customFormat="1" ht="15.6" x14ac:dyDescent="0.3">
      <c r="A18" s="159"/>
      <c r="B18" s="158"/>
      <c r="C18" s="82"/>
      <c r="D18" s="300"/>
      <c r="E18" s="17"/>
      <c r="F18" s="1"/>
      <c r="G18" s="1"/>
    </row>
    <row r="19" spans="1:13" s="23" customFormat="1" ht="15.6" x14ac:dyDescent="0.3">
      <c r="A19" s="161"/>
      <c r="B19" s="161"/>
      <c r="C19" s="90" t="s">
        <v>49</v>
      </c>
      <c r="D19" s="300">
        <f>SUM(D16:D18)</f>
        <v>9690</v>
      </c>
      <c r="E19" s="17"/>
      <c r="F19" s="1"/>
      <c r="G19" s="1"/>
    </row>
    <row r="20" spans="1:13" s="23" customFormat="1" ht="21.75" customHeight="1" x14ac:dyDescent="0.3">
      <c r="A20" s="161"/>
      <c r="B20" s="161"/>
      <c r="C20" s="90" t="s">
        <v>51</v>
      </c>
      <c r="D20" s="300">
        <f>D19*0.16</f>
        <v>1550.4</v>
      </c>
      <c r="E20" s="17"/>
      <c r="F20" s="1"/>
      <c r="G20" s="1"/>
    </row>
    <row r="21" spans="1:13" ht="15.6" x14ac:dyDescent="0.25">
      <c r="A21" s="92"/>
      <c r="B21" s="92"/>
      <c r="C21" s="90" t="s">
        <v>77</v>
      </c>
      <c r="D21" s="300">
        <f>D19+D20</f>
        <v>11240.4</v>
      </c>
      <c r="E21" s="17"/>
      <c r="H21" s="23"/>
      <c r="I21" s="23"/>
      <c r="J21" s="23"/>
      <c r="K21" s="23"/>
      <c r="L21" s="23"/>
      <c r="M21" s="156"/>
    </row>
    <row r="22" spans="1:13" ht="15.6" x14ac:dyDescent="0.25">
      <c r="A22" s="296"/>
      <c r="B22" s="772"/>
      <c r="C22" s="772"/>
      <c r="D22" s="772"/>
      <c r="E22" s="17"/>
      <c r="H22" s="23"/>
      <c r="I22" s="23"/>
      <c r="J22" s="23"/>
      <c r="K22" s="23"/>
      <c r="L22" s="23"/>
    </row>
    <row r="23" spans="1:13" ht="31.2" x14ac:dyDescent="0.25">
      <c r="A23" s="297">
        <v>1</v>
      </c>
      <c r="B23" s="298" t="s">
        <v>186</v>
      </c>
      <c r="C23" s="168">
        <f>3000*1.3</f>
        <v>3900</v>
      </c>
      <c r="D23" s="299">
        <f>A23*C23</f>
        <v>3900</v>
      </c>
      <c r="E23" s="17"/>
      <c r="H23" s="23"/>
      <c r="I23" s="23"/>
      <c r="J23" s="23"/>
      <c r="K23" s="23"/>
      <c r="L23" s="23"/>
    </row>
    <row r="24" spans="1:13" s="88" customFormat="1" ht="46.8" x14ac:dyDescent="0.25">
      <c r="A24" s="297">
        <v>1</v>
      </c>
      <c r="B24" s="298" t="s">
        <v>187</v>
      </c>
      <c r="C24" s="168">
        <f>4000*1.3</f>
        <v>5200</v>
      </c>
      <c r="D24" s="299">
        <f>A24*C24</f>
        <v>5200</v>
      </c>
      <c r="E24" s="13"/>
      <c r="F24" s="1"/>
      <c r="G24" s="1"/>
      <c r="H24" s="1"/>
      <c r="I24" s="1"/>
      <c r="J24" s="1"/>
      <c r="K24" s="1"/>
      <c r="L24" s="1"/>
      <c r="M24" s="1"/>
    </row>
    <row r="25" spans="1:13" ht="15.6" x14ac:dyDescent="0.25">
      <c r="A25" s="297">
        <v>1</v>
      </c>
      <c r="B25" s="298" t="s">
        <v>188</v>
      </c>
      <c r="C25" s="168">
        <v>9000</v>
      </c>
      <c r="D25" s="299">
        <f t="shared" ref="D25:D27" si="0">A25*C25</f>
        <v>9000</v>
      </c>
      <c r="E25" s="13"/>
      <c r="M25" s="88"/>
    </row>
    <row r="26" spans="1:13" ht="15.6" x14ac:dyDescent="0.25">
      <c r="A26" s="297">
        <v>160</v>
      </c>
      <c r="B26" s="298" t="s">
        <v>189</v>
      </c>
      <c r="C26" s="168">
        <v>18.899999999999999</v>
      </c>
      <c r="D26" s="299">
        <f t="shared" si="0"/>
        <v>3024</v>
      </c>
      <c r="E26" s="13"/>
    </row>
    <row r="27" spans="1:13" ht="15.6" x14ac:dyDescent="0.25">
      <c r="A27" s="297">
        <v>1</v>
      </c>
      <c r="B27" s="298" t="s">
        <v>190</v>
      </c>
      <c r="C27" s="168">
        <v>3280</v>
      </c>
      <c r="D27" s="299">
        <f t="shared" si="0"/>
        <v>3280</v>
      </c>
      <c r="E27" s="175"/>
      <c r="F27" s="88"/>
      <c r="G27" s="88"/>
      <c r="H27" s="88"/>
      <c r="I27" s="88"/>
      <c r="J27" s="88"/>
      <c r="K27" s="88"/>
      <c r="L27" s="88"/>
    </row>
    <row r="28" spans="1:13" ht="24.75" customHeight="1" x14ac:dyDescent="0.25">
      <c r="A28" s="297">
        <v>1</v>
      </c>
      <c r="B28" s="298" t="s">
        <v>191</v>
      </c>
      <c r="C28" s="168">
        <v>2800</v>
      </c>
      <c r="D28" s="299">
        <f>A28*C28</f>
        <v>2800</v>
      </c>
      <c r="E28" s="13"/>
    </row>
    <row r="29" spans="1:13" ht="17.25" customHeight="1" x14ac:dyDescent="0.25">
      <c r="A29" s="297">
        <v>3</v>
      </c>
      <c r="B29" s="298" t="s">
        <v>195</v>
      </c>
      <c r="C29" s="168">
        <v>650</v>
      </c>
      <c r="D29" s="299">
        <f>A29*C29</f>
        <v>1950</v>
      </c>
      <c r="E29" s="13"/>
    </row>
    <row r="30" spans="1:13" ht="15.6" x14ac:dyDescent="0.25">
      <c r="A30" s="276"/>
      <c r="B30" s="276"/>
      <c r="C30" s="114"/>
      <c r="D30" s="299">
        <f>SUM(D23:D29)</f>
        <v>29154</v>
      </c>
      <c r="E30" s="13"/>
    </row>
    <row r="31" spans="1:13" ht="13.5" customHeight="1" x14ac:dyDescent="0.25">
      <c r="A31" s="276"/>
      <c r="B31" s="276"/>
      <c r="C31" s="114"/>
      <c r="D31" s="302"/>
      <c r="E31" s="13"/>
    </row>
    <row r="32" spans="1:13" ht="15.6" x14ac:dyDescent="0.25">
      <c r="A32" s="276"/>
      <c r="B32" s="276"/>
      <c r="C32" s="114"/>
      <c r="D32" s="302"/>
      <c r="E32" s="13"/>
    </row>
    <row r="33" spans="1:5" ht="15.6" x14ac:dyDescent="0.25">
      <c r="A33" s="34"/>
      <c r="B33" s="120" t="s">
        <v>15</v>
      </c>
      <c r="C33" s="277" t="s">
        <v>192</v>
      </c>
      <c r="D33" s="301">
        <f>D21+D30</f>
        <v>40394.400000000001</v>
      </c>
      <c r="E33" s="13"/>
    </row>
    <row r="34" spans="1:5" ht="20.25" customHeight="1" x14ac:dyDescent="0.25">
      <c r="A34" s="62"/>
      <c r="B34" s="126" t="s">
        <v>17</v>
      </c>
      <c r="D34" s="56"/>
    </row>
    <row r="35" spans="1:5" ht="15" x14ac:dyDescent="0.25">
      <c r="A35" s="62"/>
      <c r="B35" s="127" t="s">
        <v>19</v>
      </c>
      <c r="D35" s="56"/>
    </row>
    <row r="36" spans="1:5" ht="15" x14ac:dyDescent="0.25">
      <c r="A36" s="62"/>
      <c r="B36" s="127" t="s">
        <v>21</v>
      </c>
      <c r="D36" s="56"/>
    </row>
    <row r="37" spans="1:5" ht="15" x14ac:dyDescent="0.25">
      <c r="A37" s="62"/>
      <c r="B37" s="127" t="s">
        <v>60</v>
      </c>
      <c r="D37" s="56"/>
    </row>
    <row r="38" spans="1:5" ht="13.8" x14ac:dyDescent="0.25">
      <c r="B38" s="135" t="s">
        <v>23</v>
      </c>
    </row>
    <row r="39" spans="1:5" ht="15" x14ac:dyDescent="0.25">
      <c r="A39" s="62"/>
      <c r="B39" s="166" t="s">
        <v>193</v>
      </c>
      <c r="E39" s="13"/>
    </row>
    <row r="40" spans="1:5" ht="27.6" x14ac:dyDescent="0.25">
      <c r="A40" s="62"/>
      <c r="B40" s="132" t="s">
        <v>62</v>
      </c>
      <c r="C40" s="54"/>
      <c r="D40" s="58"/>
      <c r="E40" s="13"/>
    </row>
    <row r="41" spans="1:5" ht="15" x14ac:dyDescent="0.25">
      <c r="A41" s="62"/>
      <c r="B41" s="135" t="s">
        <v>26</v>
      </c>
      <c r="C41" s="54"/>
      <c r="D41" s="58"/>
    </row>
    <row r="42" spans="1:5" ht="15" x14ac:dyDescent="0.25">
      <c r="A42" s="62"/>
      <c r="B42" s="136" t="s">
        <v>96</v>
      </c>
      <c r="C42" s="54"/>
      <c r="D42" s="54"/>
    </row>
    <row r="43" spans="1:5" ht="15" x14ac:dyDescent="0.25">
      <c r="A43" s="62"/>
      <c r="B43" s="137" t="s">
        <v>28</v>
      </c>
      <c r="C43" s="54"/>
      <c r="D43" s="54"/>
    </row>
    <row r="44" spans="1:5" ht="13.8" x14ac:dyDescent="0.25">
      <c r="B44" s="135" t="s">
        <v>29</v>
      </c>
      <c r="D44" s="56"/>
    </row>
    <row r="45" spans="1:5" ht="15" x14ac:dyDescent="0.25">
      <c r="A45" s="62"/>
      <c r="B45" s="138" t="s">
        <v>194</v>
      </c>
      <c r="C45" s="54"/>
      <c r="D45" s="58"/>
    </row>
    <row r="46" spans="1:5" ht="15" x14ac:dyDescent="0.25">
      <c r="A46" s="62"/>
      <c r="B46" s="127" t="s">
        <v>31</v>
      </c>
      <c r="C46" s="54"/>
      <c r="D46" s="58"/>
    </row>
    <row r="47" spans="1:5" ht="13.8" x14ac:dyDescent="0.25">
      <c r="A47" s="139" t="s">
        <v>0</v>
      </c>
      <c r="B47" s="127" t="s">
        <v>32</v>
      </c>
      <c r="C47" s="54"/>
    </row>
    <row r="48" spans="1:5" ht="50.4" x14ac:dyDescent="0.4">
      <c r="A48" s="142"/>
      <c r="B48" s="140" t="s">
        <v>65</v>
      </c>
      <c r="C48" s="141"/>
      <c r="D48" s="1"/>
    </row>
    <row r="49" spans="1:4" x14ac:dyDescent="0.25">
      <c r="A49" s="142"/>
      <c r="B49" s="64"/>
      <c r="C49" s="64"/>
      <c r="D49" s="1"/>
    </row>
    <row r="50" spans="1:4" ht="12.75" customHeight="1" x14ac:dyDescent="0.25">
      <c r="A50" s="142"/>
      <c r="B50" s="64"/>
      <c r="C50" s="64"/>
      <c r="D50" s="1"/>
    </row>
    <row r="51" spans="1:4" x14ac:dyDescent="0.25">
      <c r="A51" s="144"/>
      <c r="B51" s="143"/>
      <c r="C51" s="64"/>
      <c r="D51" s="1"/>
    </row>
    <row r="52" spans="1:4" ht="15" x14ac:dyDescent="0.35">
      <c r="A52" s="146" t="s">
        <v>0</v>
      </c>
      <c r="B52" s="145"/>
      <c r="C52" s="64"/>
      <c r="D52" s="64"/>
    </row>
    <row r="53" spans="1:4" x14ac:dyDescent="0.25">
      <c r="A53" s="1" t="s">
        <v>0</v>
      </c>
    </row>
    <row r="54" spans="1:4" ht="16.5" customHeight="1" x14ac:dyDescent="0.25"/>
    <row r="58" spans="1:4" ht="15.75" customHeight="1" x14ac:dyDescent="0.25"/>
    <row r="59" spans="1:4" ht="15" customHeight="1" x14ac:dyDescent="0.25"/>
  </sheetData>
  <mergeCells count="3">
    <mergeCell ref="A4:D4"/>
    <mergeCell ref="A15:D15"/>
    <mergeCell ref="B22:D22"/>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145A-E6F1-4A26-8A08-940DF4BA1404}">
  <sheetPr>
    <tabColor theme="4" tint="-0.249977111117893"/>
    <pageSetUpPr fitToPage="1"/>
  </sheetPr>
  <dimension ref="A1:K56"/>
  <sheetViews>
    <sheetView zoomScale="85" zoomScaleNormal="85" workbookViewId="0">
      <selection activeCell="B20" sqref="B20"/>
    </sheetView>
  </sheetViews>
  <sheetFormatPr baseColWidth="10" defaultColWidth="11.44140625" defaultRowHeight="13.2" x14ac:dyDescent="0.25"/>
  <cols>
    <col min="1" max="1" width="6" style="1" customWidth="1"/>
    <col min="2" max="2" width="92.1093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122</v>
      </c>
      <c r="B8" s="68"/>
      <c r="C8" s="69"/>
      <c r="D8" s="69"/>
    </row>
    <row r="9" spans="1:7" s="4" customFormat="1" ht="19.2" x14ac:dyDescent="0.45">
      <c r="A9" s="67" t="s">
        <v>123</v>
      </c>
      <c r="B9" s="68"/>
      <c r="C9" s="69"/>
      <c r="D9" s="69"/>
    </row>
    <row r="10" spans="1:7" s="4" customFormat="1" ht="19.2" x14ac:dyDescent="0.45">
      <c r="A10" s="67" t="s">
        <v>124</v>
      </c>
      <c r="B10" s="68"/>
      <c r="C10" s="69"/>
      <c r="D10" s="69"/>
    </row>
    <row r="11" spans="1:7" s="4" customFormat="1" ht="19.2" x14ac:dyDescent="0.45">
      <c r="A11" s="67" t="s">
        <v>125</v>
      </c>
      <c r="B11" s="68"/>
      <c r="C11" s="70"/>
      <c r="D11" s="69"/>
    </row>
    <row r="12" spans="1:7" s="4" customFormat="1" ht="15" customHeight="1" x14ac:dyDescent="0.45">
      <c r="A12" s="67" t="s">
        <v>38</v>
      </c>
      <c r="B12" s="68"/>
      <c r="C12" s="70"/>
      <c r="D12" s="69"/>
    </row>
    <row r="13" spans="1:7" s="4" customFormat="1" ht="15" customHeight="1" x14ac:dyDescent="0.45">
      <c r="B13" s="72"/>
      <c r="C13" s="73"/>
      <c r="D13" s="74"/>
    </row>
    <row r="14" spans="1:7" s="4" customFormat="1" ht="15" customHeight="1" x14ac:dyDescent="0.45">
      <c r="A14" s="71" t="s">
        <v>39</v>
      </c>
      <c r="B14" s="72"/>
      <c r="C14" s="73"/>
      <c r="D14" s="74"/>
      <c r="E14" s="10"/>
      <c r="F14" s="10"/>
      <c r="G14" s="10"/>
    </row>
    <row r="15" spans="1:7" s="10" customFormat="1" ht="19.2" x14ac:dyDescent="0.25">
      <c r="A15" s="758" t="s">
        <v>40</v>
      </c>
      <c r="B15" s="759"/>
      <c r="C15" s="760"/>
      <c r="D15" s="761"/>
      <c r="E15" s="1"/>
      <c r="F15" s="1"/>
      <c r="G15" s="1"/>
    </row>
    <row r="16" spans="1:7" x14ac:dyDescent="0.25">
      <c r="A16" s="197"/>
      <c r="B16" s="198"/>
      <c r="C16" s="199"/>
      <c r="D16" s="199"/>
      <c r="E16" s="17"/>
      <c r="F16" s="23"/>
      <c r="G16" s="23"/>
    </row>
    <row r="17" spans="1:7" s="23" customFormat="1" x14ac:dyDescent="0.25">
      <c r="A17" s="283">
        <v>30</v>
      </c>
      <c r="B17" s="278" t="s">
        <v>196</v>
      </c>
      <c r="C17" s="201">
        <v>800</v>
      </c>
      <c r="D17" s="280">
        <f t="shared" ref="D17" si="0">A17*C17</f>
        <v>24000</v>
      </c>
      <c r="E17" s="17"/>
      <c r="F17" s="1"/>
      <c r="G17" s="1"/>
    </row>
    <row r="18" spans="1:7" s="23" customFormat="1" ht="25.5" customHeight="1" x14ac:dyDescent="0.25">
      <c r="A18" s="283">
        <v>1</v>
      </c>
      <c r="B18" s="279" t="s">
        <v>197</v>
      </c>
      <c r="C18" s="201">
        <v>4200</v>
      </c>
      <c r="D18" s="280">
        <f>A18*C18</f>
        <v>4200</v>
      </c>
      <c r="E18" s="17"/>
      <c r="F18" s="1"/>
      <c r="G18" s="1"/>
    </row>
    <row r="19" spans="1:7" x14ac:dyDescent="0.25">
      <c r="A19" s="204"/>
      <c r="B19" s="205"/>
      <c r="C19" s="206"/>
      <c r="D19" s="281"/>
      <c r="E19" s="13"/>
    </row>
    <row r="20" spans="1:7" x14ac:dyDescent="0.25">
      <c r="A20" s="208"/>
      <c r="B20" s="553" t="s">
        <v>602</v>
      </c>
      <c r="C20" s="209" t="s">
        <v>49</v>
      </c>
      <c r="D20" s="282">
        <f>SUM(D16:D19)</f>
        <v>28200</v>
      </c>
      <c r="E20" s="13"/>
    </row>
    <row r="21" spans="1:7" x14ac:dyDescent="0.25">
      <c r="A21" s="208"/>
      <c r="B21" s="208"/>
      <c r="C21" s="209" t="s">
        <v>128</v>
      </c>
      <c r="D21" s="282">
        <f>D20*0.16</f>
        <v>4512</v>
      </c>
      <c r="E21" s="13"/>
    </row>
    <row r="22" spans="1:7" ht="13.8" thickBot="1" x14ac:dyDescent="0.3">
      <c r="A22" s="208"/>
      <c r="B22" s="208"/>
      <c r="C22" s="211" t="s">
        <v>77</v>
      </c>
      <c r="D22" s="281">
        <f>SUM(D20:D21)</f>
        <v>32712</v>
      </c>
      <c r="E22" s="13"/>
    </row>
    <row r="23" spans="1:7" ht="13.8" thickBot="1" x14ac:dyDescent="0.3">
      <c r="A23" s="34"/>
      <c r="B23" s="773" t="s">
        <v>129</v>
      </c>
      <c r="C23" s="774"/>
      <c r="D23" s="775"/>
    </row>
    <row r="24" spans="1:7" x14ac:dyDescent="0.25">
      <c r="A24" s="34"/>
      <c r="B24" s="117"/>
      <c r="C24" s="163"/>
      <c r="D24" s="164"/>
    </row>
    <row r="25" spans="1:7" ht="13.8" x14ac:dyDescent="0.25">
      <c r="A25" s="286"/>
      <c r="B25" s="135" t="s">
        <v>15</v>
      </c>
      <c r="C25" s="165"/>
      <c r="D25" s="56"/>
    </row>
    <row r="26" spans="1:7" ht="17.399999999999999" x14ac:dyDescent="0.25">
      <c r="A26" s="286"/>
      <c r="B26" s="273" t="s">
        <v>130</v>
      </c>
      <c r="C26" s="165"/>
      <c r="D26" s="56"/>
    </row>
    <row r="27" spans="1:7" ht="17.25" customHeight="1" x14ac:dyDescent="0.25">
      <c r="A27" s="288"/>
      <c r="B27" s="135" t="s">
        <v>17</v>
      </c>
      <c r="D27" s="56"/>
    </row>
    <row r="28" spans="1:7" ht="15" x14ac:dyDescent="0.25">
      <c r="A28" s="288"/>
      <c r="B28" s="191" t="s">
        <v>19</v>
      </c>
      <c r="D28" s="56"/>
    </row>
    <row r="29" spans="1:7" ht="15" x14ac:dyDescent="0.25">
      <c r="A29" s="288"/>
      <c r="B29" s="191" t="s">
        <v>60</v>
      </c>
      <c r="D29" s="56"/>
    </row>
    <row r="30" spans="1:7" ht="13.8" x14ac:dyDescent="0.25">
      <c r="A30" s="88"/>
      <c r="B30" s="135" t="s">
        <v>23</v>
      </c>
    </row>
    <row r="31" spans="1:7" ht="15" x14ac:dyDescent="0.25">
      <c r="A31" s="288"/>
      <c r="B31" s="187" t="s">
        <v>131</v>
      </c>
      <c r="E31" s="13"/>
    </row>
    <row r="32" spans="1:7" ht="27.6" x14ac:dyDescent="0.25">
      <c r="A32" s="288"/>
      <c r="B32" s="187" t="s">
        <v>62</v>
      </c>
      <c r="C32" s="54"/>
      <c r="D32" s="58"/>
      <c r="E32" s="13"/>
    </row>
    <row r="33" spans="1:4" ht="15" x14ac:dyDescent="0.25">
      <c r="A33" s="288"/>
      <c r="B33" s="135" t="s">
        <v>26</v>
      </c>
      <c r="C33" s="54"/>
      <c r="D33" s="58"/>
    </row>
    <row r="34" spans="1:4" ht="27.6" x14ac:dyDescent="0.25">
      <c r="A34" s="288"/>
      <c r="B34" s="189" t="s">
        <v>132</v>
      </c>
      <c r="C34" s="54"/>
      <c r="D34" s="54"/>
    </row>
    <row r="35" spans="1:4" ht="15" x14ac:dyDescent="0.25">
      <c r="A35" s="288"/>
      <c r="B35" s="189" t="s">
        <v>28</v>
      </c>
      <c r="C35" s="54"/>
      <c r="D35" s="54"/>
    </row>
    <row r="36" spans="1:4" ht="13.8" x14ac:dyDescent="0.25">
      <c r="A36" s="88"/>
      <c r="B36" s="135" t="s">
        <v>29</v>
      </c>
      <c r="D36" s="56"/>
    </row>
    <row r="37" spans="1:4" ht="15" x14ac:dyDescent="0.25">
      <c r="A37" s="288"/>
      <c r="B37" s="190" t="s">
        <v>133</v>
      </c>
      <c r="C37" s="54"/>
      <c r="D37" s="58"/>
    </row>
    <row r="38" spans="1:4" ht="15" x14ac:dyDescent="0.25">
      <c r="A38" s="288"/>
      <c r="B38" s="191" t="s">
        <v>31</v>
      </c>
      <c r="C38" s="54"/>
      <c r="D38" s="58"/>
    </row>
    <row r="39" spans="1:4" ht="13.8" x14ac:dyDescent="0.25">
      <c r="A39" s="293" t="s">
        <v>0</v>
      </c>
      <c r="B39" s="191" t="s">
        <v>32</v>
      </c>
      <c r="C39" s="54"/>
    </row>
    <row r="40" spans="1:4" ht="50.4" x14ac:dyDescent="0.25">
      <c r="A40" s="294"/>
      <c r="B40" s="193" t="s">
        <v>65</v>
      </c>
      <c r="C40" s="141"/>
      <c r="D40" s="1"/>
    </row>
    <row r="41" spans="1:4" x14ac:dyDescent="0.25">
      <c r="A41" s="142"/>
      <c r="B41" s="64"/>
      <c r="C41" s="64"/>
      <c r="D41" s="1"/>
    </row>
    <row r="42" spans="1:4" x14ac:dyDescent="0.25">
      <c r="A42" s="142"/>
      <c r="B42" s="64"/>
      <c r="C42" s="64"/>
      <c r="D42" s="1"/>
    </row>
    <row r="43" spans="1:4" x14ac:dyDescent="0.25">
      <c r="A43" s="144"/>
      <c r="B43" s="143"/>
      <c r="C43" s="64"/>
      <c r="D43" s="1"/>
    </row>
    <row r="44" spans="1:4" ht="15" x14ac:dyDescent="0.35">
      <c r="A44" s="146" t="s">
        <v>0</v>
      </c>
      <c r="B44" s="145"/>
      <c r="C44" s="64"/>
      <c r="D44" s="64"/>
    </row>
    <row r="45" spans="1:4" x14ac:dyDescent="0.25">
      <c r="A45" s="1" t="s">
        <v>0</v>
      </c>
    </row>
    <row r="47" spans="1:4" ht="12.75" customHeight="1" x14ac:dyDescent="0.25"/>
    <row r="51" ht="16.5" customHeight="1" x14ac:dyDescent="0.25"/>
    <row r="55" ht="15.75" customHeight="1" x14ac:dyDescent="0.25"/>
    <row r="56" ht="15" customHeight="1" x14ac:dyDescent="0.25"/>
  </sheetData>
  <mergeCells count="3">
    <mergeCell ref="A4:D4"/>
    <mergeCell ref="A15:D15"/>
    <mergeCell ref="B23:D23"/>
  </mergeCells>
  <printOptions horizontalCentered="1"/>
  <pageMargins left="0" right="0" top="0" bottom="0" header="0" footer="0"/>
  <pageSetup paperSize="9" scale="74" orientation="portrait" r:id="rId1"/>
  <headerFooter alignWithMargins="0">
    <oddFooter>Página &amp;P de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881D-FA3F-4A92-B590-B470567E501D}">
  <sheetPr>
    <tabColor theme="4" tint="-0.249977111117893"/>
    <pageSetUpPr fitToPage="1"/>
  </sheetPr>
  <dimension ref="A1:H59"/>
  <sheetViews>
    <sheetView topLeftCell="A7" zoomScaleNormal="100" workbookViewId="0">
      <selection activeCell="H18" sqref="H18"/>
    </sheetView>
  </sheetViews>
  <sheetFormatPr baseColWidth="10" defaultColWidth="11.44140625" defaultRowHeight="13.2" x14ac:dyDescent="0.25"/>
  <cols>
    <col min="1" max="1" width="6" style="1" customWidth="1"/>
    <col min="2" max="2" width="61.88671875" style="1" customWidth="1"/>
    <col min="3" max="3" width="15" style="3" customWidth="1"/>
    <col min="4" max="4" width="14.6640625"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198</v>
      </c>
      <c r="B8" s="68"/>
      <c r="C8" s="69"/>
      <c r="D8" s="69"/>
    </row>
    <row r="9" spans="1:7" s="4" customFormat="1" ht="19.2" x14ac:dyDescent="0.45">
      <c r="A9" s="67" t="s">
        <v>199</v>
      </c>
      <c r="B9" s="68"/>
      <c r="C9" s="69"/>
      <c r="D9" s="69"/>
    </row>
    <row r="10" spans="1:7" s="4" customFormat="1" ht="19.2" x14ac:dyDescent="0.45">
      <c r="A10" s="67" t="s">
        <v>200</v>
      </c>
      <c r="B10" s="68"/>
      <c r="C10" s="69"/>
      <c r="D10" s="69"/>
    </row>
    <row r="11" spans="1:7" s="4" customFormat="1" ht="19.2" x14ac:dyDescent="0.45">
      <c r="A11" s="67" t="s">
        <v>201</v>
      </c>
      <c r="B11" s="68"/>
      <c r="C11" s="70"/>
      <c r="D11" s="69"/>
    </row>
    <row r="12" spans="1:7" s="4" customFormat="1" ht="15" customHeight="1" x14ac:dyDescent="0.45">
      <c r="A12" s="67" t="s">
        <v>202</v>
      </c>
      <c r="B12" s="68"/>
      <c r="C12" s="70"/>
      <c r="D12" s="69"/>
    </row>
    <row r="13" spans="1:7" s="4" customFormat="1" ht="15" customHeight="1" x14ac:dyDescent="0.45">
      <c r="A13" s="67" t="s">
        <v>38</v>
      </c>
      <c r="B13" s="72"/>
      <c r="C13" s="73"/>
      <c r="D13" s="74"/>
    </row>
    <row r="14" spans="1:7" s="4" customFormat="1" ht="15" customHeight="1" x14ac:dyDescent="0.45">
      <c r="A14" s="71" t="s">
        <v>208</v>
      </c>
      <c r="B14" s="72"/>
      <c r="C14" s="73"/>
      <c r="D14" s="74"/>
      <c r="E14" s="10"/>
      <c r="F14" s="10"/>
      <c r="G14" s="10"/>
    </row>
    <row r="15" spans="1:7" s="10" customFormat="1" ht="19.2" x14ac:dyDescent="0.25">
      <c r="A15" s="744" t="s">
        <v>40</v>
      </c>
      <c r="B15" s="745"/>
      <c r="C15" s="746"/>
      <c r="D15" s="747"/>
      <c r="E15" s="1"/>
      <c r="F15" s="1"/>
      <c r="G15" s="1"/>
    </row>
    <row r="16" spans="1:7" x14ac:dyDescent="0.25">
      <c r="A16" s="14"/>
      <c r="B16" s="15"/>
      <c r="C16" s="16"/>
      <c r="D16" s="16"/>
      <c r="E16" s="17"/>
      <c r="F16" s="23"/>
      <c r="G16" s="23"/>
    </row>
    <row r="17" spans="1:8" s="23" customFormat="1" ht="30" x14ac:dyDescent="0.25">
      <c r="A17" s="80">
        <v>1</v>
      </c>
      <c r="B17" s="167" t="s">
        <v>203</v>
      </c>
      <c r="C17" s="168">
        <f>42377*1.55</f>
        <v>65684.350000000006</v>
      </c>
      <c r="D17" s="79">
        <f t="shared" ref="D17:D20" si="0">A17*C17</f>
        <v>65684.350000000006</v>
      </c>
      <c r="E17" s="17"/>
      <c r="F17" s="1"/>
      <c r="G17" s="1"/>
    </row>
    <row r="18" spans="1:8" s="23" customFormat="1" ht="30" x14ac:dyDescent="0.25">
      <c r="A18" s="80">
        <v>1</v>
      </c>
      <c r="B18" s="167" t="s">
        <v>207</v>
      </c>
      <c r="C18" s="168">
        <f>(3156*18.4)*1.33+2500</f>
        <v>79733.631999999998</v>
      </c>
      <c r="D18" s="79">
        <f t="shared" si="0"/>
        <v>79733.631999999998</v>
      </c>
      <c r="E18" s="17"/>
      <c r="F18" s="1"/>
      <c r="G18" s="1"/>
    </row>
    <row r="19" spans="1:8" s="23" customFormat="1" ht="15.6" x14ac:dyDescent="0.25">
      <c r="A19" s="80">
        <v>1</v>
      </c>
      <c r="B19" s="167" t="s">
        <v>209</v>
      </c>
      <c r="C19" s="168">
        <f>63900*1.45</f>
        <v>92655</v>
      </c>
      <c r="D19" s="79">
        <f t="shared" si="0"/>
        <v>92655</v>
      </c>
      <c r="E19" s="17"/>
      <c r="F19" s="1"/>
      <c r="G19" s="1"/>
    </row>
    <row r="20" spans="1:8" s="23" customFormat="1" ht="15.6" x14ac:dyDescent="0.25">
      <c r="A20" s="80">
        <v>1</v>
      </c>
      <c r="B20" s="167" t="s">
        <v>210</v>
      </c>
      <c r="C20" s="168">
        <f>78980*1.45</f>
        <v>114521</v>
      </c>
      <c r="D20" s="79">
        <f t="shared" si="0"/>
        <v>114521</v>
      </c>
      <c r="E20" s="17"/>
      <c r="F20" s="1"/>
      <c r="G20" s="1"/>
    </row>
    <row r="21" spans="1:8" s="23" customFormat="1" ht="15.6" x14ac:dyDescent="0.25">
      <c r="A21" s="295"/>
      <c r="B21" s="167"/>
      <c r="C21" s="168" t="s">
        <v>18</v>
      </c>
      <c r="D21" s="79">
        <f>SUM(D17:D20)</f>
        <v>352593.98200000002</v>
      </c>
      <c r="E21" s="17"/>
      <c r="F21" s="1"/>
      <c r="G21" s="1"/>
    </row>
    <row r="22" spans="1:8" ht="15.6" x14ac:dyDescent="0.25">
      <c r="A22" s="295"/>
      <c r="B22" s="167"/>
      <c r="C22" s="90" t="s">
        <v>128</v>
      </c>
      <c r="D22" s="83">
        <f>D21*0.16</f>
        <v>56415.037120000001</v>
      </c>
      <c r="E22" s="17"/>
      <c r="H22" s="23"/>
    </row>
    <row r="23" spans="1:8" ht="15.6" x14ac:dyDescent="0.25">
      <c r="A23" s="295"/>
      <c r="B23" s="167"/>
      <c r="C23" s="90" t="s">
        <v>77</v>
      </c>
      <c r="D23" s="83">
        <f>D21+D22</f>
        <v>409009.01912000001</v>
      </c>
      <c r="E23" s="17"/>
      <c r="H23" s="23"/>
    </row>
    <row r="24" spans="1:8" ht="15.6" x14ac:dyDescent="0.25">
      <c r="A24" s="34"/>
      <c r="B24" s="776"/>
      <c r="C24" s="776"/>
      <c r="D24" s="776"/>
      <c r="E24" s="13"/>
    </row>
    <row r="25" spans="1:8" x14ac:dyDescent="0.25">
      <c r="A25" s="34"/>
      <c r="B25" s="117"/>
      <c r="C25" s="163"/>
      <c r="D25" s="164"/>
    </row>
    <row r="26" spans="1:8" ht="13.8" x14ac:dyDescent="0.25">
      <c r="A26" s="34"/>
      <c r="B26" s="126" t="s">
        <v>15</v>
      </c>
      <c r="C26" s="284"/>
      <c r="D26" s="285"/>
      <c r="E26" s="13"/>
    </row>
    <row r="27" spans="1:8" ht="17.399999999999999" x14ac:dyDescent="0.25">
      <c r="A27" s="286"/>
      <c r="B27" s="287" t="s">
        <v>16</v>
      </c>
      <c r="C27" s="13"/>
      <c r="D27" s="1"/>
    </row>
    <row r="28" spans="1:8" ht="15" x14ac:dyDescent="0.25">
      <c r="A28" s="288"/>
      <c r="B28" s="130" t="s">
        <v>17</v>
      </c>
      <c r="C28" s="13"/>
      <c r="D28" s="1"/>
    </row>
    <row r="29" spans="1:8" ht="13.5" customHeight="1" x14ac:dyDescent="0.25">
      <c r="A29" s="288"/>
      <c r="B29" s="290" t="s">
        <v>19</v>
      </c>
      <c r="C29" s="13"/>
      <c r="D29" s="1"/>
      <c r="E29" s="289"/>
    </row>
    <row r="30" spans="1:8" ht="17.25" customHeight="1" x14ac:dyDescent="0.25">
      <c r="A30" s="288"/>
      <c r="B30" s="191" t="s">
        <v>21</v>
      </c>
      <c r="C30" s="1"/>
      <c r="D30" s="1"/>
    </row>
    <row r="31" spans="1:8" ht="15" x14ac:dyDescent="0.25">
      <c r="A31" s="288"/>
      <c r="B31" s="290" t="s">
        <v>60</v>
      </c>
      <c r="C31" s="13"/>
      <c r="D31" s="1"/>
    </row>
    <row r="32" spans="1:8" ht="13.5" customHeight="1" x14ac:dyDescent="0.25">
      <c r="A32" s="88"/>
      <c r="B32" s="135" t="s">
        <v>23</v>
      </c>
      <c r="C32" s="291"/>
      <c r="D32" s="291"/>
      <c r="E32" s="13"/>
      <c r="F32" s="289"/>
    </row>
    <row r="33" spans="1:8" ht="27.6" x14ac:dyDescent="0.25">
      <c r="A33" s="288"/>
      <c r="B33" s="187" t="s">
        <v>24</v>
      </c>
    </row>
    <row r="34" spans="1:8" ht="55.2" x14ac:dyDescent="0.25">
      <c r="A34" s="288"/>
      <c r="B34" s="187" t="s">
        <v>204</v>
      </c>
      <c r="C34" s="54"/>
      <c r="D34" s="58"/>
      <c r="E34" s="289"/>
    </row>
    <row r="35" spans="1:8" ht="15" x14ac:dyDescent="0.25">
      <c r="A35" s="288"/>
      <c r="B35" s="135" t="s">
        <v>26</v>
      </c>
      <c r="C35" s="54"/>
      <c r="D35" s="58"/>
    </row>
    <row r="36" spans="1:8" ht="27.6" x14ac:dyDescent="0.25">
      <c r="A36" s="288"/>
      <c r="B36" s="189" t="s">
        <v>205</v>
      </c>
      <c r="C36" s="292"/>
      <c r="D36" s="292"/>
    </row>
    <row r="37" spans="1:8" ht="13.8" x14ac:dyDescent="0.25">
      <c r="A37" s="88"/>
      <c r="B37" s="135" t="s">
        <v>29</v>
      </c>
      <c r="D37" s="56"/>
    </row>
    <row r="38" spans="1:8" s="289" customFormat="1" ht="17.25" customHeight="1" x14ac:dyDescent="0.25">
      <c r="A38" s="288"/>
      <c r="B38" s="191" t="s">
        <v>206</v>
      </c>
      <c r="C38" s="54"/>
      <c r="D38" s="58"/>
      <c r="E38" s="1"/>
      <c r="F38" s="1"/>
      <c r="G38" s="1"/>
      <c r="H38" s="1"/>
    </row>
    <row r="39" spans="1:8" ht="15" x14ac:dyDescent="0.25">
      <c r="A39" s="288"/>
      <c r="B39" s="191" t="s">
        <v>31</v>
      </c>
      <c r="C39" s="54"/>
      <c r="D39" s="58"/>
    </row>
    <row r="40" spans="1:8" ht="13.8" x14ac:dyDescent="0.25">
      <c r="A40" s="293" t="s">
        <v>0</v>
      </c>
      <c r="B40" s="191" t="s">
        <v>32</v>
      </c>
      <c r="C40" s="54"/>
      <c r="H40" s="289"/>
    </row>
    <row r="41" spans="1:8" ht="67.2" x14ac:dyDescent="0.25">
      <c r="A41" s="294"/>
      <c r="B41" s="193" t="s">
        <v>65</v>
      </c>
      <c r="C41" s="141"/>
      <c r="D41" s="1"/>
    </row>
    <row r="42" spans="1:8" x14ac:dyDescent="0.25">
      <c r="A42" s="142"/>
      <c r="B42" s="64"/>
      <c r="C42" s="64"/>
      <c r="D42" s="1"/>
    </row>
    <row r="43" spans="1:8" x14ac:dyDescent="0.25">
      <c r="A43" s="142"/>
      <c r="B43" s="64"/>
      <c r="C43" s="64"/>
      <c r="D43" s="1"/>
    </row>
    <row r="44" spans="1:8" x14ac:dyDescent="0.25">
      <c r="A44" s="144"/>
      <c r="B44" s="143"/>
      <c r="C44" s="64"/>
      <c r="D44" s="1"/>
    </row>
    <row r="45" spans="1:8" ht="15" x14ac:dyDescent="0.35">
      <c r="A45" s="146" t="s">
        <v>0</v>
      </c>
      <c r="B45" s="145"/>
      <c r="C45" s="64"/>
      <c r="D45" s="64"/>
    </row>
    <row r="46" spans="1:8" x14ac:dyDescent="0.25">
      <c r="A46" s="1" t="s">
        <v>0</v>
      </c>
    </row>
    <row r="50" ht="12.75" customHeight="1" x14ac:dyDescent="0.25"/>
    <row r="54" ht="16.5" customHeight="1" x14ac:dyDescent="0.25"/>
    <row r="58" ht="15.75" customHeight="1" x14ac:dyDescent="0.25"/>
    <row r="59" ht="15" customHeight="1" x14ac:dyDescent="0.25"/>
  </sheetData>
  <mergeCells count="3">
    <mergeCell ref="A4:D4"/>
    <mergeCell ref="A15:D15"/>
    <mergeCell ref="B24:D24"/>
  </mergeCells>
  <printOptions horizontalCentered="1"/>
  <pageMargins left="0.59055118110236227" right="0.59055118110236227" top="0.19685039370078741" bottom="0.19685039370078741" header="0.19685039370078741" footer="0.19685039370078741"/>
  <pageSetup paperSize="9" scale="89" fitToWidth="0" orientation="portrait" r:id="rId1"/>
  <headerFooter alignWithMargins="0">
    <oddFooter>Página &amp;P de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5532-1EDF-44A2-AF83-441E6F7734B3}">
  <sheetPr>
    <tabColor theme="4" tint="-0.249977111117893"/>
    <pageSetUpPr fitToPage="1"/>
  </sheetPr>
  <dimension ref="A1:P59"/>
  <sheetViews>
    <sheetView topLeftCell="A5" zoomScale="85" zoomScaleNormal="85" workbookViewId="0">
      <selection activeCell="D20" sqref="D20"/>
    </sheetView>
  </sheetViews>
  <sheetFormatPr baseColWidth="10" defaultColWidth="11.44140625" defaultRowHeight="13.2" x14ac:dyDescent="0.25"/>
  <cols>
    <col min="1" max="1" width="6" style="1" customWidth="1"/>
    <col min="2" max="2" width="72.109375" style="1" customWidth="1"/>
    <col min="3" max="3" width="14.109375" style="3"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211</v>
      </c>
      <c r="B8" s="68"/>
      <c r="C8" s="69"/>
      <c r="D8" s="69"/>
    </row>
    <row r="9" spans="1:16" s="4" customFormat="1" ht="19.2" x14ac:dyDescent="0.45">
      <c r="A9" s="67" t="s">
        <v>212</v>
      </c>
      <c r="B9" s="68"/>
      <c r="C9" s="69"/>
      <c r="D9" s="69"/>
    </row>
    <row r="10" spans="1:16" s="4" customFormat="1" ht="19.2" x14ac:dyDescent="0.45">
      <c r="A10" s="67" t="s">
        <v>213</v>
      </c>
      <c r="B10" s="68"/>
      <c r="C10" s="69"/>
      <c r="D10" s="69"/>
    </row>
    <row r="11" spans="1:16" s="4" customFormat="1" ht="19.2" x14ac:dyDescent="0.45">
      <c r="A11" s="67" t="s">
        <v>214</v>
      </c>
      <c r="B11" s="68"/>
      <c r="C11" s="70"/>
      <c r="D11" s="69"/>
    </row>
    <row r="12" spans="1:16" s="4" customFormat="1" ht="15" customHeight="1" x14ac:dyDescent="0.45">
      <c r="A12" s="67" t="s">
        <v>38</v>
      </c>
      <c r="B12" s="68"/>
      <c r="C12" s="70"/>
      <c r="D12" s="69"/>
    </row>
    <row r="13" spans="1:16" s="4" customFormat="1" ht="15" customHeight="1" x14ac:dyDescent="0.45">
      <c r="A13" s="71" t="s">
        <v>217</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3.8" x14ac:dyDescent="0.25">
      <c r="A15" s="14"/>
      <c r="B15" s="15"/>
      <c r="C15" s="16"/>
      <c r="D15" s="16"/>
      <c r="E15" s="17"/>
      <c r="F15" s="23"/>
      <c r="G15" s="23"/>
      <c r="H15" s="1"/>
      <c r="I15" s="1"/>
      <c r="J15" s="1"/>
      <c r="K15" s="1"/>
      <c r="L15" s="1"/>
      <c r="M15" s="1"/>
      <c r="N15" s="1"/>
      <c r="O15" s="1"/>
      <c r="P15" s="1"/>
    </row>
    <row r="16" spans="1:16" ht="15.6" x14ac:dyDescent="0.25">
      <c r="A16" s="147">
        <v>1</v>
      </c>
      <c r="B16" s="304" t="s">
        <v>216</v>
      </c>
      <c r="C16" s="149">
        <f>(260.83*18.5)*1.2</f>
        <v>5790.4259999999995</v>
      </c>
      <c r="D16" s="150">
        <f t="shared" ref="D16" si="0">A16*C16</f>
        <v>5790.4259999999995</v>
      </c>
      <c r="E16" s="17"/>
      <c r="H16" s="23"/>
      <c r="I16" s="23"/>
      <c r="J16" s="23"/>
      <c r="K16" s="23"/>
      <c r="L16" s="23"/>
      <c r="M16" s="23"/>
      <c r="N16" s="23"/>
      <c r="O16" s="23"/>
      <c r="P16" s="23"/>
    </row>
    <row r="17" spans="1:15" s="23" customFormat="1" ht="15.6" x14ac:dyDescent="0.3">
      <c r="A17" s="151"/>
      <c r="B17" s="305"/>
      <c r="C17" s="306"/>
      <c r="D17" s="83"/>
      <c r="E17" s="17"/>
      <c r="F17" s="1"/>
      <c r="G17" s="1"/>
    </row>
    <row r="18" spans="1:15" s="23" customFormat="1" ht="15.6" x14ac:dyDescent="0.25">
      <c r="A18" s="80"/>
      <c r="B18" s="158"/>
      <c r="C18" s="82"/>
      <c r="D18" s="83"/>
      <c r="E18" s="1"/>
      <c r="F18" s="1"/>
      <c r="G18" s="1"/>
      <c r="H18" s="1"/>
      <c r="I18" s="1"/>
      <c r="J18" s="1"/>
      <c r="K18" s="1"/>
      <c r="L18" s="1"/>
      <c r="M18" s="1"/>
    </row>
    <row r="19" spans="1:15" s="23" customFormat="1" ht="15.6" x14ac:dyDescent="0.3">
      <c r="A19" s="159"/>
      <c r="B19" s="160"/>
      <c r="C19" s="90" t="s">
        <v>49</v>
      </c>
      <c r="D19" s="87">
        <f>SUM(D15:D18)</f>
        <v>5790.4259999999995</v>
      </c>
      <c r="E19" s="1"/>
      <c r="F19" s="1"/>
      <c r="G19" s="1"/>
      <c r="H19" s="1"/>
      <c r="I19" s="1"/>
      <c r="J19" s="1"/>
      <c r="K19" s="1"/>
      <c r="L19" s="1"/>
      <c r="M19" s="1"/>
      <c r="N19" s="1"/>
      <c r="O19" s="1"/>
    </row>
    <row r="20" spans="1:15" s="23" customFormat="1" ht="15.6" x14ac:dyDescent="0.3">
      <c r="A20" s="161"/>
      <c r="B20" s="160"/>
      <c r="C20" s="90" t="s">
        <v>51</v>
      </c>
      <c r="D20" s="87">
        <f>D19*0.16</f>
        <v>926.4681599999999</v>
      </c>
      <c r="E20" s="1"/>
      <c r="F20" s="1"/>
      <c r="G20" s="1"/>
      <c r="H20" s="1"/>
      <c r="I20" s="1"/>
      <c r="J20" s="1"/>
      <c r="K20" s="1"/>
      <c r="L20" s="1"/>
      <c r="M20" s="1"/>
      <c r="N20" s="1"/>
      <c r="O20" s="1"/>
    </row>
    <row r="21" spans="1:15" ht="16.2" thickBot="1" x14ac:dyDescent="0.35">
      <c r="A21" s="161"/>
      <c r="B21" s="92"/>
      <c r="C21" s="90" t="s">
        <v>77</v>
      </c>
      <c r="D21" s="87">
        <f>D19+D20</f>
        <v>6716.8941599999998</v>
      </c>
    </row>
    <row r="22" spans="1:15" ht="16.2" thickBot="1" x14ac:dyDescent="0.3">
      <c r="A22" s="92"/>
      <c r="B22" s="162" t="s">
        <v>219</v>
      </c>
      <c r="C22" s="93"/>
      <c r="D22" s="94"/>
    </row>
    <row r="23" spans="1:15" ht="15" x14ac:dyDescent="0.25">
      <c r="A23" s="116"/>
      <c r="B23" s="117"/>
      <c r="C23" s="118"/>
      <c r="D23" s="119"/>
    </row>
    <row r="24" spans="1:15" s="88" customFormat="1" ht="13.8" x14ac:dyDescent="0.25">
      <c r="A24" s="34"/>
      <c r="B24" s="120" t="s">
        <v>15</v>
      </c>
      <c r="C24" s="291"/>
      <c r="D24" s="291"/>
      <c r="E24" s="13"/>
      <c r="F24" s="1"/>
      <c r="G24" s="1"/>
      <c r="H24" s="1"/>
      <c r="I24" s="1"/>
      <c r="J24" s="1"/>
      <c r="K24" s="1"/>
      <c r="L24" s="1"/>
      <c r="M24" s="1"/>
      <c r="N24" s="1"/>
      <c r="O24" s="1"/>
    </row>
    <row r="25" spans="1:15" ht="15.6" x14ac:dyDescent="0.25">
      <c r="A25" s="34"/>
      <c r="B25" s="123"/>
      <c r="E25" s="13"/>
    </row>
    <row r="26" spans="1:15" ht="13.8" x14ac:dyDescent="0.25">
      <c r="A26" s="34"/>
      <c r="B26" s="126" t="s">
        <v>17</v>
      </c>
      <c r="C26" s="54"/>
      <c r="D26" s="58"/>
    </row>
    <row r="27" spans="1:15" ht="15" x14ac:dyDescent="0.25">
      <c r="A27" s="62"/>
      <c r="B27" s="127" t="s">
        <v>19</v>
      </c>
      <c r="C27" s="54"/>
      <c r="D27" s="58"/>
    </row>
    <row r="28" spans="1:15" ht="15" x14ac:dyDescent="0.25">
      <c r="A28" s="62"/>
      <c r="B28" s="127" t="s">
        <v>21</v>
      </c>
      <c r="C28" s="54"/>
      <c r="D28" s="54"/>
    </row>
    <row r="29" spans="1:15" ht="15" x14ac:dyDescent="0.25">
      <c r="A29" s="62"/>
      <c r="B29" s="129" t="s">
        <v>60</v>
      </c>
      <c r="C29" s="54"/>
      <c r="D29" s="54"/>
      <c r="E29" s="13"/>
    </row>
    <row r="30" spans="1:15" ht="15" x14ac:dyDescent="0.25">
      <c r="A30" s="62"/>
      <c r="B30" s="135" t="s">
        <v>23</v>
      </c>
      <c r="D30" s="56"/>
    </row>
    <row r="31" spans="1:15" ht="6.6" customHeight="1" x14ac:dyDescent="0.25">
      <c r="B31" s="166"/>
      <c r="C31" s="54"/>
      <c r="D31" s="58"/>
    </row>
    <row r="32" spans="1:15" ht="27.6" x14ac:dyDescent="0.25">
      <c r="A32" s="62"/>
      <c r="B32" s="132" t="s">
        <v>62</v>
      </c>
      <c r="C32" s="54"/>
      <c r="D32" s="58"/>
    </row>
    <row r="33" spans="1:4" ht="15" x14ac:dyDescent="0.25">
      <c r="A33" s="62"/>
      <c r="B33" s="135" t="s">
        <v>26</v>
      </c>
      <c r="C33" s="54"/>
    </row>
    <row r="34" spans="1:4" ht="27.6" x14ac:dyDescent="0.25">
      <c r="A34" s="62"/>
      <c r="B34" s="136" t="s">
        <v>215</v>
      </c>
      <c r="C34" s="141"/>
      <c r="D34" s="1"/>
    </row>
    <row r="35" spans="1:4" ht="15" x14ac:dyDescent="0.25">
      <c r="A35" s="62"/>
      <c r="B35" s="137" t="s">
        <v>28</v>
      </c>
      <c r="C35" s="64"/>
      <c r="D35" s="1"/>
    </row>
    <row r="36" spans="1:4" ht="15" x14ac:dyDescent="0.25">
      <c r="A36" s="62"/>
      <c r="B36" s="135" t="s">
        <v>29</v>
      </c>
      <c r="C36" s="64"/>
      <c r="D36" s="1"/>
    </row>
    <row r="37" spans="1:4" ht="13.8" x14ac:dyDescent="0.25">
      <c r="B37" s="138" t="s">
        <v>218</v>
      </c>
      <c r="C37" s="64"/>
      <c r="D37" s="1"/>
    </row>
    <row r="38" spans="1:4" ht="15" x14ac:dyDescent="0.25">
      <c r="A38" s="62"/>
      <c r="B38" s="127" t="s">
        <v>31</v>
      </c>
      <c r="C38" s="64"/>
      <c r="D38" s="64"/>
    </row>
    <row r="39" spans="1:4" ht="15" x14ac:dyDescent="0.25">
      <c r="A39" s="62"/>
      <c r="B39" s="127" t="s">
        <v>32</v>
      </c>
    </row>
    <row r="40" spans="1:4" ht="50.4" x14ac:dyDescent="0.4">
      <c r="A40" s="139" t="s">
        <v>0</v>
      </c>
      <c r="B40" s="140" t="s">
        <v>65</v>
      </c>
    </row>
    <row r="41" spans="1:4" x14ac:dyDescent="0.25">
      <c r="A41" s="142"/>
      <c r="B41" s="64"/>
    </row>
    <row r="42" spans="1:4" x14ac:dyDescent="0.25">
      <c r="A42" s="142"/>
      <c r="B42" s="64"/>
    </row>
    <row r="43" spans="1:4" x14ac:dyDescent="0.25">
      <c r="A43" s="142"/>
      <c r="B43" s="143"/>
    </row>
    <row r="44" spans="1:4" ht="15" x14ac:dyDescent="0.35">
      <c r="A44" s="144"/>
      <c r="B44" s="145"/>
    </row>
    <row r="45" spans="1:4" x14ac:dyDescent="0.25">
      <c r="A45" s="146" t="s">
        <v>0</v>
      </c>
    </row>
    <row r="46" spans="1:4" x14ac:dyDescent="0.25">
      <c r="A46"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8" fitToWidth="0" orientation="portrait" r:id="rId1"/>
  <headerFooter alignWithMargins="0">
    <oddFooter>Página &amp;P de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A0DA-6B53-4D84-ABBA-47498FFF8283}">
  <dimension ref="A14:G281"/>
  <sheetViews>
    <sheetView topLeftCell="A61" workbookViewId="0">
      <selection activeCell="A74" sqref="A74"/>
    </sheetView>
  </sheetViews>
  <sheetFormatPr baseColWidth="10" defaultRowHeight="14.4" x14ac:dyDescent="0.3"/>
  <cols>
    <col min="1" max="1" width="46.88671875" bestFit="1" customWidth="1"/>
    <col min="4" max="4" width="11.6640625" bestFit="1" customWidth="1"/>
    <col min="5" max="5" width="14" bestFit="1" customWidth="1"/>
  </cols>
  <sheetData>
    <row r="14" spans="6:7" x14ac:dyDescent="0.3">
      <c r="F14" s="307"/>
      <c r="G14" s="307"/>
    </row>
    <row r="15" spans="6:7" x14ac:dyDescent="0.3">
      <c r="F15" s="307"/>
      <c r="G15" s="307"/>
    </row>
    <row r="16" spans="6:7" x14ac:dyDescent="0.3">
      <c r="F16" s="307"/>
      <c r="G16" s="307"/>
    </row>
    <row r="17" spans="1:7" x14ac:dyDescent="0.3">
      <c r="A17" s="323" t="s">
        <v>229</v>
      </c>
      <c r="B17" s="323" t="s">
        <v>250</v>
      </c>
      <c r="C17" s="323" t="s">
        <v>249</v>
      </c>
      <c r="D17" s="323" t="s">
        <v>248</v>
      </c>
      <c r="E17" s="323" t="s">
        <v>247</v>
      </c>
      <c r="F17" s="307"/>
      <c r="G17" s="307"/>
    </row>
    <row r="18" spans="1:7" x14ac:dyDescent="0.3">
      <c r="A18" s="317" t="s">
        <v>269</v>
      </c>
      <c r="B18" s="310">
        <v>1</v>
      </c>
      <c r="C18" s="310" t="s">
        <v>232</v>
      </c>
      <c r="D18" s="312">
        <v>7000</v>
      </c>
      <c r="E18" s="312">
        <v>7000</v>
      </c>
      <c r="F18" s="307"/>
      <c r="G18" s="307"/>
    </row>
    <row r="19" spans="1:7" x14ac:dyDescent="0.3">
      <c r="B19" s="307"/>
      <c r="C19" s="307"/>
      <c r="D19" s="320"/>
      <c r="E19" s="320"/>
      <c r="F19" s="307"/>
      <c r="G19" s="307"/>
    </row>
    <row r="20" spans="1:7" x14ac:dyDescent="0.3">
      <c r="A20" s="310" t="s">
        <v>268</v>
      </c>
      <c r="B20" s="310">
        <v>220</v>
      </c>
      <c r="C20" s="310" t="s">
        <v>267</v>
      </c>
      <c r="D20" s="312">
        <v>5760</v>
      </c>
      <c r="E20" s="312">
        <v>1267200</v>
      </c>
      <c r="F20" s="307"/>
      <c r="G20" s="307"/>
    </row>
    <row r="21" spans="1:7" x14ac:dyDescent="0.3">
      <c r="A21" s="310" t="s">
        <v>266</v>
      </c>
      <c r="B21" s="307"/>
      <c r="C21" s="307"/>
      <c r="D21" s="320"/>
      <c r="E21" s="320"/>
      <c r="F21" s="307"/>
      <c r="G21" s="307"/>
    </row>
    <row r="22" spans="1:7" x14ac:dyDescent="0.3">
      <c r="A22" s="307"/>
      <c r="B22" s="307"/>
      <c r="C22" s="307"/>
      <c r="D22" s="320"/>
      <c r="E22" s="320"/>
      <c r="F22" s="307"/>
      <c r="G22" s="307"/>
    </row>
    <row r="23" spans="1:7" x14ac:dyDescent="0.3">
      <c r="A23" s="310" t="s">
        <v>265</v>
      </c>
      <c r="B23" s="310"/>
      <c r="C23" s="310" t="s">
        <v>245</v>
      </c>
      <c r="D23" s="312">
        <v>6000</v>
      </c>
      <c r="E23" s="312"/>
      <c r="F23" s="307"/>
      <c r="G23" s="307"/>
    </row>
    <row r="24" spans="1:7" x14ac:dyDescent="0.3">
      <c r="A24" s="310" t="s">
        <v>264</v>
      </c>
      <c r="B24" s="307"/>
      <c r="C24" s="307"/>
      <c r="D24" s="320"/>
      <c r="E24" s="320"/>
      <c r="F24" s="307"/>
      <c r="G24" s="307"/>
    </row>
    <row r="25" spans="1:7" x14ac:dyDescent="0.3">
      <c r="A25" s="307"/>
      <c r="B25" s="307"/>
      <c r="C25" s="307"/>
      <c r="D25" s="320"/>
      <c r="E25" s="320"/>
      <c r="F25" s="307"/>
      <c r="G25" s="307"/>
    </row>
    <row r="26" spans="1:7" x14ac:dyDescent="0.3">
      <c r="A26" s="310" t="s">
        <v>263</v>
      </c>
      <c r="B26" s="310"/>
      <c r="C26" s="310" t="s">
        <v>240</v>
      </c>
      <c r="D26" s="312">
        <v>5000</v>
      </c>
      <c r="E26" s="312"/>
      <c r="F26" s="307"/>
      <c r="G26" s="307"/>
    </row>
    <row r="27" spans="1:7" x14ac:dyDescent="0.3">
      <c r="A27" s="310" t="s">
        <v>262</v>
      </c>
      <c r="B27" s="307"/>
      <c r="C27" s="307"/>
      <c r="D27" s="320"/>
      <c r="E27" s="320"/>
      <c r="F27" s="307"/>
      <c r="G27" s="307"/>
    </row>
    <row r="28" spans="1:7" x14ac:dyDescent="0.3">
      <c r="A28" s="307"/>
      <c r="B28" s="307"/>
      <c r="C28" s="307"/>
      <c r="D28" s="320"/>
      <c r="E28" s="320"/>
      <c r="F28" s="307"/>
      <c r="G28" s="307"/>
    </row>
    <row r="29" spans="1:7" x14ac:dyDescent="0.3">
      <c r="A29" s="315" t="s">
        <v>261</v>
      </c>
      <c r="B29" s="310">
        <v>9</v>
      </c>
      <c r="C29" s="310" t="s">
        <v>260</v>
      </c>
      <c r="D29" s="322">
        <v>5900</v>
      </c>
      <c r="E29" s="312">
        <v>53100</v>
      </c>
      <c r="F29" s="307"/>
      <c r="G29" s="307"/>
    </row>
    <row r="30" spans="1:7" x14ac:dyDescent="0.3">
      <c r="A30" s="310" t="s">
        <v>259</v>
      </c>
      <c r="B30" s="307"/>
      <c r="C30" s="307"/>
      <c r="D30" s="307"/>
      <c r="E30" s="307"/>
      <c r="F30" s="307"/>
      <c r="G30" s="307"/>
    </row>
    <row r="31" spans="1:7" x14ac:dyDescent="0.3">
      <c r="A31" s="307"/>
      <c r="B31" s="307"/>
      <c r="C31" s="307"/>
      <c r="D31" s="307"/>
      <c r="E31" s="307"/>
      <c r="F31" s="307"/>
      <c r="G31" s="307"/>
    </row>
    <row r="32" spans="1:7" x14ac:dyDescent="0.3">
      <c r="A32" s="317" t="s">
        <v>258</v>
      </c>
      <c r="B32" s="310"/>
      <c r="C32" s="310" t="s">
        <v>257</v>
      </c>
      <c r="D32" s="321" t="s">
        <v>256</v>
      </c>
      <c r="E32" s="310"/>
      <c r="F32" s="307"/>
      <c r="G32" s="307"/>
    </row>
    <row r="33" spans="1:7" x14ac:dyDescent="0.3">
      <c r="A33" s="310" t="s">
        <v>255</v>
      </c>
      <c r="B33" s="307"/>
      <c r="C33" s="307"/>
      <c r="D33" s="307"/>
      <c r="E33" s="307"/>
      <c r="F33" s="307"/>
      <c r="G33" s="307"/>
    </row>
    <row r="34" spans="1:7" x14ac:dyDescent="0.3">
      <c r="A34" s="310" t="s">
        <v>254</v>
      </c>
      <c r="B34" s="307"/>
      <c r="C34" s="307"/>
      <c r="D34" s="307"/>
      <c r="E34" s="307"/>
      <c r="F34" s="307"/>
      <c r="G34" s="307"/>
    </row>
    <row r="35" spans="1:7" x14ac:dyDescent="0.3">
      <c r="A35" s="307"/>
      <c r="B35" s="307"/>
      <c r="C35" s="307"/>
      <c r="D35" s="307"/>
      <c r="E35" s="307"/>
      <c r="F35" s="307"/>
      <c r="G35" s="307"/>
    </row>
    <row r="36" spans="1:7" x14ac:dyDescent="0.3">
      <c r="A36" s="310" t="s">
        <v>253</v>
      </c>
      <c r="B36" s="310">
        <v>50</v>
      </c>
      <c r="C36" s="310" t="s">
        <v>245</v>
      </c>
      <c r="D36" s="312">
        <v>0</v>
      </c>
      <c r="E36" s="310"/>
      <c r="F36" s="307"/>
      <c r="G36" s="307"/>
    </row>
    <row r="37" spans="1:7" x14ac:dyDescent="0.3">
      <c r="A37" s="307"/>
      <c r="B37" s="307"/>
      <c r="C37" s="307"/>
      <c r="D37" s="320"/>
      <c r="E37" s="307"/>
      <c r="F37" s="307"/>
      <c r="G37" s="307"/>
    </row>
    <row r="38" spans="1:7" x14ac:dyDescent="0.3">
      <c r="A38" s="310" t="s">
        <v>252</v>
      </c>
      <c r="B38" s="310">
        <v>170</v>
      </c>
      <c r="C38" s="310" t="s">
        <v>235</v>
      </c>
      <c r="D38" s="312">
        <v>0</v>
      </c>
      <c r="E38" s="310"/>
      <c r="F38" s="307"/>
      <c r="G38" s="307"/>
    </row>
    <row r="39" spans="1:7" x14ac:dyDescent="0.3">
      <c r="A39" s="310" t="s">
        <v>251</v>
      </c>
      <c r="B39" s="307"/>
      <c r="C39" s="307"/>
      <c r="D39" s="307"/>
      <c r="E39" s="307"/>
      <c r="F39" s="307"/>
      <c r="G39" s="307"/>
    </row>
    <row r="40" spans="1:7" x14ac:dyDescent="0.3">
      <c r="A40" s="307"/>
      <c r="B40" s="307"/>
      <c r="C40" s="307"/>
      <c r="D40" s="307"/>
      <c r="E40" s="307"/>
      <c r="F40" s="307"/>
      <c r="G40" s="307"/>
    </row>
    <row r="41" spans="1:7" x14ac:dyDescent="0.3">
      <c r="A41" s="307"/>
      <c r="B41" s="307"/>
      <c r="C41" s="307"/>
      <c r="D41" s="307"/>
      <c r="E41" s="307"/>
      <c r="F41" s="307"/>
      <c r="G41" s="307"/>
    </row>
    <row r="42" spans="1:7" x14ac:dyDescent="0.3">
      <c r="A42" s="307"/>
      <c r="B42" s="307"/>
      <c r="C42" s="307"/>
      <c r="D42" s="307"/>
      <c r="E42" s="307"/>
      <c r="F42" s="307"/>
      <c r="G42" s="307"/>
    </row>
    <row r="43" spans="1:7" x14ac:dyDescent="0.3">
      <c r="A43" s="307"/>
      <c r="B43" s="307"/>
      <c r="C43" s="307"/>
      <c r="D43" s="307"/>
      <c r="E43" s="307"/>
      <c r="F43" s="307"/>
      <c r="G43" s="307"/>
    </row>
    <row r="44" spans="1:7" x14ac:dyDescent="0.3">
      <c r="A44" s="307"/>
      <c r="B44" s="307"/>
      <c r="C44" s="307"/>
      <c r="D44" s="307"/>
      <c r="E44" s="307"/>
      <c r="F44" s="307"/>
      <c r="G44" s="307"/>
    </row>
    <row r="45" spans="1:7" x14ac:dyDescent="0.3">
      <c r="A45" s="307"/>
      <c r="B45" s="307"/>
      <c r="C45" s="307"/>
      <c r="D45" s="307"/>
      <c r="E45" s="307"/>
      <c r="F45" s="307"/>
      <c r="G45" s="307"/>
    </row>
    <row r="46" spans="1:7" x14ac:dyDescent="0.3">
      <c r="A46" s="307"/>
      <c r="B46" s="307"/>
      <c r="C46" s="307"/>
      <c r="D46" s="307"/>
      <c r="E46" s="307"/>
      <c r="F46" s="307"/>
      <c r="G46" s="307"/>
    </row>
    <row r="47" spans="1:7" x14ac:dyDescent="0.3">
      <c r="A47" s="307"/>
      <c r="B47" s="307"/>
      <c r="C47" s="307"/>
      <c r="D47" s="307"/>
      <c r="E47" s="307"/>
      <c r="F47" s="307"/>
      <c r="G47" s="307"/>
    </row>
    <row r="48" spans="1:7" x14ac:dyDescent="0.3">
      <c r="A48" s="307"/>
      <c r="B48" s="307"/>
      <c r="C48" s="307"/>
      <c r="D48" s="307"/>
      <c r="E48" s="307"/>
      <c r="F48" s="307"/>
      <c r="G48" s="307"/>
    </row>
    <row r="49" spans="1:7" x14ac:dyDescent="0.3">
      <c r="A49" s="307"/>
      <c r="B49" s="307"/>
      <c r="C49" s="307"/>
      <c r="D49" s="307"/>
      <c r="E49" s="307"/>
      <c r="F49" s="307"/>
      <c r="G49" s="307"/>
    </row>
    <row r="50" spans="1:7" x14ac:dyDescent="0.3">
      <c r="A50" s="307"/>
      <c r="B50" s="307"/>
      <c r="C50" s="307"/>
      <c r="D50" s="307"/>
      <c r="E50" s="307"/>
      <c r="F50" s="307"/>
      <c r="G50" s="307"/>
    </row>
    <row r="51" spans="1:7" x14ac:dyDescent="0.3">
      <c r="A51" s="307"/>
      <c r="B51" s="307"/>
      <c r="C51" s="307"/>
      <c r="D51" s="307"/>
      <c r="E51" s="307"/>
      <c r="F51" s="307"/>
      <c r="G51" s="307"/>
    </row>
    <row r="52" spans="1:7" x14ac:dyDescent="0.3">
      <c r="A52" s="307"/>
      <c r="B52" s="307"/>
      <c r="C52" s="307"/>
      <c r="D52" s="307"/>
      <c r="E52" s="307"/>
      <c r="F52" s="307"/>
      <c r="G52" s="307"/>
    </row>
    <row r="53" spans="1:7" x14ac:dyDescent="0.3">
      <c r="A53" s="307"/>
      <c r="B53" s="307"/>
      <c r="C53" s="307"/>
      <c r="D53" s="307"/>
      <c r="E53" s="307"/>
      <c r="F53" s="307"/>
      <c r="G53" s="307"/>
    </row>
    <row r="54" spans="1:7" x14ac:dyDescent="0.3">
      <c r="A54" s="307"/>
      <c r="B54" s="307"/>
      <c r="C54" s="307"/>
      <c r="D54" s="307"/>
      <c r="E54" s="307"/>
      <c r="F54" s="307"/>
      <c r="G54" s="307"/>
    </row>
    <row r="55" spans="1:7" x14ac:dyDescent="0.3">
      <c r="A55" s="307"/>
      <c r="B55" s="307"/>
      <c r="C55" s="307"/>
      <c r="D55" s="307"/>
      <c r="E55" s="307"/>
      <c r="F55" s="307"/>
      <c r="G55" s="307"/>
    </row>
    <row r="56" spans="1:7" x14ac:dyDescent="0.3">
      <c r="A56" s="319" t="s">
        <v>229</v>
      </c>
      <c r="B56" s="319" t="s">
        <v>250</v>
      </c>
      <c r="C56" s="319" t="s">
        <v>249</v>
      </c>
      <c r="D56" s="319" t="s">
        <v>248</v>
      </c>
      <c r="E56" s="319" t="s">
        <v>247</v>
      </c>
      <c r="F56" s="307"/>
      <c r="G56" s="307"/>
    </row>
    <row r="57" spans="1:7" x14ac:dyDescent="0.3">
      <c r="A57" s="310" t="s">
        <v>246</v>
      </c>
      <c r="B57" s="310"/>
      <c r="C57" s="310" t="s">
        <v>245</v>
      </c>
      <c r="D57" s="312">
        <v>2950</v>
      </c>
      <c r="E57" s="310"/>
      <c r="F57" s="307"/>
      <c r="G57" s="307"/>
    </row>
    <row r="58" spans="1:7" x14ac:dyDescent="0.3">
      <c r="A58" s="310" t="s">
        <v>244</v>
      </c>
      <c r="B58" s="307"/>
      <c r="C58" s="307"/>
      <c r="D58" s="307"/>
      <c r="E58" s="307"/>
      <c r="F58" s="307"/>
      <c r="G58" s="307"/>
    </row>
    <row r="59" spans="1:7" x14ac:dyDescent="0.3">
      <c r="A59" s="307"/>
      <c r="B59" s="307"/>
      <c r="C59" s="307"/>
      <c r="D59" s="307"/>
      <c r="E59" s="307"/>
      <c r="F59" s="307"/>
      <c r="G59" s="307"/>
    </row>
    <row r="60" spans="1:7" x14ac:dyDescent="0.3">
      <c r="A60" s="307" t="s">
        <v>243</v>
      </c>
      <c r="B60" s="307">
        <v>220</v>
      </c>
      <c r="C60" s="307" t="s">
        <v>235</v>
      </c>
      <c r="D60" s="318">
        <v>350</v>
      </c>
      <c r="E60" s="318">
        <f>B60*D60</f>
        <v>77000</v>
      </c>
      <c r="F60" s="307"/>
      <c r="G60" s="307"/>
    </row>
    <row r="61" spans="1:7" x14ac:dyDescent="0.3">
      <c r="A61" s="307" t="s">
        <v>242</v>
      </c>
      <c r="B61" s="307"/>
      <c r="C61" s="307"/>
      <c r="D61" s="307"/>
      <c r="E61" s="307"/>
      <c r="F61" s="307"/>
      <c r="G61" s="307"/>
    </row>
    <row r="62" spans="1:7" x14ac:dyDescent="0.3">
      <c r="A62" s="307"/>
      <c r="B62" s="307"/>
      <c r="C62" s="307"/>
      <c r="D62" s="307"/>
      <c r="E62" s="307"/>
      <c r="F62" s="307"/>
      <c r="G62" s="307"/>
    </row>
    <row r="63" spans="1:7" x14ac:dyDescent="0.3">
      <c r="A63" s="315" t="s">
        <v>241</v>
      </c>
      <c r="B63" s="310"/>
      <c r="C63" s="310" t="s">
        <v>240</v>
      </c>
      <c r="D63" s="310">
        <v>420</v>
      </c>
      <c r="E63" s="310"/>
      <c r="F63" s="307"/>
      <c r="G63" s="307"/>
    </row>
    <row r="64" spans="1:7" x14ac:dyDescent="0.3">
      <c r="A64" s="307"/>
      <c r="B64" s="307"/>
      <c r="C64" s="307"/>
      <c r="D64" s="307"/>
      <c r="E64" s="307"/>
      <c r="F64" s="307"/>
      <c r="G64" s="307"/>
    </row>
    <row r="65" spans="1:7" x14ac:dyDescent="0.3">
      <c r="A65" s="317" t="s">
        <v>239</v>
      </c>
      <c r="B65" s="310">
        <v>14</v>
      </c>
      <c r="C65" s="310" t="s">
        <v>238</v>
      </c>
      <c r="D65" s="312">
        <v>1450</v>
      </c>
      <c r="E65" s="312">
        <v>20300</v>
      </c>
      <c r="F65" s="307"/>
      <c r="G65" s="307"/>
    </row>
    <row r="66" spans="1:7" x14ac:dyDescent="0.3">
      <c r="A66" s="307" t="s">
        <v>237</v>
      </c>
      <c r="B66" s="307"/>
      <c r="C66" s="307"/>
      <c r="D66" s="307"/>
      <c r="E66" s="307"/>
      <c r="F66" s="307"/>
      <c r="G66" s="307"/>
    </row>
    <row r="67" spans="1:7" x14ac:dyDescent="0.3">
      <c r="A67" s="307"/>
      <c r="B67" s="307"/>
      <c r="C67" s="307"/>
      <c r="D67" s="307"/>
      <c r="E67" s="307"/>
      <c r="F67" s="307"/>
      <c r="G67" s="307"/>
    </row>
    <row r="68" spans="1:7" x14ac:dyDescent="0.3">
      <c r="A68" s="316" t="s">
        <v>236</v>
      </c>
      <c r="B68" s="310">
        <v>220</v>
      </c>
      <c r="C68" s="310" t="s">
        <v>235</v>
      </c>
      <c r="D68" s="312">
        <v>320</v>
      </c>
      <c r="E68" s="312">
        <f>B68*D68</f>
        <v>70400</v>
      </c>
      <c r="F68" s="307"/>
      <c r="G68" s="307"/>
    </row>
    <row r="69" spans="1:7" x14ac:dyDescent="0.3">
      <c r="A69" s="307" t="s">
        <v>234</v>
      </c>
      <c r="B69" s="307"/>
      <c r="C69" s="307"/>
      <c r="D69" s="307"/>
      <c r="E69" s="307"/>
      <c r="F69" s="307"/>
      <c r="G69" s="307"/>
    </row>
    <row r="70" spans="1:7" x14ac:dyDescent="0.3">
      <c r="A70" s="307"/>
      <c r="B70" s="307"/>
      <c r="C70" s="307"/>
      <c r="D70" s="307"/>
      <c r="E70" s="307"/>
      <c r="F70" s="307"/>
      <c r="G70" s="307"/>
    </row>
    <row r="71" spans="1:7" x14ac:dyDescent="0.3">
      <c r="A71" s="310" t="s">
        <v>233</v>
      </c>
      <c r="B71" s="310">
        <v>1</v>
      </c>
      <c r="C71" s="310" t="s">
        <v>232</v>
      </c>
      <c r="D71" s="312">
        <v>30000</v>
      </c>
      <c r="E71" s="312">
        <f>B71*D71</f>
        <v>30000</v>
      </c>
      <c r="F71" s="307"/>
      <c r="G71" s="307"/>
    </row>
    <row r="72" spans="1:7" x14ac:dyDescent="0.3">
      <c r="B72" s="307"/>
      <c r="C72" s="307"/>
      <c r="D72" s="307"/>
      <c r="E72" s="307"/>
      <c r="F72" s="307"/>
      <c r="G72" s="307"/>
    </row>
    <row r="73" spans="1:7" x14ac:dyDescent="0.3">
      <c r="A73" s="315" t="s">
        <v>231</v>
      </c>
      <c r="B73" s="310"/>
      <c r="C73" s="310" t="s">
        <v>230</v>
      </c>
      <c r="D73" s="312">
        <v>450</v>
      </c>
      <c r="E73" s="310"/>
      <c r="F73" s="307"/>
      <c r="G73" s="307"/>
    </row>
    <row r="74" spans="1:7" x14ac:dyDescent="0.3">
      <c r="A74" s="307"/>
      <c r="B74" s="307"/>
      <c r="C74" s="307"/>
      <c r="D74" s="307"/>
      <c r="E74" s="307"/>
      <c r="F74" s="307"/>
      <c r="G74" s="307"/>
    </row>
    <row r="75" spans="1:7" x14ac:dyDescent="0.3">
      <c r="A75" s="307"/>
      <c r="B75" s="307"/>
      <c r="C75" s="307"/>
      <c r="D75" s="310" t="s">
        <v>18</v>
      </c>
      <c r="E75" s="314">
        <f>SUM(E18:E73)</f>
        <v>1525000</v>
      </c>
      <c r="F75" s="307"/>
      <c r="G75" s="307"/>
    </row>
    <row r="76" spans="1:7" x14ac:dyDescent="0.3">
      <c r="A76" s="307"/>
      <c r="B76" s="307"/>
      <c r="C76" s="307"/>
      <c r="D76" s="307"/>
      <c r="E76" s="308"/>
      <c r="F76" s="307"/>
      <c r="G76" s="307"/>
    </row>
    <row r="77" spans="1:7" x14ac:dyDescent="0.3">
      <c r="A77" s="313" t="s">
        <v>229</v>
      </c>
      <c r="B77" s="313" t="s">
        <v>228</v>
      </c>
      <c r="C77" s="307"/>
      <c r="D77" s="307" t="s">
        <v>227</v>
      </c>
      <c r="E77" s="307"/>
      <c r="F77" s="307"/>
      <c r="G77" s="307"/>
    </row>
    <row r="78" spans="1:7" x14ac:dyDescent="0.3">
      <c r="A78" s="310" t="s">
        <v>226</v>
      </c>
      <c r="B78" s="309">
        <v>962.01</v>
      </c>
      <c r="C78" s="307"/>
      <c r="D78" s="307"/>
      <c r="E78" s="307"/>
      <c r="F78" s="307"/>
      <c r="G78" s="307"/>
    </row>
    <row r="79" spans="1:7" x14ac:dyDescent="0.3">
      <c r="A79" s="310" t="s">
        <v>225</v>
      </c>
      <c r="B79" s="309">
        <v>1223.3900000000001</v>
      </c>
      <c r="C79" s="307"/>
      <c r="D79" s="307"/>
      <c r="E79" s="308">
        <f>(((E75)+(50*B78)+(170*B79))/220)</f>
        <v>8095.8036363636365</v>
      </c>
      <c r="F79" s="307"/>
      <c r="G79" s="307"/>
    </row>
    <row r="80" spans="1:7" x14ac:dyDescent="0.3">
      <c r="A80" s="307"/>
      <c r="B80" s="311"/>
      <c r="C80" s="307"/>
      <c r="D80" s="307"/>
      <c r="E80" s="307"/>
      <c r="F80" s="307"/>
      <c r="G80" s="307"/>
    </row>
    <row r="81" spans="1:7" x14ac:dyDescent="0.3">
      <c r="A81" s="310" t="s">
        <v>224</v>
      </c>
      <c r="B81" s="312">
        <v>1058.4000000000001</v>
      </c>
      <c r="C81" s="307"/>
      <c r="D81" s="307"/>
      <c r="E81" s="307"/>
      <c r="F81" s="307"/>
      <c r="G81" s="307"/>
    </row>
    <row r="82" spans="1:7" x14ac:dyDescent="0.3">
      <c r="A82" s="310" t="s">
        <v>223</v>
      </c>
      <c r="B82" s="309">
        <v>1326</v>
      </c>
      <c r="C82" s="307"/>
      <c r="D82" s="307"/>
      <c r="E82" s="308">
        <f>(((E75)+(50*B81)+(170*B82))/220)</f>
        <v>8197</v>
      </c>
      <c r="F82" s="307"/>
      <c r="G82" s="307"/>
    </row>
    <row r="83" spans="1:7" x14ac:dyDescent="0.3">
      <c r="A83" s="307"/>
      <c r="B83" s="311"/>
      <c r="C83" s="307"/>
      <c r="D83" s="307"/>
      <c r="E83" s="307"/>
      <c r="F83" s="307"/>
      <c r="G83" s="307"/>
    </row>
    <row r="84" spans="1:7" x14ac:dyDescent="0.3">
      <c r="A84" s="310" t="s">
        <v>222</v>
      </c>
      <c r="B84" s="309">
        <v>1039.6400000000001</v>
      </c>
      <c r="C84" s="307"/>
      <c r="D84" s="307"/>
      <c r="E84" s="307"/>
      <c r="F84" s="307"/>
      <c r="G84" s="307"/>
    </row>
    <row r="85" spans="1:7" x14ac:dyDescent="0.3">
      <c r="A85" s="310" t="s">
        <v>221</v>
      </c>
      <c r="B85" s="309">
        <v>1354.12</v>
      </c>
      <c r="C85" s="307"/>
      <c r="D85" s="307"/>
      <c r="E85" s="308">
        <f>(((E75)+(50*B84)+(170*B85))/220)</f>
        <v>8214.4654545454541</v>
      </c>
      <c r="F85" s="307"/>
      <c r="G85" s="307"/>
    </row>
    <row r="86" spans="1:7" x14ac:dyDescent="0.3">
      <c r="A86" s="307"/>
      <c r="B86" s="307"/>
      <c r="C86" s="307"/>
      <c r="D86" s="307"/>
      <c r="E86" s="307"/>
      <c r="F86" s="307"/>
      <c r="G86" s="307"/>
    </row>
    <row r="87" spans="1:7" x14ac:dyDescent="0.3">
      <c r="A87" s="307"/>
      <c r="B87" s="307"/>
      <c r="C87" s="307"/>
      <c r="D87" s="307"/>
      <c r="E87" s="307"/>
      <c r="F87" s="307"/>
      <c r="G87" s="307"/>
    </row>
    <row r="88" spans="1:7" x14ac:dyDescent="0.3">
      <c r="A88" s="307"/>
      <c r="B88" s="307"/>
      <c r="C88" s="307"/>
      <c r="D88" s="307"/>
      <c r="E88" s="307"/>
      <c r="F88" s="307"/>
      <c r="G88" s="307"/>
    </row>
    <row r="89" spans="1:7" x14ac:dyDescent="0.3">
      <c r="A89" s="307"/>
      <c r="B89" s="307"/>
      <c r="C89" s="307"/>
      <c r="D89" s="307"/>
      <c r="E89" s="307"/>
      <c r="F89" s="307"/>
      <c r="G89" s="307"/>
    </row>
    <row r="90" spans="1:7" x14ac:dyDescent="0.3">
      <c r="A90" s="307"/>
      <c r="B90" s="307"/>
      <c r="C90" s="307"/>
      <c r="D90" s="307"/>
      <c r="E90" s="307"/>
      <c r="F90" s="307"/>
      <c r="G90" s="307"/>
    </row>
    <row r="91" spans="1:7" x14ac:dyDescent="0.3">
      <c r="A91" s="307"/>
      <c r="B91" s="307"/>
      <c r="C91" s="307"/>
      <c r="D91" s="307"/>
      <c r="E91" s="307"/>
      <c r="F91" s="307"/>
      <c r="G91" s="307"/>
    </row>
    <row r="92" spans="1:7" x14ac:dyDescent="0.3">
      <c r="A92" s="307"/>
      <c r="B92" s="307"/>
      <c r="C92" s="307"/>
      <c r="D92" s="307"/>
      <c r="E92" s="307"/>
      <c r="F92" s="307"/>
      <c r="G92" s="307"/>
    </row>
    <row r="93" spans="1:7" x14ac:dyDescent="0.3">
      <c r="A93" s="307"/>
      <c r="B93" s="307"/>
      <c r="C93" s="307"/>
      <c r="D93" s="307"/>
      <c r="E93" s="307"/>
      <c r="F93" s="307"/>
      <c r="G93" s="307"/>
    </row>
    <row r="94" spans="1:7" x14ac:dyDescent="0.3">
      <c r="A94" s="307"/>
      <c r="B94" s="307"/>
      <c r="C94" s="307"/>
      <c r="D94" s="307"/>
      <c r="E94" s="307"/>
      <c r="F94" s="307"/>
      <c r="G94" s="307"/>
    </row>
    <row r="95" spans="1:7" x14ac:dyDescent="0.3">
      <c r="A95" s="307"/>
      <c r="B95" s="307"/>
      <c r="C95" s="307"/>
      <c r="D95" s="307"/>
      <c r="E95" s="307"/>
      <c r="F95" s="307"/>
      <c r="G95" s="307"/>
    </row>
    <row r="96" spans="1:7" x14ac:dyDescent="0.3">
      <c r="A96" s="307"/>
      <c r="B96" s="307"/>
      <c r="C96" s="307"/>
      <c r="D96" s="307"/>
      <c r="E96" s="307"/>
      <c r="F96" s="307"/>
      <c r="G96" s="307"/>
    </row>
    <row r="97" spans="1:7" x14ac:dyDescent="0.3">
      <c r="A97" s="307"/>
      <c r="B97" s="307"/>
      <c r="C97" s="307"/>
      <c r="D97" s="307"/>
      <c r="E97" s="307"/>
      <c r="F97" s="307"/>
      <c r="G97" s="307"/>
    </row>
    <row r="98" spans="1:7" x14ac:dyDescent="0.3">
      <c r="A98" s="307"/>
      <c r="B98" s="307"/>
      <c r="C98" s="307"/>
      <c r="D98" s="307"/>
      <c r="E98" s="307"/>
      <c r="F98" s="307"/>
      <c r="G98" s="307"/>
    </row>
    <row r="99" spans="1:7" x14ac:dyDescent="0.3">
      <c r="A99" s="307"/>
      <c r="B99" s="307"/>
      <c r="C99" s="307"/>
      <c r="D99" s="307"/>
      <c r="E99" s="307"/>
      <c r="F99" s="307"/>
      <c r="G99" s="307"/>
    </row>
    <row r="100" spans="1:7" x14ac:dyDescent="0.3">
      <c r="A100" s="307"/>
      <c r="B100" s="307"/>
      <c r="C100" s="307"/>
      <c r="D100" s="307"/>
      <c r="E100" s="307"/>
      <c r="F100" s="307"/>
      <c r="G100" s="307"/>
    </row>
    <row r="101" spans="1:7" x14ac:dyDescent="0.3">
      <c r="A101" s="307"/>
      <c r="B101" s="307"/>
      <c r="C101" s="307"/>
      <c r="D101" s="307"/>
      <c r="E101" s="307"/>
      <c r="F101" s="307"/>
      <c r="G101" s="307"/>
    </row>
    <row r="102" spans="1:7" x14ac:dyDescent="0.3">
      <c r="A102" s="307"/>
      <c r="B102" s="307"/>
      <c r="C102" s="307"/>
      <c r="D102" s="307"/>
      <c r="E102" s="307"/>
      <c r="F102" s="307"/>
      <c r="G102" s="307"/>
    </row>
    <row r="103" spans="1:7" x14ac:dyDescent="0.3">
      <c r="A103" s="307"/>
      <c r="B103" s="307"/>
      <c r="C103" s="307"/>
      <c r="D103" s="307"/>
      <c r="E103" s="307"/>
      <c r="F103" s="307"/>
      <c r="G103" s="307"/>
    </row>
    <row r="104" spans="1:7" x14ac:dyDescent="0.3">
      <c r="A104" s="307"/>
      <c r="B104" s="307"/>
      <c r="C104" s="307"/>
      <c r="D104" s="307"/>
      <c r="E104" s="307"/>
      <c r="F104" s="307"/>
      <c r="G104" s="307"/>
    </row>
    <row r="105" spans="1:7" x14ac:dyDescent="0.3">
      <c r="A105" s="307"/>
      <c r="B105" s="307"/>
      <c r="C105" s="307"/>
      <c r="D105" s="307"/>
      <c r="E105" s="307"/>
      <c r="F105" s="307"/>
      <c r="G105" s="307"/>
    </row>
    <row r="106" spans="1:7" x14ac:dyDescent="0.3">
      <c r="A106" s="307"/>
      <c r="B106" s="307"/>
      <c r="C106" s="307"/>
      <c r="D106" s="307"/>
      <c r="E106" s="307"/>
      <c r="F106" s="307"/>
      <c r="G106" s="307"/>
    </row>
    <row r="107" spans="1:7" x14ac:dyDescent="0.3">
      <c r="A107" s="307"/>
      <c r="B107" s="307"/>
      <c r="C107" s="307"/>
      <c r="D107" s="307"/>
      <c r="E107" s="307"/>
      <c r="F107" s="307"/>
      <c r="G107" s="307"/>
    </row>
    <row r="108" spans="1:7" x14ac:dyDescent="0.3">
      <c r="A108" s="307"/>
      <c r="B108" s="307"/>
      <c r="C108" s="307"/>
      <c r="D108" s="307"/>
      <c r="E108" s="307"/>
      <c r="F108" s="307"/>
      <c r="G108" s="307"/>
    </row>
    <row r="109" spans="1:7" x14ac:dyDescent="0.3">
      <c r="A109" s="307"/>
      <c r="B109" s="307"/>
      <c r="C109" s="307"/>
      <c r="D109" s="307"/>
      <c r="E109" s="307"/>
      <c r="F109" s="307"/>
      <c r="G109" s="307"/>
    </row>
    <row r="110" spans="1:7" x14ac:dyDescent="0.3">
      <c r="A110" s="307"/>
      <c r="B110" s="307"/>
      <c r="C110" s="307"/>
      <c r="D110" s="307"/>
      <c r="E110" s="307"/>
      <c r="F110" s="307"/>
      <c r="G110" s="307"/>
    </row>
    <row r="111" spans="1:7" x14ac:dyDescent="0.3">
      <c r="A111" s="307"/>
      <c r="B111" s="307"/>
      <c r="C111" s="307"/>
      <c r="D111" s="307"/>
      <c r="E111" s="307"/>
      <c r="F111" s="307"/>
      <c r="G111" s="307"/>
    </row>
    <row r="112" spans="1:7" x14ac:dyDescent="0.3">
      <c r="A112" s="307"/>
      <c r="B112" s="307"/>
      <c r="C112" s="307"/>
      <c r="D112" s="307"/>
      <c r="E112" s="307"/>
      <c r="F112" s="307"/>
      <c r="G112" s="307"/>
    </row>
    <row r="113" spans="1:7" x14ac:dyDescent="0.3">
      <c r="A113" s="307"/>
      <c r="B113" s="307"/>
      <c r="C113" s="307"/>
      <c r="D113" s="307"/>
      <c r="E113" s="307"/>
      <c r="F113" s="307"/>
      <c r="G113" s="307"/>
    </row>
    <row r="114" spans="1:7" x14ac:dyDescent="0.3">
      <c r="A114" s="307"/>
      <c r="B114" s="307"/>
      <c r="C114" s="307"/>
      <c r="D114" s="307"/>
      <c r="E114" s="307"/>
      <c r="F114" s="307"/>
      <c r="G114" s="307"/>
    </row>
    <row r="115" spans="1:7" x14ac:dyDescent="0.3">
      <c r="A115" s="307"/>
      <c r="B115" s="307"/>
      <c r="C115" s="307"/>
      <c r="D115" s="307"/>
      <c r="E115" s="307"/>
      <c r="F115" s="307"/>
      <c r="G115" s="307"/>
    </row>
    <row r="116" spans="1:7" x14ac:dyDescent="0.3">
      <c r="A116" s="307"/>
      <c r="B116" s="307"/>
      <c r="C116" s="307"/>
      <c r="D116" s="307"/>
      <c r="E116" s="307"/>
      <c r="F116" s="307"/>
      <c r="G116" s="307"/>
    </row>
    <row r="117" spans="1:7" x14ac:dyDescent="0.3">
      <c r="A117" s="307"/>
      <c r="B117" s="307"/>
      <c r="C117" s="307"/>
      <c r="D117" s="307"/>
      <c r="E117" s="307"/>
      <c r="F117" s="307"/>
      <c r="G117" s="307"/>
    </row>
    <row r="118" spans="1:7" x14ac:dyDescent="0.3">
      <c r="A118" s="307"/>
      <c r="B118" s="307"/>
      <c r="C118" s="307"/>
      <c r="D118" s="307"/>
      <c r="E118" s="307"/>
      <c r="F118" s="307"/>
      <c r="G118" s="307"/>
    </row>
    <row r="119" spans="1:7" x14ac:dyDescent="0.3">
      <c r="A119" s="307"/>
      <c r="B119" s="307"/>
      <c r="C119" s="307"/>
      <c r="D119" s="307"/>
      <c r="E119" s="307"/>
      <c r="F119" s="307"/>
      <c r="G119" s="307"/>
    </row>
    <row r="120" spans="1:7" x14ac:dyDescent="0.3">
      <c r="A120" s="307"/>
      <c r="B120" s="307"/>
      <c r="C120" s="307"/>
      <c r="D120" s="307"/>
      <c r="E120" s="307"/>
      <c r="F120" s="307"/>
      <c r="G120" s="307"/>
    </row>
    <row r="121" spans="1:7" x14ac:dyDescent="0.3">
      <c r="A121" s="307"/>
      <c r="B121" s="307"/>
      <c r="C121" s="307"/>
      <c r="D121" s="307"/>
      <c r="E121" s="307"/>
      <c r="F121" s="307"/>
      <c r="G121" s="307"/>
    </row>
    <row r="122" spans="1:7" x14ac:dyDescent="0.3">
      <c r="A122" s="307"/>
      <c r="B122" s="307"/>
      <c r="C122" s="307"/>
      <c r="D122" s="307"/>
      <c r="E122" s="307"/>
      <c r="F122" s="307"/>
      <c r="G122" s="307"/>
    </row>
    <row r="123" spans="1:7" x14ac:dyDescent="0.3">
      <c r="A123" s="307"/>
      <c r="B123" s="307"/>
      <c r="C123" s="307"/>
      <c r="D123" s="307"/>
      <c r="E123" s="307"/>
      <c r="F123" s="307"/>
      <c r="G123" s="307"/>
    </row>
    <row r="124" spans="1:7" x14ac:dyDescent="0.3">
      <c r="A124" s="307"/>
      <c r="B124" s="307"/>
      <c r="C124" s="307"/>
      <c r="D124" s="307"/>
      <c r="E124" s="307"/>
      <c r="F124" s="307"/>
      <c r="G124" s="307"/>
    </row>
    <row r="125" spans="1:7" x14ac:dyDescent="0.3">
      <c r="A125" s="307"/>
      <c r="B125" s="307"/>
      <c r="C125" s="307"/>
      <c r="D125" s="307"/>
      <c r="E125" s="307"/>
      <c r="F125" s="307"/>
      <c r="G125" s="307"/>
    </row>
    <row r="126" spans="1:7" x14ac:dyDescent="0.3">
      <c r="A126" s="307"/>
      <c r="B126" s="307"/>
      <c r="C126" s="307"/>
      <c r="D126" s="307"/>
      <c r="E126" s="307"/>
      <c r="F126" s="307"/>
      <c r="G126" s="307"/>
    </row>
    <row r="127" spans="1:7" x14ac:dyDescent="0.3">
      <c r="A127" s="307"/>
      <c r="B127" s="307"/>
      <c r="C127" s="307"/>
      <c r="D127" s="307"/>
      <c r="E127" s="307"/>
      <c r="F127" s="307"/>
      <c r="G127" s="307"/>
    </row>
    <row r="128" spans="1:7" x14ac:dyDescent="0.3">
      <c r="A128" s="307"/>
      <c r="B128" s="307"/>
      <c r="C128" s="307"/>
      <c r="D128" s="307"/>
      <c r="E128" s="307"/>
      <c r="F128" s="307"/>
      <c r="G128" s="307"/>
    </row>
    <row r="129" spans="1:7" x14ac:dyDescent="0.3">
      <c r="A129" s="307"/>
      <c r="B129" s="307"/>
      <c r="C129" s="307"/>
      <c r="D129" s="307"/>
      <c r="E129" s="307"/>
      <c r="F129" s="307"/>
      <c r="G129" s="307"/>
    </row>
    <row r="130" spans="1:7" x14ac:dyDescent="0.3">
      <c r="A130" s="307"/>
      <c r="B130" s="307"/>
      <c r="C130" s="307"/>
      <c r="D130" s="307"/>
      <c r="E130" s="307"/>
      <c r="F130" s="307"/>
      <c r="G130" s="307"/>
    </row>
    <row r="131" spans="1:7" x14ac:dyDescent="0.3">
      <c r="A131" s="307"/>
      <c r="B131" s="307"/>
      <c r="C131" s="307"/>
      <c r="D131" s="307"/>
      <c r="E131" s="307"/>
      <c r="F131" s="307"/>
      <c r="G131" s="307"/>
    </row>
    <row r="132" spans="1:7" x14ac:dyDescent="0.3">
      <c r="A132" s="307"/>
      <c r="B132" s="307"/>
      <c r="C132" s="307"/>
      <c r="D132" s="307"/>
      <c r="E132" s="307"/>
      <c r="F132" s="307"/>
      <c r="G132" s="307"/>
    </row>
    <row r="133" spans="1:7" x14ac:dyDescent="0.3">
      <c r="A133" s="307"/>
      <c r="B133" s="307"/>
      <c r="C133" s="307"/>
      <c r="D133" s="307"/>
      <c r="E133" s="307"/>
      <c r="F133" s="307"/>
      <c r="G133" s="307"/>
    </row>
    <row r="134" spans="1:7" x14ac:dyDescent="0.3">
      <c r="A134" s="307"/>
      <c r="B134" s="307"/>
      <c r="C134" s="307"/>
      <c r="D134" s="307"/>
      <c r="E134" s="307"/>
      <c r="F134" s="307"/>
      <c r="G134" s="307"/>
    </row>
    <row r="135" spans="1:7" x14ac:dyDescent="0.3">
      <c r="A135" s="307"/>
      <c r="B135" s="307"/>
      <c r="C135" s="307"/>
      <c r="D135" s="307"/>
      <c r="E135" s="307"/>
      <c r="F135" s="307"/>
      <c r="G135" s="307"/>
    </row>
    <row r="136" spans="1:7" x14ac:dyDescent="0.3">
      <c r="A136" s="307"/>
      <c r="B136" s="307"/>
      <c r="C136" s="307"/>
      <c r="D136" s="307"/>
      <c r="E136" s="307"/>
      <c r="F136" s="307"/>
      <c r="G136" s="307"/>
    </row>
    <row r="137" spans="1:7" x14ac:dyDescent="0.3">
      <c r="A137" s="307"/>
      <c r="B137" s="307"/>
      <c r="C137" s="307"/>
      <c r="D137" s="307"/>
      <c r="E137" s="307"/>
      <c r="F137" s="307"/>
      <c r="G137" s="307"/>
    </row>
    <row r="138" spans="1:7" x14ac:dyDescent="0.3">
      <c r="A138" s="307"/>
      <c r="B138" s="307"/>
      <c r="C138" s="307"/>
      <c r="D138" s="307"/>
      <c r="E138" s="307"/>
      <c r="F138" s="307"/>
      <c r="G138" s="307"/>
    </row>
    <row r="139" spans="1:7" x14ac:dyDescent="0.3">
      <c r="A139" s="307"/>
      <c r="B139" s="307"/>
      <c r="C139" s="307"/>
      <c r="D139" s="307"/>
      <c r="E139" s="307"/>
      <c r="F139" s="307"/>
      <c r="G139" s="307"/>
    </row>
    <row r="140" spans="1:7" x14ac:dyDescent="0.3">
      <c r="A140" s="307"/>
      <c r="B140" s="307"/>
      <c r="C140" s="307"/>
      <c r="D140" s="307"/>
      <c r="E140" s="307"/>
      <c r="F140" s="307"/>
      <c r="G140" s="307"/>
    </row>
    <row r="141" spans="1:7" x14ac:dyDescent="0.3">
      <c r="A141" s="307"/>
      <c r="B141" s="307"/>
      <c r="C141" s="307"/>
      <c r="D141" s="307"/>
      <c r="E141" s="307"/>
      <c r="F141" s="307"/>
      <c r="G141" s="307"/>
    </row>
    <row r="142" spans="1:7" x14ac:dyDescent="0.3">
      <c r="A142" s="307"/>
      <c r="B142" s="307"/>
      <c r="C142" s="307"/>
      <c r="D142" s="307"/>
      <c r="E142" s="307"/>
      <c r="F142" s="307"/>
      <c r="G142" s="307"/>
    </row>
    <row r="143" spans="1:7" x14ac:dyDescent="0.3">
      <c r="A143" s="307"/>
      <c r="B143" s="307"/>
      <c r="C143" s="307"/>
      <c r="D143" s="307"/>
      <c r="E143" s="307"/>
      <c r="F143" s="307"/>
      <c r="G143" s="307"/>
    </row>
    <row r="144" spans="1:7" x14ac:dyDescent="0.3">
      <c r="A144" s="307"/>
      <c r="B144" s="307"/>
      <c r="C144" s="307"/>
      <c r="D144" s="307"/>
      <c r="E144" s="307"/>
      <c r="F144" s="307"/>
      <c r="G144" s="307"/>
    </row>
    <row r="145" spans="1:7" x14ac:dyDescent="0.3">
      <c r="A145" s="307"/>
      <c r="B145" s="307"/>
      <c r="C145" s="307"/>
      <c r="D145" s="307"/>
      <c r="E145" s="307"/>
      <c r="F145" s="307"/>
      <c r="G145" s="307"/>
    </row>
    <row r="146" spans="1:7" x14ac:dyDescent="0.3">
      <c r="A146" s="307"/>
      <c r="B146" s="307"/>
      <c r="C146" s="307"/>
      <c r="D146" s="307"/>
      <c r="E146" s="307"/>
      <c r="F146" s="307"/>
      <c r="G146" s="307"/>
    </row>
    <row r="147" spans="1:7" x14ac:dyDescent="0.3">
      <c r="A147" s="307"/>
      <c r="B147" s="307"/>
      <c r="C147" s="307"/>
      <c r="D147" s="307"/>
      <c r="E147" s="307"/>
      <c r="F147" s="307"/>
      <c r="G147" s="307"/>
    </row>
    <row r="148" spans="1:7" x14ac:dyDescent="0.3">
      <c r="A148" s="307"/>
      <c r="B148" s="307"/>
      <c r="C148" s="307"/>
      <c r="D148" s="307"/>
      <c r="E148" s="307"/>
      <c r="F148" s="307"/>
      <c r="G148" s="307"/>
    </row>
    <row r="149" spans="1:7" x14ac:dyDescent="0.3">
      <c r="A149" s="307"/>
      <c r="B149" s="307"/>
      <c r="C149" s="307"/>
      <c r="D149" s="307"/>
      <c r="E149" s="307"/>
      <c r="F149" s="307"/>
      <c r="G149" s="307"/>
    </row>
    <row r="150" spans="1:7" x14ac:dyDescent="0.3">
      <c r="A150" s="307"/>
      <c r="B150" s="307"/>
      <c r="C150" s="307"/>
      <c r="D150" s="307"/>
      <c r="E150" s="307"/>
      <c r="F150" s="307"/>
      <c r="G150" s="307"/>
    </row>
    <row r="151" spans="1:7" x14ac:dyDescent="0.3">
      <c r="A151" s="307"/>
      <c r="B151" s="307"/>
      <c r="C151" s="307"/>
      <c r="D151" s="307"/>
      <c r="E151" s="307"/>
      <c r="F151" s="307"/>
      <c r="G151" s="307"/>
    </row>
    <row r="152" spans="1:7" x14ac:dyDescent="0.3">
      <c r="A152" s="307"/>
      <c r="B152" s="307"/>
      <c r="C152" s="307"/>
      <c r="D152" s="307"/>
      <c r="E152" s="307"/>
      <c r="F152" s="307"/>
      <c r="G152" s="307"/>
    </row>
    <row r="153" spans="1:7" x14ac:dyDescent="0.3">
      <c r="A153" s="307"/>
      <c r="B153" s="307"/>
      <c r="C153" s="307"/>
      <c r="D153" s="307"/>
      <c r="E153" s="307"/>
      <c r="F153" s="307"/>
      <c r="G153" s="307"/>
    </row>
    <row r="154" spans="1:7" x14ac:dyDescent="0.3">
      <c r="A154" s="307"/>
      <c r="B154" s="307"/>
      <c r="C154" s="307"/>
      <c r="D154" s="307"/>
      <c r="E154" s="307"/>
      <c r="F154" s="307"/>
      <c r="G154" s="307"/>
    </row>
    <row r="155" spans="1:7" x14ac:dyDescent="0.3">
      <c r="A155" s="307"/>
      <c r="B155" s="307"/>
      <c r="C155" s="307"/>
      <c r="D155" s="307"/>
      <c r="E155" s="307"/>
      <c r="F155" s="307"/>
      <c r="G155" s="307"/>
    </row>
    <row r="156" spans="1:7" x14ac:dyDescent="0.3">
      <c r="A156" s="307"/>
      <c r="B156" s="307"/>
      <c r="C156" s="307"/>
      <c r="D156" s="307"/>
      <c r="E156" s="307"/>
      <c r="F156" s="307"/>
      <c r="G156" s="307"/>
    </row>
    <row r="157" spans="1:7" x14ac:dyDescent="0.3">
      <c r="A157" s="307"/>
      <c r="B157" s="307"/>
      <c r="C157" s="307"/>
      <c r="D157" s="307"/>
      <c r="E157" s="307"/>
      <c r="F157" s="307"/>
      <c r="G157" s="307"/>
    </row>
    <row r="158" spans="1:7" x14ac:dyDescent="0.3">
      <c r="A158" s="307"/>
      <c r="B158" s="307"/>
      <c r="C158" s="307"/>
      <c r="D158" s="307"/>
      <c r="E158" s="307"/>
      <c r="F158" s="307"/>
      <c r="G158" s="307"/>
    </row>
    <row r="159" spans="1:7" x14ac:dyDescent="0.3">
      <c r="A159" s="307"/>
      <c r="B159" s="307"/>
      <c r="C159" s="307"/>
      <c r="D159" s="307"/>
      <c r="E159" s="307"/>
      <c r="F159" s="307"/>
      <c r="G159" s="307"/>
    </row>
    <row r="160" spans="1:7" x14ac:dyDescent="0.3">
      <c r="A160" s="307"/>
      <c r="B160" s="307"/>
      <c r="C160" s="307"/>
      <c r="D160" s="307"/>
      <c r="E160" s="307"/>
      <c r="F160" s="307"/>
      <c r="G160" s="307"/>
    </row>
    <row r="161" spans="1:7" x14ac:dyDescent="0.3">
      <c r="A161" s="307"/>
      <c r="B161" s="307"/>
      <c r="C161" s="307"/>
      <c r="D161" s="307"/>
      <c r="E161" s="307"/>
      <c r="F161" s="307"/>
      <c r="G161" s="307"/>
    </row>
    <row r="162" spans="1:7" x14ac:dyDescent="0.3">
      <c r="A162" s="307"/>
      <c r="B162" s="307"/>
      <c r="C162" s="307"/>
      <c r="D162" s="307"/>
      <c r="E162" s="307"/>
      <c r="F162" s="307"/>
      <c r="G162" s="307"/>
    </row>
    <row r="163" spans="1:7" x14ac:dyDescent="0.3">
      <c r="A163" s="307"/>
      <c r="B163" s="307"/>
      <c r="C163" s="307"/>
      <c r="D163" s="307"/>
      <c r="E163" s="307"/>
      <c r="F163" s="307"/>
      <c r="G163" s="307"/>
    </row>
    <row r="164" spans="1:7" x14ac:dyDescent="0.3">
      <c r="A164" s="307"/>
      <c r="B164" s="307"/>
      <c r="C164" s="307"/>
      <c r="D164" s="307"/>
      <c r="E164" s="307"/>
      <c r="F164" s="307"/>
      <c r="G164" s="307"/>
    </row>
    <row r="165" spans="1:7" x14ac:dyDescent="0.3">
      <c r="A165" s="307"/>
      <c r="B165" s="307"/>
      <c r="C165" s="307"/>
      <c r="D165" s="307"/>
      <c r="E165" s="307"/>
      <c r="F165" s="307"/>
      <c r="G165" s="307"/>
    </row>
    <row r="166" spans="1:7" x14ac:dyDescent="0.3">
      <c r="A166" s="307"/>
      <c r="B166" s="307"/>
      <c r="C166" s="307"/>
      <c r="D166" s="307"/>
      <c r="E166" s="307"/>
      <c r="F166" s="307"/>
      <c r="G166" s="307"/>
    </row>
    <row r="167" spans="1:7" x14ac:dyDescent="0.3">
      <c r="A167" s="307"/>
      <c r="B167" s="307"/>
      <c r="C167" s="307"/>
      <c r="D167" s="307"/>
      <c r="E167" s="307"/>
      <c r="F167" s="307"/>
      <c r="G167" s="307"/>
    </row>
    <row r="168" spans="1:7" x14ac:dyDescent="0.3">
      <c r="A168" s="307"/>
      <c r="B168" s="307"/>
      <c r="C168" s="307"/>
      <c r="D168" s="307"/>
      <c r="E168" s="307"/>
      <c r="F168" s="307"/>
      <c r="G168" s="307"/>
    </row>
    <row r="169" spans="1:7" x14ac:dyDescent="0.3">
      <c r="A169" s="307"/>
      <c r="B169" s="307"/>
      <c r="C169" s="307"/>
      <c r="D169" s="307"/>
      <c r="E169" s="307"/>
      <c r="F169" s="307"/>
      <c r="G169" s="307"/>
    </row>
    <row r="170" spans="1:7" x14ac:dyDescent="0.3">
      <c r="A170" s="307"/>
      <c r="B170" s="307"/>
      <c r="C170" s="307"/>
      <c r="D170" s="307"/>
      <c r="E170" s="307"/>
      <c r="F170" s="307"/>
      <c r="G170" s="307"/>
    </row>
    <row r="171" spans="1:7" x14ac:dyDescent="0.3">
      <c r="A171" s="307"/>
      <c r="B171" s="307"/>
      <c r="C171" s="307"/>
      <c r="D171" s="307"/>
      <c r="E171" s="307"/>
      <c r="F171" s="307"/>
      <c r="G171" s="307"/>
    </row>
    <row r="172" spans="1:7" x14ac:dyDescent="0.3">
      <c r="A172" s="307"/>
      <c r="B172" s="307"/>
      <c r="C172" s="307"/>
      <c r="D172" s="307"/>
      <c r="E172" s="307"/>
      <c r="F172" s="307"/>
      <c r="G172" s="307"/>
    </row>
    <row r="173" spans="1:7" x14ac:dyDescent="0.3">
      <c r="A173" s="307"/>
      <c r="B173" s="307"/>
      <c r="C173" s="307"/>
      <c r="D173" s="307"/>
      <c r="E173" s="307"/>
      <c r="F173" s="307"/>
      <c r="G173" s="307"/>
    </row>
    <row r="174" spans="1:7" x14ac:dyDescent="0.3">
      <c r="A174" s="307"/>
      <c r="B174" s="307"/>
      <c r="C174" s="307"/>
      <c r="D174" s="307"/>
      <c r="E174" s="307"/>
      <c r="F174" s="307"/>
      <c r="G174" s="307"/>
    </row>
    <row r="175" spans="1:7" x14ac:dyDescent="0.3">
      <c r="A175" s="307"/>
      <c r="B175" s="307"/>
      <c r="C175" s="307"/>
      <c r="D175" s="307"/>
      <c r="E175" s="307"/>
      <c r="F175" s="307"/>
      <c r="G175" s="307"/>
    </row>
    <row r="176" spans="1:7" x14ac:dyDescent="0.3">
      <c r="A176" s="307"/>
      <c r="B176" s="307"/>
      <c r="C176" s="307"/>
      <c r="D176" s="307"/>
      <c r="E176" s="307"/>
      <c r="F176" s="307"/>
      <c r="G176" s="307"/>
    </row>
    <row r="177" spans="1:7" x14ac:dyDescent="0.3">
      <c r="A177" s="307"/>
      <c r="B177" s="307"/>
      <c r="C177" s="307"/>
      <c r="D177" s="307"/>
      <c r="E177" s="307"/>
      <c r="F177" s="307"/>
      <c r="G177" s="307"/>
    </row>
    <row r="178" spans="1:7" x14ac:dyDescent="0.3">
      <c r="A178" s="307"/>
      <c r="B178" s="307"/>
      <c r="C178" s="307"/>
      <c r="D178" s="307"/>
      <c r="E178" s="307"/>
      <c r="F178" s="307"/>
      <c r="G178" s="307"/>
    </row>
    <row r="179" spans="1:7" x14ac:dyDescent="0.3">
      <c r="A179" s="307"/>
      <c r="B179" s="307"/>
      <c r="C179" s="307"/>
      <c r="D179" s="307"/>
      <c r="E179" s="307"/>
      <c r="F179" s="307"/>
      <c r="G179" s="307"/>
    </row>
    <row r="180" spans="1:7" x14ac:dyDescent="0.3">
      <c r="A180" s="307"/>
      <c r="B180" s="307"/>
      <c r="C180" s="307"/>
      <c r="D180" s="307"/>
      <c r="E180" s="307"/>
      <c r="F180" s="307"/>
      <c r="G180" s="307"/>
    </row>
    <row r="181" spans="1:7" x14ac:dyDescent="0.3">
      <c r="A181" s="307"/>
      <c r="B181" s="307"/>
      <c r="C181" s="307"/>
      <c r="D181" s="307"/>
      <c r="E181" s="307"/>
      <c r="F181" s="307"/>
      <c r="G181" s="307"/>
    </row>
    <row r="182" spans="1:7" x14ac:dyDescent="0.3">
      <c r="A182" s="307"/>
      <c r="B182" s="307"/>
      <c r="C182" s="307"/>
      <c r="D182" s="307"/>
      <c r="E182" s="307"/>
      <c r="F182" s="307"/>
      <c r="G182" s="307"/>
    </row>
    <row r="183" spans="1:7" x14ac:dyDescent="0.3">
      <c r="A183" s="307"/>
      <c r="B183" s="307"/>
      <c r="C183" s="307"/>
      <c r="D183" s="307"/>
      <c r="E183" s="307"/>
      <c r="F183" s="307"/>
      <c r="G183" s="307"/>
    </row>
    <row r="184" spans="1:7" x14ac:dyDescent="0.3">
      <c r="A184" s="307"/>
      <c r="B184" s="307"/>
      <c r="C184" s="307"/>
      <c r="D184" s="307"/>
      <c r="E184" s="307"/>
      <c r="F184" s="307"/>
      <c r="G184" s="307"/>
    </row>
    <row r="185" spans="1:7" x14ac:dyDescent="0.3">
      <c r="A185" s="307"/>
      <c r="B185" s="307"/>
      <c r="C185" s="307"/>
      <c r="D185" s="307"/>
      <c r="E185" s="307"/>
      <c r="F185" s="307"/>
      <c r="G185" s="307"/>
    </row>
    <row r="186" spans="1:7" x14ac:dyDescent="0.3">
      <c r="A186" s="307"/>
      <c r="B186" s="307"/>
      <c r="C186" s="307"/>
      <c r="D186" s="307"/>
      <c r="E186" s="307"/>
      <c r="F186" s="307"/>
      <c r="G186" s="307"/>
    </row>
    <row r="187" spans="1:7" x14ac:dyDescent="0.3">
      <c r="A187" s="307"/>
      <c r="B187" s="307"/>
      <c r="C187" s="307"/>
      <c r="D187" s="307"/>
      <c r="E187" s="307"/>
      <c r="F187" s="307"/>
      <c r="G187" s="307"/>
    </row>
    <row r="188" spans="1:7" x14ac:dyDescent="0.3">
      <c r="A188" s="307"/>
      <c r="B188" s="307"/>
      <c r="C188" s="307"/>
      <c r="D188" s="307"/>
      <c r="E188" s="307"/>
      <c r="F188" s="307"/>
      <c r="G188" s="307"/>
    </row>
    <row r="189" spans="1:7" x14ac:dyDescent="0.3">
      <c r="A189" s="307"/>
      <c r="B189" s="307"/>
      <c r="C189" s="307"/>
      <c r="D189" s="307"/>
      <c r="E189" s="307"/>
      <c r="F189" s="307"/>
      <c r="G189" s="307"/>
    </row>
    <row r="190" spans="1:7" x14ac:dyDescent="0.3">
      <c r="A190" s="307"/>
      <c r="B190" s="307"/>
      <c r="C190" s="307"/>
      <c r="D190" s="307"/>
      <c r="E190" s="307"/>
      <c r="F190" s="307"/>
      <c r="G190" s="307"/>
    </row>
    <row r="191" spans="1:7" x14ac:dyDescent="0.3">
      <c r="A191" s="307"/>
      <c r="B191" s="307"/>
      <c r="C191" s="307"/>
      <c r="D191" s="307"/>
      <c r="E191" s="307"/>
      <c r="F191" s="307"/>
      <c r="G191" s="307"/>
    </row>
    <row r="192" spans="1:7" x14ac:dyDescent="0.3">
      <c r="A192" s="307"/>
      <c r="B192" s="307"/>
      <c r="C192" s="307"/>
      <c r="D192" s="307"/>
      <c r="E192" s="307"/>
      <c r="F192" s="307"/>
      <c r="G192" s="307"/>
    </row>
    <row r="193" spans="1:7" x14ac:dyDescent="0.3">
      <c r="A193" s="307"/>
      <c r="B193" s="307"/>
      <c r="C193" s="307"/>
      <c r="D193" s="307"/>
      <c r="E193" s="307"/>
      <c r="F193" s="307"/>
      <c r="G193" s="307"/>
    </row>
    <row r="194" spans="1:7" x14ac:dyDescent="0.3">
      <c r="A194" s="307"/>
      <c r="B194" s="307"/>
      <c r="C194" s="307"/>
      <c r="D194" s="307"/>
      <c r="E194" s="307"/>
      <c r="F194" s="307"/>
      <c r="G194" s="307"/>
    </row>
    <row r="195" spans="1:7" x14ac:dyDescent="0.3">
      <c r="A195" s="307"/>
      <c r="B195" s="307"/>
      <c r="C195" s="307"/>
      <c r="D195" s="307"/>
      <c r="E195" s="307"/>
      <c r="F195" s="307"/>
      <c r="G195" s="307"/>
    </row>
    <row r="196" spans="1:7" x14ac:dyDescent="0.3">
      <c r="A196" s="307"/>
      <c r="B196" s="307"/>
      <c r="C196" s="307"/>
      <c r="D196" s="307"/>
      <c r="E196" s="307"/>
      <c r="F196" s="307"/>
      <c r="G196" s="307"/>
    </row>
    <row r="197" spans="1:7" x14ac:dyDescent="0.3">
      <c r="A197" s="307"/>
      <c r="B197" s="307"/>
      <c r="C197" s="307"/>
      <c r="D197" s="307"/>
      <c r="E197" s="307"/>
      <c r="F197" s="307"/>
      <c r="G197" s="307"/>
    </row>
    <row r="198" spans="1:7" x14ac:dyDescent="0.3">
      <c r="A198" s="307"/>
      <c r="B198" s="307"/>
      <c r="C198" s="307"/>
      <c r="D198" s="307"/>
      <c r="E198" s="307"/>
      <c r="F198" s="307"/>
      <c r="G198" s="307"/>
    </row>
    <row r="199" spans="1:7" x14ac:dyDescent="0.3">
      <c r="A199" s="307"/>
      <c r="B199" s="307"/>
      <c r="C199" s="307"/>
      <c r="D199" s="307"/>
      <c r="E199" s="307"/>
      <c r="F199" s="307"/>
      <c r="G199" s="307"/>
    </row>
    <row r="200" spans="1:7" x14ac:dyDescent="0.3">
      <c r="A200" s="307"/>
      <c r="B200" s="307"/>
      <c r="C200" s="307"/>
      <c r="D200" s="307"/>
      <c r="E200" s="307"/>
      <c r="F200" s="307"/>
      <c r="G200" s="307"/>
    </row>
    <row r="201" spans="1:7" x14ac:dyDescent="0.3">
      <c r="A201" s="307"/>
      <c r="B201" s="307"/>
      <c r="C201" s="307"/>
      <c r="D201" s="307"/>
      <c r="E201" s="307"/>
      <c r="F201" s="307"/>
      <c r="G201" s="307"/>
    </row>
    <row r="202" spans="1:7" x14ac:dyDescent="0.3">
      <c r="A202" s="307"/>
      <c r="B202" s="307"/>
      <c r="C202" s="307"/>
      <c r="D202" s="307"/>
      <c r="E202" s="307"/>
      <c r="F202" s="307"/>
      <c r="G202" s="307"/>
    </row>
    <row r="203" spans="1:7" x14ac:dyDescent="0.3">
      <c r="A203" s="307"/>
      <c r="B203" s="307"/>
      <c r="C203" s="307"/>
      <c r="D203" s="307"/>
      <c r="E203" s="307"/>
      <c r="F203" s="307"/>
      <c r="G203" s="307"/>
    </row>
    <row r="204" spans="1:7" x14ac:dyDescent="0.3">
      <c r="A204" s="307"/>
      <c r="B204" s="307"/>
      <c r="C204" s="307"/>
      <c r="D204" s="307"/>
      <c r="E204" s="307"/>
      <c r="F204" s="307"/>
      <c r="G204" s="307"/>
    </row>
    <row r="205" spans="1:7" x14ac:dyDescent="0.3">
      <c r="A205" s="307"/>
      <c r="B205" s="307"/>
      <c r="C205" s="307"/>
      <c r="D205" s="307"/>
      <c r="E205" s="307"/>
      <c r="F205" s="307"/>
      <c r="G205" s="307"/>
    </row>
    <row r="206" spans="1:7" x14ac:dyDescent="0.3">
      <c r="A206" s="307"/>
      <c r="B206" s="307"/>
      <c r="C206" s="307"/>
      <c r="D206" s="307"/>
      <c r="E206" s="307"/>
      <c r="F206" s="307"/>
      <c r="G206" s="307"/>
    </row>
    <row r="207" spans="1:7" x14ac:dyDescent="0.3">
      <c r="A207" s="307"/>
      <c r="B207" s="307"/>
      <c r="C207" s="307"/>
      <c r="D207" s="307"/>
      <c r="E207" s="307"/>
      <c r="F207" s="307"/>
      <c r="G207" s="307"/>
    </row>
    <row r="208" spans="1:7" x14ac:dyDescent="0.3">
      <c r="A208" s="307"/>
      <c r="B208" s="307"/>
      <c r="C208" s="307"/>
      <c r="D208" s="307"/>
      <c r="E208" s="307"/>
      <c r="F208" s="307"/>
      <c r="G208" s="307"/>
    </row>
    <row r="209" spans="1:7" x14ac:dyDescent="0.3">
      <c r="A209" s="307"/>
      <c r="B209" s="307"/>
      <c r="C209" s="307"/>
      <c r="D209" s="307"/>
      <c r="E209" s="307"/>
      <c r="F209" s="307"/>
      <c r="G209" s="307"/>
    </row>
    <row r="210" spans="1:7" x14ac:dyDescent="0.3">
      <c r="A210" s="307"/>
      <c r="B210" s="307"/>
      <c r="C210" s="307"/>
      <c r="D210" s="307"/>
      <c r="E210" s="307"/>
      <c r="F210" s="307"/>
      <c r="G210" s="307"/>
    </row>
    <row r="211" spans="1:7" x14ac:dyDescent="0.3">
      <c r="A211" s="307"/>
      <c r="B211" s="307"/>
      <c r="C211" s="307"/>
      <c r="D211" s="307"/>
      <c r="E211" s="307"/>
      <c r="F211" s="307"/>
      <c r="G211" s="307"/>
    </row>
    <row r="212" spans="1:7" x14ac:dyDescent="0.3">
      <c r="A212" s="307"/>
      <c r="B212" s="307"/>
      <c r="C212" s="307"/>
      <c r="D212" s="307"/>
      <c r="E212" s="307"/>
      <c r="F212" s="307"/>
      <c r="G212" s="307"/>
    </row>
    <row r="213" spans="1:7" x14ac:dyDescent="0.3">
      <c r="A213" s="307"/>
      <c r="B213" s="307"/>
      <c r="C213" s="307"/>
      <c r="D213" s="307"/>
      <c r="E213" s="307"/>
      <c r="F213" s="307"/>
      <c r="G213" s="307"/>
    </row>
    <row r="214" spans="1:7" x14ac:dyDescent="0.3">
      <c r="A214" s="307"/>
      <c r="B214" s="307"/>
      <c r="C214" s="307"/>
      <c r="D214" s="307"/>
      <c r="E214" s="307"/>
      <c r="F214" s="307"/>
      <c r="G214" s="307"/>
    </row>
    <row r="215" spans="1:7" x14ac:dyDescent="0.3">
      <c r="A215" s="307"/>
      <c r="B215" s="307"/>
      <c r="C215" s="307"/>
      <c r="D215" s="307"/>
      <c r="E215" s="307"/>
      <c r="F215" s="307"/>
      <c r="G215" s="307"/>
    </row>
    <row r="216" spans="1:7" x14ac:dyDescent="0.3">
      <c r="A216" s="307"/>
      <c r="B216" s="307"/>
      <c r="C216" s="307"/>
      <c r="D216" s="307"/>
      <c r="E216" s="307"/>
      <c r="F216" s="307"/>
      <c r="G216" s="307"/>
    </row>
    <row r="217" spans="1:7" x14ac:dyDescent="0.3">
      <c r="A217" s="307"/>
      <c r="B217" s="307"/>
      <c r="C217" s="307"/>
      <c r="D217" s="307"/>
      <c r="E217" s="307"/>
      <c r="F217" s="307"/>
      <c r="G217" s="307"/>
    </row>
    <row r="218" spans="1:7" x14ac:dyDescent="0.3">
      <c r="A218" s="307"/>
      <c r="B218" s="307"/>
      <c r="C218" s="307"/>
      <c r="D218" s="307"/>
      <c r="E218" s="307"/>
      <c r="F218" s="307"/>
      <c r="G218" s="307"/>
    </row>
    <row r="219" spans="1:7" x14ac:dyDescent="0.3">
      <c r="A219" s="307"/>
      <c r="B219" s="307"/>
      <c r="C219" s="307"/>
      <c r="D219" s="307"/>
      <c r="E219" s="307"/>
      <c r="F219" s="307"/>
      <c r="G219" s="307"/>
    </row>
    <row r="220" spans="1:7" x14ac:dyDescent="0.3">
      <c r="A220" s="307"/>
      <c r="B220" s="307"/>
      <c r="C220" s="307"/>
      <c r="D220" s="307"/>
      <c r="E220" s="307"/>
      <c r="F220" s="307"/>
      <c r="G220" s="307"/>
    </row>
    <row r="221" spans="1:7" x14ac:dyDescent="0.3">
      <c r="A221" s="307"/>
      <c r="B221" s="307"/>
      <c r="C221" s="307"/>
      <c r="D221" s="307"/>
      <c r="E221" s="307"/>
      <c r="F221" s="307"/>
      <c r="G221" s="307"/>
    </row>
    <row r="222" spans="1:7" x14ac:dyDescent="0.3">
      <c r="A222" s="307"/>
      <c r="B222" s="307"/>
      <c r="C222" s="307"/>
      <c r="D222" s="307"/>
      <c r="E222" s="307"/>
      <c r="F222" s="307"/>
      <c r="G222" s="307"/>
    </row>
    <row r="223" spans="1:7" x14ac:dyDescent="0.3">
      <c r="A223" s="307"/>
      <c r="B223" s="307"/>
      <c r="C223" s="307"/>
      <c r="D223" s="307"/>
      <c r="E223" s="307"/>
      <c r="F223" s="307"/>
      <c r="G223" s="307"/>
    </row>
    <row r="224" spans="1:7" x14ac:dyDescent="0.3">
      <c r="A224" s="307"/>
      <c r="B224" s="307"/>
      <c r="C224" s="307"/>
      <c r="D224" s="307"/>
      <c r="E224" s="307"/>
      <c r="F224" s="307"/>
      <c r="G224" s="307"/>
    </row>
    <row r="225" spans="1:7" x14ac:dyDescent="0.3">
      <c r="A225" s="307"/>
      <c r="B225" s="307"/>
      <c r="C225" s="307"/>
      <c r="D225" s="307"/>
      <c r="E225" s="307"/>
      <c r="F225" s="307"/>
      <c r="G225" s="307"/>
    </row>
    <row r="226" spans="1:7" x14ac:dyDescent="0.3">
      <c r="A226" s="307"/>
      <c r="B226" s="307"/>
      <c r="C226" s="307"/>
      <c r="D226" s="307"/>
      <c r="E226" s="307"/>
      <c r="F226" s="307"/>
      <c r="G226" s="307"/>
    </row>
    <row r="227" spans="1:7" x14ac:dyDescent="0.3">
      <c r="A227" s="307"/>
      <c r="B227" s="307"/>
      <c r="C227" s="307"/>
      <c r="D227" s="307"/>
      <c r="E227" s="307"/>
      <c r="F227" s="307"/>
      <c r="G227" s="307"/>
    </row>
    <row r="228" spans="1:7" x14ac:dyDescent="0.3">
      <c r="A228" s="307"/>
      <c r="B228" s="307"/>
      <c r="C228" s="307"/>
      <c r="D228" s="307"/>
      <c r="E228" s="307"/>
      <c r="F228" s="307"/>
      <c r="G228" s="307"/>
    </row>
    <row r="229" spans="1:7" x14ac:dyDescent="0.3">
      <c r="A229" s="307"/>
      <c r="B229" s="307"/>
      <c r="C229" s="307"/>
      <c r="D229" s="307"/>
      <c r="E229" s="307"/>
      <c r="F229" s="307"/>
      <c r="G229" s="307"/>
    </row>
    <row r="230" spans="1:7" x14ac:dyDescent="0.3">
      <c r="A230" s="307"/>
      <c r="B230" s="307"/>
      <c r="C230" s="307"/>
      <c r="D230" s="307"/>
      <c r="E230" s="307"/>
      <c r="F230" s="307"/>
      <c r="G230" s="307"/>
    </row>
    <row r="231" spans="1:7" x14ac:dyDescent="0.3">
      <c r="A231" s="307"/>
      <c r="B231" s="307"/>
      <c r="C231" s="307"/>
      <c r="D231" s="307"/>
      <c r="E231" s="307"/>
      <c r="F231" s="307"/>
      <c r="G231" s="307"/>
    </row>
    <row r="232" spans="1:7" x14ac:dyDescent="0.3">
      <c r="A232" s="307"/>
      <c r="B232" s="307"/>
      <c r="C232" s="307"/>
      <c r="D232" s="307"/>
      <c r="E232" s="307"/>
      <c r="F232" s="307"/>
      <c r="G232" s="307"/>
    </row>
    <row r="233" spans="1:7" x14ac:dyDescent="0.3">
      <c r="A233" s="307"/>
      <c r="B233" s="307"/>
      <c r="C233" s="307"/>
      <c r="D233" s="307"/>
      <c r="E233" s="307"/>
      <c r="F233" s="307"/>
      <c r="G233" s="307"/>
    </row>
    <row r="234" spans="1:7" x14ac:dyDescent="0.3">
      <c r="A234" s="307"/>
      <c r="B234" s="307"/>
      <c r="C234" s="307"/>
      <c r="D234" s="307"/>
      <c r="E234" s="307"/>
      <c r="F234" s="307"/>
      <c r="G234" s="307"/>
    </row>
    <row r="235" spans="1:7" x14ac:dyDescent="0.3">
      <c r="A235" s="307"/>
      <c r="B235" s="307"/>
      <c r="C235" s="307"/>
      <c r="D235" s="307"/>
      <c r="E235" s="307"/>
      <c r="F235" s="307"/>
      <c r="G235" s="307"/>
    </row>
    <row r="236" spans="1:7" x14ac:dyDescent="0.3">
      <c r="A236" s="307"/>
      <c r="B236" s="307"/>
      <c r="C236" s="307"/>
      <c r="D236" s="307"/>
      <c r="E236" s="307"/>
      <c r="F236" s="307"/>
      <c r="G236" s="307"/>
    </row>
    <row r="237" spans="1:7" x14ac:dyDescent="0.3">
      <c r="A237" s="307"/>
      <c r="B237" s="307"/>
      <c r="C237" s="307"/>
      <c r="D237" s="307"/>
      <c r="E237" s="307"/>
      <c r="F237" s="307"/>
      <c r="G237" s="307"/>
    </row>
    <row r="238" spans="1:7" x14ac:dyDescent="0.3">
      <c r="A238" s="307"/>
      <c r="B238" s="307"/>
      <c r="C238" s="307"/>
      <c r="D238" s="307"/>
      <c r="E238" s="307"/>
      <c r="F238" s="307"/>
      <c r="G238" s="307"/>
    </row>
    <row r="239" spans="1:7" x14ac:dyDescent="0.3">
      <c r="A239" s="307"/>
      <c r="B239" s="307"/>
      <c r="C239" s="307"/>
      <c r="D239" s="307"/>
      <c r="E239" s="307"/>
      <c r="F239" s="307"/>
      <c r="G239" s="307"/>
    </row>
    <row r="240" spans="1:7" x14ac:dyDescent="0.3">
      <c r="A240" s="307"/>
      <c r="B240" s="307"/>
      <c r="C240" s="307"/>
      <c r="D240" s="307"/>
      <c r="E240" s="307"/>
      <c r="F240" s="307"/>
      <c r="G240" s="307"/>
    </row>
    <row r="241" spans="1:7" x14ac:dyDescent="0.3">
      <c r="A241" s="307"/>
      <c r="B241" s="307"/>
      <c r="C241" s="307"/>
      <c r="D241" s="307"/>
      <c r="E241" s="307"/>
      <c r="F241" s="307"/>
      <c r="G241" s="307"/>
    </row>
    <row r="242" spans="1:7" x14ac:dyDescent="0.3">
      <c r="A242" s="307"/>
      <c r="B242" s="307"/>
      <c r="C242" s="307"/>
      <c r="D242" s="307"/>
      <c r="E242" s="307"/>
      <c r="F242" s="307"/>
      <c r="G242" s="307"/>
    </row>
    <row r="243" spans="1:7" x14ac:dyDescent="0.3">
      <c r="A243" s="307"/>
      <c r="B243" s="307"/>
      <c r="C243" s="307"/>
      <c r="D243" s="307"/>
      <c r="E243" s="307"/>
      <c r="F243" s="307"/>
      <c r="G243" s="307"/>
    </row>
    <row r="244" spans="1:7" x14ac:dyDescent="0.3">
      <c r="A244" s="307"/>
      <c r="B244" s="307"/>
      <c r="C244" s="307"/>
      <c r="D244" s="307"/>
      <c r="E244" s="307"/>
      <c r="F244" s="307"/>
      <c r="G244" s="307"/>
    </row>
    <row r="245" spans="1:7" x14ac:dyDescent="0.3">
      <c r="A245" s="307"/>
      <c r="B245" s="307"/>
      <c r="C245" s="307"/>
      <c r="D245" s="307"/>
      <c r="E245" s="307"/>
      <c r="F245" s="307"/>
      <c r="G245" s="307"/>
    </row>
    <row r="246" spans="1:7" x14ac:dyDescent="0.3">
      <c r="A246" s="307"/>
      <c r="B246" s="307"/>
      <c r="C246" s="307"/>
      <c r="D246" s="307"/>
      <c r="E246" s="307"/>
      <c r="F246" s="307"/>
      <c r="G246" s="307"/>
    </row>
    <row r="247" spans="1:7" x14ac:dyDescent="0.3">
      <c r="A247" s="307"/>
      <c r="B247" s="307"/>
      <c r="C247" s="307"/>
      <c r="D247" s="307"/>
      <c r="E247" s="307"/>
      <c r="F247" s="307"/>
      <c r="G247" s="307"/>
    </row>
    <row r="248" spans="1:7" x14ac:dyDescent="0.3">
      <c r="A248" s="307"/>
      <c r="B248" s="307"/>
      <c r="C248" s="307"/>
      <c r="D248" s="307"/>
      <c r="E248" s="307"/>
      <c r="F248" s="307"/>
      <c r="G248" s="307"/>
    </row>
    <row r="249" spans="1:7" x14ac:dyDescent="0.3">
      <c r="A249" s="307"/>
      <c r="B249" s="307"/>
      <c r="C249" s="307"/>
      <c r="D249" s="307"/>
      <c r="E249" s="307"/>
      <c r="F249" s="307"/>
      <c r="G249" s="307"/>
    </row>
    <row r="250" spans="1:7" x14ac:dyDescent="0.3">
      <c r="A250" s="307"/>
      <c r="B250" s="307"/>
      <c r="C250" s="307"/>
      <c r="D250" s="307"/>
      <c r="E250" s="307"/>
      <c r="F250" s="307"/>
      <c r="G250" s="307"/>
    </row>
    <row r="251" spans="1:7" x14ac:dyDescent="0.3">
      <c r="A251" s="307"/>
      <c r="B251" s="307"/>
      <c r="C251" s="307"/>
      <c r="D251" s="307"/>
      <c r="E251" s="307"/>
      <c r="F251" s="307"/>
      <c r="G251" s="307"/>
    </row>
    <row r="252" spans="1:7" x14ac:dyDescent="0.3">
      <c r="A252" s="307"/>
      <c r="B252" s="307"/>
      <c r="C252" s="307"/>
      <c r="D252" s="307"/>
      <c r="E252" s="307"/>
      <c r="F252" s="307"/>
      <c r="G252" s="307"/>
    </row>
    <row r="253" spans="1:7" x14ac:dyDescent="0.3">
      <c r="A253" s="307"/>
      <c r="B253" s="307"/>
      <c r="C253" s="307"/>
      <c r="D253" s="307"/>
      <c r="E253" s="307"/>
      <c r="F253" s="307"/>
      <c r="G253" s="307"/>
    </row>
    <row r="254" spans="1:7" x14ac:dyDescent="0.3">
      <c r="A254" s="307"/>
      <c r="B254" s="307"/>
      <c r="C254" s="307"/>
      <c r="D254" s="307"/>
      <c r="E254" s="307"/>
      <c r="F254" s="307"/>
      <c r="G254" s="307"/>
    </row>
    <row r="255" spans="1:7" x14ac:dyDescent="0.3">
      <c r="A255" s="307"/>
      <c r="B255" s="307"/>
      <c r="C255" s="307"/>
      <c r="D255" s="307"/>
      <c r="E255" s="307"/>
      <c r="F255" s="307"/>
      <c r="G255" s="307"/>
    </row>
    <row r="256" spans="1:7" x14ac:dyDescent="0.3">
      <c r="A256" s="307"/>
      <c r="B256" s="307"/>
      <c r="C256" s="307"/>
      <c r="D256" s="307"/>
      <c r="E256" s="307"/>
      <c r="F256" s="307"/>
      <c r="G256" s="307"/>
    </row>
    <row r="257" spans="1:7" x14ac:dyDescent="0.3">
      <c r="A257" s="307"/>
      <c r="B257" s="307"/>
      <c r="C257" s="307"/>
      <c r="D257" s="307"/>
      <c r="E257" s="307"/>
      <c r="F257" s="307"/>
      <c r="G257" s="307"/>
    </row>
    <row r="258" spans="1:7" x14ac:dyDescent="0.3">
      <c r="A258" s="307"/>
      <c r="B258" s="307"/>
      <c r="C258" s="307"/>
      <c r="D258" s="307"/>
      <c r="E258" s="307"/>
      <c r="F258" s="307"/>
      <c r="G258" s="307"/>
    </row>
    <row r="259" spans="1:7" x14ac:dyDescent="0.3">
      <c r="A259" s="307"/>
      <c r="B259" s="307"/>
      <c r="C259" s="307"/>
      <c r="D259" s="307"/>
      <c r="E259" s="307"/>
      <c r="F259" s="307"/>
      <c r="G259" s="307"/>
    </row>
    <row r="260" spans="1:7" x14ac:dyDescent="0.3">
      <c r="A260" s="307"/>
      <c r="B260" s="307"/>
      <c r="C260" s="307"/>
      <c r="D260" s="307"/>
      <c r="E260" s="307"/>
      <c r="F260" s="307"/>
      <c r="G260" s="307"/>
    </row>
    <row r="261" spans="1:7" x14ac:dyDescent="0.3">
      <c r="A261" s="307"/>
      <c r="B261" s="307"/>
      <c r="C261" s="307"/>
      <c r="D261" s="307"/>
      <c r="E261" s="307"/>
      <c r="F261" s="307"/>
      <c r="G261" s="307"/>
    </row>
    <row r="262" spans="1:7" x14ac:dyDescent="0.3">
      <c r="A262" s="307"/>
      <c r="B262" s="307"/>
      <c r="C262" s="307"/>
      <c r="D262" s="307"/>
      <c r="E262" s="307"/>
      <c r="F262" s="307"/>
      <c r="G262" s="307"/>
    </row>
    <row r="263" spans="1:7" x14ac:dyDescent="0.3">
      <c r="A263" s="307"/>
      <c r="B263" s="307"/>
      <c r="C263" s="307"/>
      <c r="D263" s="307"/>
      <c r="E263" s="307"/>
      <c r="F263" s="307"/>
      <c r="G263" s="307"/>
    </row>
    <row r="264" spans="1:7" x14ac:dyDescent="0.3">
      <c r="A264" s="307"/>
      <c r="B264" s="307"/>
      <c r="C264" s="307"/>
      <c r="D264" s="307"/>
      <c r="E264" s="307"/>
      <c r="F264" s="307"/>
      <c r="G264" s="307"/>
    </row>
    <row r="265" spans="1:7" x14ac:dyDescent="0.3">
      <c r="A265" s="307"/>
      <c r="B265" s="307"/>
      <c r="C265" s="307"/>
      <c r="D265" s="307"/>
      <c r="E265" s="307"/>
      <c r="F265" s="307"/>
      <c r="G265" s="307"/>
    </row>
    <row r="266" spans="1:7" x14ac:dyDescent="0.3">
      <c r="A266" s="307"/>
      <c r="B266" s="307"/>
      <c r="C266" s="307"/>
      <c r="D266" s="307"/>
      <c r="E266" s="307"/>
      <c r="F266" s="307"/>
      <c r="G266" s="307"/>
    </row>
    <row r="267" spans="1:7" x14ac:dyDescent="0.3">
      <c r="A267" s="307"/>
      <c r="B267" s="307"/>
      <c r="C267" s="307"/>
      <c r="D267" s="307"/>
      <c r="E267" s="307"/>
      <c r="F267" s="307"/>
      <c r="G267" s="307"/>
    </row>
    <row r="268" spans="1:7" x14ac:dyDescent="0.3">
      <c r="A268" s="307"/>
      <c r="B268" s="307"/>
      <c r="C268" s="307"/>
      <c r="D268" s="307"/>
      <c r="E268" s="307"/>
    </row>
    <row r="269" spans="1:7" x14ac:dyDescent="0.3">
      <c r="A269" s="307"/>
      <c r="B269" s="307"/>
      <c r="C269" s="307"/>
      <c r="D269" s="307"/>
      <c r="E269" s="307"/>
    </row>
    <row r="270" spans="1:7" x14ac:dyDescent="0.3">
      <c r="A270" s="307"/>
      <c r="B270" s="307"/>
      <c r="C270" s="307"/>
      <c r="D270" s="307"/>
      <c r="E270" s="307"/>
    </row>
    <row r="271" spans="1:7" x14ac:dyDescent="0.3">
      <c r="A271" s="307"/>
      <c r="B271" s="307"/>
      <c r="C271" s="307"/>
      <c r="D271" s="307"/>
      <c r="E271" s="307"/>
    </row>
    <row r="272" spans="1:7" x14ac:dyDescent="0.3">
      <c r="A272" s="307"/>
      <c r="B272" s="307"/>
      <c r="C272" s="307"/>
      <c r="D272" s="307"/>
      <c r="E272" s="307"/>
    </row>
    <row r="273" spans="1:5" x14ac:dyDescent="0.3">
      <c r="A273" s="307"/>
      <c r="B273" s="307"/>
      <c r="C273" s="307"/>
      <c r="D273" s="307"/>
      <c r="E273" s="307"/>
    </row>
    <row r="274" spans="1:5" x14ac:dyDescent="0.3">
      <c r="A274" s="307"/>
      <c r="B274" s="307"/>
      <c r="C274" s="307"/>
      <c r="D274" s="307"/>
      <c r="E274" s="307"/>
    </row>
    <row r="275" spans="1:5" x14ac:dyDescent="0.3">
      <c r="A275" s="307"/>
      <c r="B275" s="307"/>
      <c r="C275" s="307"/>
      <c r="D275" s="307"/>
      <c r="E275" s="307"/>
    </row>
    <row r="276" spans="1:5" x14ac:dyDescent="0.3">
      <c r="A276" s="307"/>
      <c r="B276" s="307"/>
      <c r="C276" s="307"/>
      <c r="D276" s="307"/>
      <c r="E276" s="307"/>
    </row>
    <row r="277" spans="1:5" x14ac:dyDescent="0.3">
      <c r="A277" s="307"/>
      <c r="B277" s="307"/>
      <c r="C277" s="307"/>
      <c r="D277" s="307"/>
      <c r="E277" s="307"/>
    </row>
    <row r="278" spans="1:5" x14ac:dyDescent="0.3">
      <c r="A278" s="307"/>
      <c r="B278" s="307"/>
      <c r="C278" s="307"/>
      <c r="D278" s="307"/>
      <c r="E278" s="307"/>
    </row>
    <row r="279" spans="1:5" x14ac:dyDescent="0.3">
      <c r="A279" s="307"/>
      <c r="B279" s="307"/>
      <c r="C279" s="307"/>
      <c r="D279" s="307"/>
      <c r="E279" s="307"/>
    </row>
    <row r="280" spans="1:5" x14ac:dyDescent="0.3">
      <c r="A280" s="307"/>
      <c r="B280" s="307"/>
      <c r="C280" s="307"/>
      <c r="D280" s="307"/>
      <c r="E280" s="307"/>
    </row>
    <row r="281" spans="1:5" x14ac:dyDescent="0.3">
      <c r="A281" s="307"/>
      <c r="B281" s="307"/>
      <c r="C281" s="307"/>
      <c r="D281" s="307"/>
      <c r="E281" s="307"/>
    </row>
  </sheetData>
  <pageMargins left="0.25" right="0.25"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6B85C-80D9-4DD6-BDCC-BECE0C744929}">
  <sheetPr>
    <tabColor theme="4" tint="-0.249977111117893"/>
    <pageSetUpPr fitToPage="1"/>
  </sheetPr>
  <dimension ref="A1:F60"/>
  <sheetViews>
    <sheetView topLeftCell="A7" zoomScaleNormal="100" workbookViewId="0">
      <selection activeCell="A12" sqref="A12"/>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1</v>
      </c>
      <c r="B7" s="4"/>
      <c r="C7" s="227"/>
      <c r="D7" s="227"/>
    </row>
    <row r="8" spans="1:6" s="224" customFormat="1" ht="16.8" x14ac:dyDescent="0.4">
      <c r="A8" s="5" t="s">
        <v>2</v>
      </c>
      <c r="B8" s="4"/>
      <c r="C8" s="227"/>
      <c r="D8" s="227"/>
    </row>
    <row r="9" spans="1:6" s="224" customFormat="1" ht="16.8" x14ac:dyDescent="0.4">
      <c r="A9" s="5" t="s">
        <v>270</v>
      </c>
      <c r="B9" s="4"/>
      <c r="C9" s="227"/>
      <c r="D9" s="227"/>
    </row>
    <row r="10" spans="1:6" s="224" customFormat="1" ht="16.8" x14ac:dyDescent="0.4">
      <c r="A10" s="5" t="s">
        <v>271</v>
      </c>
      <c r="B10" s="4"/>
      <c r="C10" s="228"/>
      <c r="D10" s="227"/>
    </row>
    <row r="11" spans="1:6" s="224" customFormat="1" ht="16.8" x14ac:dyDescent="0.4">
      <c r="A11" s="8" t="s">
        <v>272</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3.8" x14ac:dyDescent="0.25">
      <c r="A15" s="243">
        <v>1</v>
      </c>
      <c r="B15" s="244" t="s">
        <v>152</v>
      </c>
      <c r="C15" s="245">
        <v>4100</v>
      </c>
      <c r="D15" s="246">
        <f t="shared" ref="D15:D18" si="0">A15*C15</f>
        <v>4100</v>
      </c>
      <c r="E15" s="233"/>
      <c r="F15" s="222"/>
    </row>
    <row r="16" spans="1:6" ht="26.4" x14ac:dyDescent="0.25">
      <c r="A16" s="243"/>
      <c r="B16" s="244" t="s">
        <v>153</v>
      </c>
      <c r="C16" s="245"/>
      <c r="D16" s="246"/>
      <c r="E16" s="233"/>
      <c r="F16" s="242"/>
    </row>
    <row r="17" spans="1:5" s="242" customFormat="1" ht="16.5" customHeight="1" x14ac:dyDescent="0.25">
      <c r="A17" s="243">
        <v>435</v>
      </c>
      <c r="B17" s="244" t="s">
        <v>155</v>
      </c>
      <c r="C17" s="245">
        <v>22.6</v>
      </c>
      <c r="D17" s="246">
        <f t="shared" si="0"/>
        <v>9831</v>
      </c>
      <c r="E17" s="233"/>
    </row>
    <row r="18" spans="1:5" ht="13.5" customHeight="1" x14ac:dyDescent="0.25">
      <c r="A18" s="243">
        <v>1</v>
      </c>
      <c r="B18" s="244" t="s">
        <v>220</v>
      </c>
      <c r="C18" s="245">
        <v>23000</v>
      </c>
      <c r="D18" s="246">
        <f t="shared" si="0"/>
        <v>23000</v>
      </c>
      <c r="E18" s="233"/>
    </row>
    <row r="19" spans="1:5" ht="13.5" customHeight="1" x14ac:dyDescent="0.25">
      <c r="A19" s="243"/>
      <c r="B19" s="243"/>
      <c r="C19" s="243"/>
      <c r="D19" s="246"/>
      <c r="E19" s="233"/>
    </row>
    <row r="20" spans="1:5" ht="13.5" customHeight="1" x14ac:dyDescent="0.25">
      <c r="A20" s="251"/>
      <c r="B20" s="252"/>
      <c r="C20" s="253" t="s">
        <v>170</v>
      </c>
      <c r="D20" s="254">
        <f>SUM(D15:D19)</f>
        <v>36931</v>
      </c>
      <c r="E20" s="233"/>
    </row>
    <row r="21" spans="1:5" ht="13.5" customHeight="1" x14ac:dyDescent="0.25">
      <c r="A21" s="38"/>
      <c r="B21" s="38"/>
      <c r="C21" s="253" t="s">
        <v>13</v>
      </c>
      <c r="D21" s="254">
        <f>D20*0.16</f>
        <v>5908.96</v>
      </c>
      <c r="E21" s="255"/>
    </row>
    <row r="22" spans="1:5" ht="13.8" thickBot="1" x14ac:dyDescent="0.3">
      <c r="A22" s="38"/>
      <c r="B22" s="256"/>
      <c r="C22" s="257" t="s">
        <v>14</v>
      </c>
      <c r="D22" s="258">
        <f>D20+D21</f>
        <v>42839.96</v>
      </c>
    </row>
    <row r="23" spans="1:5" ht="13.8" thickBot="1" x14ac:dyDescent="0.3">
      <c r="A23" s="38"/>
      <c r="B23" s="766"/>
      <c r="C23" s="767"/>
      <c r="D23" s="768"/>
    </row>
    <row r="24" spans="1:5" ht="13.8" x14ac:dyDescent="0.25">
      <c r="A24" s="38"/>
      <c r="B24" s="39" t="s">
        <v>15</v>
      </c>
      <c r="C24" s="40"/>
      <c r="D24" s="259"/>
    </row>
    <row r="25" spans="1:5" ht="17.399999999999999" x14ac:dyDescent="0.25">
      <c r="A25" s="42"/>
      <c r="B25" s="43" t="s">
        <v>16</v>
      </c>
      <c r="C25" s="255"/>
      <c r="D25" s="260"/>
    </row>
    <row r="26" spans="1:5" ht="15" x14ac:dyDescent="0.25">
      <c r="A26" s="46"/>
      <c r="B26" s="52" t="s">
        <v>17</v>
      </c>
      <c r="D26" s="260"/>
    </row>
    <row r="27" spans="1:5" ht="15" x14ac:dyDescent="0.25">
      <c r="A27" s="46"/>
      <c r="B27" s="50" t="s">
        <v>19</v>
      </c>
      <c r="D27" s="260"/>
    </row>
    <row r="28" spans="1:5" ht="13.5" customHeight="1" x14ac:dyDescent="0.25">
      <c r="A28" s="46"/>
      <c r="B28" s="50" t="s">
        <v>21</v>
      </c>
      <c r="D28" s="260"/>
    </row>
    <row r="29" spans="1:5" ht="15" x14ac:dyDescent="0.25">
      <c r="A29" s="46"/>
      <c r="B29" s="261" t="s">
        <v>172</v>
      </c>
      <c r="D29" s="260"/>
    </row>
    <row r="30" spans="1:5" ht="13.8" x14ac:dyDescent="0.25">
      <c r="A30" s="51"/>
      <c r="B30" s="52" t="s">
        <v>23</v>
      </c>
    </row>
    <row r="31" spans="1:5" ht="15" x14ac:dyDescent="0.25">
      <c r="A31" s="46"/>
      <c r="B31" s="55" t="s">
        <v>24</v>
      </c>
    </row>
    <row r="32" spans="1:5" ht="41.4" x14ac:dyDescent="0.25">
      <c r="A32" s="46"/>
      <c r="B32" s="55" t="s">
        <v>25</v>
      </c>
      <c r="C32" s="57"/>
      <c r="D32" s="262"/>
    </row>
    <row r="33" spans="1:4" ht="15" x14ac:dyDescent="0.25">
      <c r="A33" s="46"/>
      <c r="B33" s="52" t="s">
        <v>26</v>
      </c>
      <c r="C33" s="57"/>
      <c r="D33" s="262"/>
    </row>
    <row r="34" spans="1:4" ht="15" x14ac:dyDescent="0.25">
      <c r="A34" s="46"/>
      <c r="B34" s="59" t="s">
        <v>173</v>
      </c>
      <c r="C34" s="57"/>
      <c r="D34" s="57"/>
    </row>
    <row r="35" spans="1:4" ht="15" x14ac:dyDescent="0.25">
      <c r="A35" s="46"/>
      <c r="B35" s="60" t="s">
        <v>28</v>
      </c>
      <c r="C35" s="57"/>
      <c r="D35" s="57"/>
    </row>
    <row r="36" spans="1:4" ht="13.8" x14ac:dyDescent="0.25">
      <c r="A36" s="51"/>
      <c r="B36" s="52" t="s">
        <v>29</v>
      </c>
      <c r="D36" s="260"/>
    </row>
    <row r="37" spans="1:4" ht="15" x14ac:dyDescent="0.25">
      <c r="A37" s="46"/>
      <c r="B37" s="61" t="s">
        <v>30</v>
      </c>
      <c r="C37" s="57"/>
      <c r="D37" s="262"/>
    </row>
    <row r="38" spans="1:4" ht="15" x14ac:dyDescent="0.25">
      <c r="A38" s="46"/>
      <c r="B38" s="50" t="s">
        <v>31</v>
      </c>
      <c r="C38" s="57"/>
      <c r="D38" s="262"/>
    </row>
    <row r="39" spans="1:4" ht="15" x14ac:dyDescent="0.25">
      <c r="A39" s="62"/>
      <c r="B39" s="63" t="s">
        <v>32</v>
      </c>
      <c r="C39" s="3"/>
      <c r="D39" s="64"/>
    </row>
    <row r="40" spans="1:4" ht="33.6" x14ac:dyDescent="0.25">
      <c r="A40" s="65" t="s">
        <v>0</v>
      </c>
      <c r="B40" s="66" t="s">
        <v>33</v>
      </c>
      <c r="C40" s="57"/>
      <c r="D40" s="57"/>
    </row>
    <row r="41" spans="1:4" ht="16.8" x14ac:dyDescent="0.4">
      <c r="A41" s="263"/>
      <c r="B41" s="264"/>
      <c r="C41" s="265"/>
      <c r="D41" s="265"/>
    </row>
    <row r="42" spans="1:4" x14ac:dyDescent="0.25">
      <c r="A42" s="266"/>
      <c r="B42" s="267"/>
      <c r="C42" s="267"/>
      <c r="D42" s="222"/>
    </row>
    <row r="43" spans="1:4" x14ac:dyDescent="0.25">
      <c r="A43" s="266"/>
      <c r="B43" s="267"/>
      <c r="C43" s="267"/>
      <c r="D43" s="222"/>
    </row>
    <row r="44" spans="1:4" x14ac:dyDescent="0.25">
      <c r="A44" s="268"/>
      <c r="B44" s="269"/>
      <c r="C44" s="267"/>
      <c r="D44" s="222"/>
    </row>
    <row r="45" spans="1:4" ht="15" x14ac:dyDescent="0.35">
      <c r="A45" s="270" t="s">
        <v>0</v>
      </c>
      <c r="B45" s="271"/>
      <c r="C45" s="267"/>
      <c r="D45" s="267"/>
    </row>
    <row r="46" spans="1:4" x14ac:dyDescent="0.25">
      <c r="A46" s="222" t="s">
        <v>0</v>
      </c>
    </row>
    <row r="50" ht="15.75" customHeight="1" x14ac:dyDescent="0.25"/>
    <row r="60" ht="15" customHeight="1" x14ac:dyDescent="0.25"/>
  </sheetData>
  <mergeCells count="2">
    <mergeCell ref="A4:D4"/>
    <mergeCell ref="B23:D23"/>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F248-BBC2-4391-BEF7-0BC2B8CF4AE1}">
  <sheetPr>
    <tabColor theme="4" tint="-0.249977111117893"/>
    <pageSetUpPr fitToPage="1"/>
  </sheetPr>
  <dimension ref="A1:G62"/>
  <sheetViews>
    <sheetView topLeftCell="A12" zoomScaleNormal="100" workbookViewId="0">
      <selection activeCell="A12" sqref="A12:D12"/>
    </sheetView>
  </sheetViews>
  <sheetFormatPr baseColWidth="10" defaultColWidth="10.33203125" defaultRowHeight="13.2" x14ac:dyDescent="0.25"/>
  <cols>
    <col min="1" max="1" width="5.44140625" style="1" customWidth="1"/>
    <col min="2" max="2" width="76.5546875" style="1" customWidth="1"/>
    <col min="3" max="3" width="12.6640625" style="3" bestFit="1" customWidth="1"/>
    <col min="4" max="4" width="15.44140625" style="3" customWidth="1"/>
    <col min="5" max="16384" width="10.332031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t="s">
        <v>1</v>
      </c>
      <c r="C7" s="6"/>
      <c r="D7" s="6"/>
    </row>
    <row r="8" spans="1:7" s="4" customFormat="1" ht="16.8" x14ac:dyDescent="0.4">
      <c r="A8" s="5" t="s">
        <v>2</v>
      </c>
      <c r="C8" s="6"/>
      <c r="D8" s="6"/>
    </row>
    <row r="9" spans="1:7" s="4" customFormat="1" ht="16.8" x14ac:dyDescent="0.4">
      <c r="A9" s="5" t="s">
        <v>3</v>
      </c>
      <c r="C9" s="6"/>
      <c r="D9" s="6"/>
    </row>
    <row r="10" spans="1:7" s="4" customFormat="1" ht="16.8" x14ac:dyDescent="0.4">
      <c r="A10" s="5" t="s">
        <v>4</v>
      </c>
      <c r="C10" s="7"/>
      <c r="D10" s="6"/>
    </row>
    <row r="11" spans="1:7" s="4" customFormat="1" ht="16.8" x14ac:dyDescent="0.4">
      <c r="A11" s="8" t="s">
        <v>178</v>
      </c>
      <c r="B11" s="9"/>
      <c r="C11" s="7"/>
      <c r="D11" s="6"/>
    </row>
    <row r="12" spans="1:7" s="4" customFormat="1" ht="15" customHeight="1" x14ac:dyDescent="0.4">
      <c r="A12" s="751" t="s">
        <v>6</v>
      </c>
      <c r="B12" s="752"/>
      <c r="C12" s="753"/>
      <c r="D12" s="754"/>
      <c r="E12" s="10"/>
    </row>
    <row r="13" spans="1:7" s="4" customFormat="1" ht="26.4" x14ac:dyDescent="0.4">
      <c r="A13" s="11" t="s">
        <v>7</v>
      </c>
      <c r="B13" s="11" t="s">
        <v>8</v>
      </c>
      <c r="C13" s="12" t="s">
        <v>9</v>
      </c>
      <c r="D13" s="12" t="s">
        <v>10</v>
      </c>
      <c r="E13" s="13"/>
    </row>
    <row r="14" spans="1:7" s="4" customFormat="1" ht="16.8" x14ac:dyDescent="0.4">
      <c r="A14" s="14"/>
      <c r="B14" s="15"/>
      <c r="C14" s="16"/>
      <c r="D14" s="16"/>
      <c r="E14" s="17"/>
      <c r="F14" s="10"/>
    </row>
    <row r="15" spans="1:7" s="10" customFormat="1" ht="60" x14ac:dyDescent="0.4">
      <c r="A15" s="18">
        <v>440</v>
      </c>
      <c r="B15" s="19" t="s">
        <v>174</v>
      </c>
      <c r="C15" s="20">
        <v>78</v>
      </c>
      <c r="D15" s="21">
        <f t="shared" ref="D15:D19" si="0">A15*C15</f>
        <v>34320</v>
      </c>
      <c r="E15" s="17"/>
      <c r="G15" s="4"/>
    </row>
    <row r="16" spans="1:7" ht="60" x14ac:dyDescent="0.25">
      <c r="A16" s="18">
        <v>440</v>
      </c>
      <c r="B16" s="19" t="s">
        <v>174</v>
      </c>
      <c r="C16" s="20">
        <v>78</v>
      </c>
      <c r="D16" s="21">
        <f t="shared" si="0"/>
        <v>34320</v>
      </c>
      <c r="E16" s="17"/>
    </row>
    <row r="17" spans="1:7" s="23" customFormat="1" ht="15.6" x14ac:dyDescent="0.25">
      <c r="A17" s="18">
        <v>1</v>
      </c>
      <c r="B17" s="19" t="s">
        <v>175</v>
      </c>
      <c r="C17" s="20">
        <v>5270</v>
      </c>
      <c r="D17" s="21">
        <f>A17*C17</f>
        <v>5270</v>
      </c>
      <c r="E17" s="1"/>
      <c r="F17" s="1"/>
      <c r="G17" s="1"/>
    </row>
    <row r="18" spans="1:7" ht="30" x14ac:dyDescent="0.25">
      <c r="A18" s="18">
        <v>3</v>
      </c>
      <c r="B18" s="22" t="s">
        <v>11</v>
      </c>
      <c r="C18" s="20">
        <f>1870*1.4</f>
        <v>2618</v>
      </c>
      <c r="D18" s="21">
        <f>A18*C18</f>
        <v>7854</v>
      </c>
    </row>
    <row r="19" spans="1:7" ht="15.6" x14ac:dyDescent="0.25">
      <c r="A19" s="18">
        <v>1</v>
      </c>
      <c r="B19" s="19" t="s">
        <v>176</v>
      </c>
      <c r="C19" s="20">
        <v>1800</v>
      </c>
      <c r="D19" s="21">
        <f t="shared" si="0"/>
        <v>1800</v>
      </c>
    </row>
    <row r="20" spans="1:7" ht="15.6" x14ac:dyDescent="0.25">
      <c r="A20" s="24"/>
      <c r="B20" s="272" t="s">
        <v>177</v>
      </c>
      <c r="C20" s="25" t="s">
        <v>12</v>
      </c>
      <c r="D20" s="26">
        <f>SUM(D15:D19)</f>
        <v>83564</v>
      </c>
    </row>
    <row r="21" spans="1:7" ht="15.6" x14ac:dyDescent="0.3">
      <c r="A21" s="27"/>
      <c r="B21" s="272"/>
      <c r="C21" s="28" t="s">
        <v>13</v>
      </c>
      <c r="D21" s="29">
        <f>D20*0.16</f>
        <v>13370.24</v>
      </c>
    </row>
    <row r="22" spans="1:7" ht="16.2" thickBot="1" x14ac:dyDescent="0.35">
      <c r="A22" s="30"/>
      <c r="B22" s="31"/>
      <c r="C22" s="32" t="s">
        <v>14</v>
      </c>
      <c r="D22" s="33">
        <f>D20+D21</f>
        <v>96934.24</v>
      </c>
    </row>
    <row r="23" spans="1:7" ht="16.2" thickBot="1" x14ac:dyDescent="0.3">
      <c r="A23" s="34"/>
      <c r="B23" s="35" t="s">
        <v>179</v>
      </c>
      <c r="C23" s="36"/>
      <c r="D23" s="37"/>
    </row>
    <row r="24" spans="1:7" ht="13.8" x14ac:dyDescent="0.25">
      <c r="A24" s="38"/>
      <c r="B24" s="39" t="s">
        <v>15</v>
      </c>
      <c r="C24" s="40"/>
      <c r="D24" s="41"/>
    </row>
    <row r="25" spans="1:7" ht="17.399999999999999" x14ac:dyDescent="0.25">
      <c r="A25" s="42"/>
      <c r="B25" s="43" t="s">
        <v>16</v>
      </c>
      <c r="C25" s="44"/>
      <c r="D25" s="45"/>
    </row>
    <row r="26" spans="1:7" ht="15.6" x14ac:dyDescent="0.25">
      <c r="A26" s="46"/>
      <c r="B26" s="47" t="s">
        <v>17</v>
      </c>
      <c r="C26" s="48" t="s">
        <v>18</v>
      </c>
      <c r="D26" s="49">
        <f>D22</f>
        <v>96934.24</v>
      </c>
      <c r="E26" s="13"/>
    </row>
    <row r="27" spans="1:7" ht="15.6" x14ac:dyDescent="0.25">
      <c r="A27" s="46"/>
      <c r="B27" s="50" t="s">
        <v>79</v>
      </c>
      <c r="C27" s="48" t="s">
        <v>20</v>
      </c>
      <c r="D27" s="49">
        <f>D22-75000</f>
        <v>21934.240000000005</v>
      </c>
    </row>
    <row r="28" spans="1:7" ht="15.6" x14ac:dyDescent="0.25">
      <c r="A28" s="46"/>
      <c r="B28" s="50" t="s">
        <v>21</v>
      </c>
      <c r="C28" s="48" t="s">
        <v>22</v>
      </c>
      <c r="D28" s="49">
        <f>D26-D27</f>
        <v>75000</v>
      </c>
    </row>
    <row r="29" spans="1:7" ht="13.8" x14ac:dyDescent="0.25">
      <c r="A29" s="51"/>
      <c r="B29" s="52" t="s">
        <v>23</v>
      </c>
      <c r="C29" s="53"/>
      <c r="D29" s="54"/>
    </row>
    <row r="30" spans="1:7" ht="27.6" x14ac:dyDescent="0.25">
      <c r="A30" s="46"/>
      <c r="B30" s="55" t="s">
        <v>24</v>
      </c>
      <c r="C30" s="53"/>
      <c r="D30" s="56"/>
    </row>
    <row r="31" spans="1:7" ht="41.4" x14ac:dyDescent="0.25">
      <c r="A31" s="46"/>
      <c r="B31" s="55" t="s">
        <v>25</v>
      </c>
      <c r="C31" s="57"/>
      <c r="D31" s="58"/>
    </row>
    <row r="32" spans="1:7" ht="15" x14ac:dyDescent="0.25">
      <c r="A32" s="46"/>
      <c r="B32" s="52" t="s">
        <v>26</v>
      </c>
      <c r="C32" s="57"/>
      <c r="D32" s="58"/>
    </row>
    <row r="33" spans="1:4" ht="15" x14ac:dyDescent="0.25">
      <c r="A33" s="46"/>
      <c r="B33" s="59" t="s">
        <v>27</v>
      </c>
      <c r="C33" s="57"/>
    </row>
    <row r="34" spans="1:4" ht="15" x14ac:dyDescent="0.25">
      <c r="A34" s="46"/>
      <c r="B34" s="60" t="s">
        <v>28</v>
      </c>
      <c r="C34" s="57"/>
      <c r="D34" s="1"/>
    </row>
    <row r="35" spans="1:4" ht="13.8" x14ac:dyDescent="0.25">
      <c r="A35" s="51"/>
      <c r="B35" s="52" t="s">
        <v>29</v>
      </c>
      <c r="C35" s="53"/>
      <c r="D35" s="1"/>
    </row>
    <row r="36" spans="1:4" ht="15" x14ac:dyDescent="0.25">
      <c r="A36" s="46"/>
      <c r="B36" s="61" t="s">
        <v>30</v>
      </c>
      <c r="C36" s="57"/>
      <c r="D36" s="1"/>
    </row>
    <row r="37" spans="1:4" ht="15" x14ac:dyDescent="0.25">
      <c r="A37" s="46"/>
      <c r="B37" s="50" t="s">
        <v>31</v>
      </c>
      <c r="C37" s="57"/>
      <c r="D37" s="1"/>
    </row>
    <row r="38" spans="1:4" ht="15" x14ac:dyDescent="0.25">
      <c r="A38" s="62"/>
      <c r="B38" s="63" t="s">
        <v>32</v>
      </c>
      <c r="D38" s="64"/>
    </row>
    <row r="39" spans="1:4" ht="50.4" x14ac:dyDescent="0.25">
      <c r="A39" s="65" t="s">
        <v>0</v>
      </c>
      <c r="B39" s="66" t="s">
        <v>33</v>
      </c>
      <c r="C39" s="57"/>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1" fitToWidth="0" orientation="portrait" r:id="rId1"/>
  <headerFooter alignWithMargins="0">
    <oddFooter>Página &amp;P de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0896-4C89-48B5-B38A-23F2B1ED31CF}">
  <sheetPr>
    <tabColor theme="4" tint="-0.249977111117893"/>
    <pageSetUpPr fitToPage="1"/>
  </sheetPr>
  <dimension ref="A1:P59"/>
  <sheetViews>
    <sheetView topLeftCell="A4" zoomScale="85" zoomScaleNormal="85" workbookViewId="0">
      <selection activeCell="B28" sqref="B28"/>
    </sheetView>
  </sheetViews>
  <sheetFormatPr baseColWidth="10" defaultColWidth="11.44140625" defaultRowHeight="13.2" x14ac:dyDescent="0.25"/>
  <cols>
    <col min="1" max="1" width="6" style="1" customWidth="1"/>
    <col min="2" max="2" width="83.44140625" style="1" customWidth="1"/>
    <col min="3" max="3" width="12.4414062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284</v>
      </c>
      <c r="B8" s="68"/>
      <c r="C8" s="69"/>
      <c r="D8" s="69"/>
    </row>
    <row r="9" spans="1:16" s="4" customFormat="1" ht="19.2" x14ac:dyDescent="0.45">
      <c r="A9" s="67" t="s">
        <v>285</v>
      </c>
      <c r="B9" s="68"/>
      <c r="C9" s="69"/>
      <c r="D9" s="69"/>
    </row>
    <row r="10" spans="1:16" s="4" customFormat="1" ht="19.2" x14ac:dyDescent="0.45">
      <c r="A10" s="67" t="s">
        <v>286</v>
      </c>
      <c r="B10" s="68"/>
      <c r="C10" s="69"/>
      <c r="D10" s="69"/>
    </row>
    <row r="11" spans="1:16" s="4" customFormat="1" ht="19.2" x14ac:dyDescent="0.45">
      <c r="A11" s="67" t="s">
        <v>287</v>
      </c>
      <c r="B11" s="68"/>
      <c r="C11" s="70"/>
      <c r="D11" s="69"/>
    </row>
    <row r="12" spans="1:16" s="4" customFormat="1" ht="15" customHeight="1" x14ac:dyDescent="0.45">
      <c r="A12" s="67" t="s">
        <v>38</v>
      </c>
      <c r="B12" s="68"/>
      <c r="C12" s="70"/>
      <c r="D12" s="69"/>
    </row>
    <row r="13" spans="1:16" s="4" customFormat="1" ht="15" customHeight="1" x14ac:dyDescent="0.45">
      <c r="A13" s="71" t="s">
        <v>288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3.8" x14ac:dyDescent="0.25">
      <c r="A15" s="14"/>
      <c r="B15" s="15"/>
      <c r="C15" s="16"/>
      <c r="D15" s="16"/>
      <c r="E15" s="17"/>
      <c r="F15" s="23"/>
      <c r="G15" s="23"/>
      <c r="H15" s="1"/>
      <c r="I15" s="1"/>
      <c r="J15" s="1"/>
      <c r="K15" s="1"/>
      <c r="L15" s="1"/>
      <c r="M15" s="1"/>
      <c r="N15" s="1"/>
      <c r="O15" s="1"/>
      <c r="P15" s="1"/>
    </row>
    <row r="16" spans="1:16" ht="30" x14ac:dyDescent="0.25">
      <c r="A16" s="80">
        <v>1</v>
      </c>
      <c r="B16" s="167" t="s">
        <v>278</v>
      </c>
      <c r="C16" s="168">
        <f>300*125</f>
        <v>37500</v>
      </c>
      <c r="D16" s="79">
        <f t="shared" ref="D16:D17" si="0">A16*C16</f>
        <v>37500</v>
      </c>
      <c r="E16" s="17"/>
      <c r="H16" s="23"/>
      <c r="I16" s="23"/>
      <c r="J16" s="23"/>
      <c r="K16" s="23"/>
      <c r="L16" s="23"/>
      <c r="M16" s="23"/>
      <c r="N16" s="23"/>
      <c r="O16" s="23"/>
      <c r="P16" s="23"/>
    </row>
    <row r="17" spans="1:16" s="23" customFormat="1" ht="30" x14ac:dyDescent="0.25">
      <c r="A17" s="80">
        <v>1</v>
      </c>
      <c r="B17" s="167" t="s">
        <v>279</v>
      </c>
      <c r="C17" s="168">
        <f>300*125</f>
        <v>37500</v>
      </c>
      <c r="D17" s="79">
        <f t="shared" si="0"/>
        <v>37500</v>
      </c>
      <c r="E17" s="17"/>
      <c r="F17" s="1"/>
      <c r="G17" s="1"/>
    </row>
    <row r="18" spans="1:16" s="23" customFormat="1" ht="15.6" x14ac:dyDescent="0.3">
      <c r="A18" s="159"/>
      <c r="B18" s="158"/>
      <c r="C18" s="82"/>
      <c r="D18" s="83"/>
      <c r="E18" s="17"/>
      <c r="F18" s="1"/>
      <c r="G18" s="1"/>
    </row>
    <row r="19" spans="1:16" s="23" customFormat="1" ht="15.6" x14ac:dyDescent="0.3">
      <c r="A19" s="161"/>
      <c r="B19" s="338" t="s">
        <v>283</v>
      </c>
      <c r="C19" s="170" t="s">
        <v>49</v>
      </c>
      <c r="D19" s="171">
        <f>SUM(D15:D18)</f>
        <v>75000</v>
      </c>
      <c r="E19" s="13"/>
      <c r="F19" s="1"/>
      <c r="G19" s="1"/>
      <c r="H19" s="1"/>
      <c r="I19" s="1"/>
      <c r="J19" s="1"/>
      <c r="K19" s="1"/>
      <c r="L19" s="1"/>
      <c r="M19" s="156"/>
    </row>
    <row r="20" spans="1:16" s="23" customFormat="1" ht="15.6" x14ac:dyDescent="0.3">
      <c r="A20" s="161"/>
      <c r="B20" s="338" t="s">
        <v>281</v>
      </c>
      <c r="C20" s="172" t="s">
        <v>93</v>
      </c>
      <c r="D20" s="171">
        <f>D19*0.16</f>
        <v>12000</v>
      </c>
      <c r="E20" s="13"/>
      <c r="F20" s="1"/>
      <c r="G20" s="1"/>
      <c r="H20" s="1"/>
      <c r="I20" s="1"/>
      <c r="J20" s="1"/>
      <c r="K20" s="1"/>
      <c r="L20" s="1"/>
      <c r="M20" s="1"/>
      <c r="N20" s="1"/>
      <c r="O20" s="1"/>
      <c r="P20" s="1"/>
    </row>
    <row r="21" spans="1:16" ht="16.2" thickBot="1" x14ac:dyDescent="0.3">
      <c r="A21" s="92"/>
      <c r="B21" s="338" t="s">
        <v>282</v>
      </c>
      <c r="C21" s="173" t="s">
        <v>77</v>
      </c>
      <c r="D21" s="174">
        <f>D19+D20</f>
        <v>87000</v>
      </c>
      <c r="E21" s="13"/>
    </row>
    <row r="22" spans="1:16" ht="16.2" thickBot="1" x14ac:dyDescent="0.3">
      <c r="A22" s="116"/>
      <c r="B22" s="755" t="s">
        <v>280</v>
      </c>
      <c r="C22" s="756"/>
      <c r="D22" s="757"/>
      <c r="E22" s="175"/>
      <c r="F22" s="88"/>
      <c r="G22" s="88"/>
      <c r="H22" s="88"/>
      <c r="I22" s="88"/>
      <c r="J22" s="88"/>
      <c r="K22" s="88"/>
      <c r="L22" s="88"/>
    </row>
    <row r="23" spans="1:16" x14ac:dyDescent="0.25">
      <c r="A23" s="34"/>
      <c r="B23" s="117"/>
      <c r="C23" s="163"/>
      <c r="D23" s="164"/>
      <c r="O23" s="88"/>
      <c r="P23" s="88"/>
    </row>
    <row r="24" spans="1:16" s="88" customFormat="1" ht="13.8" x14ac:dyDescent="0.25">
      <c r="A24" s="34"/>
      <c r="B24" s="126" t="s">
        <v>15</v>
      </c>
      <c r="C24" s="165"/>
      <c r="D24" s="56"/>
      <c r="E24" s="1"/>
      <c r="F24" s="1"/>
      <c r="G24" s="1"/>
      <c r="H24" s="1"/>
      <c r="I24" s="1"/>
      <c r="J24" s="1"/>
      <c r="K24" s="1"/>
      <c r="L24" s="1"/>
      <c r="M24" s="1"/>
      <c r="N24" s="1"/>
      <c r="O24" s="1"/>
      <c r="P24" s="1"/>
    </row>
    <row r="25" spans="1:16" ht="15.6" x14ac:dyDescent="0.25">
      <c r="A25" s="34"/>
      <c r="B25" s="176"/>
      <c r="C25" s="165"/>
      <c r="D25" s="56"/>
    </row>
    <row r="26" spans="1:16" ht="15" x14ac:dyDescent="0.25">
      <c r="A26" s="62"/>
      <c r="B26" s="126" t="s">
        <v>17</v>
      </c>
      <c r="D26" s="56"/>
    </row>
    <row r="27" spans="1:16" ht="15" x14ac:dyDescent="0.25">
      <c r="A27" s="62"/>
      <c r="B27" s="127" t="s">
        <v>289</v>
      </c>
      <c r="D27" s="56"/>
    </row>
    <row r="28" spans="1:16" ht="15" x14ac:dyDescent="0.25">
      <c r="A28" s="62"/>
      <c r="B28" s="127" t="s">
        <v>21</v>
      </c>
      <c r="D28" s="56"/>
    </row>
    <row r="29" spans="1:16" ht="17.25" customHeight="1" x14ac:dyDescent="0.25">
      <c r="A29" s="62"/>
      <c r="B29" s="127" t="s">
        <v>60</v>
      </c>
      <c r="D29" s="56"/>
      <c r="N29" s="88"/>
    </row>
    <row r="30" spans="1:16" ht="13.8" x14ac:dyDescent="0.25">
      <c r="B30" s="135" t="s">
        <v>23</v>
      </c>
      <c r="M30" s="88"/>
    </row>
    <row r="31" spans="1:16" ht="13.5" customHeight="1" x14ac:dyDescent="0.25">
      <c r="A31" s="62"/>
      <c r="B31" s="166" t="s">
        <v>95</v>
      </c>
    </row>
    <row r="32" spans="1:16" ht="27.6" x14ac:dyDescent="0.25">
      <c r="A32" s="62"/>
      <c r="B32" s="132" t="s">
        <v>62</v>
      </c>
      <c r="C32" s="54"/>
      <c r="D32" s="58"/>
      <c r="E32" s="13"/>
    </row>
    <row r="33" spans="1:5" ht="15" x14ac:dyDescent="0.25">
      <c r="A33" s="62"/>
      <c r="B33" s="135" t="s">
        <v>26</v>
      </c>
      <c r="C33" s="54"/>
      <c r="D33" s="58"/>
      <c r="E33" s="13"/>
    </row>
    <row r="34" spans="1:5" ht="27.6" x14ac:dyDescent="0.25">
      <c r="A34" s="62"/>
      <c r="B34" s="136" t="s">
        <v>96</v>
      </c>
      <c r="C34" s="54"/>
      <c r="D34" s="54"/>
    </row>
    <row r="35" spans="1:5" ht="15" x14ac:dyDescent="0.25">
      <c r="A35" s="62"/>
      <c r="B35" s="137" t="s">
        <v>28</v>
      </c>
      <c r="C35" s="54"/>
      <c r="D35" s="54"/>
    </row>
    <row r="36" spans="1:5" ht="13.8" x14ac:dyDescent="0.25">
      <c r="B36" s="135" t="s">
        <v>29</v>
      </c>
      <c r="D36" s="56"/>
    </row>
    <row r="37" spans="1:5" ht="15" x14ac:dyDescent="0.25">
      <c r="A37" s="62"/>
      <c r="B37" s="138" t="s">
        <v>81</v>
      </c>
      <c r="C37" s="54"/>
      <c r="D37" s="58"/>
    </row>
    <row r="38" spans="1:5" ht="15" x14ac:dyDescent="0.25">
      <c r="A38" s="62"/>
      <c r="B38" s="127" t="s">
        <v>31</v>
      </c>
      <c r="C38" s="54"/>
      <c r="D38" s="58"/>
    </row>
    <row r="39" spans="1:5" ht="13.8" x14ac:dyDescent="0.25">
      <c r="A39" s="139" t="s">
        <v>0</v>
      </c>
      <c r="B39" s="127" t="s">
        <v>32</v>
      </c>
      <c r="C39" s="54"/>
    </row>
    <row r="40" spans="1:5" ht="50.4" x14ac:dyDescent="0.4">
      <c r="A40" s="142"/>
      <c r="B40" s="140" t="s">
        <v>65</v>
      </c>
      <c r="C40" s="141"/>
      <c r="D40" s="1"/>
    </row>
    <row r="41" spans="1:5" x14ac:dyDescent="0.25">
      <c r="A41" s="142"/>
      <c r="B41" s="64"/>
      <c r="C41" s="64"/>
      <c r="D41" s="1"/>
    </row>
    <row r="42" spans="1:5" x14ac:dyDescent="0.25">
      <c r="A42" s="142"/>
      <c r="B42" s="64"/>
      <c r="C42" s="64"/>
      <c r="D42" s="1"/>
    </row>
    <row r="43" spans="1:5" x14ac:dyDescent="0.25">
      <c r="A43" s="144"/>
      <c r="B43" s="143"/>
      <c r="C43" s="64"/>
      <c r="D43" s="1"/>
    </row>
    <row r="44" spans="1:5" ht="15" x14ac:dyDescent="0.35">
      <c r="A44" s="146" t="s">
        <v>0</v>
      </c>
      <c r="B44" s="145"/>
      <c r="C44" s="64"/>
      <c r="D44" s="64"/>
    </row>
    <row r="45" spans="1:5" x14ac:dyDescent="0.25">
      <c r="A45" s="1" t="s">
        <v>0</v>
      </c>
    </row>
    <row r="50" ht="12.75" customHeight="1" x14ac:dyDescent="0.25"/>
    <row r="54" ht="16.5" customHeight="1" x14ac:dyDescent="0.25"/>
    <row r="58" ht="15.75" customHeight="1" x14ac:dyDescent="0.25"/>
    <row r="59" ht="15" customHeight="1" x14ac:dyDescent="0.25"/>
  </sheetData>
  <mergeCells count="3">
    <mergeCell ref="A4:D4"/>
    <mergeCell ref="A14:D14"/>
    <mergeCell ref="B22:D22"/>
  </mergeCells>
  <printOptions horizontalCentered="1"/>
  <pageMargins left="0.25" right="0.25" top="0.75" bottom="0.75" header="0.3" footer="0.3"/>
  <pageSetup paperSize="9" scale="84" fitToWidth="0" orientation="portrait" r:id="rId1"/>
  <headerFooter alignWithMargins="0">
    <oddFooter>Página &amp;P de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7327A-4BAA-4A80-A62C-B531B370FECA}">
  <sheetPr>
    <tabColor theme="4" tint="-0.249977111117893"/>
    <pageSetUpPr fitToPage="1"/>
  </sheetPr>
  <dimension ref="A1:G60"/>
  <sheetViews>
    <sheetView topLeftCell="A9" zoomScaleNormal="100" workbookViewId="0">
      <selection activeCell="B17" sqref="B17:B23"/>
    </sheetView>
  </sheetViews>
  <sheetFormatPr baseColWidth="10" defaultColWidth="11.44140625" defaultRowHeight="13.2" x14ac:dyDescent="0.25"/>
  <cols>
    <col min="1" max="1" width="6" style="1" customWidth="1"/>
    <col min="2" max="2" width="92.109375" style="1" customWidth="1"/>
    <col min="3" max="3" width="12.6640625" style="3" customWidth="1"/>
    <col min="4" max="4" width="14.5546875"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290</v>
      </c>
      <c r="B8" s="68"/>
      <c r="C8" s="69"/>
      <c r="D8" s="69"/>
    </row>
    <row r="9" spans="1:7" s="4" customFormat="1" ht="19.2" x14ac:dyDescent="0.45">
      <c r="A9" s="67" t="s">
        <v>291</v>
      </c>
      <c r="B9" s="68"/>
      <c r="C9" s="69"/>
      <c r="D9" s="69"/>
    </row>
    <row r="10" spans="1:7" s="4" customFormat="1" ht="19.2" x14ac:dyDescent="0.45">
      <c r="A10" s="67" t="s">
        <v>292</v>
      </c>
      <c r="B10" s="68"/>
      <c r="C10" s="69"/>
      <c r="D10" s="69"/>
    </row>
    <row r="11" spans="1:7" s="4" customFormat="1" ht="19.2" x14ac:dyDescent="0.45">
      <c r="A11" s="67" t="s">
        <v>293</v>
      </c>
      <c r="B11" s="68"/>
      <c r="C11" s="70"/>
      <c r="D11" s="69"/>
    </row>
    <row r="12" spans="1:7" s="4" customFormat="1" ht="15" customHeight="1" x14ac:dyDescent="0.45">
      <c r="A12" s="67" t="s">
        <v>294</v>
      </c>
      <c r="B12" s="68"/>
      <c r="C12" s="70"/>
      <c r="D12" s="69"/>
    </row>
    <row r="13" spans="1:7" s="4" customFormat="1" ht="15" customHeight="1" x14ac:dyDescent="0.45">
      <c r="A13" s="67" t="s">
        <v>38</v>
      </c>
      <c r="B13" s="72"/>
      <c r="C13" s="73"/>
      <c r="D13" s="74"/>
    </row>
    <row r="14" spans="1:7" s="4" customFormat="1" ht="15" customHeight="1" x14ac:dyDescent="0.45">
      <c r="A14" s="71" t="s">
        <v>295</v>
      </c>
      <c r="B14" s="72"/>
      <c r="C14" s="73"/>
      <c r="D14" s="74"/>
      <c r="E14" s="10"/>
      <c r="F14" s="10"/>
      <c r="G14" s="10"/>
    </row>
    <row r="15" spans="1:7" s="10" customFormat="1" ht="19.2" x14ac:dyDescent="0.25">
      <c r="A15" s="758" t="s">
        <v>40</v>
      </c>
      <c r="B15" s="759"/>
      <c r="C15" s="760"/>
      <c r="D15" s="761"/>
      <c r="E15" s="1"/>
      <c r="F15" s="1"/>
      <c r="G15" s="1"/>
    </row>
    <row r="16" spans="1:7" x14ac:dyDescent="0.25">
      <c r="A16" s="197"/>
      <c r="B16" s="198"/>
      <c r="C16" s="199"/>
      <c r="D16" s="199"/>
      <c r="E16" s="17"/>
      <c r="F16" s="23"/>
      <c r="G16" s="23"/>
    </row>
    <row r="17" spans="1:7" s="23" customFormat="1" ht="30.75" customHeight="1" x14ac:dyDescent="0.25">
      <c r="A17" s="200">
        <v>1</v>
      </c>
      <c r="B17" s="668" t="s">
        <v>296</v>
      </c>
      <c r="C17" s="218">
        <f>41000+38000</f>
        <v>79000</v>
      </c>
      <c r="D17" s="219">
        <f t="shared" ref="D17" si="0">A17*C17</f>
        <v>79000</v>
      </c>
      <c r="E17" s="17"/>
      <c r="F17" s="1"/>
      <c r="G17" s="1"/>
    </row>
    <row r="18" spans="1:7" s="23" customFormat="1" ht="24" customHeight="1" x14ac:dyDescent="0.25">
      <c r="A18" s="200"/>
      <c r="B18" s="669" t="s">
        <v>297</v>
      </c>
      <c r="C18" s="218"/>
      <c r="D18" s="219"/>
      <c r="E18" s="17"/>
      <c r="F18" s="1"/>
      <c r="G18" s="1"/>
    </row>
    <row r="19" spans="1:7" s="23" customFormat="1" ht="37.5" customHeight="1" x14ac:dyDescent="0.25">
      <c r="A19" s="200"/>
      <c r="B19" s="669" t="s">
        <v>298</v>
      </c>
      <c r="C19" s="218"/>
      <c r="D19" s="219"/>
      <c r="E19" s="17"/>
      <c r="F19" s="1"/>
      <c r="G19" s="1"/>
    </row>
    <row r="20" spans="1:7" s="23" customFormat="1" ht="33" customHeight="1" x14ac:dyDescent="0.25">
      <c r="A20" s="200"/>
      <c r="B20" s="669" t="s">
        <v>299</v>
      </c>
      <c r="C20" s="218"/>
      <c r="D20" s="219"/>
      <c r="E20" s="17"/>
      <c r="F20" s="1"/>
      <c r="G20" s="1"/>
    </row>
    <row r="21" spans="1:7" s="23" customFormat="1" ht="30" customHeight="1" x14ac:dyDescent="0.25">
      <c r="A21" s="200"/>
      <c r="B21" s="669" t="s">
        <v>300</v>
      </c>
      <c r="C21" s="218"/>
      <c r="D21" s="219"/>
      <c r="E21" s="17"/>
      <c r="F21" s="1"/>
      <c r="G21" s="1"/>
    </row>
    <row r="22" spans="1:7" s="23" customFormat="1" ht="42" customHeight="1" x14ac:dyDescent="0.25">
      <c r="A22" s="200"/>
      <c r="B22" s="669" t="s">
        <v>301</v>
      </c>
      <c r="C22" s="218"/>
      <c r="D22" s="219"/>
      <c r="E22" s="17"/>
      <c r="F22" s="1"/>
      <c r="G22" s="1"/>
    </row>
    <row r="23" spans="1:7" s="23" customFormat="1" ht="34.5" customHeight="1" x14ac:dyDescent="0.25">
      <c r="A23" s="200"/>
      <c r="B23" s="669" t="s">
        <v>302</v>
      </c>
      <c r="C23" s="218"/>
      <c r="D23" s="219"/>
      <c r="E23" s="17"/>
      <c r="F23" s="1"/>
      <c r="G23" s="1"/>
    </row>
    <row r="24" spans="1:7" x14ac:dyDescent="0.25">
      <c r="A24" s="204"/>
      <c r="B24" s="341"/>
      <c r="C24" s="342"/>
      <c r="D24" s="210"/>
      <c r="E24" s="13"/>
    </row>
    <row r="25" spans="1:7" ht="13.8" thickBot="1" x14ac:dyDescent="0.3">
      <c r="A25" s="208"/>
      <c r="B25" s="208"/>
      <c r="C25" s="209" t="s">
        <v>77</v>
      </c>
      <c r="D25" s="343">
        <f>SUM(D16:D24)</f>
        <v>79000</v>
      </c>
      <c r="E25" s="13"/>
    </row>
    <row r="26" spans="1:7" ht="13.8" thickBot="1" x14ac:dyDescent="0.3">
      <c r="A26" s="34"/>
      <c r="B26" s="762" t="s">
        <v>303</v>
      </c>
      <c r="C26" s="763"/>
      <c r="D26" s="764"/>
    </row>
    <row r="27" spans="1:7" x14ac:dyDescent="0.25">
      <c r="A27" s="34"/>
      <c r="B27" s="117"/>
      <c r="C27" s="163"/>
      <c r="D27" s="164"/>
    </row>
    <row r="28" spans="1:7" ht="13.8" x14ac:dyDescent="0.25">
      <c r="A28" s="34"/>
      <c r="B28" s="126" t="s">
        <v>15</v>
      </c>
      <c r="C28" s="165"/>
      <c r="D28" s="56"/>
    </row>
    <row r="29" spans="1:7" ht="25.5" customHeight="1" x14ac:dyDescent="0.25">
      <c r="A29" s="34"/>
      <c r="B29" s="344"/>
      <c r="C29" s="165"/>
      <c r="D29" s="56"/>
    </row>
    <row r="30" spans="1:7" ht="17.25" customHeight="1" x14ac:dyDescent="0.25">
      <c r="A30" s="62"/>
      <c r="B30" s="126" t="s">
        <v>17</v>
      </c>
      <c r="D30" s="56"/>
    </row>
    <row r="31" spans="1:7" ht="15" x14ac:dyDescent="0.25">
      <c r="A31" s="62"/>
      <c r="B31" s="213" t="s">
        <v>304</v>
      </c>
      <c r="D31" s="56"/>
    </row>
    <row r="32" spans="1:7" ht="13.5" customHeight="1" x14ac:dyDescent="0.25">
      <c r="A32" s="62"/>
      <c r="B32" s="213" t="s">
        <v>21</v>
      </c>
      <c r="D32" s="56"/>
    </row>
    <row r="33" spans="1:5" ht="15" x14ac:dyDescent="0.25">
      <c r="A33" s="62"/>
      <c r="B33" s="213" t="s">
        <v>60</v>
      </c>
      <c r="D33" s="56"/>
    </row>
    <row r="34" spans="1:5" ht="13.8" x14ac:dyDescent="0.25">
      <c r="B34" s="135" t="s">
        <v>23</v>
      </c>
    </row>
    <row r="35" spans="1:5" ht="15" x14ac:dyDescent="0.25">
      <c r="A35" s="62"/>
      <c r="B35" s="214" t="s">
        <v>24</v>
      </c>
      <c r="E35" s="13"/>
    </row>
    <row r="36" spans="1:5" ht="41.4" x14ac:dyDescent="0.25">
      <c r="A36" s="62"/>
      <c r="B36" s="214" t="s">
        <v>204</v>
      </c>
      <c r="C36" s="54"/>
      <c r="D36" s="58"/>
      <c r="E36" s="13"/>
    </row>
    <row r="37" spans="1:5" ht="15" x14ac:dyDescent="0.25">
      <c r="A37" s="62"/>
      <c r="B37" s="135" t="s">
        <v>26</v>
      </c>
      <c r="C37" s="54"/>
      <c r="D37" s="58"/>
    </row>
    <row r="38" spans="1:5" ht="30.75" customHeight="1" x14ac:dyDescent="0.25">
      <c r="A38" s="62"/>
      <c r="B38" s="215" t="s">
        <v>305</v>
      </c>
      <c r="C38" s="54"/>
      <c r="D38" s="54"/>
    </row>
    <row r="39" spans="1:5" ht="15" x14ac:dyDescent="0.25">
      <c r="A39" s="62"/>
      <c r="B39" s="215" t="s">
        <v>28</v>
      </c>
      <c r="C39" s="54"/>
      <c r="D39" s="54"/>
    </row>
    <row r="40" spans="1:5" ht="13.8" x14ac:dyDescent="0.25">
      <c r="B40" s="135" t="s">
        <v>29</v>
      </c>
      <c r="D40" s="56"/>
    </row>
    <row r="41" spans="1:5" ht="15" x14ac:dyDescent="0.25">
      <c r="A41" s="62"/>
      <c r="B41" s="63" t="s">
        <v>306</v>
      </c>
      <c r="C41" s="54"/>
      <c r="D41" s="58"/>
    </row>
    <row r="42" spans="1:5" ht="15" x14ac:dyDescent="0.25">
      <c r="A42" s="62"/>
      <c r="B42" s="63" t="s">
        <v>31</v>
      </c>
      <c r="C42" s="54"/>
      <c r="D42" s="58"/>
    </row>
    <row r="43" spans="1:5" ht="13.8" x14ac:dyDescent="0.25">
      <c r="A43" s="139" t="s">
        <v>0</v>
      </c>
      <c r="B43" s="63" t="s">
        <v>32</v>
      </c>
      <c r="C43" s="54"/>
    </row>
    <row r="44" spans="1:5" ht="50.4" x14ac:dyDescent="0.4">
      <c r="A44" s="142"/>
      <c r="B44" s="217" t="s">
        <v>65</v>
      </c>
      <c r="C44" s="141"/>
      <c r="D44" s="1"/>
    </row>
    <row r="45" spans="1:5" x14ac:dyDescent="0.25">
      <c r="A45" s="142"/>
      <c r="B45" s="64"/>
      <c r="C45" s="64"/>
      <c r="D45" s="1"/>
    </row>
    <row r="46" spans="1:5" x14ac:dyDescent="0.25">
      <c r="A46" s="142"/>
      <c r="B46" s="64"/>
      <c r="C46" s="64"/>
      <c r="D46" s="1"/>
    </row>
    <row r="47" spans="1:5" x14ac:dyDescent="0.25">
      <c r="A47" s="144"/>
      <c r="B47" s="143"/>
      <c r="C47" s="64"/>
      <c r="D47" s="1"/>
    </row>
    <row r="48" spans="1:5" ht="15" x14ac:dyDescent="0.35">
      <c r="A48" s="146" t="s">
        <v>0</v>
      </c>
      <c r="B48" s="145"/>
      <c r="C48" s="64"/>
      <c r="D48" s="64"/>
    </row>
    <row r="49" spans="1:1" x14ac:dyDescent="0.25">
      <c r="A49" s="1" t="s">
        <v>0</v>
      </c>
    </row>
    <row r="51" spans="1:1" ht="12.75" customHeight="1" x14ac:dyDescent="0.25"/>
    <row r="55" spans="1:1" ht="16.5" customHeight="1" x14ac:dyDescent="0.25"/>
    <row r="59" spans="1:1" ht="15.75" customHeight="1" x14ac:dyDescent="0.25"/>
    <row r="60" spans="1:1" ht="15" customHeight="1" x14ac:dyDescent="0.25"/>
  </sheetData>
  <mergeCells count="3">
    <mergeCell ref="A4:D4"/>
    <mergeCell ref="A15:D15"/>
    <mergeCell ref="B26:D26"/>
  </mergeCells>
  <printOptions horizontalCentered="1"/>
  <pageMargins left="0" right="0" top="0.39370078740157483" bottom="0" header="0" footer="0"/>
  <pageSetup paperSize="9" scale="64" orientation="portrait" r:id="rId1"/>
  <headerFooter alignWithMargins="0">
    <oddFooter>Página &amp;P de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1844-C33F-4C03-97B2-455E488A98BE}">
  <sheetPr>
    <tabColor theme="4" tint="-0.249977111117893"/>
    <pageSetUpPr fitToPage="1"/>
  </sheetPr>
  <dimension ref="A1:G60"/>
  <sheetViews>
    <sheetView topLeftCell="A10" zoomScaleNormal="100" workbookViewId="0">
      <selection activeCell="F44" sqref="F44"/>
    </sheetView>
  </sheetViews>
  <sheetFormatPr baseColWidth="10" defaultColWidth="11.44140625" defaultRowHeight="13.2" x14ac:dyDescent="0.25"/>
  <cols>
    <col min="1" max="1" width="6" style="1" customWidth="1"/>
    <col min="2" max="2" width="92.109375" style="1" customWidth="1"/>
    <col min="3" max="3" width="12.6640625" style="3" customWidth="1"/>
    <col min="4" max="4" width="14.5546875"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290</v>
      </c>
      <c r="B8" s="68"/>
      <c r="C8" s="69"/>
      <c r="D8" s="69"/>
    </row>
    <row r="9" spans="1:7" s="4" customFormat="1" ht="19.2" x14ac:dyDescent="0.45">
      <c r="A9" s="67" t="s">
        <v>291</v>
      </c>
      <c r="B9" s="68"/>
      <c r="C9" s="69"/>
      <c r="D9" s="69"/>
    </row>
    <row r="10" spans="1:7" s="4" customFormat="1" ht="19.2" x14ac:dyDescent="0.45">
      <c r="A10" s="67" t="s">
        <v>292</v>
      </c>
      <c r="B10" s="68"/>
      <c r="C10" s="69"/>
      <c r="D10" s="69"/>
    </row>
    <row r="11" spans="1:7" s="4" customFormat="1" ht="19.2" x14ac:dyDescent="0.45">
      <c r="A11" s="67" t="s">
        <v>293</v>
      </c>
      <c r="B11" s="68"/>
      <c r="C11" s="70"/>
      <c r="D11" s="69"/>
    </row>
    <row r="12" spans="1:7" s="4" customFormat="1" ht="15" customHeight="1" x14ac:dyDescent="0.45">
      <c r="A12" s="67" t="s">
        <v>294</v>
      </c>
      <c r="B12" s="68"/>
      <c r="C12" s="70"/>
      <c r="D12" s="69"/>
    </row>
    <row r="13" spans="1:7" s="4" customFormat="1" ht="15" customHeight="1" x14ac:dyDescent="0.45">
      <c r="A13" s="67" t="s">
        <v>38</v>
      </c>
      <c r="B13" s="72"/>
      <c r="C13" s="73"/>
      <c r="D13" s="74"/>
    </row>
    <row r="14" spans="1:7" s="4" customFormat="1" ht="15" customHeight="1" x14ac:dyDescent="0.45">
      <c r="A14" s="71" t="s">
        <v>295</v>
      </c>
      <c r="B14" s="72"/>
      <c r="C14" s="73"/>
      <c r="D14" s="74"/>
      <c r="E14" s="10"/>
      <c r="F14" s="10"/>
      <c r="G14" s="10"/>
    </row>
    <row r="15" spans="1:7" s="10" customFormat="1" ht="19.2" x14ac:dyDescent="0.25">
      <c r="A15" s="758" t="s">
        <v>40</v>
      </c>
      <c r="B15" s="759"/>
      <c r="C15" s="760"/>
      <c r="D15" s="761"/>
      <c r="E15" s="1"/>
      <c r="F15" s="1"/>
      <c r="G15" s="1"/>
    </row>
    <row r="16" spans="1:7" x14ac:dyDescent="0.25">
      <c r="A16" s="197"/>
      <c r="B16" s="198"/>
      <c r="C16" s="199"/>
      <c r="D16" s="199"/>
      <c r="E16" s="17"/>
      <c r="F16" s="23"/>
      <c r="G16" s="23"/>
    </row>
    <row r="17" spans="1:7" s="23" customFormat="1" ht="30.75" customHeight="1" x14ac:dyDescent="0.25">
      <c r="A17" s="200">
        <v>1</v>
      </c>
      <c r="B17" s="339" t="s">
        <v>307</v>
      </c>
      <c r="C17" s="218">
        <f>38000+35000</f>
        <v>73000</v>
      </c>
      <c r="D17" s="219">
        <f t="shared" ref="D17" si="0">A17*C17</f>
        <v>73000</v>
      </c>
      <c r="E17" s="17"/>
      <c r="F17" s="1"/>
      <c r="G17" s="1"/>
    </row>
    <row r="18" spans="1:7" s="23" customFormat="1" ht="24" customHeight="1" x14ac:dyDescent="0.25">
      <c r="A18" s="200"/>
      <c r="B18" s="340" t="s">
        <v>297</v>
      </c>
      <c r="C18" s="218"/>
      <c r="D18" s="219"/>
      <c r="E18" s="17"/>
      <c r="F18" s="1"/>
      <c r="G18" s="1"/>
    </row>
    <row r="19" spans="1:7" s="23" customFormat="1" ht="37.5" customHeight="1" x14ac:dyDescent="0.25">
      <c r="A19" s="200"/>
      <c r="B19" s="340" t="s">
        <v>298</v>
      </c>
      <c r="C19" s="218"/>
      <c r="D19" s="219"/>
      <c r="E19" s="17"/>
      <c r="F19" s="1"/>
      <c r="G19" s="1"/>
    </row>
    <row r="20" spans="1:7" s="23" customFormat="1" ht="33" customHeight="1" x14ac:dyDescent="0.25">
      <c r="A20" s="200"/>
      <c r="B20" s="340" t="s">
        <v>308</v>
      </c>
      <c r="C20" s="218"/>
      <c r="D20" s="219"/>
      <c r="E20" s="17"/>
      <c r="F20" s="1"/>
      <c r="G20" s="1"/>
    </row>
    <row r="21" spans="1:7" s="23" customFormat="1" ht="30" customHeight="1" x14ac:dyDescent="0.25">
      <c r="A21" s="200"/>
      <c r="B21" s="340" t="s">
        <v>300</v>
      </c>
      <c r="C21" s="218"/>
      <c r="D21" s="219"/>
      <c r="E21" s="17"/>
      <c r="F21" s="1"/>
      <c r="G21" s="1"/>
    </row>
    <row r="22" spans="1:7" s="23" customFormat="1" ht="42" customHeight="1" x14ac:dyDescent="0.25">
      <c r="A22" s="200"/>
      <c r="B22" s="340" t="s">
        <v>309</v>
      </c>
      <c r="C22" s="218"/>
      <c r="D22" s="219"/>
      <c r="E22" s="17"/>
      <c r="F22" s="1"/>
      <c r="G22" s="1"/>
    </row>
    <row r="23" spans="1:7" s="23" customFormat="1" ht="34.5" customHeight="1" x14ac:dyDescent="0.25">
      <c r="A23" s="200"/>
      <c r="B23" s="340" t="s">
        <v>302</v>
      </c>
      <c r="C23" s="218"/>
      <c r="D23" s="219"/>
      <c r="E23" s="17"/>
      <c r="F23" s="1"/>
      <c r="G23" s="1"/>
    </row>
    <row r="24" spans="1:7" x14ac:dyDescent="0.25">
      <c r="A24" s="204"/>
      <c r="B24" s="341"/>
      <c r="C24" s="342"/>
      <c r="D24" s="210"/>
      <c r="E24" s="13"/>
    </row>
    <row r="25" spans="1:7" ht="13.8" thickBot="1" x14ac:dyDescent="0.3">
      <c r="A25" s="208"/>
      <c r="B25" s="208"/>
      <c r="C25" s="209" t="s">
        <v>77</v>
      </c>
      <c r="D25" s="343">
        <f>SUM(D16:D24)</f>
        <v>73000</v>
      </c>
      <c r="E25" s="13"/>
    </row>
    <row r="26" spans="1:7" ht="13.8" thickBot="1" x14ac:dyDescent="0.3">
      <c r="A26" s="34"/>
      <c r="B26" s="762" t="s">
        <v>310</v>
      </c>
      <c r="C26" s="763"/>
      <c r="D26" s="764"/>
    </row>
    <row r="27" spans="1:7" x14ac:dyDescent="0.25">
      <c r="A27" s="34"/>
      <c r="B27" s="117"/>
      <c r="C27" s="163"/>
      <c r="D27" s="164"/>
    </row>
    <row r="28" spans="1:7" ht="13.8" x14ac:dyDescent="0.25">
      <c r="A28" s="34"/>
      <c r="B28" s="126" t="s">
        <v>15</v>
      </c>
      <c r="C28" s="165"/>
      <c r="D28" s="56"/>
    </row>
    <row r="29" spans="1:7" ht="25.5" customHeight="1" x14ac:dyDescent="0.25">
      <c r="A29" s="34"/>
      <c r="B29" s="344"/>
      <c r="C29" s="165"/>
      <c r="D29" s="56"/>
    </row>
    <row r="30" spans="1:7" ht="17.25" customHeight="1" x14ac:dyDescent="0.25">
      <c r="A30" s="62"/>
      <c r="B30" s="126" t="s">
        <v>17</v>
      </c>
      <c r="D30" s="56"/>
    </row>
    <row r="31" spans="1:7" ht="15" x14ac:dyDescent="0.25">
      <c r="A31" s="62"/>
      <c r="B31" s="213" t="s">
        <v>304</v>
      </c>
      <c r="D31" s="56"/>
    </row>
    <row r="32" spans="1:7" ht="13.5" customHeight="1" x14ac:dyDescent="0.25">
      <c r="A32" s="62"/>
      <c r="B32" s="213" t="s">
        <v>21</v>
      </c>
      <c r="D32" s="56"/>
    </row>
    <row r="33" spans="1:5" ht="15" x14ac:dyDescent="0.25">
      <c r="A33" s="62"/>
      <c r="B33" s="213" t="s">
        <v>60</v>
      </c>
      <c r="D33" s="56"/>
    </row>
    <row r="34" spans="1:5" ht="13.8" x14ac:dyDescent="0.25">
      <c r="B34" s="135" t="s">
        <v>23</v>
      </c>
    </row>
    <row r="35" spans="1:5" ht="15" x14ac:dyDescent="0.25">
      <c r="A35" s="62"/>
      <c r="B35" s="214" t="s">
        <v>24</v>
      </c>
      <c r="E35" s="13"/>
    </row>
    <row r="36" spans="1:5" ht="41.4" x14ac:dyDescent="0.25">
      <c r="A36" s="62"/>
      <c r="B36" s="214" t="s">
        <v>204</v>
      </c>
      <c r="C36" s="54"/>
      <c r="D36" s="58"/>
      <c r="E36" s="13"/>
    </row>
    <row r="37" spans="1:5" ht="15" x14ac:dyDescent="0.25">
      <c r="A37" s="62"/>
      <c r="B37" s="135" t="s">
        <v>26</v>
      </c>
      <c r="C37" s="54"/>
      <c r="D37" s="58"/>
    </row>
    <row r="38" spans="1:5" ht="30.75" customHeight="1" x14ac:dyDescent="0.25">
      <c r="A38" s="62"/>
      <c r="B38" s="215" t="s">
        <v>305</v>
      </c>
      <c r="C38" s="54"/>
      <c r="D38" s="54"/>
    </row>
    <row r="39" spans="1:5" ht="15" x14ac:dyDescent="0.25">
      <c r="A39" s="62"/>
      <c r="B39" s="215" t="s">
        <v>28</v>
      </c>
      <c r="C39" s="54"/>
      <c r="D39" s="54"/>
    </row>
    <row r="40" spans="1:5" ht="13.8" x14ac:dyDescent="0.25">
      <c r="B40" s="135" t="s">
        <v>29</v>
      </c>
      <c r="D40" s="56"/>
    </row>
    <row r="41" spans="1:5" ht="15" x14ac:dyDescent="0.25">
      <c r="A41" s="62"/>
      <c r="B41" s="63" t="s">
        <v>306</v>
      </c>
      <c r="C41" s="54"/>
      <c r="D41" s="58"/>
    </row>
    <row r="42" spans="1:5" ht="15" x14ac:dyDescent="0.25">
      <c r="A42" s="62"/>
      <c r="B42" s="63" t="s">
        <v>31</v>
      </c>
      <c r="C42" s="54"/>
      <c r="D42" s="58"/>
    </row>
    <row r="43" spans="1:5" ht="13.8" x14ac:dyDescent="0.25">
      <c r="A43" s="139" t="s">
        <v>0</v>
      </c>
      <c r="B43" s="63" t="s">
        <v>32</v>
      </c>
      <c r="C43" s="54"/>
    </row>
    <row r="44" spans="1:5" ht="50.4" x14ac:dyDescent="0.4">
      <c r="A44" s="142"/>
      <c r="B44" s="217" t="s">
        <v>65</v>
      </c>
      <c r="C44" s="141"/>
      <c r="D44" s="1"/>
    </row>
    <row r="45" spans="1:5" x14ac:dyDescent="0.25">
      <c r="A45" s="142"/>
      <c r="B45" s="64"/>
      <c r="C45" s="64"/>
      <c r="D45" s="1"/>
    </row>
    <row r="46" spans="1:5" x14ac:dyDescent="0.25">
      <c r="A46" s="142"/>
      <c r="B46" s="64"/>
      <c r="C46" s="64"/>
      <c r="D46" s="1"/>
    </row>
    <row r="47" spans="1:5" x14ac:dyDescent="0.25">
      <c r="A47" s="144"/>
      <c r="B47" s="143"/>
      <c r="C47" s="64"/>
      <c r="D47" s="1"/>
    </row>
    <row r="48" spans="1:5" ht="15" x14ac:dyDescent="0.35">
      <c r="A48" s="146" t="s">
        <v>0</v>
      </c>
      <c r="B48" s="145"/>
      <c r="C48" s="64"/>
      <c r="D48" s="64"/>
    </row>
    <row r="49" spans="1:1" x14ac:dyDescent="0.25">
      <c r="A49" s="1" t="s">
        <v>0</v>
      </c>
    </row>
    <row r="51" spans="1:1" ht="12.75" customHeight="1" x14ac:dyDescent="0.25"/>
    <row r="55" spans="1:1" ht="16.5" customHeight="1" x14ac:dyDescent="0.25"/>
    <row r="59" spans="1:1" ht="15.75" customHeight="1" x14ac:dyDescent="0.25"/>
    <row r="60" spans="1:1" ht="15" customHeight="1" x14ac:dyDescent="0.25"/>
  </sheetData>
  <mergeCells count="3">
    <mergeCell ref="A4:D4"/>
    <mergeCell ref="A15:D15"/>
    <mergeCell ref="B26:D26"/>
  </mergeCells>
  <printOptions horizontalCentered="1"/>
  <pageMargins left="0" right="0" top="0.39370078740157483" bottom="0" header="0" footer="0"/>
  <pageSetup paperSize="9" scale="64" orientation="portrait" r:id="rId1"/>
  <headerFooter alignWithMargins="0">
    <oddFooter>Página &amp;P de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7B16-2991-4904-8EAA-D99B22B35240}">
  <sheetPr>
    <pageSetUpPr fitToPage="1"/>
  </sheetPr>
  <dimension ref="A1:E65"/>
  <sheetViews>
    <sheetView topLeftCell="A12" zoomScaleNormal="100" workbookViewId="0">
      <selection activeCell="C18" sqref="C18"/>
    </sheetView>
  </sheetViews>
  <sheetFormatPr baseColWidth="10" defaultColWidth="11.44140625" defaultRowHeight="13.2" x14ac:dyDescent="0.25"/>
  <cols>
    <col min="1" max="1" width="6" style="345" customWidth="1"/>
    <col min="2" max="2" width="109.109375" style="345" customWidth="1"/>
    <col min="3" max="3" width="15.88671875" style="347" customWidth="1"/>
    <col min="4" max="4" width="15.6640625" style="347" customWidth="1"/>
    <col min="5" max="16384" width="11.44140625" style="345"/>
  </cols>
  <sheetData>
    <row r="1" spans="1:5" ht="81" customHeight="1" x14ac:dyDescent="0.25">
      <c r="A1" s="345" t="s">
        <v>0</v>
      </c>
      <c r="C1" s="346"/>
    </row>
    <row r="2" spans="1:5" ht="9" customHeight="1" x14ac:dyDescent="0.25">
      <c r="C2" s="346"/>
    </row>
    <row r="3" spans="1:5" ht="9" customHeight="1" x14ac:dyDescent="0.25">
      <c r="C3" s="346"/>
    </row>
    <row r="4" spans="1:5" s="348" customFormat="1" ht="16.8" x14ac:dyDescent="0.4">
      <c r="A4" s="777"/>
      <c r="B4" s="777"/>
      <c r="C4" s="777"/>
      <c r="D4" s="777"/>
    </row>
    <row r="5" spans="1:5" s="348" customFormat="1" ht="16.8" x14ac:dyDescent="0.4">
      <c r="A5" s="349"/>
      <c r="C5" s="350"/>
      <c r="D5" s="350"/>
    </row>
    <row r="6" spans="1:5" s="348" customFormat="1" ht="16.8" x14ac:dyDescent="0.4">
      <c r="A6" s="349"/>
      <c r="C6" s="350"/>
      <c r="D6" s="350"/>
    </row>
    <row r="7" spans="1:5" s="348" customFormat="1" ht="16.8" x14ac:dyDescent="0.4">
      <c r="A7" s="349"/>
      <c r="C7" s="350"/>
      <c r="D7" s="350"/>
    </row>
    <row r="8" spans="1:5" s="348" customFormat="1" ht="16.8" x14ac:dyDescent="0.4">
      <c r="A8" s="5" t="s">
        <v>97</v>
      </c>
      <c r="B8" s="4"/>
      <c r="C8" s="6"/>
      <c r="D8" s="6"/>
    </row>
    <row r="9" spans="1:5" s="348" customFormat="1" ht="16.8" x14ac:dyDescent="0.4">
      <c r="A9" s="5" t="s">
        <v>311</v>
      </c>
      <c r="B9" s="4"/>
      <c r="C9" s="6"/>
      <c r="D9" s="6"/>
    </row>
    <row r="10" spans="1:5" s="348" customFormat="1" ht="16.8" x14ac:dyDescent="0.4">
      <c r="A10" s="5" t="s">
        <v>312</v>
      </c>
      <c r="B10" s="4"/>
      <c r="C10" s="6"/>
      <c r="D10" s="6"/>
    </row>
    <row r="11" spans="1:5" s="348" customFormat="1" ht="16.8" x14ac:dyDescent="0.4">
      <c r="A11" s="5" t="s">
        <v>313</v>
      </c>
      <c r="B11" s="4"/>
      <c r="C11" s="7"/>
      <c r="D11" s="6"/>
    </row>
    <row r="12" spans="1:5" s="348" customFormat="1" ht="15" customHeight="1" x14ac:dyDescent="0.4">
      <c r="A12" s="8" t="s">
        <v>314</v>
      </c>
      <c r="B12" s="9"/>
      <c r="C12" s="351"/>
      <c r="D12" s="352"/>
    </row>
    <row r="13" spans="1:5" s="348" customFormat="1" ht="16.8" x14ac:dyDescent="0.4">
      <c r="A13" s="778" t="s">
        <v>315</v>
      </c>
      <c r="B13" s="779"/>
      <c r="C13" s="780"/>
      <c r="D13" s="781"/>
    </row>
    <row r="14" spans="1:5" s="348" customFormat="1" ht="16.8" x14ac:dyDescent="0.4">
      <c r="A14" s="353" t="s">
        <v>7</v>
      </c>
      <c r="B14" s="353" t="s">
        <v>8</v>
      </c>
      <c r="C14" s="354" t="s">
        <v>9</v>
      </c>
      <c r="D14" s="354" t="s">
        <v>10</v>
      </c>
    </row>
    <row r="15" spans="1:5" s="358" customFormat="1" ht="13.8" x14ac:dyDescent="0.25">
      <c r="A15" s="355"/>
      <c r="B15" s="356"/>
      <c r="C15" s="357"/>
      <c r="D15" s="357"/>
    </row>
    <row r="16" spans="1:5" ht="54.75" customHeight="1" x14ac:dyDescent="0.25">
      <c r="A16" s="359">
        <v>1</v>
      </c>
      <c r="B16" s="360" t="s">
        <v>316</v>
      </c>
      <c r="C16" s="361">
        <f>29365*2</f>
        <v>58730</v>
      </c>
      <c r="D16" s="362">
        <f>A16*C16</f>
        <v>58730</v>
      </c>
      <c r="E16" s="363"/>
    </row>
    <row r="17" spans="1:5" ht="57" customHeight="1" x14ac:dyDescent="0.25">
      <c r="A17" s="364">
        <v>1</v>
      </c>
      <c r="B17" s="365" t="s">
        <v>317</v>
      </c>
      <c r="C17" s="366">
        <f>(6160+2000)*1.3</f>
        <v>10608</v>
      </c>
      <c r="D17" s="367">
        <f>C17*A17</f>
        <v>10608</v>
      </c>
      <c r="E17" s="363"/>
    </row>
    <row r="18" spans="1:5" ht="57" customHeight="1" x14ac:dyDescent="0.25">
      <c r="A18" s="368">
        <v>1</v>
      </c>
      <c r="B18" s="365" t="s">
        <v>318</v>
      </c>
      <c r="C18" s="369">
        <f>3500*1.5</f>
        <v>5250</v>
      </c>
      <c r="D18" s="367">
        <f>A18*C18</f>
        <v>5250</v>
      </c>
      <c r="E18" s="363"/>
    </row>
    <row r="19" spans="1:5" ht="19.5" customHeight="1" x14ac:dyDescent="0.25">
      <c r="A19" s="368"/>
      <c r="B19" s="367"/>
      <c r="C19" s="367"/>
      <c r="D19" s="367"/>
      <c r="E19" s="363"/>
    </row>
    <row r="20" spans="1:5" ht="18.75" customHeight="1" x14ac:dyDescent="0.25">
      <c r="A20" s="370"/>
      <c r="B20" s="371"/>
      <c r="C20" s="372" t="s">
        <v>170</v>
      </c>
      <c r="D20" s="362">
        <f>SUM(D16:D18)</f>
        <v>74588</v>
      </c>
    </row>
    <row r="21" spans="1:5" ht="18.75" customHeight="1" x14ac:dyDescent="0.3">
      <c r="A21" s="373"/>
      <c r="B21" s="374"/>
      <c r="C21" s="375" t="s">
        <v>319</v>
      </c>
      <c r="D21" s="362">
        <f>D20*0.16</f>
        <v>11934.08</v>
      </c>
    </row>
    <row r="22" spans="1:5" ht="18.75" customHeight="1" x14ac:dyDescent="0.3">
      <c r="A22" s="373"/>
      <c r="B22" s="374"/>
      <c r="C22" s="375" t="s">
        <v>14</v>
      </c>
      <c r="D22" s="367">
        <f>D20+D21</f>
        <v>86522.08</v>
      </c>
    </row>
    <row r="23" spans="1:5" ht="18.75" customHeight="1" x14ac:dyDescent="0.25">
      <c r="A23" s="373"/>
      <c r="B23" s="782" t="s">
        <v>322</v>
      </c>
      <c r="C23" s="783"/>
      <c r="D23" s="784"/>
      <c r="E23" s="363"/>
    </row>
    <row r="24" spans="1:5" ht="15.75" customHeight="1" x14ac:dyDescent="0.25">
      <c r="B24" s="376" t="s">
        <v>15</v>
      </c>
      <c r="C24" s="377"/>
      <c r="D24" s="378"/>
    </row>
    <row r="25" spans="1:5" s="380" customFormat="1" ht="13.5" customHeight="1" x14ac:dyDescent="0.25">
      <c r="A25" s="345"/>
      <c r="B25" s="379"/>
      <c r="C25" s="363"/>
    </row>
    <row r="26" spans="1:5" s="380" customFormat="1" ht="15.75" customHeight="1" x14ac:dyDescent="0.25">
      <c r="B26" s="126" t="s">
        <v>17</v>
      </c>
    </row>
    <row r="27" spans="1:5" ht="13.5" customHeight="1" x14ac:dyDescent="0.25">
      <c r="A27" s="381"/>
      <c r="B27" s="127" t="s">
        <v>289</v>
      </c>
      <c r="C27" s="345"/>
      <c r="D27" s="345"/>
    </row>
    <row r="28" spans="1:5" ht="13.5" customHeight="1" x14ac:dyDescent="0.25">
      <c r="A28" s="381"/>
      <c r="B28" s="127" t="s">
        <v>21</v>
      </c>
      <c r="C28" s="345"/>
      <c r="D28" s="345"/>
    </row>
    <row r="29" spans="1:5" ht="13.5" customHeight="1" x14ac:dyDescent="0.25">
      <c r="A29" s="381"/>
      <c r="B29" s="127" t="s">
        <v>60</v>
      </c>
      <c r="C29" s="345"/>
      <c r="D29" s="345"/>
    </row>
    <row r="30" spans="1:5" ht="13.8" x14ac:dyDescent="0.25">
      <c r="A30" s="34"/>
      <c r="B30" s="135" t="s">
        <v>23</v>
      </c>
      <c r="C30" s="345"/>
      <c r="D30" s="345"/>
    </row>
    <row r="31" spans="1:5" ht="13.8" x14ac:dyDescent="0.25">
      <c r="A31" s="34"/>
      <c r="B31" s="132" t="s">
        <v>24</v>
      </c>
      <c r="C31" s="165"/>
      <c r="D31" s="56"/>
    </row>
    <row r="32" spans="1:5" ht="13.5" customHeight="1" x14ac:dyDescent="0.25">
      <c r="A32" s="62"/>
      <c r="B32" s="132" t="s">
        <v>25</v>
      </c>
      <c r="C32" s="165"/>
      <c r="D32" s="56"/>
    </row>
    <row r="33" spans="1:4" ht="13.5" customHeight="1" x14ac:dyDescent="0.25">
      <c r="A33" s="62"/>
      <c r="B33" s="135" t="s">
        <v>26</v>
      </c>
      <c r="C33" s="3"/>
      <c r="D33" s="56"/>
    </row>
    <row r="34" spans="1:4" ht="13.5" customHeight="1" x14ac:dyDescent="0.25">
      <c r="A34" s="62"/>
      <c r="B34" s="391" t="s">
        <v>320</v>
      </c>
      <c r="C34" s="3"/>
      <c r="D34" s="56"/>
    </row>
    <row r="35" spans="1:4" ht="13.5" customHeight="1" x14ac:dyDescent="0.25">
      <c r="A35" s="62"/>
      <c r="B35" s="137" t="s">
        <v>28</v>
      </c>
      <c r="C35" s="3"/>
      <c r="D35" s="56"/>
    </row>
    <row r="36" spans="1:4" ht="13.5" customHeight="1" x14ac:dyDescent="0.25">
      <c r="A36" s="1"/>
      <c r="B36" s="135" t="s">
        <v>29</v>
      </c>
      <c r="C36" s="3"/>
      <c r="D36" s="56"/>
    </row>
    <row r="37" spans="1:4" ht="15" x14ac:dyDescent="0.25">
      <c r="A37" s="62"/>
      <c r="B37" s="138" t="s">
        <v>321</v>
      </c>
      <c r="C37" s="3"/>
      <c r="D37" s="3"/>
    </row>
    <row r="38" spans="1:4" ht="15" x14ac:dyDescent="0.25">
      <c r="A38" s="62"/>
      <c r="B38" s="127" t="s">
        <v>31</v>
      </c>
      <c r="C38" s="3"/>
      <c r="D38" s="3"/>
    </row>
    <row r="39" spans="1:4" ht="15" x14ac:dyDescent="0.25">
      <c r="A39" s="62"/>
      <c r="B39" s="127" t="s">
        <v>32</v>
      </c>
      <c r="C39" s="54"/>
      <c r="D39" s="58"/>
    </row>
    <row r="40" spans="1:4" ht="33.6" x14ac:dyDescent="0.4">
      <c r="A40" s="62"/>
      <c r="B40" s="140" t="s">
        <v>33</v>
      </c>
      <c r="C40" s="54"/>
      <c r="D40" s="58"/>
    </row>
    <row r="41" spans="1:4" ht="16.8" x14ac:dyDescent="0.4">
      <c r="A41" s="62"/>
      <c r="B41" s="382"/>
      <c r="C41" s="54"/>
      <c r="D41" s="54"/>
    </row>
    <row r="42" spans="1:4" ht="13.8" x14ac:dyDescent="0.25">
      <c r="A42" s="1"/>
      <c r="B42" s="383"/>
      <c r="C42" s="54"/>
      <c r="D42" s="54"/>
    </row>
    <row r="43" spans="1:4" ht="15" x14ac:dyDescent="0.25">
      <c r="A43" s="62"/>
      <c r="B43" s="383"/>
      <c r="C43" s="3"/>
      <c r="D43" s="56"/>
    </row>
    <row r="44" spans="1:4" ht="15" x14ac:dyDescent="0.25">
      <c r="A44" s="62"/>
      <c r="B44" s="384"/>
      <c r="C44" s="54"/>
      <c r="D44" s="58"/>
    </row>
    <row r="45" spans="1:4" ht="16.2" x14ac:dyDescent="0.35">
      <c r="A45" s="62"/>
      <c r="B45" s="385"/>
      <c r="C45" s="54"/>
      <c r="D45" s="58"/>
    </row>
    <row r="46" spans="1:4" ht="13.8" x14ac:dyDescent="0.25">
      <c r="A46" s="139" t="s">
        <v>0</v>
      </c>
      <c r="C46" s="54"/>
      <c r="D46" s="58"/>
    </row>
    <row r="47" spans="1:4" ht="13.8" x14ac:dyDescent="0.25">
      <c r="A47" s="386"/>
      <c r="C47" s="54"/>
      <c r="D47" s="54"/>
    </row>
    <row r="48" spans="1:4" ht="13.8" x14ac:dyDescent="0.25">
      <c r="A48" s="387"/>
      <c r="C48" s="388"/>
      <c r="D48" s="388"/>
    </row>
    <row r="49" spans="1:4" x14ac:dyDescent="0.25">
      <c r="A49" s="387"/>
      <c r="C49" s="383"/>
      <c r="D49" s="345"/>
    </row>
    <row r="50" spans="1:4" x14ac:dyDescent="0.25">
      <c r="A50" s="389"/>
      <c r="C50" s="383"/>
      <c r="D50" s="345"/>
    </row>
    <row r="51" spans="1:4" x14ac:dyDescent="0.25">
      <c r="A51" s="390" t="s">
        <v>0</v>
      </c>
      <c r="C51" s="383"/>
      <c r="D51" s="345"/>
    </row>
    <row r="52" spans="1:4" x14ac:dyDescent="0.25">
      <c r="A52" s="345" t="s">
        <v>0</v>
      </c>
      <c r="C52" s="383"/>
      <c r="D52" s="383"/>
    </row>
    <row r="56" spans="1:4" ht="15.75" customHeight="1" x14ac:dyDescent="0.25"/>
    <row r="60" spans="1:4" ht="16.5" customHeight="1" x14ac:dyDescent="0.25"/>
    <row r="64" spans="1:4" ht="24" customHeight="1" x14ac:dyDescent="0.25"/>
    <row r="65" ht="24" customHeight="1" x14ac:dyDescent="0.25"/>
  </sheetData>
  <mergeCells count="3">
    <mergeCell ref="A4:D4"/>
    <mergeCell ref="A13:D13"/>
    <mergeCell ref="B23:D23"/>
  </mergeCells>
  <pageMargins left="0.25" right="0.25" top="0.75" bottom="0.75" header="0.3" footer="0.3"/>
  <pageSetup scale="64"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F70D-9077-4711-B18E-6B4B8BBE7031}">
  <sheetPr>
    <tabColor theme="4" tint="-0.249977111117893"/>
    <pageSetUpPr fitToPage="1"/>
  </sheetPr>
  <dimension ref="A1:G62"/>
  <sheetViews>
    <sheetView topLeftCell="A16" zoomScaleNormal="100" workbookViewId="0">
      <selection activeCell="B27" sqref="B27:D27"/>
    </sheetView>
  </sheetViews>
  <sheetFormatPr baseColWidth="10" defaultColWidth="10.33203125" defaultRowHeight="13.2" x14ac:dyDescent="0.25"/>
  <cols>
    <col min="1" max="1" width="5.44140625" style="1" customWidth="1"/>
    <col min="2" max="2" width="79.44140625" style="1" customWidth="1"/>
    <col min="3" max="3" width="14.88671875" style="3" bestFit="1" customWidth="1"/>
    <col min="4" max="4" width="15.33203125" style="3" bestFit="1" customWidth="1"/>
    <col min="5" max="16384" width="10.332031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t="s">
        <v>97</v>
      </c>
      <c r="C7" s="6"/>
      <c r="D7" s="6"/>
    </row>
    <row r="8" spans="1:7" s="4" customFormat="1" ht="16.8" x14ac:dyDescent="0.4">
      <c r="A8" s="5" t="s">
        <v>98</v>
      </c>
      <c r="C8" s="6"/>
      <c r="D8" s="6"/>
    </row>
    <row r="9" spans="1:7" s="4" customFormat="1" ht="16.8" x14ac:dyDescent="0.4">
      <c r="A9" s="5" t="s">
        <v>99</v>
      </c>
      <c r="C9" s="6"/>
      <c r="D9" s="6"/>
    </row>
    <row r="10" spans="1:7" s="4" customFormat="1" ht="16.8" x14ac:dyDescent="0.4">
      <c r="A10" s="5" t="s">
        <v>100</v>
      </c>
      <c r="C10" s="7"/>
      <c r="D10" s="6"/>
    </row>
    <row r="11" spans="1:7" s="4" customFormat="1" ht="16.8" x14ac:dyDescent="0.4">
      <c r="A11" s="8" t="s">
        <v>101</v>
      </c>
      <c r="B11" s="9"/>
      <c r="C11" s="7"/>
      <c r="D11" s="6"/>
    </row>
    <row r="12" spans="1:7" s="4" customFormat="1" ht="15" customHeight="1" x14ac:dyDescent="0.4">
      <c r="A12" s="751" t="s">
        <v>6</v>
      </c>
      <c r="B12" s="752"/>
      <c r="C12" s="753"/>
      <c r="D12" s="754"/>
      <c r="E12" s="10"/>
    </row>
    <row r="13" spans="1:7" s="4" customFormat="1" ht="15" customHeight="1" x14ac:dyDescent="0.4">
      <c r="A13" s="11" t="s">
        <v>7</v>
      </c>
      <c r="B13" s="11" t="s">
        <v>8</v>
      </c>
      <c r="C13" s="12" t="s">
        <v>9</v>
      </c>
      <c r="D13" s="12" t="s">
        <v>10</v>
      </c>
      <c r="E13" s="13"/>
    </row>
    <row r="14" spans="1:7" s="4" customFormat="1" ht="16.8" x14ac:dyDescent="0.4">
      <c r="A14" s="14"/>
      <c r="B14" s="15"/>
      <c r="C14" s="16"/>
      <c r="D14" s="16"/>
      <c r="E14" s="17"/>
      <c r="F14" s="10"/>
    </row>
    <row r="15" spans="1:7" s="10" customFormat="1" ht="15.6" x14ac:dyDescent="0.3">
      <c r="A15" s="177">
        <v>1</v>
      </c>
      <c r="B15" s="178" t="s">
        <v>102</v>
      </c>
      <c r="C15" s="179">
        <f>(3344*19.5)*1.35</f>
        <v>88030.8</v>
      </c>
      <c r="D15" s="180">
        <f t="shared" ref="D15:D23" si="0">A15*C15</f>
        <v>88030.8</v>
      </c>
      <c r="E15" s="17"/>
      <c r="F15" s="1"/>
      <c r="G15" s="23"/>
    </row>
    <row r="16" spans="1:7" ht="30" x14ac:dyDescent="0.25">
      <c r="A16" s="18">
        <v>1</v>
      </c>
      <c r="B16" s="19" t="s">
        <v>103</v>
      </c>
      <c r="C16" s="179">
        <f>((65732)*1.35)</f>
        <v>88738.200000000012</v>
      </c>
      <c r="D16" s="180">
        <f t="shared" si="0"/>
        <v>88738.200000000012</v>
      </c>
    </row>
    <row r="17" spans="1:7" s="23" customFormat="1" ht="15.6" x14ac:dyDescent="0.25">
      <c r="A17" s="18">
        <v>1</v>
      </c>
      <c r="B17" s="19" t="s">
        <v>104</v>
      </c>
      <c r="C17" s="179">
        <f>(31200)*1.7</f>
        <v>53040</v>
      </c>
      <c r="D17" s="180">
        <f t="shared" si="0"/>
        <v>53040</v>
      </c>
      <c r="E17" s="1"/>
      <c r="F17" s="1"/>
      <c r="G17" s="1"/>
    </row>
    <row r="18" spans="1:7" ht="15.6" x14ac:dyDescent="0.25">
      <c r="A18" s="18">
        <v>7</v>
      </c>
      <c r="B18" s="19" t="s">
        <v>105</v>
      </c>
      <c r="C18" s="179">
        <f>(2300*1.5)</f>
        <v>3450</v>
      </c>
      <c r="D18" s="180">
        <f t="shared" si="0"/>
        <v>24150</v>
      </c>
    </row>
    <row r="19" spans="1:7" ht="15.6" x14ac:dyDescent="0.25">
      <c r="A19" s="18">
        <v>3</v>
      </c>
      <c r="B19" s="19" t="s">
        <v>106</v>
      </c>
      <c r="C19" s="179">
        <v>460</v>
      </c>
      <c r="D19" s="180">
        <f>A19*C19</f>
        <v>1380</v>
      </c>
    </row>
    <row r="20" spans="1:7" ht="15.6" x14ac:dyDescent="0.25">
      <c r="A20" s="18">
        <v>2</v>
      </c>
      <c r="B20" s="19" t="s">
        <v>107</v>
      </c>
      <c r="C20" s="20">
        <f>(374.5*19.3)*1.35</f>
        <v>9757.5975000000017</v>
      </c>
      <c r="D20" s="180">
        <f t="shared" si="0"/>
        <v>19515.195000000003</v>
      </c>
    </row>
    <row r="21" spans="1:7" ht="15.6" x14ac:dyDescent="0.25">
      <c r="A21" s="18">
        <v>1</v>
      </c>
      <c r="B21" s="19" t="s">
        <v>108</v>
      </c>
      <c r="C21" s="20">
        <f>(5530)*1.35</f>
        <v>7465.5000000000009</v>
      </c>
      <c r="D21" s="180">
        <f t="shared" si="0"/>
        <v>7465.5000000000009</v>
      </c>
    </row>
    <row r="22" spans="1:7" ht="15.6" x14ac:dyDescent="0.25">
      <c r="A22" s="18">
        <v>270</v>
      </c>
      <c r="B22" s="19" t="s">
        <v>109</v>
      </c>
      <c r="C22" s="20">
        <f>705*1.5</f>
        <v>1057.5</v>
      </c>
      <c r="D22" s="180">
        <f t="shared" si="0"/>
        <v>285525</v>
      </c>
    </row>
    <row r="23" spans="1:7" ht="45" x14ac:dyDescent="0.25">
      <c r="A23" s="18">
        <v>1</v>
      </c>
      <c r="B23" s="181" t="s">
        <v>110</v>
      </c>
      <c r="C23" s="179">
        <v>14500</v>
      </c>
      <c r="D23" s="180">
        <f t="shared" si="0"/>
        <v>14500</v>
      </c>
    </row>
    <row r="24" spans="1:7" ht="15.6" x14ac:dyDescent="0.25">
      <c r="A24" s="24"/>
      <c r="B24" s="182"/>
      <c r="C24" s="183" t="s">
        <v>12</v>
      </c>
      <c r="D24" s="26">
        <f>SUM(D15:D23)</f>
        <v>582344.69500000007</v>
      </c>
    </row>
    <row r="25" spans="1:7" ht="15.6" x14ac:dyDescent="0.3">
      <c r="A25" s="27"/>
      <c r="B25" s="182"/>
      <c r="C25" s="184" t="s">
        <v>13</v>
      </c>
      <c r="D25" s="29">
        <f>D24*0.16</f>
        <v>93175.151200000008</v>
      </c>
    </row>
    <row r="26" spans="1:7" ht="16.2" thickBot="1" x14ac:dyDescent="0.35">
      <c r="A26" s="30"/>
      <c r="B26" s="182"/>
      <c r="C26" s="185" t="s">
        <v>14</v>
      </c>
      <c r="D26" s="33">
        <f>D24+D25</f>
        <v>675519.84620000003</v>
      </c>
    </row>
    <row r="27" spans="1:7" ht="16.2" thickBot="1" x14ac:dyDescent="0.3">
      <c r="A27" s="34"/>
      <c r="B27" s="186" t="s">
        <v>111</v>
      </c>
      <c r="C27" s="36"/>
      <c r="D27" s="37"/>
    </row>
    <row r="28" spans="1:7" ht="13.8" x14ac:dyDescent="0.25">
      <c r="B28" s="135" t="s">
        <v>23</v>
      </c>
      <c r="C28" s="13"/>
      <c r="D28" s="41"/>
    </row>
    <row r="29" spans="1:7" ht="27.6" x14ac:dyDescent="0.25">
      <c r="A29" s="62"/>
      <c r="B29" s="187" t="s">
        <v>24</v>
      </c>
    </row>
    <row r="30" spans="1:7" ht="41.4" x14ac:dyDescent="0.25">
      <c r="A30" s="62"/>
      <c r="B30" s="187" t="s">
        <v>25</v>
      </c>
      <c r="C30" s="54"/>
      <c r="D30" s="58"/>
    </row>
    <row r="31" spans="1:7" ht="15" x14ac:dyDescent="0.25">
      <c r="A31" s="62"/>
      <c r="B31" s="135" t="s">
        <v>26</v>
      </c>
      <c r="C31" s="54"/>
      <c r="D31" s="58"/>
    </row>
    <row r="32" spans="1:7" ht="15" x14ac:dyDescent="0.25">
      <c r="A32" s="62"/>
      <c r="B32" s="188" t="s">
        <v>112</v>
      </c>
      <c r="C32" s="54"/>
      <c r="D32" s="54"/>
    </row>
    <row r="33" spans="1:4" ht="15" x14ac:dyDescent="0.25">
      <c r="A33" s="62"/>
      <c r="B33" s="189" t="s">
        <v>28</v>
      </c>
      <c r="C33" s="54"/>
      <c r="D33" s="54"/>
    </row>
    <row r="34" spans="1:4" ht="13.8" x14ac:dyDescent="0.25">
      <c r="B34" s="135" t="s">
        <v>29</v>
      </c>
      <c r="D34" s="56"/>
    </row>
    <row r="35" spans="1:4" ht="15" x14ac:dyDescent="0.25">
      <c r="A35" s="62"/>
      <c r="B35" s="190" t="s">
        <v>113</v>
      </c>
      <c r="C35" s="54"/>
      <c r="D35" s="58"/>
    </row>
    <row r="36" spans="1:4" ht="15" x14ac:dyDescent="0.25">
      <c r="A36" s="62"/>
      <c r="B36" s="191" t="s">
        <v>31</v>
      </c>
      <c r="C36" s="54"/>
      <c r="D36" s="58"/>
    </row>
    <row r="37" spans="1:4" ht="13.8" x14ac:dyDescent="0.25">
      <c r="A37" s="139" t="s">
        <v>0</v>
      </c>
      <c r="B37" s="192" t="s">
        <v>32</v>
      </c>
      <c r="C37" s="54"/>
    </row>
    <row r="38" spans="1:4" ht="50.4" x14ac:dyDescent="0.25">
      <c r="A38" s="142"/>
      <c r="B38" s="193" t="s">
        <v>65</v>
      </c>
      <c r="C38" s="141"/>
      <c r="D38" s="1"/>
    </row>
    <row r="39" spans="1:4" x14ac:dyDescent="0.25">
      <c r="A39" s="142"/>
      <c r="B39" s="64"/>
      <c r="C39" s="64"/>
      <c r="D39" s="1"/>
    </row>
    <row r="40" spans="1:4" x14ac:dyDescent="0.25">
      <c r="A40" s="142"/>
      <c r="B40" s="64"/>
      <c r="C40" s="64"/>
      <c r="D40" s="1"/>
    </row>
    <row r="41" spans="1:4" x14ac:dyDescent="0.25">
      <c r="A41" s="144"/>
      <c r="B41" s="143"/>
      <c r="C41" s="64"/>
      <c r="D41" s="1"/>
    </row>
    <row r="42" spans="1:4" ht="15" x14ac:dyDescent="0.35">
      <c r="A42" s="146"/>
      <c r="B42" s="145"/>
      <c r="C42" s="64"/>
      <c r="D42" s="64"/>
    </row>
    <row r="43" spans="1:4" x14ac:dyDescent="0.25">
      <c r="A43" s="1"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3" fitToWidth="0" orientation="portrait" r:id="rId1"/>
  <headerFooter alignWithMargins="0">
    <oddFooter>Página &amp;P de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79732-CE61-429D-A685-40D3D0C9F934}">
  <sheetPr>
    <tabColor theme="4" tint="-0.249977111117893"/>
    <pageSetUpPr fitToPage="1"/>
  </sheetPr>
  <dimension ref="A1:P59"/>
  <sheetViews>
    <sheetView topLeftCell="A8" zoomScale="85" zoomScaleNormal="85" workbookViewId="0">
      <selection activeCell="D32" sqref="D32"/>
    </sheetView>
  </sheetViews>
  <sheetFormatPr baseColWidth="10" defaultColWidth="11.44140625" defaultRowHeight="13.2" x14ac:dyDescent="0.25"/>
  <cols>
    <col min="1" max="1" width="4.33203125" style="1" customWidth="1"/>
    <col min="2" max="2" width="77.6640625" style="1" customWidth="1"/>
    <col min="3" max="3" width="14" style="3"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34</v>
      </c>
      <c r="B8" s="68"/>
      <c r="C8" s="69"/>
      <c r="D8" s="69"/>
    </row>
    <row r="9" spans="1:16" s="4" customFormat="1" ht="19.2" x14ac:dyDescent="0.45">
      <c r="A9" s="67" t="s">
        <v>35</v>
      </c>
      <c r="B9" s="68"/>
      <c r="C9" s="69"/>
      <c r="D9" s="69"/>
    </row>
    <row r="10" spans="1:16" s="4" customFormat="1" ht="19.2" x14ac:dyDescent="0.45">
      <c r="A10" s="67" t="s">
        <v>36</v>
      </c>
      <c r="B10" s="68"/>
      <c r="C10" s="69"/>
      <c r="D10" s="69"/>
    </row>
    <row r="11" spans="1:16" s="4" customFormat="1" ht="19.2" x14ac:dyDescent="0.45">
      <c r="A11" s="67" t="s">
        <v>37</v>
      </c>
      <c r="B11" s="68"/>
      <c r="C11" s="70"/>
      <c r="D11" s="69"/>
    </row>
    <row r="12" spans="1:16" s="4" customFormat="1" ht="15" customHeight="1" x14ac:dyDescent="0.45">
      <c r="A12" s="67" t="s">
        <v>38</v>
      </c>
      <c r="B12" s="68"/>
      <c r="C12" s="70"/>
      <c r="D12" s="69"/>
    </row>
    <row r="13" spans="1:16" s="4" customFormat="1" ht="15" customHeight="1" x14ac:dyDescent="0.45">
      <c r="A13" s="71" t="s">
        <v>330</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101" t="s">
        <v>55</v>
      </c>
      <c r="C15" s="16"/>
      <c r="D15" s="16"/>
      <c r="E15" s="17"/>
      <c r="F15" s="23"/>
      <c r="G15" s="23"/>
      <c r="H15" s="1"/>
      <c r="I15" s="1"/>
      <c r="J15" s="1"/>
      <c r="K15" s="1"/>
      <c r="L15" s="1"/>
      <c r="M15" s="1"/>
      <c r="N15" s="1"/>
      <c r="O15" s="1"/>
      <c r="P15" s="1"/>
    </row>
    <row r="16" spans="1:16" ht="13.8" x14ac:dyDescent="0.25">
      <c r="A16" s="394">
        <v>1</v>
      </c>
      <c r="B16" s="395" t="s">
        <v>323</v>
      </c>
      <c r="C16" s="396">
        <v>27500</v>
      </c>
      <c r="D16" s="397">
        <f t="shared" ref="D16:D20" si="0">A16*C16</f>
        <v>27500</v>
      </c>
      <c r="E16" s="17"/>
      <c r="H16" s="23"/>
      <c r="I16" s="23"/>
      <c r="J16" s="23"/>
      <c r="K16" s="23"/>
      <c r="L16" s="23"/>
      <c r="N16" s="23"/>
      <c r="O16" s="23"/>
      <c r="P16" s="23"/>
    </row>
    <row r="17" spans="1:16" s="23" customFormat="1" x14ac:dyDescent="0.25">
      <c r="A17" s="398"/>
      <c r="B17" s="395" t="s">
        <v>324</v>
      </c>
      <c r="C17" s="399"/>
      <c r="D17" s="397"/>
      <c r="E17" s="17"/>
      <c r="F17" s="1"/>
      <c r="G17" s="1"/>
      <c r="M17" s="1"/>
    </row>
    <row r="18" spans="1:16" s="23" customFormat="1" ht="14.4" x14ac:dyDescent="0.3">
      <c r="A18" s="398"/>
      <c r="B18" s="395" t="s">
        <v>325</v>
      </c>
      <c r="C18" s="399"/>
      <c r="D18" s="397"/>
      <c r="E18" s="17"/>
      <c r="F18" s="1"/>
      <c r="G18" s="1"/>
      <c r="M18"/>
    </row>
    <row r="19" spans="1:16" s="23" customFormat="1" x14ac:dyDescent="0.25">
      <c r="A19" s="398"/>
      <c r="B19" s="395" t="s">
        <v>326</v>
      </c>
      <c r="C19" s="399"/>
      <c r="D19" s="397"/>
      <c r="E19" s="17"/>
      <c r="F19" s="1"/>
      <c r="G19" s="1"/>
      <c r="M19" s="1"/>
    </row>
    <row r="20" spans="1:16" s="23" customFormat="1" x14ac:dyDescent="0.25">
      <c r="A20" s="398">
        <v>1</v>
      </c>
      <c r="B20" s="400" t="s">
        <v>327</v>
      </c>
      <c r="C20" s="399">
        <v>85000</v>
      </c>
      <c r="D20" s="397">
        <f t="shared" si="0"/>
        <v>85000</v>
      </c>
      <c r="E20" s="17"/>
      <c r="F20" s="1"/>
      <c r="G20" s="1"/>
      <c r="M20" s="1"/>
      <c r="N20" s="1"/>
      <c r="O20" s="1"/>
      <c r="P20" s="1"/>
    </row>
    <row r="21" spans="1:16" x14ac:dyDescent="0.25">
      <c r="A21" s="398"/>
      <c r="B21" s="401" t="s">
        <v>328</v>
      </c>
      <c r="C21" s="399"/>
      <c r="D21" s="397"/>
      <c r="E21" s="17"/>
      <c r="H21" s="23"/>
      <c r="I21" s="23"/>
      <c r="J21" s="23"/>
      <c r="K21" s="23"/>
      <c r="L21" s="23"/>
    </row>
    <row r="22" spans="1:16" ht="15.6" x14ac:dyDescent="0.25">
      <c r="A22" s="80"/>
      <c r="B22" s="392" t="s">
        <v>329</v>
      </c>
      <c r="C22" s="82"/>
      <c r="D22" s="83"/>
      <c r="E22" s="13"/>
    </row>
    <row r="23" spans="1:16" ht="15.6" x14ac:dyDescent="0.3">
      <c r="A23" s="84"/>
      <c r="B23" s="85" t="s">
        <v>48</v>
      </c>
      <c r="C23" s="86" t="s">
        <v>49</v>
      </c>
      <c r="D23" s="87">
        <f>SUM(D15:D22)</f>
        <v>112500</v>
      </c>
      <c r="O23" s="88"/>
      <c r="P23" s="88"/>
    </row>
    <row r="24" spans="1:16" s="88" customFormat="1" ht="15.6" x14ac:dyDescent="0.3">
      <c r="A24" s="89"/>
      <c r="B24" s="85" t="s">
        <v>50</v>
      </c>
      <c r="C24" s="90" t="s">
        <v>51</v>
      </c>
      <c r="D24" s="87"/>
      <c r="E24" s="1"/>
      <c r="F24" s="1"/>
      <c r="G24" s="1"/>
      <c r="H24" s="1"/>
      <c r="I24" s="1"/>
      <c r="J24" s="1"/>
      <c r="K24" s="1"/>
      <c r="L24" s="1"/>
      <c r="M24" s="1"/>
      <c r="N24" s="1"/>
      <c r="O24" s="1"/>
      <c r="P24" s="1"/>
    </row>
    <row r="25" spans="1:16" ht="15.6" x14ac:dyDescent="0.3">
      <c r="A25" s="89"/>
      <c r="B25" s="91"/>
      <c r="C25" s="90" t="s">
        <v>77</v>
      </c>
      <c r="D25" s="87">
        <f>SUM(D23:D24)</f>
        <v>112500</v>
      </c>
    </row>
    <row r="26" spans="1:16" ht="13.8" x14ac:dyDescent="0.25">
      <c r="A26" s="34"/>
      <c r="B26" s="120" t="s">
        <v>15</v>
      </c>
      <c r="C26" s="121"/>
      <c r="D26" s="122"/>
      <c r="E26" s="13"/>
    </row>
    <row r="27" spans="1:16" ht="15.6" x14ac:dyDescent="0.25">
      <c r="A27" s="34"/>
      <c r="B27" s="123"/>
      <c r="C27" s="121"/>
      <c r="D27" s="122"/>
    </row>
    <row r="28" spans="1:16" ht="13.8" x14ac:dyDescent="0.25">
      <c r="A28" s="34"/>
      <c r="B28" s="126" t="s">
        <v>17</v>
      </c>
    </row>
    <row r="29" spans="1:16" ht="17.399999999999999" x14ac:dyDescent="0.3">
      <c r="A29" s="62"/>
      <c r="B29" s="127" t="s">
        <v>289</v>
      </c>
      <c r="C29" s="393" t="s">
        <v>331</v>
      </c>
      <c r="D29" s="393">
        <f>D25+96642.52</f>
        <v>209142.52000000002</v>
      </c>
    </row>
    <row r="30" spans="1:16" ht="17.399999999999999" x14ac:dyDescent="0.3">
      <c r="A30" s="62"/>
      <c r="B30" s="129" t="s">
        <v>60</v>
      </c>
      <c r="C30" s="511" t="s">
        <v>496</v>
      </c>
      <c r="D30" s="393">
        <v>140000</v>
      </c>
      <c r="E30" s="13"/>
    </row>
    <row r="31" spans="1:16" ht="17.399999999999999" x14ac:dyDescent="0.3">
      <c r="A31" s="62"/>
      <c r="B31" s="130" t="s">
        <v>23</v>
      </c>
      <c r="C31" s="393" t="s">
        <v>277</v>
      </c>
      <c r="D31" s="393">
        <f>D29-D30</f>
        <v>69142.520000000019</v>
      </c>
    </row>
    <row r="32" spans="1:16" ht="27.6" x14ac:dyDescent="0.25">
      <c r="A32" s="62"/>
      <c r="B32" s="132" t="s">
        <v>62</v>
      </c>
      <c r="C32" s="1"/>
      <c r="D32" s="1"/>
      <c r="E32" s="13"/>
    </row>
    <row r="33" spans="1:4" ht="15" x14ac:dyDescent="0.25">
      <c r="A33" s="62"/>
      <c r="B33" s="130" t="s">
        <v>26</v>
      </c>
      <c r="C33" s="133"/>
      <c r="D33" s="134"/>
    </row>
    <row r="34" spans="1:4" ht="27.6" x14ac:dyDescent="0.25">
      <c r="A34" s="62"/>
      <c r="B34" s="333" t="s">
        <v>63</v>
      </c>
      <c r="C34" s="54"/>
      <c r="D34" s="58"/>
    </row>
    <row r="35" spans="1:4" ht="15" x14ac:dyDescent="0.25">
      <c r="A35" s="62"/>
      <c r="B35" s="334" t="s">
        <v>28</v>
      </c>
      <c r="C35" s="54"/>
    </row>
    <row r="36" spans="1:4" ht="15" x14ac:dyDescent="0.25">
      <c r="A36" s="62"/>
      <c r="B36" s="130" t="s">
        <v>29</v>
      </c>
      <c r="C36" s="141"/>
      <c r="D36" s="1"/>
    </row>
    <row r="37" spans="1:4" ht="13.8" x14ac:dyDescent="0.25">
      <c r="B37" s="138" t="s">
        <v>64</v>
      </c>
      <c r="C37" s="64"/>
      <c r="D37" s="1"/>
    </row>
    <row r="38" spans="1:4" ht="15" x14ac:dyDescent="0.25">
      <c r="A38" s="62"/>
      <c r="B38" s="127" t="s">
        <v>31</v>
      </c>
      <c r="C38" s="64"/>
      <c r="D38" s="1"/>
    </row>
    <row r="39" spans="1:4" ht="15" x14ac:dyDescent="0.25">
      <c r="A39" s="62"/>
      <c r="B39" s="127" t="s">
        <v>32</v>
      </c>
      <c r="C39" s="64"/>
      <c r="D39" s="1"/>
    </row>
    <row r="40" spans="1:4" ht="50.4" x14ac:dyDescent="0.4">
      <c r="A40" s="139" t="s">
        <v>0</v>
      </c>
      <c r="B40" s="140" t="s">
        <v>65</v>
      </c>
      <c r="C40" s="64"/>
      <c r="D40" s="64"/>
    </row>
    <row r="41" spans="1:4" x14ac:dyDescent="0.25">
      <c r="A41" s="142"/>
      <c r="B41" s="64"/>
    </row>
    <row r="42" spans="1:4" x14ac:dyDescent="0.25">
      <c r="A42" s="142"/>
      <c r="B42" s="64"/>
    </row>
    <row r="43" spans="1:4" x14ac:dyDescent="0.25">
      <c r="A43" s="142"/>
      <c r="B43" s="143"/>
    </row>
    <row r="44" spans="1:4" ht="15" x14ac:dyDescent="0.35">
      <c r="A44" s="144"/>
      <c r="B44" s="145"/>
    </row>
    <row r="45" spans="1:4" x14ac:dyDescent="0.25">
      <c r="A45" s="146" t="s">
        <v>0</v>
      </c>
    </row>
    <row r="46" spans="1:4" x14ac:dyDescent="0.25">
      <c r="A46"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4" fitToWidth="0" orientation="portrait" r:id="rId1"/>
  <headerFooter alignWithMargins="0">
    <oddFooter>Página &amp;P de &amp;N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5B516-7A68-4D85-BF8E-8E6C6E486E99}">
  <sheetPr>
    <tabColor theme="4" tint="-0.249977111117893"/>
    <pageSetUpPr fitToPage="1"/>
  </sheetPr>
  <dimension ref="A1:P63"/>
  <sheetViews>
    <sheetView topLeftCell="A34" zoomScale="85" zoomScaleNormal="85" workbookViewId="0">
      <selection activeCell="B23" sqref="B23:B24"/>
    </sheetView>
  </sheetViews>
  <sheetFormatPr baseColWidth="10" defaultColWidth="11.44140625" defaultRowHeight="13.2" x14ac:dyDescent="0.25"/>
  <cols>
    <col min="1" max="1" width="6" style="1" customWidth="1"/>
    <col min="2" max="2" width="100.88671875" style="1" customWidth="1"/>
    <col min="3" max="3" width="14.88671875" style="3" bestFit="1"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34</v>
      </c>
      <c r="B8" s="68"/>
      <c r="C8" s="69"/>
      <c r="D8" s="69"/>
    </row>
    <row r="9" spans="1:16" s="4" customFormat="1" ht="19.2" x14ac:dyDescent="0.45">
      <c r="A9" s="67" t="s">
        <v>35</v>
      </c>
      <c r="B9" s="68"/>
      <c r="C9" s="69"/>
      <c r="D9" s="69"/>
    </row>
    <row r="10" spans="1:16" s="4" customFormat="1" ht="19.2" x14ac:dyDescent="0.45">
      <c r="A10" s="67" t="s">
        <v>36</v>
      </c>
      <c r="B10" s="68"/>
      <c r="C10" s="69"/>
      <c r="D10" s="69"/>
    </row>
    <row r="11" spans="1:16" s="4" customFormat="1" ht="19.2" x14ac:dyDescent="0.45">
      <c r="A11" s="67" t="s">
        <v>37</v>
      </c>
      <c r="B11" s="68"/>
      <c r="C11" s="70"/>
      <c r="D11" s="69"/>
    </row>
    <row r="12" spans="1:16" s="4" customFormat="1" ht="15" customHeight="1" x14ac:dyDescent="0.45">
      <c r="A12" s="67" t="s">
        <v>38</v>
      </c>
      <c r="B12" s="68"/>
      <c r="C12" s="70"/>
      <c r="D12" s="69"/>
    </row>
    <row r="13" spans="1:16" s="4" customFormat="1" ht="15" customHeight="1" x14ac:dyDescent="0.45">
      <c r="A13" s="71" t="s">
        <v>330</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t="s">
        <v>41</v>
      </c>
      <c r="C15" s="16"/>
      <c r="D15" s="16"/>
      <c r="E15" s="17"/>
      <c r="F15" s="23"/>
      <c r="G15" s="23"/>
      <c r="H15" s="1"/>
      <c r="I15" s="1"/>
      <c r="J15" s="1"/>
      <c r="K15" s="1"/>
      <c r="L15" s="1"/>
      <c r="M15" s="1"/>
      <c r="N15" s="1"/>
      <c r="O15" s="1"/>
      <c r="P15" s="1"/>
    </row>
    <row r="16" spans="1:16" ht="15.6" x14ac:dyDescent="0.3">
      <c r="A16" s="76">
        <v>130</v>
      </c>
      <c r="B16" s="77" t="s">
        <v>42</v>
      </c>
      <c r="C16" s="78">
        <f>733*1.35</f>
        <v>989.55000000000007</v>
      </c>
      <c r="D16" s="79">
        <f t="shared" ref="D16:D21" si="0">A16*C16</f>
        <v>128641.50000000001</v>
      </c>
      <c r="E16" s="17"/>
      <c r="H16" s="23"/>
      <c r="I16" s="23"/>
      <c r="J16" s="23"/>
      <c r="K16" s="23"/>
      <c r="L16" s="23"/>
      <c r="N16" s="23"/>
      <c r="O16" s="23"/>
      <c r="P16" s="23"/>
    </row>
    <row r="17" spans="1:16" s="23" customFormat="1" ht="15.6" x14ac:dyDescent="0.3">
      <c r="A17" s="76">
        <v>2</v>
      </c>
      <c r="B17" s="77" t="s">
        <v>43</v>
      </c>
      <c r="C17" s="78">
        <f>9774*1.35</f>
        <v>13194.900000000001</v>
      </c>
      <c r="D17" s="79">
        <f t="shared" si="0"/>
        <v>26389.800000000003</v>
      </c>
      <c r="E17" s="17"/>
      <c r="F17" s="1"/>
      <c r="G17" s="1"/>
      <c r="M17" s="1"/>
    </row>
    <row r="18" spans="1:16" s="23" customFormat="1" ht="15.6" x14ac:dyDescent="0.3">
      <c r="A18" s="76">
        <v>4</v>
      </c>
      <c r="B18" s="77" t="s">
        <v>44</v>
      </c>
      <c r="C18" s="78">
        <f>699*1.35</f>
        <v>943.65000000000009</v>
      </c>
      <c r="D18" s="79">
        <f t="shared" si="0"/>
        <v>3774.6000000000004</v>
      </c>
      <c r="E18" s="17"/>
      <c r="F18" s="1"/>
      <c r="G18" s="1"/>
      <c r="M18"/>
    </row>
    <row r="19" spans="1:16" s="23" customFormat="1" ht="15.6" x14ac:dyDescent="0.3">
      <c r="A19" s="76">
        <v>130</v>
      </c>
      <c r="B19" s="77" t="s">
        <v>45</v>
      </c>
      <c r="C19" s="78">
        <f>24*1.35</f>
        <v>32.400000000000006</v>
      </c>
      <c r="D19" s="79">
        <f t="shared" si="0"/>
        <v>4212.0000000000009</v>
      </c>
      <c r="E19" s="17"/>
      <c r="F19" s="1"/>
      <c r="G19" s="1"/>
      <c r="M19" s="1"/>
    </row>
    <row r="20" spans="1:16" s="23" customFormat="1" ht="15.6" x14ac:dyDescent="0.3">
      <c r="A20" s="76">
        <v>60</v>
      </c>
      <c r="B20" s="77" t="s">
        <v>46</v>
      </c>
      <c r="C20" s="78">
        <f>54*1.35</f>
        <v>72.900000000000006</v>
      </c>
      <c r="D20" s="79">
        <f t="shared" si="0"/>
        <v>4374</v>
      </c>
      <c r="E20" s="17"/>
      <c r="F20" s="1"/>
      <c r="G20" s="1"/>
      <c r="M20" s="1"/>
      <c r="N20" s="1"/>
      <c r="O20" s="1"/>
      <c r="P20" s="1"/>
    </row>
    <row r="21" spans="1:16" ht="15.6" x14ac:dyDescent="0.3">
      <c r="A21" s="76">
        <v>2</v>
      </c>
      <c r="B21" s="77" t="s">
        <v>47</v>
      </c>
      <c r="C21" s="78">
        <v>5640</v>
      </c>
      <c r="D21" s="79">
        <f t="shared" si="0"/>
        <v>11280</v>
      </c>
      <c r="E21" s="17"/>
      <c r="H21" s="23"/>
      <c r="I21" s="23"/>
      <c r="J21" s="23"/>
      <c r="K21" s="23"/>
      <c r="L21" s="23"/>
    </row>
    <row r="22" spans="1:16" ht="15.6" x14ac:dyDescent="0.25">
      <c r="A22" s="80"/>
      <c r="B22" s="81"/>
      <c r="C22" s="82"/>
      <c r="D22" s="83"/>
      <c r="E22" s="13"/>
    </row>
    <row r="23" spans="1:16" ht="15.6" x14ac:dyDescent="0.3">
      <c r="A23" s="84"/>
      <c r="B23" s="85" t="s">
        <v>48</v>
      </c>
      <c r="C23" s="86" t="s">
        <v>49</v>
      </c>
      <c r="D23" s="87">
        <f>SUM(D15:D22)</f>
        <v>178671.90000000002</v>
      </c>
      <c r="O23" s="88"/>
      <c r="P23" s="88"/>
    </row>
    <row r="24" spans="1:16" s="88" customFormat="1" ht="15.6" x14ac:dyDescent="0.3">
      <c r="A24" s="89"/>
      <c r="B24" s="85" t="s">
        <v>50</v>
      </c>
      <c r="C24" s="90" t="s">
        <v>51</v>
      </c>
      <c r="D24" s="87">
        <f>D23*0.08</f>
        <v>14293.752000000002</v>
      </c>
      <c r="E24" s="1"/>
      <c r="F24" s="1"/>
      <c r="G24" s="1"/>
      <c r="H24" s="1"/>
      <c r="I24" s="1"/>
      <c r="J24" s="1"/>
      <c r="K24" s="1"/>
      <c r="L24" s="1"/>
      <c r="M24" s="1"/>
      <c r="N24" s="1"/>
      <c r="O24" s="1"/>
      <c r="P24" s="1"/>
    </row>
    <row r="25" spans="1:16" ht="15.6" x14ac:dyDescent="0.3">
      <c r="A25" s="89"/>
      <c r="B25" s="91"/>
      <c r="C25" s="90" t="s">
        <v>52</v>
      </c>
      <c r="D25" s="87">
        <f>SUM(D23:D24)</f>
        <v>192965.65200000003</v>
      </c>
    </row>
    <row r="26" spans="1:16" ht="18" thickBot="1" x14ac:dyDescent="0.3">
      <c r="A26" s="92"/>
      <c r="B26" s="75" t="s">
        <v>53</v>
      </c>
      <c r="C26" s="93"/>
      <c r="D26" s="94"/>
    </row>
    <row r="27" spans="1:16" ht="15.6" x14ac:dyDescent="0.25">
      <c r="A27" s="95">
        <v>135</v>
      </c>
      <c r="B27" s="96" t="s">
        <v>54</v>
      </c>
      <c r="C27" s="97">
        <f>(365)*(1.33)</f>
        <v>485.45000000000005</v>
      </c>
      <c r="D27" s="98">
        <f>A27*C27</f>
        <v>65535.750000000007</v>
      </c>
    </row>
    <row r="28" spans="1:16" ht="15.6" x14ac:dyDescent="0.25">
      <c r="A28" s="99">
        <v>1</v>
      </c>
      <c r="B28" s="100" t="s">
        <v>273</v>
      </c>
      <c r="C28" s="324">
        <v>4100</v>
      </c>
      <c r="D28" s="98">
        <f>A28*C28</f>
        <v>4100</v>
      </c>
    </row>
    <row r="29" spans="1:16" ht="15.6" x14ac:dyDescent="0.25">
      <c r="A29" s="99"/>
      <c r="B29" s="100"/>
      <c r="C29" s="86" t="s">
        <v>49</v>
      </c>
      <c r="D29" s="87">
        <f>SUM(D27:D28)</f>
        <v>69635.75</v>
      </c>
      <c r="N29" s="88"/>
    </row>
    <row r="30" spans="1:16" ht="15.6" x14ac:dyDescent="0.25">
      <c r="A30" s="99"/>
      <c r="B30" s="100"/>
      <c r="C30" s="90" t="s">
        <v>51</v>
      </c>
      <c r="D30" s="87">
        <f>D29*0.16</f>
        <v>11141.72</v>
      </c>
    </row>
    <row r="31" spans="1:16" ht="15.6" x14ac:dyDescent="0.25">
      <c r="A31" s="99"/>
      <c r="B31" s="100"/>
      <c r="C31" s="90" t="s">
        <v>52</v>
      </c>
      <c r="D31" s="87">
        <f>SUM(D29:D30)</f>
        <v>80777.47</v>
      </c>
    </row>
    <row r="32" spans="1:16" ht="17.399999999999999" x14ac:dyDescent="0.25">
      <c r="A32" s="99"/>
      <c r="B32" s="101" t="s">
        <v>55</v>
      </c>
      <c r="C32" s="102"/>
      <c r="D32" s="98"/>
    </row>
    <row r="33" spans="1:5" ht="15.6" x14ac:dyDescent="0.25">
      <c r="A33" s="103">
        <v>1</v>
      </c>
      <c r="B33" s="104" t="s">
        <v>56</v>
      </c>
      <c r="C33" s="105">
        <f>130*90+6000</f>
        <v>17700</v>
      </c>
      <c r="D33" s="79">
        <f>A33*C33</f>
        <v>17700</v>
      </c>
    </row>
    <row r="34" spans="1:5" ht="15.6" x14ac:dyDescent="0.25">
      <c r="A34" s="106">
        <v>120</v>
      </c>
      <c r="B34" s="107" t="s">
        <v>57</v>
      </c>
      <c r="C34" s="108">
        <v>36.869999999999997</v>
      </c>
      <c r="D34" s="109">
        <f>A34*C34</f>
        <v>4424.3999999999996</v>
      </c>
    </row>
    <row r="35" spans="1:5" ht="36" customHeight="1" x14ac:dyDescent="0.25">
      <c r="A35" s="325">
        <v>1</v>
      </c>
      <c r="B35" s="326" t="s">
        <v>58</v>
      </c>
      <c r="C35" s="105">
        <v>1025</v>
      </c>
      <c r="D35" s="109">
        <f>A35*C35</f>
        <v>1025</v>
      </c>
    </row>
    <row r="36" spans="1:5" ht="30" x14ac:dyDescent="0.25">
      <c r="A36" s="103">
        <v>1</v>
      </c>
      <c r="B36" s="104" t="s">
        <v>116</v>
      </c>
      <c r="C36" s="105">
        <v>7300</v>
      </c>
      <c r="D36" s="79">
        <f>A36*C36</f>
        <v>7300</v>
      </c>
      <c r="E36" s="13"/>
    </row>
    <row r="37" spans="1:5" ht="42" customHeight="1" x14ac:dyDescent="0.25">
      <c r="A37" s="80">
        <v>1</v>
      </c>
      <c r="B37" s="167" t="s">
        <v>274</v>
      </c>
      <c r="C37" s="327">
        <v>7600</v>
      </c>
      <c r="D37" s="109">
        <f t="shared" ref="D37:D38" si="1">A37*C37</f>
        <v>7600</v>
      </c>
      <c r="E37" s="13"/>
    </row>
    <row r="38" spans="1:5" ht="15.6" x14ac:dyDescent="0.25">
      <c r="A38" s="80">
        <v>1</v>
      </c>
      <c r="B38" s="167" t="s">
        <v>275</v>
      </c>
      <c r="C38" s="327">
        <v>2350</v>
      </c>
      <c r="D38" s="109">
        <f t="shared" si="1"/>
        <v>2350</v>
      </c>
      <c r="E38" s="13"/>
    </row>
    <row r="39" spans="1:5" ht="15.6" x14ac:dyDescent="0.25">
      <c r="A39" s="328"/>
      <c r="B39" s="111"/>
      <c r="C39" s="112" t="s">
        <v>52</v>
      </c>
      <c r="D39" s="113">
        <f>SUM(D33:D38)</f>
        <v>40399.4</v>
      </c>
    </row>
    <row r="40" spans="1:5" ht="15.6" x14ac:dyDescent="0.25">
      <c r="A40" s="328"/>
      <c r="B40" s="111"/>
      <c r="C40" s="114"/>
      <c r="D40" s="115"/>
    </row>
    <row r="41" spans="1:5" ht="15" x14ac:dyDescent="0.25">
      <c r="A41" s="116"/>
      <c r="B41" s="117"/>
      <c r="C41" s="118"/>
      <c r="D41" s="119"/>
    </row>
    <row r="42" spans="1:5" ht="13.8" x14ac:dyDescent="0.25">
      <c r="A42" s="34"/>
      <c r="B42" s="120" t="s">
        <v>15</v>
      </c>
      <c r="C42" s="121"/>
      <c r="D42" s="122"/>
      <c r="E42" s="13"/>
    </row>
    <row r="43" spans="1:5" ht="17.399999999999999" x14ac:dyDescent="0.3">
      <c r="A43" s="34"/>
      <c r="B43" s="123"/>
      <c r="C43" s="124" t="s">
        <v>18</v>
      </c>
      <c r="D43" s="125">
        <f>SUM(D25+D31+D39)</f>
        <v>314142.52200000006</v>
      </c>
    </row>
    <row r="44" spans="1:5" ht="17.399999999999999" x14ac:dyDescent="0.3">
      <c r="A44" s="34"/>
      <c r="B44" s="126" t="s">
        <v>17</v>
      </c>
      <c r="C44" s="124" t="s">
        <v>20</v>
      </c>
      <c r="D44" s="125">
        <v>7500</v>
      </c>
    </row>
    <row r="45" spans="1:5" ht="17.399999999999999" x14ac:dyDescent="0.3">
      <c r="A45" s="62"/>
      <c r="B45" s="127" t="s">
        <v>19</v>
      </c>
      <c r="C45" s="124" t="s">
        <v>18</v>
      </c>
      <c r="D45" s="125">
        <f>SUM(D44-D43)</f>
        <v>-306642.52200000006</v>
      </c>
    </row>
    <row r="46" spans="1:5" ht="15" x14ac:dyDescent="0.25">
      <c r="A46" s="62"/>
      <c r="B46" s="128" t="s">
        <v>59</v>
      </c>
      <c r="C46" s="1"/>
      <c r="D46" s="1"/>
    </row>
    <row r="47" spans="1:5" ht="15" x14ac:dyDescent="0.25">
      <c r="A47" s="62"/>
      <c r="B47" s="129" t="s">
        <v>60</v>
      </c>
      <c r="C47" s="121"/>
      <c r="D47" s="122"/>
      <c r="E47" s="13"/>
    </row>
    <row r="48" spans="1:5" ht="15" x14ac:dyDescent="0.25">
      <c r="A48" s="62"/>
      <c r="B48" s="130" t="s">
        <v>23</v>
      </c>
      <c r="C48" s="131" t="s">
        <v>61</v>
      </c>
      <c r="D48" s="131">
        <f>282985.04-267508.26</f>
        <v>15476.77999999997</v>
      </c>
    </row>
    <row r="49" spans="1:5" ht="27.6" x14ac:dyDescent="0.25">
      <c r="A49" s="62"/>
      <c r="B49" s="132" t="s">
        <v>62</v>
      </c>
      <c r="C49" s="329"/>
      <c r="D49" s="330"/>
      <c r="E49" s="13"/>
    </row>
    <row r="50" spans="1:5" ht="12.75" customHeight="1" x14ac:dyDescent="0.25">
      <c r="A50" s="62"/>
      <c r="B50" s="130" t="s">
        <v>26</v>
      </c>
      <c r="C50" s="331" t="s">
        <v>276</v>
      </c>
      <c r="D50" s="332">
        <v>110000</v>
      </c>
      <c r="E50" s="13"/>
    </row>
    <row r="51" spans="1:5" ht="15" x14ac:dyDescent="0.25">
      <c r="A51" s="62"/>
      <c r="B51" s="333" t="s">
        <v>63</v>
      </c>
      <c r="C51" s="331" t="s">
        <v>276</v>
      </c>
      <c r="D51" s="332">
        <v>100000</v>
      </c>
      <c r="E51" s="13"/>
    </row>
    <row r="52" spans="1:5" ht="17.399999999999999" x14ac:dyDescent="0.3">
      <c r="A52" s="62"/>
      <c r="B52" s="334" t="s">
        <v>28</v>
      </c>
      <c r="C52" s="331" t="s">
        <v>277</v>
      </c>
      <c r="D52" s="337">
        <f>SUM(D45+D50+D51)</f>
        <v>-96642.522000000055</v>
      </c>
      <c r="E52" s="13"/>
    </row>
    <row r="53" spans="1:5" ht="15" x14ac:dyDescent="0.25">
      <c r="A53" s="62"/>
      <c r="B53" s="130" t="s">
        <v>29</v>
      </c>
      <c r="C53" s="335"/>
      <c r="D53" s="336"/>
    </row>
    <row r="54" spans="1:5" ht="13.8" x14ac:dyDescent="0.25">
      <c r="B54" s="138" t="s">
        <v>64</v>
      </c>
      <c r="C54" s="133"/>
      <c r="D54" s="134"/>
    </row>
    <row r="55" spans="1:5" ht="15" x14ac:dyDescent="0.25">
      <c r="A55" s="62"/>
      <c r="B55" s="127" t="s">
        <v>31</v>
      </c>
      <c r="C55" s="54"/>
      <c r="D55" s="58"/>
    </row>
    <row r="56" spans="1:5" ht="15" x14ac:dyDescent="0.25">
      <c r="A56" s="62"/>
      <c r="B56" s="127" t="s">
        <v>32</v>
      </c>
      <c r="C56" s="54"/>
    </row>
    <row r="57" spans="1:5" ht="33.6" x14ac:dyDescent="0.4">
      <c r="A57" s="139" t="s">
        <v>0</v>
      </c>
      <c r="B57" s="140" t="s">
        <v>65</v>
      </c>
      <c r="C57" s="141"/>
      <c r="D57" s="1"/>
    </row>
    <row r="58" spans="1:5" ht="15.75" customHeight="1" x14ac:dyDescent="0.25">
      <c r="A58" s="142"/>
      <c r="B58" s="64"/>
      <c r="C58" s="64"/>
      <c r="D58" s="1"/>
    </row>
    <row r="59" spans="1:5" ht="15" customHeight="1" x14ac:dyDescent="0.25">
      <c r="A59" s="142"/>
      <c r="B59" s="64"/>
      <c r="C59" s="64"/>
      <c r="D59" s="1"/>
    </row>
    <row r="60" spans="1:5" x14ac:dyDescent="0.25">
      <c r="A60" s="142"/>
      <c r="B60" s="143"/>
      <c r="C60" s="64"/>
      <c r="D60" s="1"/>
    </row>
    <row r="61" spans="1:5" ht="15" x14ac:dyDescent="0.35">
      <c r="A61" s="144"/>
      <c r="B61" s="145"/>
      <c r="C61" s="64"/>
      <c r="D61" s="64"/>
    </row>
    <row r="62" spans="1:5" x14ac:dyDescent="0.25">
      <c r="A62" s="146" t="s">
        <v>0</v>
      </c>
    </row>
    <row r="63" spans="1:5" x14ac:dyDescent="0.25">
      <c r="A63" s="1" t="s">
        <v>0</v>
      </c>
    </row>
  </sheetData>
  <mergeCells count="2">
    <mergeCell ref="A4:D4"/>
    <mergeCell ref="A14:D14"/>
  </mergeCells>
  <printOptions horizontalCentered="1"/>
  <pageMargins left="0.25" right="0.25" top="0.75" bottom="0.75" header="0.3" footer="0.3"/>
  <pageSetup paperSize="9" scale="60" fitToWidth="0" orientation="portrait" r:id="rId1"/>
  <headerFooter alignWithMargins="0">
    <oddFooter>Página &amp;P de &amp;N</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35FC-68DB-427C-B864-B6FAE21E7A5D}">
  <sheetPr>
    <tabColor theme="4" tint="-0.249977111117893"/>
    <pageSetUpPr fitToPage="1"/>
  </sheetPr>
  <dimension ref="A1:P59"/>
  <sheetViews>
    <sheetView topLeftCell="A15" zoomScale="85" zoomScaleNormal="85" workbookViewId="0">
      <selection activeCell="B35" sqref="B35"/>
    </sheetView>
  </sheetViews>
  <sheetFormatPr baseColWidth="10" defaultColWidth="11.44140625" defaultRowHeight="13.2" x14ac:dyDescent="0.25"/>
  <cols>
    <col min="1" max="1" width="6" style="1" customWidth="1"/>
    <col min="2" max="2" width="90.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357</v>
      </c>
      <c r="B8" s="68"/>
      <c r="C8" s="69"/>
      <c r="D8" s="69"/>
    </row>
    <row r="9" spans="1:16" s="4" customFormat="1" ht="19.2" x14ac:dyDescent="0.45">
      <c r="A9" s="67" t="s">
        <v>359</v>
      </c>
      <c r="B9" s="68"/>
      <c r="C9" s="69"/>
      <c r="D9" s="69"/>
    </row>
    <row r="10" spans="1:16" s="4" customFormat="1" ht="19.2" x14ac:dyDescent="0.45">
      <c r="A10" s="67" t="s">
        <v>360</v>
      </c>
      <c r="B10" s="68"/>
      <c r="C10" s="69"/>
      <c r="D10" s="69"/>
    </row>
    <row r="11" spans="1:16" s="4" customFormat="1" ht="19.2" x14ac:dyDescent="0.45">
      <c r="A11" s="67" t="s">
        <v>358</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407">
        <v>1</v>
      </c>
      <c r="B16" s="406" t="s">
        <v>361</v>
      </c>
      <c r="C16" s="408">
        <v>35000</v>
      </c>
      <c r="D16" s="79">
        <f t="shared" ref="D16" si="0">A16*C16</f>
        <v>35000</v>
      </c>
      <c r="N16" s="23"/>
      <c r="O16" s="23"/>
      <c r="P16" s="23"/>
    </row>
    <row r="17" spans="1:16" s="23" customFormat="1" ht="15.6" x14ac:dyDescent="0.25">
      <c r="A17" s="404"/>
      <c r="B17" s="406" t="s">
        <v>362</v>
      </c>
      <c r="C17" s="405"/>
      <c r="D17" s="79"/>
      <c r="E17" s="1"/>
      <c r="F17" s="1"/>
      <c r="G17" s="1"/>
      <c r="H17" s="1"/>
      <c r="I17" s="1"/>
      <c r="J17" s="1"/>
      <c r="K17" s="1"/>
      <c r="L17" s="1"/>
      <c r="M17" s="1"/>
    </row>
    <row r="18" spans="1:16" s="23" customFormat="1" ht="15.6" x14ac:dyDescent="0.3">
      <c r="A18" s="404"/>
      <c r="B18" s="406" t="s">
        <v>363</v>
      </c>
      <c r="C18" s="405"/>
      <c r="D18" s="79"/>
      <c r="E18" s="1"/>
      <c r="F18" s="1"/>
      <c r="G18" s="1"/>
      <c r="H18" s="1"/>
      <c r="I18" s="1"/>
      <c r="J18" s="1"/>
      <c r="K18" s="1"/>
      <c r="L18" s="1"/>
      <c r="M18"/>
    </row>
    <row r="19" spans="1:16" s="23" customFormat="1" ht="15.6" x14ac:dyDescent="0.25">
      <c r="A19" s="103">
        <v>1</v>
      </c>
      <c r="B19" s="104" t="s">
        <v>368</v>
      </c>
      <c r="C19" s="105">
        <f>300*140</f>
        <v>42000</v>
      </c>
      <c r="D19" s="79">
        <f>A19*C19</f>
        <v>42000</v>
      </c>
      <c r="E19" s="1"/>
      <c r="F19" s="1"/>
      <c r="G19" s="1"/>
      <c r="H19" s="1"/>
      <c r="I19" s="1"/>
      <c r="J19" s="1"/>
      <c r="K19" s="1"/>
      <c r="L19" s="1"/>
      <c r="M19" s="1"/>
    </row>
    <row r="20" spans="1:16" s="23" customFormat="1" ht="19.95" customHeight="1" x14ac:dyDescent="0.25">
      <c r="A20" s="106">
        <v>140</v>
      </c>
      <c r="B20" s="107" t="s">
        <v>57</v>
      </c>
      <c r="C20" s="108">
        <v>36.869999999999997</v>
      </c>
      <c r="D20" s="109">
        <f>A20*C20</f>
        <v>5161.7999999999993</v>
      </c>
      <c r="E20" s="1"/>
      <c r="F20" s="1"/>
      <c r="G20" s="1"/>
      <c r="H20" s="1"/>
      <c r="I20" s="1"/>
      <c r="J20" s="1"/>
      <c r="K20" s="1"/>
      <c r="L20" s="1"/>
      <c r="M20" s="1"/>
      <c r="N20" s="1"/>
      <c r="O20" s="1"/>
      <c r="P20" s="1"/>
    </row>
    <row r="21" spans="1:16" ht="15.6" x14ac:dyDescent="0.25">
      <c r="A21" s="80">
        <v>1</v>
      </c>
      <c r="B21" s="167" t="s">
        <v>58</v>
      </c>
      <c r="C21" s="105">
        <v>1025</v>
      </c>
      <c r="D21" s="109">
        <f>A21*C21</f>
        <v>1025</v>
      </c>
      <c r="E21" s="13"/>
    </row>
    <row r="22" spans="1:16" ht="30" x14ac:dyDescent="0.25">
      <c r="A22" s="103">
        <v>1</v>
      </c>
      <c r="B22" s="104" t="s">
        <v>116</v>
      </c>
      <c r="C22" s="105">
        <v>7540</v>
      </c>
      <c r="D22" s="79">
        <f>A22*C22</f>
        <v>7540</v>
      </c>
      <c r="E22" s="13"/>
    </row>
    <row r="23" spans="1:16" ht="15.6" x14ac:dyDescent="0.25">
      <c r="A23" s="103">
        <v>1</v>
      </c>
      <c r="B23" s="104" t="s">
        <v>367</v>
      </c>
      <c r="C23" s="105">
        <f>300*140</f>
        <v>42000</v>
      </c>
      <c r="D23" s="79">
        <f>A23*C23</f>
        <v>42000</v>
      </c>
      <c r="E23" s="13"/>
      <c r="O23" s="88"/>
      <c r="P23" s="88"/>
    </row>
    <row r="24" spans="1:16" s="88" customFormat="1" ht="45" x14ac:dyDescent="0.25">
      <c r="A24" s="103">
        <v>1</v>
      </c>
      <c r="B24" s="104" t="s">
        <v>364</v>
      </c>
      <c r="C24" s="410" t="s">
        <v>365</v>
      </c>
      <c r="D24" s="409"/>
      <c r="E24" s="13"/>
      <c r="F24" s="1"/>
      <c r="G24" s="1"/>
      <c r="H24" s="1"/>
      <c r="I24" s="1"/>
      <c r="J24" s="1"/>
      <c r="K24" s="1"/>
      <c r="L24" s="1"/>
      <c r="M24" s="1"/>
      <c r="N24" s="1"/>
      <c r="O24" s="1"/>
      <c r="P24" s="1"/>
    </row>
    <row r="25" spans="1:16" ht="45" x14ac:dyDescent="0.25">
      <c r="A25" s="80">
        <v>1</v>
      </c>
      <c r="B25" s="167" t="s">
        <v>274</v>
      </c>
      <c r="C25" s="410" t="s">
        <v>365</v>
      </c>
      <c r="D25" s="409"/>
    </row>
    <row r="26" spans="1:16" ht="15.6" x14ac:dyDescent="0.25">
      <c r="A26" s="80">
        <v>1</v>
      </c>
      <c r="B26" s="167" t="s">
        <v>340</v>
      </c>
      <c r="C26" s="327">
        <v>3875</v>
      </c>
      <c r="D26" s="109">
        <f t="shared" ref="D26" si="1">A26*C26</f>
        <v>3875</v>
      </c>
    </row>
    <row r="27" spans="1:16" ht="15.6" x14ac:dyDescent="0.3">
      <c r="A27" s="99"/>
      <c r="B27" s="85" t="s">
        <v>48</v>
      </c>
      <c r="C27" s="86" t="s">
        <v>49</v>
      </c>
      <c r="D27" s="87">
        <f>SUM(D17:D26)</f>
        <v>101601.8</v>
      </c>
    </row>
    <row r="28" spans="1:16" ht="15.6" x14ac:dyDescent="0.3">
      <c r="A28" s="99"/>
      <c r="B28" s="85" t="s">
        <v>50</v>
      </c>
      <c r="C28" s="90" t="s">
        <v>51</v>
      </c>
      <c r="D28" s="87">
        <f>D27*0.16</f>
        <v>16256.288</v>
      </c>
      <c r="E28" s="13"/>
    </row>
    <row r="29" spans="1:16" ht="15.6" x14ac:dyDescent="0.25">
      <c r="A29" s="99"/>
      <c r="B29" s="100"/>
      <c r="C29" s="90" t="s">
        <v>52</v>
      </c>
      <c r="D29" s="87">
        <f>SUM(D27:D28)</f>
        <v>117858.088</v>
      </c>
    </row>
    <row r="30" spans="1:16" ht="13.8" x14ac:dyDescent="0.25">
      <c r="A30" s="34"/>
      <c r="B30" s="120" t="s">
        <v>15</v>
      </c>
      <c r="C30" s="121"/>
      <c r="D30" s="122"/>
    </row>
    <row r="31" spans="1:16" ht="15.6" x14ac:dyDescent="0.25">
      <c r="A31" s="34"/>
      <c r="B31" s="123"/>
      <c r="C31" s="1"/>
      <c r="D31" s="1"/>
    </row>
    <row r="32" spans="1:16" ht="13.8" x14ac:dyDescent="0.25">
      <c r="A32" s="34"/>
      <c r="B32" s="126" t="s">
        <v>17</v>
      </c>
      <c r="C32" s="1"/>
      <c r="D32" s="1"/>
    </row>
    <row r="33" spans="1:4" ht="15" x14ac:dyDescent="0.25">
      <c r="A33" s="62"/>
      <c r="B33" s="127" t="s">
        <v>19</v>
      </c>
      <c r="C33" s="1"/>
      <c r="D33" s="1"/>
    </row>
    <row r="34" spans="1:4" ht="15" x14ac:dyDescent="0.25">
      <c r="A34" s="62"/>
      <c r="B34" s="128"/>
      <c r="C34" s="13"/>
      <c r="D34" s="1"/>
    </row>
    <row r="35" spans="1:4" ht="15" x14ac:dyDescent="0.25">
      <c r="A35" s="62"/>
      <c r="B35" s="129" t="s">
        <v>60</v>
      </c>
      <c r="C35" s="1"/>
      <c r="D35" s="1"/>
    </row>
    <row r="36" spans="1:4" ht="15" x14ac:dyDescent="0.25">
      <c r="A36" s="62"/>
      <c r="B36" s="130" t="s">
        <v>23</v>
      </c>
      <c r="C36" s="13"/>
      <c r="D36" s="1"/>
    </row>
    <row r="37" spans="1:4" ht="27.6" x14ac:dyDescent="0.25">
      <c r="A37" s="62"/>
      <c r="B37" s="132" t="s">
        <v>62</v>
      </c>
      <c r="C37" s="13"/>
      <c r="D37" s="1"/>
    </row>
    <row r="38" spans="1:4" ht="15" x14ac:dyDescent="0.25">
      <c r="A38" s="62"/>
      <c r="B38" s="130" t="s">
        <v>26</v>
      </c>
      <c r="C38" s="13"/>
      <c r="D38" s="1"/>
    </row>
    <row r="39" spans="1:4" ht="15" x14ac:dyDescent="0.25">
      <c r="A39" s="62"/>
      <c r="B39" s="333" t="s">
        <v>366</v>
      </c>
      <c r="C39" s="13"/>
      <c r="D39" s="1"/>
    </row>
    <row r="40" spans="1:4" ht="15" x14ac:dyDescent="0.25">
      <c r="A40" s="62"/>
      <c r="B40" s="334" t="s">
        <v>28</v>
      </c>
      <c r="C40" s="1"/>
      <c r="D40" s="1"/>
    </row>
    <row r="41" spans="1:4" ht="15" x14ac:dyDescent="0.25">
      <c r="A41" s="62"/>
      <c r="B41" s="130" t="s">
        <v>29</v>
      </c>
      <c r="C41" s="1"/>
      <c r="D41" s="1"/>
    </row>
    <row r="42" spans="1:4" ht="13.8" x14ac:dyDescent="0.25">
      <c r="B42" s="138" t="s">
        <v>64</v>
      </c>
      <c r="C42" s="133"/>
      <c r="D42" s="134"/>
    </row>
    <row r="43" spans="1:4" ht="15" x14ac:dyDescent="0.25">
      <c r="A43" s="62"/>
      <c r="B43" s="127" t="s">
        <v>31</v>
      </c>
      <c r="C43" s="54"/>
      <c r="D43" s="58"/>
    </row>
    <row r="44" spans="1:4" ht="15" x14ac:dyDescent="0.25">
      <c r="A44" s="62"/>
      <c r="B44" s="127" t="s">
        <v>32</v>
      </c>
      <c r="C44" s="54"/>
    </row>
    <row r="45" spans="1:4" ht="50.4" x14ac:dyDescent="0.4">
      <c r="A45" s="139" t="s">
        <v>0</v>
      </c>
      <c r="B45" s="140" t="s">
        <v>65</v>
      </c>
      <c r="C45" s="141"/>
      <c r="D45" s="1"/>
    </row>
    <row r="46" spans="1:4" x14ac:dyDescent="0.25">
      <c r="A46" s="142"/>
      <c r="B46" s="64"/>
      <c r="C46" s="64"/>
      <c r="D46" s="1"/>
    </row>
    <row r="47" spans="1:4" x14ac:dyDescent="0.25">
      <c r="A47" s="142"/>
      <c r="B47" s="64"/>
      <c r="C47" s="64"/>
      <c r="D47" s="1"/>
    </row>
    <row r="48" spans="1:4" x14ac:dyDescent="0.25">
      <c r="A48" s="142"/>
      <c r="B48" s="143"/>
      <c r="C48" s="64"/>
      <c r="D48" s="1"/>
    </row>
    <row r="49" spans="1:4" ht="15" x14ac:dyDescent="0.35">
      <c r="A49" s="144"/>
      <c r="B49" s="145"/>
      <c r="C49" s="64"/>
      <c r="D49" s="64"/>
    </row>
    <row r="50" spans="1:4" ht="12.75" customHeight="1" x14ac:dyDescent="0.25">
      <c r="A50" s="146" t="s">
        <v>0</v>
      </c>
    </row>
    <row r="51" spans="1:4" x14ac:dyDescent="0.25">
      <c r="A51" s="1" t="s">
        <v>0</v>
      </c>
    </row>
    <row r="58" spans="1:4" ht="15.75" customHeight="1" x14ac:dyDescent="0.25"/>
    <row r="59" spans="1:4" ht="15" customHeight="1" x14ac:dyDescent="0.25"/>
  </sheetData>
  <mergeCells count="2">
    <mergeCell ref="A4:D4"/>
    <mergeCell ref="A14:D14"/>
  </mergeCells>
  <printOptions horizontalCentered="1"/>
  <pageMargins left="0.25" right="0.25" top="0.75" bottom="0.75" header="0.3" footer="0.3"/>
  <pageSetup paperSize="9" scale="64" fitToWidth="0" orientation="portrait" r:id="rId1"/>
  <headerFooter alignWithMargins="0">
    <oddFooter>Página &amp;P de &amp;N</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F612-511F-4EE8-B261-5E16C1A97CD0}">
  <sheetPr>
    <tabColor theme="4" tint="-0.249977111117893"/>
    <pageSetUpPr fitToPage="1"/>
  </sheetPr>
  <dimension ref="A1:P59"/>
  <sheetViews>
    <sheetView topLeftCell="A5" zoomScale="85" zoomScaleNormal="85" workbookViewId="0">
      <selection activeCell="A16" sqref="A16:A23"/>
    </sheetView>
  </sheetViews>
  <sheetFormatPr baseColWidth="10" defaultColWidth="11.44140625" defaultRowHeight="13.2" x14ac:dyDescent="0.25"/>
  <cols>
    <col min="1" max="1" width="6" style="1" customWidth="1"/>
    <col min="2" max="2" width="100.88671875" style="1" customWidth="1"/>
    <col min="3" max="3" width="14.88671875" style="3" bestFit="1"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357</v>
      </c>
      <c r="B8" s="68"/>
      <c r="C8" s="69"/>
      <c r="D8" s="69"/>
    </row>
    <row r="9" spans="1:16" s="4" customFormat="1" ht="19.2" x14ac:dyDescent="0.45">
      <c r="A9" s="67" t="s">
        <v>359</v>
      </c>
      <c r="B9" s="68"/>
      <c r="C9" s="69"/>
      <c r="D9" s="69"/>
    </row>
    <row r="10" spans="1:16" s="4" customFormat="1" ht="19.2" x14ac:dyDescent="0.45">
      <c r="A10" s="67" t="s">
        <v>360</v>
      </c>
      <c r="B10" s="68"/>
      <c r="C10" s="69"/>
      <c r="D10" s="69"/>
    </row>
    <row r="11" spans="1:16" s="4" customFormat="1" ht="19.2" x14ac:dyDescent="0.45">
      <c r="A11" s="67" t="s">
        <v>358</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76">
        <v>130</v>
      </c>
      <c r="B16" s="77" t="s">
        <v>337</v>
      </c>
      <c r="C16" s="78">
        <f>(50*19)*1.37</f>
        <v>1301.5</v>
      </c>
      <c r="D16" s="79">
        <f>A16*C16</f>
        <v>169195</v>
      </c>
      <c r="E16" s="17"/>
      <c r="H16" s="23"/>
      <c r="I16" s="23"/>
      <c r="J16" s="23"/>
      <c r="K16" s="23"/>
      <c r="L16" s="23"/>
      <c r="N16" s="23"/>
      <c r="O16" s="23"/>
      <c r="P16" s="23"/>
    </row>
    <row r="17" spans="1:16" s="23" customFormat="1" ht="15.6" x14ac:dyDescent="0.3">
      <c r="A17" s="76">
        <v>2</v>
      </c>
      <c r="B17" s="77" t="s">
        <v>338</v>
      </c>
      <c r="C17" s="78">
        <f>698*19*1.4</f>
        <v>18566.8</v>
      </c>
      <c r="D17" s="79">
        <f t="shared" ref="D17:D21" si="0">A17*C17</f>
        <v>37133.599999999999</v>
      </c>
      <c r="E17" s="17"/>
      <c r="F17" s="1"/>
      <c r="G17" s="1"/>
      <c r="M17" s="1"/>
    </row>
    <row r="18" spans="1:16" s="23" customFormat="1" ht="15.6" x14ac:dyDescent="0.3">
      <c r="A18" s="76">
        <v>6</v>
      </c>
      <c r="B18" s="77" t="s">
        <v>339</v>
      </c>
      <c r="C18" s="78">
        <f>44*19*1.35</f>
        <v>1128.6000000000001</v>
      </c>
      <c r="D18" s="79">
        <f t="shared" si="0"/>
        <v>6771.6</v>
      </c>
      <c r="E18" s="17"/>
      <c r="F18" s="1"/>
      <c r="G18" s="1"/>
      <c r="M18"/>
    </row>
    <row r="19" spans="1:16" s="23" customFormat="1" ht="15.6" x14ac:dyDescent="0.3">
      <c r="A19" s="76">
        <v>140</v>
      </c>
      <c r="B19" s="77" t="s">
        <v>45</v>
      </c>
      <c r="C19" s="78">
        <f>24*1.35</f>
        <v>32.400000000000006</v>
      </c>
      <c r="D19" s="79">
        <f t="shared" si="0"/>
        <v>4536.0000000000009</v>
      </c>
      <c r="E19" s="17"/>
      <c r="F19" s="1"/>
      <c r="G19" s="1"/>
      <c r="M19" s="1"/>
    </row>
    <row r="20" spans="1:16" s="23" customFormat="1" ht="15.6" x14ac:dyDescent="0.3">
      <c r="A20" s="76">
        <v>80</v>
      </c>
      <c r="B20" s="77" t="s">
        <v>370</v>
      </c>
      <c r="C20" s="78">
        <f>1.07*19*1.35</f>
        <v>27.445500000000003</v>
      </c>
      <c r="D20" s="79">
        <f t="shared" si="0"/>
        <v>2195.6400000000003</v>
      </c>
      <c r="E20" s="17"/>
      <c r="F20" s="1"/>
      <c r="G20" s="1"/>
      <c r="M20" s="1"/>
      <c r="N20" s="1"/>
      <c r="O20" s="1"/>
      <c r="P20" s="1"/>
    </row>
    <row r="21" spans="1:16" ht="15.6" x14ac:dyDescent="0.3">
      <c r="A21" s="76">
        <v>2</v>
      </c>
      <c r="B21" s="77" t="s">
        <v>47</v>
      </c>
      <c r="C21" s="78">
        <v>5640</v>
      </c>
      <c r="D21" s="79">
        <f t="shared" si="0"/>
        <v>11280</v>
      </c>
      <c r="E21" s="17"/>
      <c r="H21" s="23"/>
      <c r="I21" s="23"/>
      <c r="J21" s="23"/>
      <c r="K21" s="23"/>
      <c r="L21" s="23"/>
    </row>
    <row r="22" spans="1:16" ht="15.6" x14ac:dyDescent="0.25">
      <c r="A22" s="95">
        <v>150</v>
      </c>
      <c r="B22" s="96" t="s">
        <v>343</v>
      </c>
      <c r="C22" s="97">
        <f>(956)*(1.37)</f>
        <v>1309.72</v>
      </c>
      <c r="D22" s="98">
        <f>A22*C22</f>
        <v>196458</v>
      </c>
    </row>
    <row r="23" spans="1:16" ht="15.6" x14ac:dyDescent="0.25">
      <c r="A23" s="99">
        <v>1</v>
      </c>
      <c r="B23" s="100" t="s">
        <v>273</v>
      </c>
      <c r="C23" s="324">
        <v>5468</v>
      </c>
      <c r="D23" s="98">
        <f>A23*C23</f>
        <v>5468</v>
      </c>
      <c r="O23" s="88"/>
      <c r="P23" s="88"/>
    </row>
    <row r="24" spans="1:16" s="88" customFormat="1" ht="15.6" x14ac:dyDescent="0.3">
      <c r="A24" s="99"/>
      <c r="B24" s="85" t="s">
        <v>341</v>
      </c>
      <c r="C24" s="86" t="s">
        <v>49</v>
      </c>
      <c r="D24" s="87">
        <f>SUM(D16:D23)</f>
        <v>433037.84</v>
      </c>
      <c r="E24" s="1"/>
      <c r="F24" s="1"/>
      <c r="G24" s="1"/>
      <c r="H24" s="1"/>
      <c r="I24" s="1"/>
      <c r="J24" s="1"/>
      <c r="K24" s="1"/>
      <c r="L24" s="1"/>
      <c r="M24" s="1"/>
      <c r="N24" s="1"/>
      <c r="O24" s="1"/>
      <c r="P24" s="1"/>
    </row>
    <row r="25" spans="1:16" ht="15.6" x14ac:dyDescent="0.3">
      <c r="A25" s="99"/>
      <c r="B25" s="85" t="s">
        <v>342</v>
      </c>
      <c r="C25" s="90" t="s">
        <v>51</v>
      </c>
      <c r="D25" s="87">
        <f>D24*0.16</f>
        <v>69286.054400000008</v>
      </c>
    </row>
    <row r="26" spans="1:16" ht="16.2" thickBot="1" x14ac:dyDescent="0.3">
      <c r="A26" s="99"/>
      <c r="B26" s="100"/>
      <c r="C26" s="90" t="s">
        <v>52</v>
      </c>
      <c r="D26" s="87">
        <f>SUM(D24:D25)</f>
        <v>502323.89440000005</v>
      </c>
    </row>
    <row r="27" spans="1:16" ht="16.2" thickBot="1" x14ac:dyDescent="0.3">
      <c r="A27" s="116"/>
      <c r="B27" s="186" t="s">
        <v>352</v>
      </c>
      <c r="C27" s="36"/>
      <c r="D27" s="37"/>
    </row>
    <row r="28" spans="1:16" ht="13.8" x14ac:dyDescent="0.25">
      <c r="A28" s="34"/>
      <c r="B28" s="120" t="s">
        <v>15</v>
      </c>
      <c r="C28" s="121"/>
      <c r="D28" s="122"/>
      <c r="E28" s="13"/>
    </row>
    <row r="29" spans="1:16" ht="15.6" x14ac:dyDescent="0.25">
      <c r="A29" s="34"/>
      <c r="B29" s="123"/>
      <c r="C29" s="1"/>
      <c r="D29" s="1"/>
    </row>
    <row r="30" spans="1:16" ht="13.8" x14ac:dyDescent="0.25">
      <c r="A30" s="34"/>
      <c r="B30" s="126" t="s">
        <v>17</v>
      </c>
      <c r="C30" s="1"/>
      <c r="D30" s="1"/>
    </row>
    <row r="31" spans="1:16" ht="15" x14ac:dyDescent="0.25">
      <c r="A31" s="62"/>
      <c r="B31" s="127" t="s">
        <v>19</v>
      </c>
      <c r="C31" s="1"/>
      <c r="D31" s="1"/>
    </row>
    <row r="32" spans="1:16" ht="15" x14ac:dyDescent="0.25">
      <c r="A32" s="62"/>
      <c r="B32" s="128" t="s">
        <v>59</v>
      </c>
      <c r="C32" s="1"/>
      <c r="D32" s="1"/>
    </row>
    <row r="33" spans="1:4" ht="15" x14ac:dyDescent="0.25">
      <c r="A33" s="62"/>
      <c r="B33" s="129" t="s">
        <v>60</v>
      </c>
      <c r="C33" s="13"/>
      <c r="D33" s="1"/>
    </row>
    <row r="34" spans="1:4" ht="15" x14ac:dyDescent="0.25">
      <c r="A34" s="62"/>
      <c r="B34" s="130" t="s">
        <v>23</v>
      </c>
      <c r="C34" s="1"/>
      <c r="D34" s="1"/>
    </row>
    <row r="35" spans="1:4" ht="27.6" x14ac:dyDescent="0.25">
      <c r="A35" s="62"/>
      <c r="B35" s="132" t="s">
        <v>62</v>
      </c>
      <c r="C35" s="13"/>
      <c r="D35" s="1"/>
    </row>
    <row r="36" spans="1:4" ht="15" x14ac:dyDescent="0.25">
      <c r="A36" s="62"/>
      <c r="B36" s="130" t="s">
        <v>26</v>
      </c>
      <c r="C36" s="13"/>
      <c r="D36" s="1"/>
    </row>
    <row r="37" spans="1:4" ht="15" x14ac:dyDescent="0.25">
      <c r="A37" s="62"/>
      <c r="B37" s="333" t="s">
        <v>121</v>
      </c>
      <c r="C37" s="13"/>
      <c r="D37" s="1"/>
    </row>
    <row r="38" spans="1:4" ht="15" x14ac:dyDescent="0.25">
      <c r="A38" s="62"/>
      <c r="B38" s="334" t="s">
        <v>28</v>
      </c>
      <c r="C38" s="13"/>
      <c r="D38" s="1"/>
    </row>
    <row r="39" spans="1:4" ht="15" x14ac:dyDescent="0.25">
      <c r="A39" s="62"/>
      <c r="B39" s="130" t="s">
        <v>29</v>
      </c>
      <c r="C39" s="1"/>
      <c r="D39" s="1"/>
    </row>
    <row r="40" spans="1:4" ht="13.8" x14ac:dyDescent="0.25">
      <c r="B40" s="138" t="s">
        <v>64</v>
      </c>
      <c r="C40" s="1"/>
      <c r="D40" s="1"/>
    </row>
    <row r="41" spans="1:4" ht="15" x14ac:dyDescent="0.25">
      <c r="A41" s="62"/>
      <c r="B41" s="127" t="s">
        <v>31</v>
      </c>
      <c r="C41" s="54"/>
      <c r="D41" s="58"/>
    </row>
    <row r="42" spans="1:4" ht="15" x14ac:dyDescent="0.25">
      <c r="A42" s="62"/>
      <c r="B42" s="127" t="s">
        <v>32</v>
      </c>
      <c r="C42" s="54"/>
    </row>
    <row r="43" spans="1:4" ht="33.6" x14ac:dyDescent="0.4">
      <c r="A43" s="139" t="s">
        <v>0</v>
      </c>
      <c r="B43" s="140" t="s">
        <v>65</v>
      </c>
      <c r="C43" s="141"/>
      <c r="D43" s="1"/>
    </row>
    <row r="44" spans="1:4" x14ac:dyDescent="0.25">
      <c r="A44" s="142"/>
      <c r="B44" s="64"/>
      <c r="C44" s="64"/>
      <c r="D44" s="1"/>
    </row>
    <row r="45" spans="1:4" x14ac:dyDescent="0.25">
      <c r="A45" s="142"/>
      <c r="B45" s="64"/>
      <c r="C45" s="64"/>
      <c r="D45" s="1"/>
    </row>
    <row r="46" spans="1:4" x14ac:dyDescent="0.25">
      <c r="A46" s="142"/>
      <c r="B46" s="143"/>
      <c r="C46" s="64"/>
      <c r="D46" s="1"/>
    </row>
    <row r="47" spans="1:4" ht="15" x14ac:dyDescent="0.35">
      <c r="A47" s="144"/>
      <c r="B47" s="145"/>
      <c r="C47" s="64"/>
      <c r="D47" s="64"/>
    </row>
    <row r="48" spans="1:4" x14ac:dyDescent="0.25">
      <c r="A48" s="146" t="s">
        <v>0</v>
      </c>
    </row>
    <row r="49" spans="1:1" x14ac:dyDescent="0.25">
      <c r="A49" s="1" t="s">
        <v>0</v>
      </c>
    </row>
    <row r="50" spans="1:1" ht="12.75" customHeight="1" x14ac:dyDescent="0.25"/>
    <row r="58" spans="1:1" ht="15.75" customHeight="1" x14ac:dyDescent="0.25"/>
    <row r="59" spans="1:1" ht="15" customHeight="1" x14ac:dyDescent="0.25"/>
  </sheetData>
  <mergeCells count="2">
    <mergeCell ref="A4:D4"/>
    <mergeCell ref="A14:D14"/>
  </mergeCells>
  <printOptions horizontalCentered="1"/>
  <pageMargins left="0.25" right="0.25" top="0.75" bottom="0.75" header="0.3" footer="0.3"/>
  <pageSetup paperSize="9" scale="70" fitToWidth="0" orientation="portrait" r:id="rId1"/>
  <headerFooter alignWithMargins="0">
    <oddFooter>Página &amp;P de &amp;N</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9E998-9C4F-4282-8846-C1F5D62EFBE6}">
  <sheetPr>
    <tabColor theme="4" tint="-0.249977111117893"/>
    <pageSetUpPr fitToPage="1"/>
  </sheetPr>
  <dimension ref="A1:P59"/>
  <sheetViews>
    <sheetView zoomScale="85" zoomScaleNormal="85" workbookViewId="0">
      <selection activeCell="A23" sqref="A23:D23"/>
    </sheetView>
  </sheetViews>
  <sheetFormatPr baseColWidth="10" defaultColWidth="11.44140625" defaultRowHeight="15" x14ac:dyDescent="0.25"/>
  <cols>
    <col min="1" max="1" width="6" style="1" customWidth="1"/>
    <col min="2" max="2" width="70.6640625" style="411" customWidth="1"/>
    <col min="3" max="3" width="14.88671875" style="3" bestFit="1"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9.2" x14ac:dyDescent="0.45">
      <c r="A5" s="5"/>
      <c r="B5" s="68"/>
      <c r="C5" s="6"/>
      <c r="D5" s="6"/>
    </row>
    <row r="6" spans="1:16" s="4" customFormat="1" ht="19.2" x14ac:dyDescent="0.45">
      <c r="A6" s="5"/>
      <c r="B6" s="68"/>
      <c r="C6" s="6"/>
      <c r="D6" s="6"/>
    </row>
    <row r="7" spans="1:16" s="4" customFormat="1" ht="19.2" x14ac:dyDescent="0.45">
      <c r="A7" s="5"/>
      <c r="B7" s="68"/>
      <c r="C7" s="6"/>
      <c r="D7" s="6"/>
    </row>
    <row r="8" spans="1:16" s="4" customFormat="1" ht="19.2" x14ac:dyDescent="0.45">
      <c r="A8" s="67" t="s">
        <v>357</v>
      </c>
      <c r="B8" s="68"/>
      <c r="C8" s="69"/>
      <c r="D8" s="69"/>
    </row>
    <row r="9" spans="1:16" s="4" customFormat="1" ht="19.2" x14ac:dyDescent="0.45">
      <c r="A9" s="67" t="s">
        <v>359</v>
      </c>
      <c r="B9" s="68"/>
      <c r="C9" s="69"/>
      <c r="D9" s="69"/>
    </row>
    <row r="10" spans="1:16" s="4" customFormat="1" ht="19.2" x14ac:dyDescent="0.45">
      <c r="A10" s="67" t="s">
        <v>360</v>
      </c>
      <c r="B10" s="68"/>
      <c r="C10" s="69"/>
      <c r="D10" s="69"/>
    </row>
    <row r="11" spans="1:16" s="4" customFormat="1" ht="19.2" x14ac:dyDescent="0.45">
      <c r="A11" s="67" t="s">
        <v>358</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x14ac:dyDescent="0.25">
      <c r="A15" s="14"/>
      <c r="B15" s="421"/>
      <c r="C15" s="16"/>
      <c r="D15" s="16"/>
      <c r="E15" s="17"/>
      <c r="F15" s="23"/>
      <c r="G15" s="23"/>
      <c r="H15" s="1"/>
      <c r="I15" s="1"/>
      <c r="J15" s="1"/>
      <c r="K15" s="1"/>
      <c r="L15" s="1"/>
      <c r="M15" s="1"/>
      <c r="N15" s="1"/>
      <c r="O15" s="1"/>
      <c r="P15" s="1"/>
    </row>
    <row r="16" spans="1:16" ht="15.6" x14ac:dyDescent="0.3">
      <c r="A16" s="95">
        <v>1</v>
      </c>
      <c r="B16" s="178" t="s">
        <v>375</v>
      </c>
      <c r="C16" s="429" t="s">
        <v>377</v>
      </c>
      <c r="D16" s="430"/>
      <c r="N16" s="23"/>
      <c r="O16" s="23"/>
      <c r="P16" s="23"/>
    </row>
    <row r="17" spans="1:16" s="23" customFormat="1" ht="15.6" x14ac:dyDescent="0.3">
      <c r="A17" s="95">
        <v>1</v>
      </c>
      <c r="B17" s="178" t="s">
        <v>376</v>
      </c>
      <c r="C17" s="429" t="s">
        <v>377</v>
      </c>
      <c r="D17" s="430"/>
      <c r="E17" s="1"/>
      <c r="F17" s="1"/>
      <c r="G17" s="1"/>
      <c r="H17" s="1"/>
      <c r="I17" s="1"/>
      <c r="J17" s="1"/>
      <c r="K17" s="1"/>
      <c r="L17" s="1"/>
      <c r="M17" s="1"/>
    </row>
    <row r="18" spans="1:16" s="23" customFormat="1" ht="15.6" x14ac:dyDescent="0.3">
      <c r="A18" s="95">
        <v>130</v>
      </c>
      <c r="B18" s="96" t="s">
        <v>344</v>
      </c>
      <c r="C18" s="97">
        <f>(1190)*(1.37)</f>
        <v>1630.3000000000002</v>
      </c>
      <c r="D18" s="98">
        <f>A18*C18</f>
        <v>211939.00000000003</v>
      </c>
      <c r="E18" s="1"/>
      <c r="F18" s="1"/>
      <c r="G18" s="1"/>
      <c r="H18" s="1"/>
      <c r="I18" s="1"/>
      <c r="J18" s="1"/>
      <c r="K18" s="1"/>
      <c r="L18" s="1"/>
      <c r="M18"/>
    </row>
    <row r="19" spans="1:16" s="23" customFormat="1" ht="15.6" x14ac:dyDescent="0.25">
      <c r="A19" s="99">
        <v>1</v>
      </c>
      <c r="B19" s="100" t="s">
        <v>273</v>
      </c>
      <c r="C19" s="324">
        <v>5468</v>
      </c>
      <c r="D19" s="98">
        <f>A19*C19</f>
        <v>5468</v>
      </c>
      <c r="E19" s="1"/>
      <c r="F19" s="1"/>
      <c r="G19" s="1"/>
      <c r="H19" s="1"/>
      <c r="I19" s="1"/>
      <c r="J19" s="1"/>
      <c r="K19" s="1"/>
      <c r="L19" s="1"/>
      <c r="M19" s="1"/>
    </row>
    <row r="20" spans="1:16" s="23" customFormat="1" ht="15.6" x14ac:dyDescent="0.3">
      <c r="A20" s="99"/>
      <c r="B20" s="422" t="s">
        <v>351</v>
      </c>
      <c r="C20" s="86" t="s">
        <v>49</v>
      </c>
      <c r="D20" s="87">
        <f>SUM(D18:D19)</f>
        <v>217407.00000000003</v>
      </c>
      <c r="E20" s="1"/>
      <c r="F20" s="1"/>
      <c r="G20" s="1"/>
      <c r="H20" s="1"/>
      <c r="I20" s="1"/>
      <c r="J20" s="1"/>
      <c r="K20" s="1"/>
      <c r="L20" s="1"/>
      <c r="M20" s="1"/>
      <c r="N20" s="1"/>
      <c r="O20" s="1"/>
      <c r="P20" s="1"/>
    </row>
    <row r="21" spans="1:16" ht="15.6" x14ac:dyDescent="0.3">
      <c r="A21" s="99"/>
      <c r="B21" s="422" t="s">
        <v>342</v>
      </c>
      <c r="C21" s="90" t="s">
        <v>51</v>
      </c>
      <c r="D21" s="87">
        <f>D20*0.16</f>
        <v>34785.120000000003</v>
      </c>
    </row>
    <row r="22" spans="1:16" ht="16.2" thickBot="1" x14ac:dyDescent="0.3">
      <c r="A22" s="99"/>
      <c r="B22" s="100"/>
      <c r="C22" s="90" t="s">
        <v>52</v>
      </c>
      <c r="D22" s="87">
        <f>SUM(D20:D21)</f>
        <v>252192.12000000002</v>
      </c>
      <c r="E22" s="13"/>
    </row>
    <row r="23" spans="1:16" ht="15.6" thickBot="1" x14ac:dyDescent="0.3">
      <c r="A23" s="116"/>
      <c r="B23" s="423" t="s">
        <v>369</v>
      </c>
      <c r="C23" s="36"/>
      <c r="D23" s="37"/>
      <c r="O23" s="88"/>
      <c r="P23" s="88"/>
    </row>
    <row r="24" spans="1:16" s="88" customFormat="1" x14ac:dyDescent="0.25">
      <c r="A24" s="34"/>
      <c r="B24" s="424" t="s">
        <v>15</v>
      </c>
      <c r="C24" s="121"/>
      <c r="D24" s="122"/>
      <c r="E24" s="1"/>
      <c r="F24" s="1"/>
      <c r="G24" s="1"/>
      <c r="H24" s="1"/>
      <c r="I24" s="1"/>
      <c r="J24" s="1"/>
      <c r="K24" s="1"/>
      <c r="L24" s="1"/>
      <c r="M24" s="1"/>
      <c r="N24" s="1"/>
      <c r="O24" s="1"/>
      <c r="P24" s="1"/>
    </row>
    <row r="25" spans="1:16" ht="15.6" x14ac:dyDescent="0.25">
      <c r="A25" s="34"/>
      <c r="B25" s="425"/>
      <c r="C25" s="1"/>
      <c r="D25" s="1"/>
    </row>
    <row r="26" spans="1:16" x14ac:dyDescent="0.25">
      <c r="A26" s="34"/>
      <c r="B26" s="426" t="s">
        <v>17</v>
      </c>
      <c r="C26" s="1"/>
      <c r="D26" s="1"/>
    </row>
    <row r="27" spans="1:16" x14ac:dyDescent="0.25">
      <c r="A27" s="62"/>
      <c r="B27" s="412" t="s">
        <v>19</v>
      </c>
      <c r="C27" s="1"/>
      <c r="D27" s="1"/>
    </row>
    <row r="28" spans="1:16" x14ac:dyDescent="0.25">
      <c r="A28" s="62"/>
      <c r="B28" s="427" t="s">
        <v>59</v>
      </c>
      <c r="C28" s="1"/>
      <c r="D28" s="1"/>
    </row>
    <row r="29" spans="1:16" x14ac:dyDescent="0.25">
      <c r="A29" s="62"/>
      <c r="B29" s="413" t="s">
        <v>60</v>
      </c>
      <c r="C29" s="13"/>
      <c r="D29" s="1"/>
    </row>
    <row r="30" spans="1:16" x14ac:dyDescent="0.25">
      <c r="A30" s="62"/>
      <c r="B30" s="428" t="s">
        <v>23</v>
      </c>
      <c r="C30" s="1"/>
      <c r="D30" s="1"/>
    </row>
    <row r="31" spans="1:16" ht="45" x14ac:dyDescent="0.25">
      <c r="A31" s="62"/>
      <c r="B31" s="414" t="s">
        <v>62</v>
      </c>
      <c r="C31" s="13"/>
      <c r="D31" s="1"/>
    </row>
    <row r="32" spans="1:16" x14ac:dyDescent="0.25">
      <c r="A32" s="62"/>
      <c r="B32" s="428" t="s">
        <v>26</v>
      </c>
      <c r="C32" s="13"/>
      <c r="D32" s="1"/>
    </row>
    <row r="33" spans="1:4" ht="30" x14ac:dyDescent="0.25">
      <c r="A33" s="62"/>
      <c r="B33" s="415" t="s">
        <v>371</v>
      </c>
      <c r="C33" s="13"/>
      <c r="D33" s="1"/>
    </row>
    <row r="34" spans="1:4" ht="30" x14ac:dyDescent="0.25">
      <c r="A34" s="62"/>
      <c r="B34" s="416" t="s">
        <v>372</v>
      </c>
      <c r="C34" s="13"/>
      <c r="D34" s="1"/>
    </row>
    <row r="35" spans="1:4" x14ac:dyDescent="0.25">
      <c r="A35" s="62"/>
      <c r="B35" s="428" t="s">
        <v>29</v>
      </c>
      <c r="C35" s="1"/>
      <c r="D35" s="1"/>
    </row>
    <row r="36" spans="1:4" x14ac:dyDescent="0.25">
      <c r="B36" s="412" t="s">
        <v>64</v>
      </c>
      <c r="C36" s="1"/>
      <c r="D36" s="1"/>
    </row>
    <row r="37" spans="1:4" x14ac:dyDescent="0.25">
      <c r="A37" s="62"/>
      <c r="B37" s="412" t="s">
        <v>373</v>
      </c>
      <c r="C37" s="54"/>
      <c r="D37" s="58"/>
    </row>
    <row r="38" spans="1:4" x14ac:dyDescent="0.25">
      <c r="A38" s="62"/>
      <c r="B38" s="412" t="s">
        <v>374</v>
      </c>
      <c r="C38" s="54"/>
    </row>
    <row r="39" spans="1:4" ht="76.8" x14ac:dyDescent="0.45">
      <c r="A39" s="139" t="s">
        <v>0</v>
      </c>
      <c r="B39" s="417" t="s">
        <v>65</v>
      </c>
      <c r="C39" s="141"/>
      <c r="D39" s="1"/>
    </row>
    <row r="40" spans="1:4" x14ac:dyDescent="0.25">
      <c r="A40" s="142"/>
      <c r="B40" s="418"/>
      <c r="C40" s="64"/>
      <c r="D40" s="1"/>
    </row>
    <row r="41" spans="1:4" x14ac:dyDescent="0.25">
      <c r="A41" s="142"/>
      <c r="B41" s="418"/>
      <c r="C41" s="64"/>
      <c r="D41" s="1"/>
    </row>
    <row r="42" spans="1:4" x14ac:dyDescent="0.25">
      <c r="A42" s="142"/>
      <c r="B42" s="419"/>
      <c r="C42" s="64"/>
      <c r="D42" s="1"/>
    </row>
    <row r="43" spans="1:4" ht="19.2" x14ac:dyDescent="0.45">
      <c r="A43" s="144"/>
      <c r="B43" s="420"/>
      <c r="C43" s="64"/>
      <c r="D43" s="64"/>
    </row>
    <row r="44" spans="1:4" x14ac:dyDescent="0.25">
      <c r="A44" s="146" t="s">
        <v>0</v>
      </c>
    </row>
    <row r="45" spans="1:4" x14ac:dyDescent="0.25">
      <c r="A45"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7" fitToWidth="0" orientation="portrait" r:id="rId1"/>
  <headerFooter alignWithMargins="0">
    <oddFooter>Página &amp;P de &amp;N</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378FC-7B6D-42BF-AEF3-596BB2A927EE}">
  <sheetPr>
    <tabColor theme="4" tint="-0.249977111117893"/>
    <pageSetUpPr fitToPage="1"/>
  </sheetPr>
  <dimension ref="A1:P59"/>
  <sheetViews>
    <sheetView zoomScale="85" zoomScaleNormal="85" workbookViewId="0">
      <selection activeCell="D22" sqref="D22"/>
    </sheetView>
  </sheetViews>
  <sheetFormatPr baseColWidth="10" defaultColWidth="11.44140625" defaultRowHeight="13.2" x14ac:dyDescent="0.25"/>
  <cols>
    <col min="1" max="1" width="6" style="1" customWidth="1"/>
    <col min="2" max="2" width="82.33203125" style="1" customWidth="1"/>
    <col min="3" max="3" width="12.6640625" style="3"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357</v>
      </c>
      <c r="B8" s="68"/>
      <c r="C8" s="69"/>
      <c r="D8" s="69"/>
    </row>
    <row r="9" spans="1:16" s="4" customFormat="1" ht="19.2" x14ac:dyDescent="0.45">
      <c r="A9" s="67" t="s">
        <v>359</v>
      </c>
      <c r="B9" s="68"/>
      <c r="C9" s="69"/>
      <c r="D9" s="69"/>
    </row>
    <row r="10" spans="1:16" s="4" customFormat="1" ht="19.2" x14ac:dyDescent="0.45">
      <c r="A10" s="67" t="s">
        <v>360</v>
      </c>
      <c r="B10" s="68"/>
      <c r="C10" s="69"/>
      <c r="D10" s="69"/>
    </row>
    <row r="11" spans="1:16" s="4" customFormat="1" ht="19.2" x14ac:dyDescent="0.45">
      <c r="A11" s="67" t="s">
        <v>358</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76">
        <v>40</v>
      </c>
      <c r="B16" s="77" t="s">
        <v>353</v>
      </c>
      <c r="C16" s="78">
        <v>480</v>
      </c>
      <c r="D16" s="79">
        <f>A16*C16</f>
        <v>19200</v>
      </c>
      <c r="E16" s="17"/>
      <c r="H16" s="23"/>
      <c r="I16" s="23"/>
      <c r="J16" s="23"/>
      <c r="K16" s="23"/>
      <c r="L16" s="23"/>
      <c r="N16" s="23"/>
      <c r="O16" s="23"/>
      <c r="P16" s="23"/>
    </row>
    <row r="17" spans="1:16" s="23" customFormat="1" ht="15.6" x14ac:dyDescent="0.3">
      <c r="A17" s="76"/>
      <c r="B17" s="77" t="s">
        <v>345</v>
      </c>
      <c r="C17" s="78"/>
      <c r="D17" s="79"/>
      <c r="E17" s="17"/>
      <c r="F17" s="1"/>
      <c r="G17" s="1"/>
      <c r="M17" s="1"/>
    </row>
    <row r="18" spans="1:16" s="23" customFormat="1" ht="15.6" x14ac:dyDescent="0.3">
      <c r="A18" s="76">
        <v>40</v>
      </c>
      <c r="B18" s="77" t="s">
        <v>354</v>
      </c>
      <c r="C18" s="78">
        <v>510</v>
      </c>
      <c r="D18" s="79">
        <f t="shared" ref="D18:D21" si="0">A18*C18</f>
        <v>20400</v>
      </c>
      <c r="E18" s="17"/>
      <c r="F18" s="1"/>
      <c r="G18" s="1"/>
      <c r="M18"/>
    </row>
    <row r="19" spans="1:16" s="23" customFormat="1" ht="15.6" x14ac:dyDescent="0.3">
      <c r="A19" s="76"/>
      <c r="B19" s="77" t="s">
        <v>346</v>
      </c>
      <c r="C19" s="78"/>
      <c r="D19" s="79"/>
      <c r="E19" s="17"/>
      <c r="F19" s="1"/>
      <c r="G19" s="1"/>
      <c r="M19" s="1"/>
    </row>
    <row r="20" spans="1:16" s="23" customFormat="1" ht="15.6" x14ac:dyDescent="0.3">
      <c r="A20" s="76"/>
      <c r="B20" s="77" t="s">
        <v>347</v>
      </c>
      <c r="C20" s="403" t="s">
        <v>348</v>
      </c>
      <c r="D20" s="402"/>
      <c r="E20" s="17"/>
      <c r="F20" s="1"/>
      <c r="G20" s="1"/>
      <c r="M20" s="1"/>
      <c r="N20" s="1"/>
      <c r="O20" s="1"/>
      <c r="P20" s="1"/>
    </row>
    <row r="21" spans="1:16" ht="15.6" x14ac:dyDescent="0.3">
      <c r="A21" s="76">
        <v>1</v>
      </c>
      <c r="B21" s="77" t="s">
        <v>355</v>
      </c>
      <c r="C21" s="78">
        <v>6541</v>
      </c>
      <c r="D21" s="79">
        <f t="shared" si="0"/>
        <v>6541</v>
      </c>
      <c r="E21" s="17"/>
      <c r="H21" s="23"/>
      <c r="I21" s="23"/>
      <c r="J21" s="23"/>
      <c r="K21" s="23"/>
      <c r="L21" s="23"/>
    </row>
    <row r="22" spans="1:16" ht="15.6" x14ac:dyDescent="0.25">
      <c r="A22" s="95"/>
      <c r="B22" s="96" t="s">
        <v>350</v>
      </c>
      <c r="C22" s="97"/>
      <c r="D22" s="98">
        <f>A22*C22</f>
        <v>0</v>
      </c>
    </row>
    <row r="23" spans="1:16" ht="15.6" x14ac:dyDescent="0.3">
      <c r="A23" s="99"/>
      <c r="B23" s="85" t="s">
        <v>356</v>
      </c>
      <c r="C23" s="86" t="s">
        <v>49</v>
      </c>
      <c r="D23" s="87">
        <f>SUM(D16:D22)</f>
        <v>46141</v>
      </c>
      <c r="O23" s="88"/>
      <c r="P23" s="88"/>
    </row>
    <row r="24" spans="1:16" s="88" customFormat="1" ht="15.6" x14ac:dyDescent="0.3">
      <c r="A24" s="99"/>
      <c r="B24" s="85" t="s">
        <v>342</v>
      </c>
      <c r="C24" s="90" t="s">
        <v>51</v>
      </c>
      <c r="D24" s="87">
        <f>D23*0.16</f>
        <v>7382.56</v>
      </c>
      <c r="E24" s="1"/>
      <c r="F24" s="1"/>
      <c r="G24" s="1"/>
      <c r="H24" s="1"/>
      <c r="I24" s="1"/>
      <c r="J24" s="1"/>
      <c r="K24" s="1"/>
      <c r="L24" s="1"/>
      <c r="M24" s="1"/>
      <c r="N24" s="1"/>
      <c r="O24" s="1"/>
      <c r="P24" s="1"/>
    </row>
    <row r="25" spans="1:16" ht="16.2" thickBot="1" x14ac:dyDescent="0.3">
      <c r="A25" s="99"/>
      <c r="B25" s="100"/>
      <c r="C25" s="90" t="s">
        <v>52</v>
      </c>
      <c r="D25" s="87">
        <f>SUM(D23:D24)</f>
        <v>53523.56</v>
      </c>
    </row>
    <row r="26" spans="1:16" ht="16.2" thickBot="1" x14ac:dyDescent="0.3">
      <c r="A26" s="116"/>
      <c r="B26" s="186"/>
      <c r="C26" s="36"/>
      <c r="D26" s="37"/>
    </row>
    <row r="27" spans="1:16" ht="13.8" x14ac:dyDescent="0.25">
      <c r="A27" s="34"/>
      <c r="B27" s="120" t="s">
        <v>15</v>
      </c>
      <c r="C27" s="121"/>
      <c r="D27" s="122"/>
      <c r="E27" s="13"/>
    </row>
    <row r="28" spans="1:16" ht="8.4" customHeight="1" x14ac:dyDescent="0.25">
      <c r="A28" s="34"/>
      <c r="B28" s="123"/>
      <c r="C28" s="1"/>
      <c r="D28" s="1"/>
    </row>
    <row r="29" spans="1:16" ht="13.8" x14ac:dyDescent="0.25">
      <c r="A29" s="34"/>
      <c r="B29" s="126" t="s">
        <v>17</v>
      </c>
      <c r="C29" s="1"/>
      <c r="D29" s="1"/>
    </row>
    <row r="30" spans="1:16" ht="15" x14ac:dyDescent="0.25">
      <c r="A30" s="62"/>
      <c r="B30" s="127" t="s">
        <v>19</v>
      </c>
      <c r="C30" s="1"/>
      <c r="D30" s="1"/>
    </row>
    <row r="31" spans="1:16" ht="15" x14ac:dyDescent="0.25">
      <c r="A31" s="62"/>
      <c r="B31" s="128" t="s">
        <v>59</v>
      </c>
      <c r="C31" s="1"/>
      <c r="D31" s="1"/>
    </row>
    <row r="32" spans="1:16" ht="15" x14ac:dyDescent="0.25">
      <c r="A32" s="62"/>
      <c r="B32" s="129" t="s">
        <v>60</v>
      </c>
      <c r="C32" s="13"/>
      <c r="D32" s="1"/>
    </row>
    <row r="33" spans="1:4" ht="15" x14ac:dyDescent="0.25">
      <c r="A33" s="62"/>
      <c r="B33" s="130" t="s">
        <v>23</v>
      </c>
      <c r="C33" s="1"/>
      <c r="D33" s="1"/>
    </row>
    <row r="34" spans="1:4" ht="27.6" x14ac:dyDescent="0.25">
      <c r="A34" s="62"/>
      <c r="B34" s="132" t="s">
        <v>62</v>
      </c>
      <c r="C34" s="13"/>
      <c r="D34" s="1"/>
    </row>
    <row r="35" spans="1:4" ht="15" x14ac:dyDescent="0.25">
      <c r="A35" s="62"/>
      <c r="B35" s="130" t="s">
        <v>26</v>
      </c>
      <c r="C35" s="13"/>
      <c r="D35" s="1"/>
    </row>
    <row r="36" spans="1:4" ht="27.6" x14ac:dyDescent="0.25">
      <c r="A36" s="62"/>
      <c r="B36" s="333" t="s">
        <v>349</v>
      </c>
      <c r="C36" s="13"/>
      <c r="D36" s="1"/>
    </row>
    <row r="37" spans="1:4" ht="15" x14ac:dyDescent="0.25">
      <c r="A37" s="62"/>
      <c r="B37" s="334" t="s">
        <v>28</v>
      </c>
      <c r="C37" s="13"/>
      <c r="D37" s="1"/>
    </row>
    <row r="38" spans="1:4" ht="15" x14ac:dyDescent="0.25">
      <c r="A38" s="62"/>
      <c r="B38" s="130" t="s">
        <v>29</v>
      </c>
      <c r="C38" s="1"/>
      <c r="D38" s="1"/>
    </row>
    <row r="39" spans="1:4" ht="13.8" x14ac:dyDescent="0.25">
      <c r="B39" s="138" t="s">
        <v>64</v>
      </c>
      <c r="C39" s="1"/>
      <c r="D39" s="1"/>
    </row>
    <row r="40" spans="1:4" ht="15" x14ac:dyDescent="0.25">
      <c r="A40" s="62"/>
      <c r="B40" s="127" t="s">
        <v>31</v>
      </c>
      <c r="C40" s="54"/>
      <c r="D40" s="58"/>
    </row>
    <row r="41" spans="1:4" ht="15" x14ac:dyDescent="0.25">
      <c r="A41" s="62"/>
      <c r="B41" s="127" t="s">
        <v>32</v>
      </c>
      <c r="C41" s="54"/>
    </row>
    <row r="42" spans="1:4" ht="50.4" x14ac:dyDescent="0.4">
      <c r="A42" s="139" t="s">
        <v>0</v>
      </c>
      <c r="B42" s="140" t="s">
        <v>65</v>
      </c>
      <c r="C42" s="141"/>
      <c r="D42" s="1"/>
    </row>
    <row r="43" spans="1:4" x14ac:dyDescent="0.25">
      <c r="A43" s="142"/>
      <c r="B43" s="64"/>
      <c r="C43" s="64"/>
      <c r="D43" s="1"/>
    </row>
    <row r="44" spans="1:4" x14ac:dyDescent="0.25">
      <c r="A44" s="142"/>
      <c r="B44" s="64"/>
      <c r="C44" s="64"/>
      <c r="D44" s="1"/>
    </row>
    <row r="45" spans="1:4" x14ac:dyDescent="0.25">
      <c r="A45" s="142"/>
      <c r="B45" s="143"/>
      <c r="C45" s="64"/>
      <c r="D45" s="1"/>
    </row>
    <row r="46" spans="1:4" ht="15" x14ac:dyDescent="0.35">
      <c r="A46" s="144"/>
      <c r="B46" s="145"/>
      <c r="C46" s="64"/>
      <c r="D46" s="64"/>
    </row>
    <row r="47" spans="1:4" x14ac:dyDescent="0.25">
      <c r="A47" s="146" t="s">
        <v>0</v>
      </c>
    </row>
    <row r="48" spans="1:4" x14ac:dyDescent="0.25">
      <c r="A48"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1" fitToWidth="0" orientation="portrait" r:id="rId1"/>
  <headerFooter alignWithMargins="0">
    <oddFooter>Página &amp;P de &amp;N</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17CED-8C33-48C3-B8AA-5D842F1B7898}">
  <sheetPr>
    <tabColor theme="4" tint="-0.249977111117893"/>
    <pageSetUpPr fitToPage="1"/>
  </sheetPr>
  <dimension ref="A1:P59"/>
  <sheetViews>
    <sheetView topLeftCell="A2" zoomScale="85" zoomScaleNormal="85" workbookViewId="0">
      <selection activeCell="A12" sqref="A12"/>
    </sheetView>
  </sheetViews>
  <sheetFormatPr baseColWidth="10" defaultColWidth="11.44140625" defaultRowHeight="13.2" x14ac:dyDescent="0.25"/>
  <cols>
    <col min="1" max="1" width="6" style="1" customWidth="1"/>
    <col min="2" max="2" width="90.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383</v>
      </c>
      <c r="B8" s="68"/>
      <c r="C8" s="69"/>
      <c r="D8" s="69"/>
    </row>
    <row r="9" spans="1:16" s="4" customFormat="1" ht="19.2" x14ac:dyDescent="0.45">
      <c r="A9" s="67" t="s">
        <v>384</v>
      </c>
      <c r="B9" s="68"/>
      <c r="C9" s="69"/>
      <c r="D9" s="69"/>
    </row>
    <row r="10" spans="1:16" s="4" customFormat="1" ht="19.2" x14ac:dyDescent="0.45">
      <c r="A10" s="67" t="s">
        <v>385</v>
      </c>
      <c r="B10" s="68"/>
      <c r="C10" s="69"/>
      <c r="D10" s="69"/>
    </row>
    <row r="11" spans="1:16" s="4" customFormat="1" ht="19.2" x14ac:dyDescent="0.45">
      <c r="A11" s="67" t="s">
        <v>386</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103">
        <v>1</v>
      </c>
      <c r="B16" s="104" t="s">
        <v>116</v>
      </c>
      <c r="C16" s="105">
        <v>7000</v>
      </c>
      <c r="D16" s="79">
        <f>A16*C16</f>
        <v>7000</v>
      </c>
      <c r="E16" s="13"/>
      <c r="N16" s="23"/>
      <c r="O16" s="23"/>
      <c r="P16" s="23"/>
    </row>
    <row r="17" spans="1:16" s="23" customFormat="1" ht="15.6" x14ac:dyDescent="0.3">
      <c r="A17" s="99"/>
      <c r="B17" s="85" t="s">
        <v>48</v>
      </c>
      <c r="C17" s="86" t="s">
        <v>49</v>
      </c>
      <c r="D17" s="87">
        <f>SUM(D16:D16)</f>
        <v>7000</v>
      </c>
      <c r="E17" s="1"/>
      <c r="F17" s="1"/>
      <c r="G17" s="1"/>
      <c r="H17" s="1"/>
      <c r="I17" s="1"/>
      <c r="J17" s="1"/>
      <c r="K17" s="1"/>
      <c r="L17" s="1"/>
      <c r="M17" s="1"/>
      <c r="N17" s="1"/>
    </row>
    <row r="18" spans="1:16" s="23" customFormat="1" ht="15.6" x14ac:dyDescent="0.3">
      <c r="A18" s="99"/>
      <c r="B18" s="85" t="s">
        <v>50</v>
      </c>
      <c r="C18" s="90" t="s">
        <v>51</v>
      </c>
      <c r="D18" s="87">
        <f>D17*0.16</f>
        <v>1120</v>
      </c>
      <c r="E18" s="13"/>
      <c r="F18" s="1"/>
      <c r="G18" s="1"/>
      <c r="H18" s="1"/>
      <c r="I18" s="1"/>
      <c r="J18" s="1"/>
      <c r="K18" s="1"/>
      <c r="L18" s="1"/>
      <c r="M18" s="1"/>
      <c r="N18" s="1"/>
    </row>
    <row r="19" spans="1:16" s="23" customFormat="1" ht="16.2" thickBot="1" x14ac:dyDescent="0.3">
      <c r="A19" s="99"/>
      <c r="B19" s="100"/>
      <c r="C19" s="90" t="s">
        <v>52</v>
      </c>
      <c r="D19" s="87">
        <f>SUM(D17:D18)</f>
        <v>8120</v>
      </c>
      <c r="E19" s="1"/>
      <c r="F19" s="1"/>
      <c r="G19" s="1"/>
      <c r="H19" s="1"/>
      <c r="I19" s="1"/>
      <c r="J19" s="1"/>
      <c r="K19" s="1"/>
      <c r="L19" s="1"/>
      <c r="M19" s="1"/>
      <c r="N19" s="1"/>
    </row>
    <row r="20" spans="1:16" s="23" customFormat="1" ht="19.95" customHeight="1" thickBot="1" x14ac:dyDescent="0.3">
      <c r="A20" s="116"/>
      <c r="B20" s="423" t="s">
        <v>382</v>
      </c>
      <c r="C20" s="36"/>
      <c r="D20" s="37"/>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3"/>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15" x14ac:dyDescent="0.25">
      <c r="A30" s="62"/>
      <c r="B30" s="333" t="s">
        <v>366</v>
      </c>
      <c r="C30" s="13"/>
      <c r="D30" s="1"/>
    </row>
    <row r="31" spans="1:16" ht="15" x14ac:dyDescent="0.25">
      <c r="A31" s="62"/>
      <c r="B31" s="334" t="s">
        <v>28</v>
      </c>
      <c r="C31" s="1"/>
      <c r="D31" s="1"/>
    </row>
    <row r="32" spans="1:16" ht="15" x14ac:dyDescent="0.25">
      <c r="A32" s="62"/>
      <c r="B32" s="130" t="s">
        <v>29</v>
      </c>
      <c r="C32" s="1"/>
      <c r="D32" s="1"/>
    </row>
    <row r="33" spans="1:4" ht="13.8" x14ac:dyDescent="0.25">
      <c r="B33" s="138" t="s">
        <v>64</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8" fitToWidth="0" orientation="portrait" r:id="rId1"/>
  <headerFooter alignWithMargins="0">
    <oddFooter>Página &amp;P de &amp;N</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3575-FF62-4D81-B114-A2CE39BFEFDA}">
  <sheetPr>
    <tabColor theme="4" tint="-0.249977111117893"/>
    <pageSetUpPr fitToPage="1"/>
  </sheetPr>
  <dimension ref="A1:P59"/>
  <sheetViews>
    <sheetView topLeftCell="A19" zoomScale="85" zoomScaleNormal="85" workbookViewId="0">
      <selection activeCell="D35" sqref="D35:D36"/>
    </sheetView>
  </sheetViews>
  <sheetFormatPr baseColWidth="10" defaultColWidth="11.44140625" defaultRowHeight="13.2" x14ac:dyDescent="0.25"/>
  <cols>
    <col min="1" max="1" width="6" style="1" customWidth="1"/>
    <col min="2" max="2" width="86.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389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390</v>
      </c>
      <c r="C16" s="105">
        <f>270*195</f>
        <v>52650</v>
      </c>
      <c r="D16" s="79">
        <f t="shared" ref="D16:D24" si="0">A16*C16</f>
        <v>52650</v>
      </c>
      <c r="N16" s="23"/>
      <c r="O16" s="23"/>
      <c r="P16" s="23"/>
    </row>
    <row r="17" spans="1:16" s="23" customFormat="1" ht="15.6" x14ac:dyDescent="0.25">
      <c r="A17" s="106">
        <v>200</v>
      </c>
      <c r="B17" s="107" t="s">
        <v>57</v>
      </c>
      <c r="C17" s="108">
        <v>36.869999999999997</v>
      </c>
      <c r="D17" s="109">
        <f t="shared" si="0"/>
        <v>7373.9999999999991</v>
      </c>
      <c r="E17" s="1"/>
      <c r="F17" s="1"/>
      <c r="G17" s="1"/>
      <c r="H17" s="1"/>
      <c r="I17" s="1"/>
      <c r="J17" s="1"/>
      <c r="K17" s="1"/>
      <c r="L17" s="1"/>
      <c r="M17" s="1"/>
    </row>
    <row r="18" spans="1:16" s="23" customFormat="1" ht="15.6" x14ac:dyDescent="0.3">
      <c r="A18" s="80">
        <v>1</v>
      </c>
      <c r="B18" s="167" t="s">
        <v>58</v>
      </c>
      <c r="C18" s="105">
        <v>1025</v>
      </c>
      <c r="D18" s="109">
        <f t="shared" si="0"/>
        <v>1025</v>
      </c>
      <c r="E18" s="1"/>
      <c r="F18" s="1"/>
      <c r="G18" s="1"/>
      <c r="H18" s="1"/>
      <c r="I18" s="1"/>
      <c r="J18" s="1"/>
      <c r="K18" s="1"/>
      <c r="L18" s="1"/>
      <c r="M18"/>
    </row>
    <row r="19" spans="1:16" s="23" customFormat="1" ht="30" x14ac:dyDescent="0.25">
      <c r="A19" s="103">
        <v>1</v>
      </c>
      <c r="B19" s="104" t="s">
        <v>116</v>
      </c>
      <c r="C19" s="105">
        <v>7300</v>
      </c>
      <c r="D19" s="79">
        <f t="shared" si="0"/>
        <v>7300</v>
      </c>
      <c r="E19" s="13"/>
      <c r="F19" s="1"/>
      <c r="G19" s="1"/>
      <c r="H19" s="1"/>
      <c r="I19" s="1"/>
      <c r="J19" s="1"/>
      <c r="K19" s="1"/>
      <c r="L19" s="1"/>
      <c r="M19" s="1"/>
    </row>
    <row r="20" spans="1:16" s="23" customFormat="1" ht="30" x14ac:dyDescent="0.25">
      <c r="A20" s="103">
        <v>1</v>
      </c>
      <c r="B20" s="104" t="s">
        <v>391</v>
      </c>
      <c r="C20" s="105">
        <f>200*190</f>
        <v>38000</v>
      </c>
      <c r="D20" s="79">
        <f t="shared" si="0"/>
        <v>38000</v>
      </c>
      <c r="E20" s="13"/>
      <c r="F20" s="1"/>
      <c r="G20" s="1"/>
      <c r="H20" s="1"/>
      <c r="I20" s="1"/>
      <c r="J20" s="1"/>
      <c r="K20" s="1"/>
      <c r="L20" s="1"/>
      <c r="M20" s="1"/>
      <c r="N20" s="1"/>
      <c r="O20" s="1"/>
      <c r="P20" s="1"/>
    </row>
    <row r="21" spans="1:16" ht="30" x14ac:dyDescent="0.25">
      <c r="A21" s="103">
        <v>20</v>
      </c>
      <c r="B21" s="104" t="s">
        <v>378</v>
      </c>
      <c r="C21" s="327">
        <v>1200</v>
      </c>
      <c r="D21" s="79">
        <f t="shared" si="0"/>
        <v>24000</v>
      </c>
      <c r="E21" s="13"/>
    </row>
    <row r="22" spans="1:16" ht="15.6" x14ac:dyDescent="0.25">
      <c r="A22" s="103">
        <v>1</v>
      </c>
      <c r="B22" s="104" t="s">
        <v>379</v>
      </c>
      <c r="C22" s="327">
        <v>5230</v>
      </c>
      <c r="D22" s="79">
        <f t="shared" si="0"/>
        <v>5230</v>
      </c>
      <c r="E22" s="13"/>
    </row>
    <row r="23" spans="1:16" ht="45" x14ac:dyDescent="0.25">
      <c r="A23" s="80">
        <v>1</v>
      </c>
      <c r="B23" s="167" t="s">
        <v>274</v>
      </c>
      <c r="C23" s="327">
        <v>7600</v>
      </c>
      <c r="D23" s="109">
        <f t="shared" si="0"/>
        <v>7600</v>
      </c>
      <c r="E23" s="13"/>
      <c r="O23" s="88"/>
      <c r="P23" s="88"/>
    </row>
    <row r="24" spans="1:16" s="88" customFormat="1" ht="15.6" x14ac:dyDescent="0.25">
      <c r="A24" s="80">
        <v>2</v>
      </c>
      <c r="B24" s="167" t="s">
        <v>340</v>
      </c>
      <c r="C24" s="327">
        <v>3875</v>
      </c>
      <c r="D24" s="109">
        <f t="shared" si="0"/>
        <v>7750</v>
      </c>
      <c r="E24" s="1"/>
      <c r="F24" s="1"/>
      <c r="G24" s="1"/>
      <c r="H24" s="1"/>
      <c r="I24" s="1"/>
      <c r="J24" s="1"/>
      <c r="K24" s="1"/>
      <c r="L24" s="1"/>
      <c r="M24" s="1"/>
      <c r="N24" s="1"/>
      <c r="O24" s="1"/>
      <c r="P24" s="1"/>
    </row>
    <row r="25" spans="1:16" ht="15.6" x14ac:dyDescent="0.3">
      <c r="A25" s="76">
        <v>64</v>
      </c>
      <c r="B25" s="77" t="s">
        <v>353</v>
      </c>
      <c r="C25" s="78">
        <v>480</v>
      </c>
      <c r="D25" s="79">
        <f>A25*C25</f>
        <v>30720</v>
      </c>
    </row>
    <row r="26" spans="1:16" ht="15.6" x14ac:dyDescent="0.3">
      <c r="A26" s="76"/>
      <c r="B26" s="77" t="s">
        <v>345</v>
      </c>
      <c r="C26" s="78"/>
      <c r="D26" s="79"/>
    </row>
    <row r="27" spans="1:16" ht="15.6" x14ac:dyDescent="0.3">
      <c r="A27" s="76">
        <v>64</v>
      </c>
      <c r="B27" s="77" t="s">
        <v>354</v>
      </c>
      <c r="C27" s="78">
        <v>510</v>
      </c>
      <c r="D27" s="79">
        <f t="shared" ref="D27:D33" si="1">A27*C27</f>
        <v>32640</v>
      </c>
      <c r="E27" s="13"/>
    </row>
    <row r="28" spans="1:16" ht="15.6" x14ac:dyDescent="0.3">
      <c r="A28" s="76"/>
      <c r="B28" s="77" t="s">
        <v>346</v>
      </c>
      <c r="C28" s="78"/>
      <c r="D28" s="79"/>
    </row>
    <row r="29" spans="1:16" ht="30" x14ac:dyDescent="0.25">
      <c r="A29" s="103">
        <v>1</v>
      </c>
      <c r="B29" s="104" t="s">
        <v>391</v>
      </c>
      <c r="C29" s="105">
        <f>200*190</f>
        <v>38000</v>
      </c>
      <c r="D29" s="79">
        <f t="shared" ref="D29" si="2">A29*C29</f>
        <v>38000</v>
      </c>
      <c r="E29" s="13"/>
    </row>
    <row r="30" spans="1:16" ht="15.6" x14ac:dyDescent="0.3">
      <c r="A30" s="76">
        <v>1</v>
      </c>
      <c r="B30" s="77" t="s">
        <v>347</v>
      </c>
      <c r="C30" s="403" t="s">
        <v>348</v>
      </c>
      <c r="D30" s="402"/>
    </row>
    <row r="31" spans="1:16" ht="15.6" x14ac:dyDescent="0.3">
      <c r="A31" s="76"/>
      <c r="B31" s="77" t="s">
        <v>392</v>
      </c>
      <c r="C31" s="403" t="s">
        <v>348</v>
      </c>
      <c r="D31" s="402"/>
    </row>
    <row r="32" spans="1:16" ht="45" x14ac:dyDescent="0.25">
      <c r="A32" s="103">
        <v>1</v>
      </c>
      <c r="B32" s="104" t="s">
        <v>393</v>
      </c>
      <c r="C32" s="105">
        <f>270*195</f>
        <v>52650</v>
      </c>
      <c r="D32" s="79">
        <f t="shared" ref="D32" si="3">A32*C32</f>
        <v>52650</v>
      </c>
    </row>
    <row r="33" spans="1:4" ht="15.6" x14ac:dyDescent="0.3">
      <c r="A33" s="76">
        <v>1</v>
      </c>
      <c r="B33" s="77" t="s">
        <v>355</v>
      </c>
      <c r="C33" s="78">
        <v>6541</v>
      </c>
      <c r="D33" s="79">
        <f t="shared" si="1"/>
        <v>6541</v>
      </c>
    </row>
    <row r="34" spans="1:4" ht="15.6" x14ac:dyDescent="0.25">
      <c r="A34" s="95"/>
      <c r="B34" s="96" t="s">
        <v>350</v>
      </c>
      <c r="C34" s="97"/>
      <c r="D34" s="98">
        <f>A34*C34</f>
        <v>0</v>
      </c>
    </row>
    <row r="35" spans="1:4" ht="15.6" x14ac:dyDescent="0.3">
      <c r="A35" s="99"/>
      <c r="B35" s="85" t="s">
        <v>387</v>
      </c>
      <c r="C35" s="86" t="s">
        <v>49</v>
      </c>
      <c r="D35" s="87">
        <f>SUM(D16:D34)</f>
        <v>311480</v>
      </c>
    </row>
    <row r="36" spans="1:4" ht="15.6" x14ac:dyDescent="0.3">
      <c r="A36" s="99"/>
      <c r="B36" s="85" t="s">
        <v>388</v>
      </c>
      <c r="C36" s="90" t="s">
        <v>51</v>
      </c>
      <c r="D36" s="87">
        <f>D35*0.16</f>
        <v>49836.800000000003</v>
      </c>
    </row>
    <row r="37" spans="1:4" ht="16.2" thickBot="1" x14ac:dyDescent="0.3">
      <c r="A37" s="99"/>
      <c r="B37" s="100"/>
      <c r="C37" s="90" t="s">
        <v>52</v>
      </c>
      <c r="D37" s="87">
        <f>SUM(D35:D36)</f>
        <v>361316.8</v>
      </c>
    </row>
    <row r="38" spans="1:4" ht="16.2" thickBot="1" x14ac:dyDescent="0.3">
      <c r="A38" s="116"/>
      <c r="B38" s="186" t="s">
        <v>381</v>
      </c>
      <c r="C38" s="36"/>
      <c r="D38" s="37"/>
    </row>
    <row r="39" spans="1:4" ht="13.8" x14ac:dyDescent="0.25">
      <c r="A39" s="34"/>
      <c r="B39" s="120" t="s">
        <v>15</v>
      </c>
      <c r="C39" s="121"/>
      <c r="D39" s="122"/>
    </row>
    <row r="40" spans="1:4" ht="15.6" x14ac:dyDescent="0.25">
      <c r="A40" s="34"/>
      <c r="B40" s="123"/>
      <c r="C40" s="1"/>
      <c r="D40" s="1"/>
    </row>
    <row r="41" spans="1:4" ht="13.8" x14ac:dyDescent="0.25">
      <c r="A41" s="34"/>
      <c r="B41" s="126" t="s">
        <v>17</v>
      </c>
      <c r="C41" s="1"/>
      <c r="D41" s="1"/>
    </row>
    <row r="42" spans="1:4" ht="15" x14ac:dyDescent="0.25">
      <c r="A42" s="62"/>
      <c r="B42" s="127" t="s">
        <v>19</v>
      </c>
      <c r="C42" s="1"/>
      <c r="D42" s="1"/>
    </row>
    <row r="43" spans="1:4" ht="15" x14ac:dyDescent="0.25">
      <c r="A43" s="62"/>
      <c r="B43" s="129" t="s">
        <v>60</v>
      </c>
      <c r="C43" s="1"/>
      <c r="D43" s="1"/>
    </row>
    <row r="44" spans="1:4" ht="15" x14ac:dyDescent="0.25">
      <c r="A44" s="62"/>
      <c r="B44" s="130" t="s">
        <v>23</v>
      </c>
      <c r="C44" s="13"/>
      <c r="D44" s="1"/>
    </row>
    <row r="45" spans="1:4" ht="27.6" x14ac:dyDescent="0.25">
      <c r="A45" s="62"/>
      <c r="B45" s="132" t="s">
        <v>62</v>
      </c>
      <c r="C45" s="13"/>
      <c r="D45" s="1"/>
    </row>
    <row r="46" spans="1:4" ht="15" x14ac:dyDescent="0.25">
      <c r="A46" s="62"/>
      <c r="B46" s="130" t="s">
        <v>26</v>
      </c>
      <c r="C46" s="13"/>
      <c r="D46" s="1"/>
    </row>
    <row r="47" spans="1:4" ht="41.4" x14ac:dyDescent="0.25">
      <c r="A47" s="62"/>
      <c r="B47" s="333" t="s">
        <v>394</v>
      </c>
      <c r="C47" s="13"/>
      <c r="D47" s="1"/>
    </row>
    <row r="48" spans="1:4" ht="15" x14ac:dyDescent="0.25">
      <c r="A48" s="62"/>
      <c r="B48" s="334" t="s">
        <v>28</v>
      </c>
      <c r="C48" s="1"/>
      <c r="D48" s="1"/>
    </row>
    <row r="49" spans="1:4" ht="15" x14ac:dyDescent="0.25">
      <c r="A49" s="62"/>
      <c r="B49" s="130" t="s">
        <v>29</v>
      </c>
      <c r="C49" s="1"/>
      <c r="D49" s="1"/>
    </row>
    <row r="50" spans="1:4" ht="12.75" customHeight="1" x14ac:dyDescent="0.25">
      <c r="B50" s="138" t="s">
        <v>64</v>
      </c>
      <c r="C50" s="133"/>
      <c r="D50" s="134"/>
    </row>
    <row r="51" spans="1:4" ht="15" x14ac:dyDescent="0.25">
      <c r="A51" s="62"/>
      <c r="B51" s="127" t="s">
        <v>31</v>
      </c>
      <c r="C51" s="54"/>
      <c r="D51" s="58"/>
    </row>
    <row r="52" spans="1:4" ht="15" x14ac:dyDescent="0.25">
      <c r="A52" s="62"/>
      <c r="B52" s="127" t="s">
        <v>32</v>
      </c>
      <c r="C52" s="54"/>
    </row>
    <row r="53" spans="1:4" ht="50.4" x14ac:dyDescent="0.4">
      <c r="A53" s="139" t="s">
        <v>0</v>
      </c>
      <c r="B53" s="140" t="s">
        <v>65</v>
      </c>
      <c r="C53" s="141"/>
      <c r="D53" s="1"/>
    </row>
    <row r="54" spans="1:4" x14ac:dyDescent="0.25">
      <c r="A54" s="142"/>
      <c r="B54" s="64"/>
      <c r="C54" s="64"/>
      <c r="D54" s="1"/>
    </row>
    <row r="55" spans="1:4" x14ac:dyDescent="0.25">
      <c r="A55" s="142"/>
      <c r="B55" s="64"/>
      <c r="C55" s="64"/>
      <c r="D55" s="1"/>
    </row>
    <row r="56" spans="1:4" x14ac:dyDescent="0.25">
      <c r="A56" s="142"/>
      <c r="B56" s="143"/>
      <c r="C56" s="64"/>
      <c r="D56" s="1"/>
    </row>
    <row r="57" spans="1:4" ht="15" x14ac:dyDescent="0.35">
      <c r="A57" s="144"/>
      <c r="B57" s="145"/>
      <c r="C57" s="64"/>
      <c r="D57" s="64"/>
    </row>
    <row r="58" spans="1:4" ht="15.75" customHeight="1" x14ac:dyDescent="0.25">
      <c r="A58" s="146" t="s">
        <v>0</v>
      </c>
    </row>
    <row r="59" spans="1:4" ht="15" customHeight="1" x14ac:dyDescent="0.25">
      <c r="A59" s="1" t="s">
        <v>0</v>
      </c>
    </row>
  </sheetData>
  <mergeCells count="2">
    <mergeCell ref="A4:D4"/>
    <mergeCell ref="A14:D14"/>
  </mergeCells>
  <printOptions horizontalCentered="1"/>
  <pageMargins left="0.25" right="0.25" top="0.75" bottom="0.75" header="0.3" footer="0.3"/>
  <pageSetup paperSize="9" scale="58" fitToWidth="0" orientation="portrait" r:id="rId1"/>
  <headerFooter alignWithMargins="0">
    <oddFooter>Página &amp;P de &amp;N</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57835-2E09-4355-A99E-174C36FAFFB8}">
  <sheetPr>
    <tabColor theme="4" tint="-0.249977111117893"/>
    <pageSetUpPr fitToPage="1"/>
  </sheetPr>
  <dimension ref="A1:P59"/>
  <sheetViews>
    <sheetView topLeftCell="A21" zoomScale="85" zoomScaleNormal="85" workbookViewId="0">
      <selection activeCell="B39" sqref="B39"/>
    </sheetView>
  </sheetViews>
  <sheetFormatPr baseColWidth="10" defaultColWidth="11.44140625" defaultRowHeight="13.2" x14ac:dyDescent="0.25"/>
  <cols>
    <col min="1" max="1" width="6" style="1" customWidth="1"/>
    <col min="2" max="2" width="86.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380</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390</v>
      </c>
      <c r="C16" s="105">
        <f>270*195</f>
        <v>52650</v>
      </c>
      <c r="D16" s="79">
        <f t="shared" ref="D16:D20" si="0">A16*C16</f>
        <v>52650</v>
      </c>
      <c r="N16" s="23"/>
      <c r="O16" s="23"/>
      <c r="P16" s="23"/>
    </row>
    <row r="17" spans="1:16" s="23" customFormat="1" ht="15.6" x14ac:dyDescent="0.25">
      <c r="A17" s="106">
        <v>220</v>
      </c>
      <c r="B17" s="107" t="s">
        <v>57</v>
      </c>
      <c r="C17" s="108">
        <v>36.869999999999997</v>
      </c>
      <c r="D17" s="109">
        <f t="shared" si="0"/>
        <v>8111.4</v>
      </c>
      <c r="E17" s="1"/>
      <c r="F17" s="1"/>
      <c r="G17" s="1"/>
      <c r="H17" s="1"/>
      <c r="I17" s="1"/>
      <c r="J17" s="1"/>
      <c r="K17" s="1"/>
      <c r="L17" s="1"/>
      <c r="M17" s="1"/>
    </row>
    <row r="18" spans="1:16" s="23" customFormat="1" ht="15.6" x14ac:dyDescent="0.3">
      <c r="A18" s="80">
        <v>1</v>
      </c>
      <c r="B18" s="167" t="s">
        <v>58</v>
      </c>
      <c r="C18" s="105">
        <v>1025</v>
      </c>
      <c r="D18" s="109">
        <f t="shared" si="0"/>
        <v>1025</v>
      </c>
      <c r="E18" s="1"/>
      <c r="F18" s="1"/>
      <c r="G18" s="1"/>
      <c r="H18" s="1"/>
      <c r="I18" s="1"/>
      <c r="J18" s="1"/>
      <c r="K18" s="1"/>
      <c r="L18" s="1"/>
      <c r="M18"/>
    </row>
    <row r="19" spans="1:16" s="23" customFormat="1" ht="30" x14ac:dyDescent="0.25">
      <c r="A19" s="103">
        <v>1</v>
      </c>
      <c r="B19" s="104" t="s">
        <v>116</v>
      </c>
      <c r="C19" s="105">
        <v>7300</v>
      </c>
      <c r="D19" s="79">
        <f t="shared" si="0"/>
        <v>7300</v>
      </c>
      <c r="E19" s="13"/>
      <c r="F19" s="1"/>
      <c r="G19" s="1"/>
      <c r="H19" s="1"/>
      <c r="I19" s="1"/>
      <c r="J19" s="1"/>
      <c r="K19" s="1"/>
      <c r="L19" s="1"/>
      <c r="M19" s="1"/>
    </row>
    <row r="20" spans="1:16" s="23" customFormat="1" ht="30" x14ac:dyDescent="0.25">
      <c r="A20" s="103">
        <v>1</v>
      </c>
      <c r="B20" s="104" t="s">
        <v>391</v>
      </c>
      <c r="C20" s="105">
        <f>200*190</f>
        <v>38000</v>
      </c>
      <c r="D20" s="79">
        <f t="shared" si="0"/>
        <v>38000</v>
      </c>
      <c r="E20" s="13"/>
      <c r="F20" s="1"/>
      <c r="G20" s="1"/>
      <c r="H20" s="1"/>
      <c r="I20" s="1"/>
      <c r="J20" s="1"/>
      <c r="K20" s="1"/>
      <c r="L20" s="1"/>
      <c r="M20" s="1"/>
      <c r="N20" s="1"/>
      <c r="O20" s="1"/>
      <c r="P20" s="1"/>
    </row>
    <row r="21" spans="1:16" ht="30" x14ac:dyDescent="0.25">
      <c r="A21" s="103">
        <v>20</v>
      </c>
      <c r="B21" s="104" t="s">
        <v>378</v>
      </c>
      <c r="C21" s="327">
        <v>1350</v>
      </c>
      <c r="D21" s="79">
        <f t="shared" ref="D21:D22" si="1">A21*C21</f>
        <v>27000</v>
      </c>
      <c r="E21" s="13"/>
    </row>
    <row r="22" spans="1:16" ht="15.6" x14ac:dyDescent="0.25">
      <c r="A22" s="103">
        <v>1</v>
      </c>
      <c r="B22" s="104" t="s">
        <v>379</v>
      </c>
      <c r="C22" s="327">
        <v>5230</v>
      </c>
      <c r="D22" s="79">
        <f t="shared" si="1"/>
        <v>5230</v>
      </c>
      <c r="E22" s="13"/>
    </row>
    <row r="23" spans="1:16" ht="15.6" x14ac:dyDescent="0.25">
      <c r="A23" s="99">
        <v>2</v>
      </c>
      <c r="B23" s="100" t="s">
        <v>154</v>
      </c>
      <c r="C23" s="431">
        <v>2435</v>
      </c>
      <c r="D23" s="98">
        <f>A23*C23</f>
        <v>4870</v>
      </c>
      <c r="E23" s="13"/>
      <c r="O23" s="88"/>
      <c r="P23" s="88"/>
    </row>
    <row r="24" spans="1:16" s="88" customFormat="1" ht="45" x14ac:dyDescent="0.25">
      <c r="A24" s="80">
        <v>1</v>
      </c>
      <c r="B24" s="167" t="s">
        <v>274</v>
      </c>
      <c r="C24" s="327">
        <v>7600</v>
      </c>
      <c r="D24" s="109">
        <f t="shared" ref="D24:D26" si="2">A24*C24</f>
        <v>7600</v>
      </c>
      <c r="E24" s="1"/>
      <c r="F24" s="1"/>
      <c r="G24" s="1"/>
      <c r="H24" s="1"/>
      <c r="I24" s="1"/>
      <c r="J24" s="1"/>
      <c r="K24" s="1"/>
      <c r="L24" s="1"/>
      <c r="M24" s="1"/>
      <c r="N24" s="1"/>
      <c r="O24" s="1"/>
      <c r="P24" s="1"/>
    </row>
    <row r="25" spans="1:16" ht="15.6" x14ac:dyDescent="0.25">
      <c r="A25" s="80">
        <v>2</v>
      </c>
      <c r="B25" s="167" t="s">
        <v>340</v>
      </c>
      <c r="C25" s="327">
        <v>3875</v>
      </c>
      <c r="D25" s="109">
        <f t="shared" si="2"/>
        <v>7750</v>
      </c>
    </row>
    <row r="26" spans="1:16" ht="30" x14ac:dyDescent="0.25">
      <c r="A26" s="103">
        <v>1</v>
      </c>
      <c r="B26" s="104" t="s">
        <v>398</v>
      </c>
      <c r="C26" s="105">
        <f>200*190</f>
        <v>38000</v>
      </c>
      <c r="D26" s="79">
        <f t="shared" si="2"/>
        <v>38000</v>
      </c>
    </row>
    <row r="27" spans="1:16" ht="15.6" x14ac:dyDescent="0.3">
      <c r="A27" s="76">
        <v>64</v>
      </c>
      <c r="B27" s="77" t="s">
        <v>353</v>
      </c>
      <c r="C27" s="78">
        <v>480</v>
      </c>
      <c r="D27" s="79">
        <f>A27*C27</f>
        <v>30720</v>
      </c>
      <c r="E27" s="13"/>
    </row>
    <row r="28" spans="1:16" ht="15.6" x14ac:dyDescent="0.3">
      <c r="A28" s="76"/>
      <c r="B28" s="77" t="s">
        <v>345</v>
      </c>
      <c r="C28" s="78"/>
      <c r="D28" s="79"/>
    </row>
    <row r="29" spans="1:16" ht="15.6" x14ac:dyDescent="0.3">
      <c r="A29" s="76">
        <v>64</v>
      </c>
      <c r="B29" s="77" t="s">
        <v>354</v>
      </c>
      <c r="C29" s="78">
        <v>510</v>
      </c>
      <c r="D29" s="79">
        <f t="shared" ref="D29:D33" si="3">A29*C29</f>
        <v>32640</v>
      </c>
    </row>
    <row r="30" spans="1:16" ht="15.6" x14ac:dyDescent="0.3">
      <c r="A30" s="76"/>
      <c r="B30" s="77" t="s">
        <v>346</v>
      </c>
      <c r="C30" s="78"/>
      <c r="D30" s="79"/>
    </row>
    <row r="31" spans="1:16" ht="15.6" x14ac:dyDescent="0.3">
      <c r="A31" s="76">
        <v>1</v>
      </c>
      <c r="B31" s="77" t="s">
        <v>347</v>
      </c>
      <c r="C31" s="403" t="s">
        <v>348</v>
      </c>
      <c r="D31" s="402"/>
    </row>
    <row r="32" spans="1:16" ht="45" x14ac:dyDescent="0.25">
      <c r="A32" s="103">
        <v>1</v>
      </c>
      <c r="B32" s="104" t="s">
        <v>393</v>
      </c>
      <c r="C32" s="105">
        <f>270*195</f>
        <v>52650</v>
      </c>
      <c r="D32" s="79">
        <f t="shared" ref="D32" si="4">A32*C32</f>
        <v>52650</v>
      </c>
    </row>
    <row r="33" spans="1:4" ht="15.6" x14ac:dyDescent="0.3">
      <c r="A33" s="76">
        <v>1</v>
      </c>
      <c r="B33" s="77" t="s">
        <v>355</v>
      </c>
      <c r="C33" s="78">
        <v>6541</v>
      </c>
      <c r="D33" s="79">
        <f t="shared" si="3"/>
        <v>6541</v>
      </c>
    </row>
    <row r="34" spans="1:4" ht="15.6" x14ac:dyDescent="0.25">
      <c r="A34" s="95"/>
      <c r="B34" s="96" t="s">
        <v>350</v>
      </c>
      <c r="C34" s="97"/>
      <c r="D34" s="98">
        <f>A34*C34</f>
        <v>0</v>
      </c>
    </row>
    <row r="35" spans="1:4" ht="15.6" x14ac:dyDescent="0.3">
      <c r="A35" s="99"/>
      <c r="B35" s="85" t="s">
        <v>48</v>
      </c>
      <c r="C35" s="86" t="s">
        <v>49</v>
      </c>
      <c r="D35" s="87">
        <f>SUM(D16:D34)</f>
        <v>320087.40000000002</v>
      </c>
    </row>
    <row r="36" spans="1:4" ht="15.6" x14ac:dyDescent="0.3">
      <c r="A36" s="99"/>
      <c r="B36" s="85" t="s">
        <v>50</v>
      </c>
      <c r="C36" s="90" t="s">
        <v>51</v>
      </c>
      <c r="D36" s="87">
        <f>D35*0.16</f>
        <v>51213.984000000004</v>
      </c>
    </row>
    <row r="37" spans="1:4" ht="16.2" thickBot="1" x14ac:dyDescent="0.35">
      <c r="A37" s="99"/>
      <c r="B37" s="85" t="s">
        <v>397</v>
      </c>
      <c r="C37" s="90" t="s">
        <v>52</v>
      </c>
      <c r="D37" s="87">
        <f>SUM(D35:D36)</f>
        <v>371301.38400000002</v>
      </c>
    </row>
    <row r="38" spans="1:4" ht="16.2" thickBot="1" x14ac:dyDescent="0.3">
      <c r="A38" s="116"/>
      <c r="B38" s="186" t="s">
        <v>399</v>
      </c>
      <c r="C38" s="36"/>
      <c r="D38" s="37"/>
    </row>
    <row r="39" spans="1:4" ht="13.8" x14ac:dyDescent="0.25">
      <c r="A39" s="34"/>
      <c r="B39" s="120" t="s">
        <v>15</v>
      </c>
      <c r="C39" s="121"/>
      <c r="D39" s="122"/>
    </row>
    <row r="40" spans="1:4" ht="15.6" x14ac:dyDescent="0.25">
      <c r="A40" s="34"/>
      <c r="B40" s="123"/>
      <c r="C40" s="1"/>
      <c r="D40" s="1"/>
    </row>
    <row r="41" spans="1:4" ht="13.8" x14ac:dyDescent="0.25">
      <c r="A41" s="34"/>
      <c r="B41" s="126" t="s">
        <v>17</v>
      </c>
      <c r="C41" s="1"/>
      <c r="D41" s="1"/>
    </row>
    <row r="42" spans="1:4" ht="15" x14ac:dyDescent="0.25">
      <c r="A42" s="62"/>
      <c r="B42" s="127" t="s">
        <v>19</v>
      </c>
      <c r="C42" s="1"/>
      <c r="D42" s="1"/>
    </row>
    <row r="43" spans="1:4" ht="15" x14ac:dyDescent="0.25">
      <c r="A43" s="62"/>
      <c r="B43" s="129" t="s">
        <v>60</v>
      </c>
      <c r="C43" s="1"/>
      <c r="D43" s="1"/>
    </row>
    <row r="44" spans="1:4" ht="15" x14ac:dyDescent="0.25">
      <c r="A44" s="62"/>
      <c r="B44" s="130" t="s">
        <v>23</v>
      </c>
      <c r="C44" s="13"/>
      <c r="D44" s="1"/>
    </row>
    <row r="45" spans="1:4" ht="27.6" x14ac:dyDescent="0.25">
      <c r="A45" s="62"/>
      <c r="B45" s="132" t="s">
        <v>62</v>
      </c>
      <c r="C45" s="13"/>
      <c r="D45" s="1"/>
    </row>
    <row r="46" spans="1:4" ht="15" x14ac:dyDescent="0.25">
      <c r="A46" s="62"/>
      <c r="B46" s="130" t="s">
        <v>26</v>
      </c>
      <c r="C46" s="13"/>
      <c r="D46" s="1"/>
    </row>
    <row r="47" spans="1:4" ht="15" x14ac:dyDescent="0.25">
      <c r="A47" s="62"/>
      <c r="B47" s="333" t="s">
        <v>63</v>
      </c>
      <c r="C47" s="13"/>
      <c r="D47" s="1"/>
    </row>
    <row r="48" spans="1:4" ht="15" x14ac:dyDescent="0.25">
      <c r="A48" s="62"/>
      <c r="B48" s="334" t="s">
        <v>28</v>
      </c>
      <c r="C48" s="1"/>
      <c r="D48" s="1"/>
    </row>
    <row r="49" spans="1:4" ht="15" x14ac:dyDescent="0.25">
      <c r="A49" s="62"/>
      <c r="B49" s="130" t="s">
        <v>29</v>
      </c>
      <c r="C49" s="1"/>
      <c r="D49" s="1"/>
    </row>
    <row r="50" spans="1:4" ht="12.75" customHeight="1" x14ac:dyDescent="0.25">
      <c r="B50" s="138" t="s">
        <v>64</v>
      </c>
      <c r="C50" s="133"/>
      <c r="D50" s="134"/>
    </row>
    <row r="51" spans="1:4" ht="15" x14ac:dyDescent="0.25">
      <c r="A51" s="62"/>
      <c r="B51" s="127" t="s">
        <v>31</v>
      </c>
      <c r="C51" s="54"/>
      <c r="D51" s="58"/>
    </row>
    <row r="52" spans="1:4" ht="15" x14ac:dyDescent="0.25">
      <c r="A52" s="62"/>
      <c r="B52" s="127" t="s">
        <v>32</v>
      </c>
      <c r="C52" s="54"/>
    </row>
    <row r="53" spans="1:4" ht="50.4" x14ac:dyDescent="0.4">
      <c r="A53" s="139" t="s">
        <v>0</v>
      </c>
      <c r="B53" s="140" t="s">
        <v>65</v>
      </c>
      <c r="C53" s="141"/>
      <c r="D53" s="1"/>
    </row>
    <row r="54" spans="1:4" x14ac:dyDescent="0.25">
      <c r="A54" s="142"/>
      <c r="B54" s="64"/>
      <c r="C54" s="64"/>
      <c r="D54" s="1"/>
    </row>
    <row r="55" spans="1:4" x14ac:dyDescent="0.25">
      <c r="A55" s="142"/>
      <c r="B55" s="64"/>
      <c r="C55" s="64"/>
      <c r="D55" s="1"/>
    </row>
    <row r="56" spans="1:4" x14ac:dyDescent="0.25">
      <c r="A56" s="142"/>
      <c r="B56" s="143"/>
      <c r="C56" s="64"/>
      <c r="D56" s="1"/>
    </row>
    <row r="57" spans="1:4" ht="15" x14ac:dyDescent="0.35">
      <c r="A57" s="144"/>
      <c r="B57" s="145"/>
      <c r="C57" s="64"/>
      <c r="D57" s="64"/>
    </row>
    <row r="58" spans="1:4" ht="15.75" customHeight="1" x14ac:dyDescent="0.25">
      <c r="A58" s="146" t="s">
        <v>0</v>
      </c>
    </row>
    <row r="59" spans="1:4" ht="15" customHeight="1" x14ac:dyDescent="0.25">
      <c r="A59" s="1" t="s">
        <v>0</v>
      </c>
    </row>
  </sheetData>
  <mergeCells count="2">
    <mergeCell ref="A4:D4"/>
    <mergeCell ref="A14:D14"/>
  </mergeCells>
  <printOptions horizontalCentered="1"/>
  <pageMargins left="0.25" right="0.25" top="0.75" bottom="0.75" header="0.3" footer="0.3"/>
  <pageSetup paperSize="9" scale="59" fitToWidth="0" orientation="portrait" r:id="rId1"/>
  <headerFooter alignWithMargins="0">
    <oddFooter>Página &amp;P de &amp;N</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DE3E-8ACE-4D69-857C-0C819012D863}">
  <sheetPr>
    <tabColor theme="4" tint="-0.249977111117893"/>
    <pageSetUpPr fitToPage="1"/>
  </sheetPr>
  <dimension ref="A1:P59"/>
  <sheetViews>
    <sheetView topLeftCell="A11" zoomScale="85" zoomScaleNormal="85" workbookViewId="0">
      <selection activeCell="C27" sqref="C27"/>
    </sheetView>
  </sheetViews>
  <sheetFormatPr baseColWidth="10" defaultColWidth="11.44140625" defaultRowHeight="13.2" x14ac:dyDescent="0.25"/>
  <cols>
    <col min="1" max="1" width="6" style="1" customWidth="1"/>
    <col min="2" max="2" width="100.88671875" style="1" customWidth="1"/>
    <col min="3" max="3" width="14.88671875" style="3" bestFit="1"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390</v>
      </c>
      <c r="C16" s="105">
        <f>270*195</f>
        <v>52650</v>
      </c>
      <c r="D16" s="79">
        <f t="shared" ref="D16:D20" si="0">A16*C16</f>
        <v>52650</v>
      </c>
      <c r="E16" s="17"/>
      <c r="H16" s="23"/>
      <c r="I16" s="23"/>
      <c r="J16" s="23"/>
      <c r="K16" s="23"/>
      <c r="L16" s="23"/>
      <c r="N16" s="23"/>
      <c r="O16" s="23"/>
      <c r="P16" s="23"/>
    </row>
    <row r="17" spans="1:16" s="23" customFormat="1" ht="15.6" x14ac:dyDescent="0.25">
      <c r="A17" s="106">
        <v>220</v>
      </c>
      <c r="B17" s="107" t="s">
        <v>57</v>
      </c>
      <c r="C17" s="108">
        <v>36.869999999999997</v>
      </c>
      <c r="D17" s="109">
        <f t="shared" si="0"/>
        <v>8111.4</v>
      </c>
      <c r="E17" s="17"/>
      <c r="F17" s="1"/>
      <c r="G17" s="1"/>
      <c r="M17" s="1"/>
    </row>
    <row r="18" spans="1:16" s="23" customFormat="1" ht="15.6" x14ac:dyDescent="0.3">
      <c r="A18" s="80">
        <v>1</v>
      </c>
      <c r="B18" s="167" t="s">
        <v>58</v>
      </c>
      <c r="C18" s="105">
        <v>1025</v>
      </c>
      <c r="D18" s="109">
        <f t="shared" si="0"/>
        <v>1025</v>
      </c>
      <c r="E18" s="17"/>
      <c r="F18" s="1"/>
      <c r="G18" s="1"/>
      <c r="M18"/>
    </row>
    <row r="19" spans="1:16" s="23" customFormat="1" ht="30" x14ac:dyDescent="0.25">
      <c r="A19" s="103">
        <v>1</v>
      </c>
      <c r="B19" s="104" t="s">
        <v>116</v>
      </c>
      <c r="C19" s="105">
        <v>7300</v>
      </c>
      <c r="D19" s="79">
        <f t="shared" si="0"/>
        <v>7300</v>
      </c>
      <c r="E19" s="17"/>
      <c r="F19" s="1"/>
      <c r="G19" s="1"/>
      <c r="M19" s="1"/>
    </row>
    <row r="20" spans="1:16" s="23" customFormat="1" ht="30" x14ac:dyDescent="0.25">
      <c r="A20" s="103">
        <v>1</v>
      </c>
      <c r="B20" s="104" t="s">
        <v>391</v>
      </c>
      <c r="C20" s="105">
        <f>200*190</f>
        <v>38000</v>
      </c>
      <c r="D20" s="79">
        <f t="shared" si="0"/>
        <v>38000</v>
      </c>
      <c r="E20" s="17"/>
      <c r="F20" s="1"/>
      <c r="G20" s="1"/>
      <c r="M20" s="1"/>
      <c r="N20" s="1"/>
      <c r="O20" s="1"/>
      <c r="P20" s="1"/>
    </row>
    <row r="21" spans="1:16" ht="15.6" x14ac:dyDescent="0.3">
      <c r="A21" s="76">
        <v>220</v>
      </c>
      <c r="B21" s="77" t="s">
        <v>337</v>
      </c>
      <c r="C21" s="78">
        <f>(50*19)*1.37</f>
        <v>1301.5</v>
      </c>
      <c r="D21" s="79">
        <f>A21*C21</f>
        <v>286330</v>
      </c>
      <c r="E21" s="17"/>
      <c r="H21" s="23"/>
      <c r="I21" s="23"/>
      <c r="J21" s="23"/>
      <c r="K21" s="23"/>
      <c r="L21" s="23"/>
    </row>
    <row r="22" spans="1:16" ht="15.6" x14ac:dyDescent="0.3">
      <c r="A22" s="76">
        <v>2</v>
      </c>
      <c r="B22" s="77" t="s">
        <v>338</v>
      </c>
      <c r="C22" s="78">
        <f>698*19*1.4</f>
        <v>18566.8</v>
      </c>
      <c r="D22" s="79">
        <f t="shared" ref="D22:D26" si="1">A22*C22</f>
        <v>37133.599999999999</v>
      </c>
    </row>
    <row r="23" spans="1:16" ht="15.6" x14ac:dyDescent="0.3">
      <c r="A23" s="76">
        <v>6</v>
      </c>
      <c r="B23" s="77" t="s">
        <v>339</v>
      </c>
      <c r="C23" s="78">
        <f>44*19*1.35</f>
        <v>1128.6000000000001</v>
      </c>
      <c r="D23" s="79">
        <f t="shared" si="1"/>
        <v>6771.6</v>
      </c>
      <c r="O23" s="88"/>
      <c r="P23" s="88"/>
    </row>
    <row r="24" spans="1:16" s="88" customFormat="1" ht="15.6" x14ac:dyDescent="0.3">
      <c r="A24" s="76">
        <v>220</v>
      </c>
      <c r="B24" s="77" t="s">
        <v>45</v>
      </c>
      <c r="C24" s="78">
        <f>24*1.35</f>
        <v>32.400000000000006</v>
      </c>
      <c r="D24" s="79">
        <f t="shared" si="1"/>
        <v>7128.0000000000009</v>
      </c>
      <c r="E24" s="1"/>
      <c r="F24" s="1"/>
      <c r="G24" s="1"/>
      <c r="H24" s="1"/>
      <c r="I24" s="1"/>
      <c r="J24" s="1"/>
      <c r="K24" s="1"/>
      <c r="L24" s="1"/>
      <c r="M24" s="1"/>
      <c r="N24" s="1"/>
      <c r="O24" s="1"/>
      <c r="P24" s="1"/>
    </row>
    <row r="25" spans="1:16" ht="15.6" x14ac:dyDescent="0.3">
      <c r="A25" s="76">
        <v>80</v>
      </c>
      <c r="B25" s="77" t="s">
        <v>370</v>
      </c>
      <c r="C25" s="78">
        <f>1.07*19*1.35</f>
        <v>27.445500000000003</v>
      </c>
      <c r="D25" s="79">
        <f t="shared" si="1"/>
        <v>2195.6400000000003</v>
      </c>
    </row>
    <row r="26" spans="1:16" ht="15.6" x14ac:dyDescent="0.3">
      <c r="A26" s="76">
        <v>2</v>
      </c>
      <c r="B26" s="77" t="s">
        <v>47</v>
      </c>
      <c r="C26" s="78">
        <v>5640</v>
      </c>
      <c r="D26" s="79">
        <f t="shared" si="1"/>
        <v>11280</v>
      </c>
    </row>
    <row r="27" spans="1:16" ht="15.6" x14ac:dyDescent="0.25">
      <c r="A27" s="95">
        <v>240</v>
      </c>
      <c r="B27" s="96" t="s">
        <v>343</v>
      </c>
      <c r="C27" s="97">
        <f>(956)*(1.37)</f>
        <v>1309.72</v>
      </c>
      <c r="D27" s="98">
        <f>A27*C27</f>
        <v>314332.79999999999</v>
      </c>
    </row>
    <row r="28" spans="1:16" ht="15.6" x14ac:dyDescent="0.25">
      <c r="A28" s="99">
        <v>1</v>
      </c>
      <c r="B28" s="100" t="s">
        <v>273</v>
      </c>
      <c r="C28" s="324">
        <v>5468</v>
      </c>
      <c r="D28" s="98">
        <f>A28*C28</f>
        <v>5468</v>
      </c>
      <c r="E28" s="13"/>
    </row>
    <row r="29" spans="1:16" ht="15.6" x14ac:dyDescent="0.3">
      <c r="A29" s="99"/>
      <c r="B29" s="85" t="s">
        <v>395</v>
      </c>
      <c r="C29" s="86" t="s">
        <v>49</v>
      </c>
      <c r="D29" s="87">
        <f>SUM(D16:D28)</f>
        <v>777726.04</v>
      </c>
    </row>
    <row r="30" spans="1:16" ht="15.6" x14ac:dyDescent="0.3">
      <c r="A30" s="99"/>
      <c r="B30" s="85" t="s">
        <v>342</v>
      </c>
      <c r="C30" s="90" t="s">
        <v>51</v>
      </c>
      <c r="D30" s="87">
        <f>D29*0.16</f>
        <v>124436.1664</v>
      </c>
    </row>
    <row r="31" spans="1:16" ht="16.2" thickBot="1" x14ac:dyDescent="0.3">
      <c r="A31" s="99"/>
      <c r="B31" s="100"/>
      <c r="C31" s="90" t="s">
        <v>52</v>
      </c>
      <c r="D31" s="87">
        <f>SUM(D29:D30)</f>
        <v>902162.20640000002</v>
      </c>
    </row>
    <row r="32" spans="1:16" ht="16.2" thickBot="1" x14ac:dyDescent="0.3">
      <c r="A32" s="116"/>
      <c r="B32" s="186" t="s">
        <v>400</v>
      </c>
      <c r="C32" s="36"/>
      <c r="D32" s="37"/>
    </row>
    <row r="33" spans="1:4" ht="13.8" x14ac:dyDescent="0.25">
      <c r="A33" s="34"/>
      <c r="B33" s="120" t="s">
        <v>15</v>
      </c>
      <c r="C33" s="121"/>
      <c r="D33" s="122"/>
    </row>
    <row r="34" spans="1:4" ht="15.6" x14ac:dyDescent="0.25">
      <c r="A34" s="34"/>
      <c r="B34" s="123"/>
      <c r="C34" s="1"/>
      <c r="D34" s="1"/>
    </row>
    <row r="35" spans="1:4" ht="13.8" x14ac:dyDescent="0.25">
      <c r="A35" s="34"/>
      <c r="B35" s="126" t="s">
        <v>17</v>
      </c>
      <c r="C35" s="1"/>
      <c r="D35" s="1"/>
    </row>
    <row r="36" spans="1:4" ht="15" x14ac:dyDescent="0.25">
      <c r="A36" s="62"/>
      <c r="B36" s="127" t="s">
        <v>19</v>
      </c>
      <c r="C36" s="1"/>
      <c r="D36" s="1"/>
    </row>
    <row r="37" spans="1:4" ht="15" x14ac:dyDescent="0.25">
      <c r="A37" s="62"/>
      <c r="B37" s="128" t="s">
        <v>59</v>
      </c>
      <c r="C37" s="1"/>
      <c r="D37" s="1"/>
    </row>
    <row r="38" spans="1:4" ht="15" x14ac:dyDescent="0.25">
      <c r="A38" s="62"/>
      <c r="B38" s="129" t="s">
        <v>60</v>
      </c>
      <c r="C38" s="13"/>
      <c r="D38" s="1"/>
    </row>
    <row r="39" spans="1:4" ht="15" x14ac:dyDescent="0.25">
      <c r="A39" s="62"/>
      <c r="B39" s="130" t="s">
        <v>23</v>
      </c>
      <c r="C39" s="1"/>
      <c r="D39" s="1"/>
    </row>
    <row r="40" spans="1:4" ht="27.6" x14ac:dyDescent="0.25">
      <c r="A40" s="62"/>
      <c r="B40" s="132" t="s">
        <v>62</v>
      </c>
      <c r="C40" s="13"/>
      <c r="D40" s="1"/>
    </row>
    <row r="41" spans="1:4" ht="15" x14ac:dyDescent="0.25">
      <c r="A41" s="62"/>
      <c r="B41" s="130" t="s">
        <v>26</v>
      </c>
      <c r="C41" s="13"/>
      <c r="D41" s="1"/>
    </row>
    <row r="42" spans="1:4" ht="15" x14ac:dyDescent="0.25">
      <c r="A42" s="62"/>
      <c r="B42" s="333" t="s">
        <v>63</v>
      </c>
      <c r="C42" s="13"/>
      <c r="D42" s="1"/>
    </row>
    <row r="43" spans="1:4" ht="15" x14ac:dyDescent="0.25">
      <c r="A43" s="62"/>
      <c r="B43" s="334" t="s">
        <v>28</v>
      </c>
      <c r="C43" s="13"/>
      <c r="D43" s="1"/>
    </row>
    <row r="44" spans="1:4" ht="15" x14ac:dyDescent="0.25">
      <c r="A44" s="62"/>
      <c r="B44" s="130" t="s">
        <v>29</v>
      </c>
      <c r="C44" s="1"/>
      <c r="D44" s="1"/>
    </row>
    <row r="45" spans="1:4" ht="13.8" x14ac:dyDescent="0.25">
      <c r="B45" s="138" t="s">
        <v>64</v>
      </c>
      <c r="C45" s="1"/>
      <c r="D45" s="1"/>
    </row>
    <row r="46" spans="1:4" ht="15" x14ac:dyDescent="0.25">
      <c r="A46" s="62"/>
      <c r="B46" s="127" t="s">
        <v>31</v>
      </c>
      <c r="C46" s="54"/>
      <c r="D46" s="58"/>
    </row>
    <row r="47" spans="1:4" ht="15" x14ac:dyDescent="0.25">
      <c r="A47" s="62"/>
      <c r="B47" s="127" t="s">
        <v>32</v>
      </c>
      <c r="C47" s="54"/>
    </row>
    <row r="48" spans="1:4" ht="33.6" x14ac:dyDescent="0.4">
      <c r="A48" s="139" t="s">
        <v>0</v>
      </c>
      <c r="B48" s="140" t="s">
        <v>65</v>
      </c>
      <c r="C48" s="141"/>
      <c r="D48" s="1"/>
    </row>
    <row r="49" spans="1:4" x14ac:dyDescent="0.25">
      <c r="A49" s="142"/>
      <c r="B49" s="64"/>
      <c r="C49" s="64"/>
      <c r="D49" s="1"/>
    </row>
    <row r="50" spans="1:4" ht="12.75" customHeight="1" x14ac:dyDescent="0.25">
      <c r="A50" s="142"/>
      <c r="B50" s="64"/>
      <c r="C50" s="64"/>
      <c r="D50" s="1"/>
    </row>
    <row r="51" spans="1:4" x14ac:dyDescent="0.25">
      <c r="A51" s="142"/>
      <c r="B51" s="143"/>
      <c r="C51" s="64"/>
      <c r="D51" s="1"/>
    </row>
    <row r="52" spans="1:4" ht="15" x14ac:dyDescent="0.35">
      <c r="A52" s="144"/>
      <c r="B52" s="145"/>
      <c r="C52" s="64"/>
      <c r="D52" s="64"/>
    </row>
    <row r="53" spans="1:4" x14ac:dyDescent="0.25">
      <c r="A53" s="146" t="s">
        <v>0</v>
      </c>
    </row>
    <row r="54" spans="1:4" x14ac:dyDescent="0.25">
      <c r="A54" s="1" t="s">
        <v>0</v>
      </c>
    </row>
    <row r="58" spans="1:4" ht="15.75" customHeight="1" x14ac:dyDescent="0.25"/>
    <row r="59" spans="1:4" ht="15" customHeight="1" x14ac:dyDescent="0.25"/>
  </sheetData>
  <mergeCells count="2">
    <mergeCell ref="A4:D4"/>
    <mergeCell ref="A14:D14"/>
  </mergeCells>
  <printOptions horizontalCentered="1"/>
  <pageMargins left="0.25" right="0.25" top="0.75" bottom="0.75" header="0.3" footer="0.3"/>
  <pageSetup paperSize="9" scale="66" fitToWidth="0" orientation="portrait" r:id="rId1"/>
  <headerFooter alignWithMargins="0">
    <oddFooter>Página &amp;P de &amp;N</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EA29-C462-41AF-859C-F8DF31BB0A2C}">
  <sheetPr>
    <tabColor theme="4" tint="-0.249977111117893"/>
  </sheetPr>
  <dimension ref="A1:P59"/>
  <sheetViews>
    <sheetView topLeftCell="A12" zoomScale="85" zoomScaleNormal="85" workbookViewId="0">
      <selection activeCell="C21" sqref="C21"/>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60" x14ac:dyDescent="0.25">
      <c r="A16" s="103">
        <v>1</v>
      </c>
      <c r="B16" s="104" t="s">
        <v>390</v>
      </c>
      <c r="C16" s="105">
        <f>270*195</f>
        <v>52650</v>
      </c>
      <c r="D16" s="79">
        <f t="shared" ref="D16:D20" si="0">A16*C16</f>
        <v>52650</v>
      </c>
      <c r="N16" s="23"/>
      <c r="O16" s="23"/>
      <c r="P16" s="23"/>
    </row>
    <row r="17" spans="1:16" s="23" customFormat="1" ht="30" x14ac:dyDescent="0.25">
      <c r="A17" s="106">
        <v>220</v>
      </c>
      <c r="B17" s="107" t="s">
        <v>57</v>
      </c>
      <c r="C17" s="108">
        <v>36.869999999999997</v>
      </c>
      <c r="D17" s="109">
        <f t="shared" si="0"/>
        <v>8111.4</v>
      </c>
      <c r="E17" s="1"/>
      <c r="F17" s="1"/>
      <c r="G17" s="1"/>
      <c r="H17" s="1"/>
      <c r="I17" s="1"/>
      <c r="J17" s="1"/>
      <c r="K17" s="1"/>
      <c r="L17" s="1"/>
      <c r="M17" s="1"/>
    </row>
    <row r="18" spans="1:16" s="23" customFormat="1" ht="30" x14ac:dyDescent="0.3">
      <c r="A18" s="80">
        <v>1</v>
      </c>
      <c r="B18" s="167" t="s">
        <v>58</v>
      </c>
      <c r="C18" s="105">
        <v>1025</v>
      </c>
      <c r="D18" s="109">
        <f t="shared" si="0"/>
        <v>1025</v>
      </c>
      <c r="E18" s="1"/>
      <c r="F18" s="1"/>
      <c r="G18" s="1"/>
      <c r="H18" s="1"/>
      <c r="I18" s="1"/>
      <c r="J18" s="1"/>
      <c r="K18" s="1"/>
      <c r="L18" s="1"/>
      <c r="M18"/>
    </row>
    <row r="19" spans="1:16" s="23" customFormat="1" ht="30" x14ac:dyDescent="0.25">
      <c r="A19" s="103">
        <v>1</v>
      </c>
      <c r="B19" s="104" t="s">
        <v>116</v>
      </c>
      <c r="C19" s="105">
        <v>7300</v>
      </c>
      <c r="D19" s="79">
        <f t="shared" si="0"/>
        <v>7300</v>
      </c>
      <c r="E19" s="1"/>
      <c r="F19" s="1"/>
      <c r="G19" s="1"/>
      <c r="H19" s="1"/>
      <c r="I19" s="1"/>
      <c r="J19" s="1"/>
      <c r="K19" s="1"/>
      <c r="L19" s="1"/>
      <c r="M19" s="1"/>
    </row>
    <row r="20" spans="1:16" s="23" customFormat="1" ht="45" x14ac:dyDescent="0.25">
      <c r="A20" s="103">
        <v>1</v>
      </c>
      <c r="B20" s="104" t="s">
        <v>391</v>
      </c>
      <c r="C20" s="105">
        <f>200*190</f>
        <v>38000</v>
      </c>
      <c r="D20" s="79">
        <f t="shared" si="0"/>
        <v>38000</v>
      </c>
      <c r="E20" s="1"/>
      <c r="F20" s="1"/>
      <c r="G20" s="1"/>
      <c r="H20" s="1"/>
      <c r="I20" s="1"/>
      <c r="J20" s="1"/>
      <c r="K20" s="1"/>
      <c r="L20" s="1"/>
      <c r="M20" s="1"/>
      <c r="N20" s="1"/>
      <c r="O20" s="1"/>
      <c r="P20" s="1"/>
    </row>
    <row r="21" spans="1:16" ht="15.6" x14ac:dyDescent="0.25">
      <c r="A21" s="95">
        <v>210</v>
      </c>
      <c r="B21" s="96" t="s">
        <v>344</v>
      </c>
      <c r="C21" s="97">
        <f>(1190)*(1.37)</f>
        <v>1630.3000000000002</v>
      </c>
      <c r="D21" s="98">
        <f>A21*C21</f>
        <v>342363.00000000006</v>
      </c>
    </row>
    <row r="22" spans="1:16" ht="15.6" x14ac:dyDescent="0.25">
      <c r="A22" s="99">
        <v>1</v>
      </c>
      <c r="B22" s="100" t="s">
        <v>273</v>
      </c>
      <c r="C22" s="324">
        <v>5468</v>
      </c>
      <c r="D22" s="98">
        <f>A22*C22</f>
        <v>5468</v>
      </c>
      <c r="E22" s="13"/>
    </row>
    <row r="23" spans="1:16" ht="15.6" x14ac:dyDescent="0.25">
      <c r="A23" s="99">
        <v>2</v>
      </c>
      <c r="B23" s="100" t="s">
        <v>154</v>
      </c>
      <c r="C23" s="431">
        <v>2435</v>
      </c>
      <c r="D23" s="98">
        <f>A23*C23</f>
        <v>4870</v>
      </c>
      <c r="E23" s="13"/>
      <c r="O23" s="88"/>
      <c r="P23" s="88"/>
    </row>
    <row r="24" spans="1:16" s="88" customFormat="1" ht="60" x14ac:dyDescent="0.25">
      <c r="A24" s="80">
        <v>1</v>
      </c>
      <c r="B24" s="167" t="s">
        <v>274</v>
      </c>
      <c r="C24" s="327">
        <v>7600</v>
      </c>
      <c r="D24" s="109">
        <f t="shared" ref="D24:D25" si="1">A24*C24</f>
        <v>7600</v>
      </c>
      <c r="E24" s="1"/>
      <c r="F24" s="1"/>
      <c r="G24" s="1"/>
      <c r="H24" s="1"/>
      <c r="I24" s="1"/>
      <c r="J24" s="1"/>
      <c r="K24" s="1"/>
      <c r="L24" s="1"/>
      <c r="M24" s="1"/>
      <c r="N24" s="1"/>
      <c r="O24" s="1"/>
      <c r="P24" s="1"/>
    </row>
    <row r="25" spans="1:16" ht="30" x14ac:dyDescent="0.25">
      <c r="A25" s="80">
        <v>2</v>
      </c>
      <c r="B25" s="167" t="s">
        <v>340</v>
      </c>
      <c r="C25" s="327">
        <v>3875</v>
      </c>
      <c r="D25" s="109">
        <f t="shared" si="1"/>
        <v>7750</v>
      </c>
    </row>
    <row r="26" spans="1:16" ht="15.6" x14ac:dyDescent="0.3">
      <c r="A26" s="99"/>
      <c r="B26" s="85" t="s">
        <v>396</v>
      </c>
      <c r="C26" s="86" t="s">
        <v>49</v>
      </c>
      <c r="D26" s="87">
        <f>SUM(D16:K25)</f>
        <v>475137.4</v>
      </c>
    </row>
    <row r="27" spans="1:16" ht="15.6" x14ac:dyDescent="0.3">
      <c r="A27" s="99"/>
      <c r="B27" s="85"/>
      <c r="C27" s="90" t="s">
        <v>51</v>
      </c>
      <c r="D27" s="87">
        <f>D26*0.16</f>
        <v>76021.984000000011</v>
      </c>
    </row>
    <row r="28" spans="1:16" ht="16.2" thickBot="1" x14ac:dyDescent="0.3">
      <c r="A28" s="99"/>
      <c r="B28" s="100"/>
      <c r="C28" s="90" t="s">
        <v>52</v>
      </c>
      <c r="D28" s="87">
        <f>SUM(D26:D27)</f>
        <v>551159.38400000008</v>
      </c>
    </row>
    <row r="29" spans="1:16" ht="16.2" thickBot="1" x14ac:dyDescent="0.3">
      <c r="A29" s="116"/>
      <c r="B29" s="186" t="s">
        <v>401</v>
      </c>
      <c r="C29" s="36"/>
      <c r="D29" s="37"/>
    </row>
    <row r="30" spans="1:16" ht="13.8" x14ac:dyDescent="0.25">
      <c r="A30" s="34"/>
      <c r="B30" s="120" t="s">
        <v>15</v>
      </c>
      <c r="C30" s="121"/>
      <c r="D30" s="122"/>
    </row>
    <row r="31" spans="1:16" ht="15.6" x14ac:dyDescent="0.25">
      <c r="A31" s="34"/>
      <c r="B31" s="123"/>
      <c r="C31" s="1"/>
      <c r="D31" s="1"/>
    </row>
    <row r="32" spans="1:16" ht="13.8" x14ac:dyDescent="0.25">
      <c r="A32" s="34"/>
      <c r="B32" s="126" t="s">
        <v>17</v>
      </c>
      <c r="C32" s="1"/>
      <c r="D32" s="1"/>
    </row>
    <row r="33" spans="1:4" ht="15" x14ac:dyDescent="0.25">
      <c r="A33" s="62"/>
      <c r="B33" s="127" t="s">
        <v>19</v>
      </c>
      <c r="C33" s="1"/>
      <c r="D33" s="1"/>
    </row>
    <row r="34" spans="1:4" ht="15" x14ac:dyDescent="0.25">
      <c r="A34" s="62"/>
      <c r="B34" s="128"/>
      <c r="C34" s="1"/>
      <c r="D34" s="1"/>
    </row>
    <row r="35" spans="1:4" ht="15" x14ac:dyDescent="0.25">
      <c r="A35" s="62"/>
      <c r="B35" s="129" t="s">
        <v>60</v>
      </c>
      <c r="C35" s="13"/>
      <c r="D35" s="1"/>
    </row>
    <row r="36" spans="1:4" ht="15" x14ac:dyDescent="0.25">
      <c r="A36" s="62"/>
      <c r="B36" s="130" t="s">
        <v>23</v>
      </c>
      <c r="C36" s="1"/>
      <c r="D36" s="1"/>
    </row>
    <row r="37" spans="1:4" ht="41.4" x14ac:dyDescent="0.25">
      <c r="A37" s="62"/>
      <c r="B37" s="132" t="s">
        <v>62</v>
      </c>
      <c r="C37" s="13"/>
      <c r="D37" s="1"/>
    </row>
    <row r="38" spans="1:4" ht="15" x14ac:dyDescent="0.25">
      <c r="A38" s="62"/>
      <c r="B38" s="130" t="s">
        <v>26</v>
      </c>
      <c r="C38" s="13"/>
      <c r="D38" s="1"/>
    </row>
    <row r="39" spans="1:4" ht="27.6" x14ac:dyDescent="0.25">
      <c r="A39" s="62"/>
      <c r="B39" s="333" t="s">
        <v>121</v>
      </c>
      <c r="C39" s="13"/>
      <c r="D39" s="1"/>
    </row>
    <row r="40" spans="1:4" ht="27.6" x14ac:dyDescent="0.25">
      <c r="A40" s="62"/>
      <c r="B40" s="334" t="s">
        <v>28</v>
      </c>
      <c r="C40" s="13"/>
      <c r="D40" s="1"/>
    </row>
    <row r="41" spans="1:4" ht="15" x14ac:dyDescent="0.25">
      <c r="A41" s="62"/>
      <c r="B41" s="130" t="s">
        <v>29</v>
      </c>
      <c r="C41" s="1"/>
      <c r="D41" s="1"/>
    </row>
    <row r="42" spans="1:4" ht="13.8" x14ac:dyDescent="0.25">
      <c r="B42" s="138" t="s">
        <v>64</v>
      </c>
      <c r="C42" s="1"/>
      <c r="D42" s="1"/>
    </row>
    <row r="43" spans="1:4" ht="15" x14ac:dyDescent="0.25">
      <c r="A43" s="62"/>
      <c r="B43" s="127" t="s">
        <v>31</v>
      </c>
      <c r="C43" s="54"/>
      <c r="D43" s="58"/>
    </row>
    <row r="44" spans="1:4" ht="15" x14ac:dyDescent="0.25">
      <c r="A44" s="62"/>
      <c r="B44" s="127" t="s">
        <v>32</v>
      </c>
      <c r="C44" s="54"/>
    </row>
    <row r="45" spans="1:4" ht="67.2" x14ac:dyDescent="0.4">
      <c r="A45" s="139" t="s">
        <v>0</v>
      </c>
      <c r="B45" s="140" t="s">
        <v>65</v>
      </c>
      <c r="C45" s="141"/>
      <c r="D45" s="1"/>
    </row>
    <row r="46" spans="1:4" x14ac:dyDescent="0.25">
      <c r="A46" s="142"/>
      <c r="B46" s="64"/>
      <c r="C46" s="64"/>
      <c r="D46" s="1"/>
    </row>
    <row r="47" spans="1:4" x14ac:dyDescent="0.25">
      <c r="A47" s="142"/>
      <c r="B47" s="64"/>
      <c r="C47" s="64"/>
      <c r="D47" s="1"/>
    </row>
    <row r="48" spans="1:4" x14ac:dyDescent="0.25">
      <c r="A48" s="142"/>
      <c r="B48" s="143"/>
      <c r="C48" s="64"/>
      <c r="D48" s="1"/>
    </row>
    <row r="49" spans="1:4" ht="15" x14ac:dyDescent="0.35">
      <c r="A49" s="144"/>
      <c r="B49" s="145"/>
      <c r="C49" s="64"/>
      <c r="D49" s="64"/>
    </row>
    <row r="50" spans="1:4" ht="12.75" customHeight="1" x14ac:dyDescent="0.25">
      <c r="A50" s="146" t="s">
        <v>0</v>
      </c>
    </row>
    <row r="51" spans="1:4" x14ac:dyDescent="0.25">
      <c r="A51" s="1" t="s">
        <v>0</v>
      </c>
    </row>
    <row r="58" spans="1:4" ht="15.75" customHeight="1" x14ac:dyDescent="0.25"/>
    <row r="59" spans="1:4" ht="15" customHeight="1" x14ac:dyDescent="0.25"/>
  </sheetData>
  <mergeCells count="2">
    <mergeCell ref="A4:D4"/>
    <mergeCell ref="A14:D14"/>
  </mergeCells>
  <printOptions horizontalCentered="1"/>
  <pageMargins left="0.25" right="0.25" top="0.75" bottom="0.75" header="0.3" footer="0.3"/>
  <pageSetup paperSize="9" fitToHeight="0" orientation="portrait" r:id="rId1"/>
  <headerFooter alignWithMargins="0">
    <oddFooter>Página &amp;P de &amp;N</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CF28F-5257-469E-91AD-285B6674554D}">
  <sheetPr>
    <tabColor theme="4" tint="-0.249977111117893"/>
    <pageSetUpPr fitToPage="1"/>
  </sheetPr>
  <dimension ref="A1:P59"/>
  <sheetViews>
    <sheetView topLeftCell="A12" zoomScale="85" zoomScaleNormal="85" workbookViewId="0">
      <selection activeCell="C27" sqref="C27"/>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406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60" x14ac:dyDescent="0.25">
      <c r="A16" s="103">
        <v>1</v>
      </c>
      <c r="B16" s="104" t="s">
        <v>390</v>
      </c>
      <c r="C16" s="105">
        <f>270*195</f>
        <v>52650</v>
      </c>
      <c r="D16" s="79">
        <f t="shared" ref="D16:D19" si="0">A16*C16</f>
        <v>52650</v>
      </c>
      <c r="N16" s="23"/>
      <c r="O16" s="23"/>
      <c r="P16" s="23"/>
    </row>
    <row r="17" spans="1:16" s="23" customFormat="1" ht="30" x14ac:dyDescent="0.25">
      <c r="A17" s="106">
        <v>220</v>
      </c>
      <c r="B17" s="107" t="s">
        <v>402</v>
      </c>
      <c r="C17" s="108">
        <v>21.8</v>
      </c>
      <c r="D17" s="109">
        <f t="shared" si="0"/>
        <v>4796</v>
      </c>
      <c r="E17" s="1"/>
      <c r="F17" s="1"/>
      <c r="G17" s="1"/>
      <c r="H17" s="1"/>
      <c r="I17" s="1"/>
      <c r="J17" s="1"/>
      <c r="K17" s="1"/>
      <c r="L17" s="1"/>
      <c r="M17" s="1"/>
    </row>
    <row r="18" spans="1:16" s="23" customFormat="1" ht="30" x14ac:dyDescent="0.3">
      <c r="A18" s="103">
        <v>1</v>
      </c>
      <c r="B18" s="104" t="s">
        <v>116</v>
      </c>
      <c r="C18" s="105">
        <v>7100</v>
      </c>
      <c r="D18" s="79">
        <f t="shared" si="0"/>
        <v>7100</v>
      </c>
      <c r="E18" s="1"/>
      <c r="F18" s="1"/>
      <c r="G18" s="1"/>
      <c r="H18" s="1"/>
      <c r="I18" s="1"/>
      <c r="J18" s="1"/>
      <c r="K18" s="1"/>
      <c r="L18" s="1"/>
      <c r="M18"/>
    </row>
    <row r="19" spans="1:16" s="23" customFormat="1" ht="45" x14ac:dyDescent="0.25">
      <c r="A19" s="103">
        <v>1</v>
      </c>
      <c r="B19" s="104" t="s">
        <v>391</v>
      </c>
      <c r="C19" s="105">
        <f>200*175</f>
        <v>35000</v>
      </c>
      <c r="D19" s="79">
        <f t="shared" si="0"/>
        <v>35000</v>
      </c>
      <c r="E19" s="1"/>
      <c r="F19" s="1"/>
      <c r="G19" s="1"/>
      <c r="H19" s="1"/>
      <c r="I19" s="1"/>
      <c r="J19" s="1"/>
      <c r="K19" s="1"/>
      <c r="L19" s="1"/>
      <c r="M19" s="1"/>
    </row>
    <row r="20" spans="1:16" s="23" customFormat="1" ht="15.6" x14ac:dyDescent="0.25">
      <c r="A20" s="95">
        <v>210</v>
      </c>
      <c r="B20" s="96" t="s">
        <v>344</v>
      </c>
      <c r="C20" s="97">
        <f>(1190)*(1.3)</f>
        <v>1547</v>
      </c>
      <c r="D20" s="98">
        <f>A20*C20</f>
        <v>324870</v>
      </c>
      <c r="E20" s="1"/>
      <c r="F20" s="1"/>
      <c r="G20" s="1"/>
      <c r="H20" s="1"/>
      <c r="I20" s="1"/>
      <c r="J20" s="1"/>
      <c r="K20" s="1"/>
      <c r="L20" s="1"/>
      <c r="M20" s="1"/>
      <c r="N20" s="1"/>
      <c r="O20" s="1"/>
      <c r="P20" s="1"/>
    </row>
    <row r="21" spans="1:16" ht="15.6" x14ac:dyDescent="0.25">
      <c r="A21" s="99">
        <v>1</v>
      </c>
      <c r="B21" s="100" t="s">
        <v>273</v>
      </c>
      <c r="C21" s="324">
        <v>5468</v>
      </c>
      <c r="D21" s="98">
        <f>A21*C21</f>
        <v>5468</v>
      </c>
      <c r="E21" s="13"/>
    </row>
    <row r="22" spans="1:16" ht="15.6" x14ac:dyDescent="0.25">
      <c r="A22" s="99">
        <v>2</v>
      </c>
      <c r="B22" s="100" t="s">
        <v>154</v>
      </c>
      <c r="C22" s="431">
        <v>2435</v>
      </c>
      <c r="D22" s="98">
        <f>A22*C22</f>
        <v>4870</v>
      </c>
      <c r="E22" s="13"/>
    </row>
    <row r="23" spans="1:16" ht="60" x14ac:dyDescent="0.25">
      <c r="A23" s="80">
        <v>1</v>
      </c>
      <c r="B23" s="167" t="s">
        <v>274</v>
      </c>
      <c r="C23" s="327">
        <v>5800</v>
      </c>
      <c r="D23" s="109">
        <f t="shared" ref="D23:D24" si="1">A23*C23</f>
        <v>5800</v>
      </c>
      <c r="O23" s="88"/>
      <c r="P23" s="88"/>
    </row>
    <row r="24" spans="1:16" s="88" customFormat="1" ht="30" x14ac:dyDescent="0.25">
      <c r="A24" s="80">
        <v>2</v>
      </c>
      <c r="B24" s="167" t="s">
        <v>340</v>
      </c>
      <c r="C24" s="327">
        <v>3875</v>
      </c>
      <c r="D24" s="109">
        <f t="shared" si="1"/>
        <v>7750</v>
      </c>
      <c r="E24" s="1"/>
      <c r="F24" s="1"/>
      <c r="G24" s="1"/>
      <c r="H24" s="1"/>
      <c r="I24" s="1"/>
      <c r="J24" s="1"/>
      <c r="K24" s="1"/>
      <c r="L24" s="1"/>
      <c r="M24" s="1"/>
      <c r="N24" s="1"/>
      <c r="O24" s="1"/>
      <c r="P24" s="1"/>
    </row>
    <row r="25" spans="1:16" ht="15.6" x14ac:dyDescent="0.3">
      <c r="A25" s="99"/>
      <c r="B25" s="85" t="s">
        <v>404</v>
      </c>
      <c r="C25" s="86" t="s">
        <v>49</v>
      </c>
      <c r="D25" s="87">
        <f>SUM(D16:K24)</f>
        <v>448304</v>
      </c>
    </row>
    <row r="26" spans="1:16" ht="15.6" x14ac:dyDescent="0.3">
      <c r="A26" s="99"/>
      <c r="B26" s="85" t="s">
        <v>405</v>
      </c>
      <c r="C26" s="90" t="s">
        <v>51</v>
      </c>
      <c r="D26" s="87">
        <f>D25*0.16</f>
        <v>71728.639999999999</v>
      </c>
    </row>
    <row r="27" spans="1:16" ht="16.2" thickBot="1" x14ac:dyDescent="0.3">
      <c r="A27" s="99"/>
      <c r="B27" s="100"/>
      <c r="C27" s="90" t="s">
        <v>52</v>
      </c>
      <c r="D27" s="87">
        <f>SUM(D25:D26)</f>
        <v>520032.64</v>
      </c>
    </row>
    <row r="28" spans="1:16" ht="16.2" thickBot="1" x14ac:dyDescent="0.3">
      <c r="A28" s="116"/>
      <c r="B28" s="186" t="s">
        <v>403</v>
      </c>
      <c r="C28" s="36"/>
      <c r="D28" s="37"/>
    </row>
    <row r="29" spans="1:16" ht="13.8" x14ac:dyDescent="0.25">
      <c r="A29" s="34"/>
      <c r="B29" s="120" t="s">
        <v>15</v>
      </c>
      <c r="C29" s="121"/>
      <c r="D29" s="122"/>
    </row>
    <row r="30" spans="1:16" ht="15.6" x14ac:dyDescent="0.25">
      <c r="A30" s="34"/>
      <c r="B30" s="123"/>
      <c r="C30" s="1"/>
      <c r="D30" s="1"/>
    </row>
    <row r="31" spans="1:16" ht="13.8" x14ac:dyDescent="0.25">
      <c r="A31" s="34"/>
      <c r="B31" s="126" t="s">
        <v>17</v>
      </c>
      <c r="C31" s="1"/>
      <c r="D31" s="1"/>
    </row>
    <row r="32" spans="1:16" ht="15" x14ac:dyDescent="0.25">
      <c r="A32" s="62"/>
      <c r="B32" s="127" t="s">
        <v>19</v>
      </c>
      <c r="C32" s="1"/>
      <c r="D32" s="1"/>
    </row>
    <row r="33" spans="1:4" ht="15" x14ac:dyDescent="0.25">
      <c r="A33" s="62"/>
      <c r="B33" s="128"/>
      <c r="C33" s="1"/>
      <c r="D33" s="1"/>
    </row>
    <row r="34" spans="1:4" ht="15" x14ac:dyDescent="0.25">
      <c r="A34" s="62"/>
      <c r="B34" s="129" t="s">
        <v>60</v>
      </c>
      <c r="C34" s="13"/>
      <c r="D34" s="1"/>
    </row>
    <row r="35" spans="1:4" ht="15" x14ac:dyDescent="0.25">
      <c r="A35" s="62"/>
      <c r="B35" s="130" t="s">
        <v>23</v>
      </c>
      <c r="C35" s="1"/>
      <c r="D35" s="1"/>
    </row>
    <row r="36" spans="1:4" ht="41.4" x14ac:dyDescent="0.25">
      <c r="A36" s="62"/>
      <c r="B36" s="132" t="s">
        <v>62</v>
      </c>
      <c r="C36" s="13"/>
      <c r="D36" s="1"/>
    </row>
    <row r="37" spans="1:4" ht="15" x14ac:dyDescent="0.25">
      <c r="A37" s="62"/>
      <c r="B37" s="130" t="s">
        <v>26</v>
      </c>
      <c r="C37" s="13"/>
      <c r="D37" s="1"/>
    </row>
    <row r="38" spans="1:4" ht="27.6" x14ac:dyDescent="0.25">
      <c r="A38" s="62"/>
      <c r="B38" s="333" t="s">
        <v>121</v>
      </c>
      <c r="C38" s="13"/>
      <c r="D38" s="1"/>
    </row>
    <row r="39" spans="1:4" ht="27.6" x14ac:dyDescent="0.25">
      <c r="A39" s="62"/>
      <c r="B39" s="334" t="s">
        <v>28</v>
      </c>
      <c r="C39" s="13"/>
      <c r="D39" s="1"/>
    </row>
    <row r="40" spans="1:4" ht="15" x14ac:dyDescent="0.25">
      <c r="A40" s="62"/>
      <c r="B40" s="130" t="s">
        <v>29</v>
      </c>
      <c r="C40" s="1"/>
      <c r="D40" s="1"/>
    </row>
    <row r="41" spans="1:4" ht="13.8" x14ac:dyDescent="0.25">
      <c r="B41" s="138" t="s">
        <v>64</v>
      </c>
      <c r="C41" s="1"/>
      <c r="D41" s="1"/>
    </row>
    <row r="42" spans="1:4" ht="15" x14ac:dyDescent="0.25">
      <c r="A42" s="62"/>
      <c r="B42" s="127" t="s">
        <v>31</v>
      </c>
      <c r="C42" s="54"/>
      <c r="D42" s="58"/>
    </row>
    <row r="43" spans="1:4" ht="15" x14ac:dyDescent="0.25">
      <c r="A43" s="62"/>
      <c r="B43" s="127" t="s">
        <v>32</v>
      </c>
      <c r="C43" s="54"/>
    </row>
    <row r="44" spans="1:4" ht="67.2" x14ac:dyDescent="0.4">
      <c r="A44" s="139" t="s">
        <v>0</v>
      </c>
      <c r="B44" s="140" t="s">
        <v>65</v>
      </c>
      <c r="C44" s="141"/>
      <c r="D44" s="1"/>
    </row>
    <row r="45" spans="1:4" x14ac:dyDescent="0.25">
      <c r="A45" s="142"/>
      <c r="B45" s="64"/>
      <c r="C45" s="64"/>
      <c r="D45" s="1"/>
    </row>
    <row r="46" spans="1:4" x14ac:dyDescent="0.25">
      <c r="A46" s="142"/>
      <c r="B46" s="64"/>
      <c r="C46" s="64"/>
      <c r="D46" s="1"/>
    </row>
    <row r="47" spans="1:4" x14ac:dyDescent="0.25">
      <c r="A47" s="142"/>
      <c r="B47" s="143"/>
      <c r="C47" s="64"/>
      <c r="D47" s="1"/>
    </row>
    <row r="48" spans="1:4" ht="15" x14ac:dyDescent="0.35">
      <c r="A48" s="144"/>
      <c r="B48" s="145"/>
      <c r="C48" s="64"/>
      <c r="D48" s="64"/>
    </row>
    <row r="49" spans="1:1" x14ac:dyDescent="0.25">
      <c r="A49" s="146" t="s">
        <v>0</v>
      </c>
    </row>
    <row r="50" spans="1:1" ht="12.75" customHeight="1" x14ac:dyDescent="0.25">
      <c r="A50" s="1" t="s">
        <v>0</v>
      </c>
    </row>
    <row r="58" spans="1:1" ht="15.75" customHeight="1" x14ac:dyDescent="0.25"/>
    <row r="59" spans="1:1" ht="15" customHeight="1" x14ac:dyDescent="0.25"/>
  </sheetData>
  <mergeCells count="2">
    <mergeCell ref="A4:D4"/>
    <mergeCell ref="A14:D14"/>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E913D-7307-4408-A81D-4C955E77E82D}">
  <sheetPr>
    <tabColor theme="4" tint="-0.249977111117893"/>
    <pageSetUpPr fitToPage="1"/>
  </sheetPr>
  <dimension ref="A1:P59"/>
  <sheetViews>
    <sheetView topLeftCell="A8" zoomScale="85" zoomScaleNormal="85" workbookViewId="0">
      <selection activeCell="D16" sqref="D16:D19"/>
    </sheetView>
  </sheetViews>
  <sheetFormatPr baseColWidth="10" defaultColWidth="11.44140625" defaultRowHeight="13.2" x14ac:dyDescent="0.25"/>
  <cols>
    <col min="1" max="1" width="6" style="1" customWidth="1"/>
    <col min="2" max="2" width="82.33203125" style="1" customWidth="1"/>
    <col min="3" max="3" width="12.6640625" style="3"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76">
        <v>50</v>
      </c>
      <c r="B16" s="77" t="s">
        <v>353</v>
      </c>
      <c r="C16" s="78">
        <v>480</v>
      </c>
      <c r="D16" s="79">
        <f>A16*C16</f>
        <v>24000</v>
      </c>
      <c r="E16" s="17"/>
      <c r="H16" s="23"/>
      <c r="I16" s="23"/>
      <c r="J16" s="23"/>
      <c r="K16" s="23"/>
      <c r="L16" s="23"/>
      <c r="N16" s="23"/>
      <c r="O16" s="23"/>
      <c r="P16" s="23"/>
    </row>
    <row r="17" spans="1:16" s="23" customFormat="1" ht="15.6" x14ac:dyDescent="0.3">
      <c r="A17" s="76"/>
      <c r="B17" s="77" t="s">
        <v>345</v>
      </c>
      <c r="C17" s="78"/>
      <c r="D17" s="79"/>
      <c r="E17" s="17"/>
      <c r="F17" s="1"/>
      <c r="G17" s="1"/>
      <c r="M17" s="1"/>
    </row>
    <row r="18" spans="1:16" s="23" customFormat="1" ht="15.6" x14ac:dyDescent="0.3">
      <c r="A18" s="76">
        <v>50</v>
      </c>
      <c r="B18" s="77" t="s">
        <v>354</v>
      </c>
      <c r="C18" s="78">
        <v>510</v>
      </c>
      <c r="D18" s="79">
        <f t="shared" ref="D18:D21" si="0">A18*C18</f>
        <v>25500</v>
      </c>
      <c r="E18" s="17"/>
      <c r="F18" s="1"/>
      <c r="G18" s="1"/>
      <c r="M18"/>
    </row>
    <row r="19" spans="1:16" s="23" customFormat="1" ht="15.6" x14ac:dyDescent="0.3">
      <c r="A19" s="76"/>
      <c r="B19" s="77" t="s">
        <v>346</v>
      </c>
      <c r="C19" s="78"/>
      <c r="D19" s="79"/>
      <c r="E19" s="17"/>
      <c r="F19" s="1"/>
      <c r="G19" s="1"/>
      <c r="M19" s="1"/>
    </row>
    <row r="20" spans="1:16" s="23" customFormat="1" ht="15.6" x14ac:dyDescent="0.3">
      <c r="A20" s="76">
        <v>1</v>
      </c>
      <c r="B20" s="77" t="s">
        <v>347</v>
      </c>
      <c r="C20" s="403" t="s">
        <v>348</v>
      </c>
      <c r="D20" s="402"/>
      <c r="E20" s="17"/>
      <c r="F20" s="1"/>
      <c r="G20" s="1"/>
      <c r="M20" s="1"/>
      <c r="N20" s="1"/>
      <c r="O20" s="1"/>
      <c r="P20" s="1"/>
    </row>
    <row r="21" spans="1:16" ht="15.6" x14ac:dyDescent="0.3">
      <c r="A21" s="76">
        <v>1</v>
      </c>
      <c r="B21" s="77" t="s">
        <v>355</v>
      </c>
      <c r="C21" s="78">
        <v>6541</v>
      </c>
      <c r="D21" s="79">
        <f t="shared" si="0"/>
        <v>6541</v>
      </c>
      <c r="E21" s="17"/>
      <c r="H21" s="23"/>
      <c r="I21" s="23"/>
      <c r="J21" s="23"/>
      <c r="K21" s="23"/>
      <c r="L21" s="23"/>
    </row>
    <row r="22" spans="1:16" ht="15.6" x14ac:dyDescent="0.25">
      <c r="A22" s="95"/>
      <c r="B22" s="96" t="s">
        <v>350</v>
      </c>
      <c r="C22" s="97"/>
      <c r="D22" s="98">
        <f>A22*C22</f>
        <v>0</v>
      </c>
    </row>
    <row r="23" spans="1:16" ht="15.6" x14ac:dyDescent="0.3">
      <c r="A23" s="99"/>
      <c r="B23" s="85" t="s">
        <v>356</v>
      </c>
      <c r="C23" s="86" t="s">
        <v>49</v>
      </c>
      <c r="D23" s="87">
        <f>SUM(D16:D22)</f>
        <v>56041</v>
      </c>
      <c r="O23" s="88"/>
      <c r="P23" s="88"/>
    </row>
    <row r="24" spans="1:16" s="88" customFormat="1" ht="15.6" x14ac:dyDescent="0.3">
      <c r="A24" s="99"/>
      <c r="B24" s="85" t="s">
        <v>342</v>
      </c>
      <c r="C24" s="90" t="s">
        <v>51</v>
      </c>
      <c r="D24" s="87">
        <f>D23*0.16</f>
        <v>8966.56</v>
      </c>
      <c r="E24" s="1"/>
      <c r="F24" s="1"/>
      <c r="G24" s="1"/>
      <c r="H24" s="1"/>
      <c r="I24" s="1"/>
      <c r="J24" s="1"/>
      <c r="K24" s="1"/>
      <c r="L24" s="1"/>
      <c r="M24" s="1"/>
      <c r="N24" s="1"/>
      <c r="O24" s="1"/>
      <c r="P24" s="1"/>
    </row>
    <row r="25" spans="1:16" ht="16.2" thickBot="1" x14ac:dyDescent="0.3">
      <c r="A25" s="99"/>
      <c r="B25" s="100"/>
      <c r="C25" s="90" t="s">
        <v>52</v>
      </c>
      <c r="D25" s="87">
        <f>SUM(D23:D24)</f>
        <v>65007.56</v>
      </c>
    </row>
    <row r="26" spans="1:16" ht="16.2" thickBot="1" x14ac:dyDescent="0.3">
      <c r="A26" s="116"/>
      <c r="B26" s="186"/>
      <c r="C26" s="36"/>
      <c r="D26" s="37"/>
    </row>
    <row r="27" spans="1:16" ht="13.8" x14ac:dyDescent="0.25">
      <c r="A27" s="34"/>
      <c r="B27" s="120" t="s">
        <v>15</v>
      </c>
      <c r="C27" s="121"/>
      <c r="D27" s="122"/>
      <c r="E27" s="13"/>
    </row>
    <row r="28" spans="1:16" ht="8.4" customHeight="1" x14ac:dyDescent="0.25">
      <c r="A28" s="34"/>
      <c r="B28" s="123"/>
      <c r="C28" s="1"/>
      <c r="D28" s="1"/>
    </row>
    <row r="29" spans="1:16" ht="13.8" x14ac:dyDescent="0.25">
      <c r="A29" s="34"/>
      <c r="B29" s="126" t="s">
        <v>17</v>
      </c>
      <c r="C29" s="1"/>
      <c r="D29" s="1"/>
    </row>
    <row r="30" spans="1:16" ht="15" x14ac:dyDescent="0.25">
      <c r="A30" s="62"/>
      <c r="B30" s="127" t="s">
        <v>19</v>
      </c>
      <c r="C30" s="1"/>
      <c r="D30" s="1"/>
    </row>
    <row r="31" spans="1:16" ht="15" x14ac:dyDescent="0.25">
      <c r="A31" s="62"/>
      <c r="B31" s="128" t="s">
        <v>59</v>
      </c>
      <c r="C31" s="1"/>
      <c r="D31" s="1"/>
    </row>
    <row r="32" spans="1:16" ht="15" x14ac:dyDescent="0.25">
      <c r="A32" s="62"/>
      <c r="B32" s="129" t="s">
        <v>60</v>
      </c>
      <c r="C32" s="13"/>
      <c r="D32" s="1"/>
    </row>
    <row r="33" spans="1:4" ht="15" x14ac:dyDescent="0.25">
      <c r="A33" s="62"/>
      <c r="B33" s="130" t="s">
        <v>23</v>
      </c>
      <c r="C33" s="1"/>
      <c r="D33" s="1"/>
    </row>
    <row r="34" spans="1:4" ht="27.6" x14ac:dyDescent="0.25">
      <c r="A34" s="62"/>
      <c r="B34" s="132" t="s">
        <v>62</v>
      </c>
      <c r="C34" s="13"/>
      <c r="D34" s="1"/>
    </row>
    <row r="35" spans="1:4" ht="15" x14ac:dyDescent="0.25">
      <c r="A35" s="62"/>
      <c r="B35" s="130" t="s">
        <v>26</v>
      </c>
      <c r="C35" s="13"/>
      <c r="D35" s="1"/>
    </row>
    <row r="36" spans="1:4" ht="27.6" x14ac:dyDescent="0.25">
      <c r="A36" s="62"/>
      <c r="B36" s="333" t="s">
        <v>349</v>
      </c>
      <c r="C36" s="13"/>
      <c r="D36" s="1"/>
    </row>
    <row r="37" spans="1:4" ht="15" x14ac:dyDescent="0.25">
      <c r="A37" s="62"/>
      <c r="B37" s="334" t="s">
        <v>28</v>
      </c>
      <c r="C37" s="13"/>
      <c r="D37" s="1"/>
    </row>
    <row r="38" spans="1:4" ht="15" x14ac:dyDescent="0.25">
      <c r="A38" s="62"/>
      <c r="B38" s="130" t="s">
        <v>29</v>
      </c>
      <c r="C38" s="1"/>
      <c r="D38" s="1"/>
    </row>
    <row r="39" spans="1:4" ht="13.8" x14ac:dyDescent="0.25">
      <c r="B39" s="138" t="s">
        <v>64</v>
      </c>
      <c r="C39" s="1"/>
      <c r="D39" s="1"/>
    </row>
    <row r="40" spans="1:4" ht="15" x14ac:dyDescent="0.25">
      <c r="A40" s="62"/>
      <c r="B40" s="127" t="s">
        <v>31</v>
      </c>
      <c r="C40" s="54"/>
      <c r="D40" s="58"/>
    </row>
    <row r="41" spans="1:4" ht="15" x14ac:dyDescent="0.25">
      <c r="A41" s="62"/>
      <c r="B41" s="127" t="s">
        <v>32</v>
      </c>
      <c r="C41" s="54"/>
    </row>
    <row r="42" spans="1:4" ht="50.4" x14ac:dyDescent="0.4">
      <c r="A42" s="139" t="s">
        <v>0</v>
      </c>
      <c r="B42" s="140" t="s">
        <v>65</v>
      </c>
      <c r="C42" s="141"/>
      <c r="D42" s="1"/>
    </row>
    <row r="43" spans="1:4" x14ac:dyDescent="0.25">
      <c r="A43" s="142"/>
      <c r="B43" s="64"/>
      <c r="C43" s="64"/>
      <c r="D43" s="1"/>
    </row>
    <row r="44" spans="1:4" x14ac:dyDescent="0.25">
      <c r="A44" s="142"/>
      <c r="B44" s="64"/>
      <c r="C44" s="64"/>
      <c r="D44" s="1"/>
    </row>
    <row r="45" spans="1:4" x14ac:dyDescent="0.25">
      <c r="A45" s="142"/>
      <c r="B45" s="143"/>
      <c r="C45" s="64"/>
      <c r="D45" s="1"/>
    </row>
    <row r="46" spans="1:4" ht="15" x14ac:dyDescent="0.35">
      <c r="A46" s="144"/>
      <c r="B46" s="145"/>
      <c r="C46" s="64"/>
      <c r="D46" s="64"/>
    </row>
    <row r="47" spans="1:4" x14ac:dyDescent="0.25">
      <c r="A47" s="146" t="s">
        <v>0</v>
      </c>
    </row>
    <row r="48" spans="1:4" x14ac:dyDescent="0.25">
      <c r="A48"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4" fitToWidth="0" orientation="portrait" r:id="rId1"/>
  <headerFooter alignWithMargins="0">
    <oddFooter>Página &amp;P de &amp;N</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3C47-1899-452A-9EC1-F6712E17295A}">
  <sheetPr>
    <tabColor theme="4" tint="-0.249977111117893"/>
  </sheetPr>
  <dimension ref="A1:P59"/>
  <sheetViews>
    <sheetView topLeftCell="A12" zoomScale="102" zoomScaleNormal="102" workbookViewId="0">
      <selection activeCell="D23" sqref="D23"/>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6.8" x14ac:dyDescent="0.4">
      <c r="A8" s="432" t="s">
        <v>332</v>
      </c>
      <c r="B8" s="433"/>
      <c r="C8" s="434"/>
      <c r="D8" s="434"/>
    </row>
    <row r="9" spans="1:16" s="4" customFormat="1" ht="16.8" x14ac:dyDescent="0.4">
      <c r="A9" s="432" t="s">
        <v>333</v>
      </c>
      <c r="B9" s="433"/>
      <c r="C9" s="434"/>
      <c r="D9" s="434"/>
    </row>
    <row r="10" spans="1:16" s="4" customFormat="1" ht="16.8" x14ac:dyDescent="0.4">
      <c r="A10" s="432" t="s">
        <v>334</v>
      </c>
      <c r="B10" s="433"/>
      <c r="C10" s="434"/>
      <c r="D10" s="434"/>
    </row>
    <row r="11" spans="1:16" s="4" customFormat="1" ht="16.8" x14ac:dyDescent="0.4">
      <c r="A11" s="432" t="s">
        <v>335</v>
      </c>
      <c r="B11" s="433"/>
      <c r="C11" s="435"/>
      <c r="D11" s="434"/>
    </row>
    <row r="12" spans="1:16" s="4" customFormat="1" ht="15" customHeight="1" x14ac:dyDescent="0.4">
      <c r="A12" s="14"/>
      <c r="B12" s="436"/>
      <c r="C12" s="16"/>
      <c r="D12" s="16"/>
    </row>
    <row r="13" spans="1:16" s="4" customFormat="1" ht="39.6" x14ac:dyDescent="0.4">
      <c r="A13" s="437">
        <v>1</v>
      </c>
      <c r="B13" s="438" t="s">
        <v>390</v>
      </c>
      <c r="C13" s="439">
        <f>270*195</f>
        <v>52650</v>
      </c>
      <c r="D13" s="397">
        <f t="shared" ref="D13:D16" si="0">A13*C13</f>
        <v>52650</v>
      </c>
      <c r="E13" s="10"/>
      <c r="F13" s="10"/>
      <c r="G13" s="10"/>
    </row>
    <row r="14" spans="1:16" s="4" customFormat="1" ht="16.8" x14ac:dyDescent="0.4">
      <c r="A14" s="243">
        <v>220</v>
      </c>
      <c r="B14" s="244" t="s">
        <v>402</v>
      </c>
      <c r="C14" s="245">
        <v>21.8</v>
      </c>
      <c r="D14" s="246">
        <f t="shared" si="0"/>
        <v>4796</v>
      </c>
      <c r="E14" s="1"/>
      <c r="F14" s="1"/>
      <c r="G14" s="1"/>
      <c r="H14" s="10"/>
      <c r="I14" s="10"/>
      <c r="J14" s="10"/>
      <c r="K14" s="10"/>
      <c r="L14" s="10"/>
      <c r="M14" s="10"/>
      <c r="N14" s="10"/>
      <c r="O14" s="10"/>
      <c r="P14" s="10"/>
    </row>
    <row r="15" spans="1:16" s="10" customFormat="1" ht="26.4" x14ac:dyDescent="0.25">
      <c r="A15" s="437">
        <v>1</v>
      </c>
      <c r="B15" s="438" t="s">
        <v>116</v>
      </c>
      <c r="C15" s="439">
        <v>7100</v>
      </c>
      <c r="D15" s="397">
        <f t="shared" si="0"/>
        <v>7100</v>
      </c>
      <c r="E15" s="17"/>
      <c r="F15" s="23"/>
      <c r="G15" s="23"/>
      <c r="H15" s="1"/>
      <c r="I15" s="1"/>
      <c r="J15" s="1"/>
      <c r="K15" s="1"/>
      <c r="L15" s="1"/>
      <c r="M15" s="1"/>
      <c r="N15" s="1"/>
      <c r="O15" s="1"/>
      <c r="P15" s="1"/>
    </row>
    <row r="16" spans="1:16" ht="26.4" x14ac:dyDescent="0.25">
      <c r="A16" s="437">
        <v>1</v>
      </c>
      <c r="B16" s="438" t="s">
        <v>391</v>
      </c>
      <c r="C16" s="439">
        <f>200*175</f>
        <v>35000</v>
      </c>
      <c r="D16" s="397">
        <f t="shared" si="0"/>
        <v>35000</v>
      </c>
      <c r="N16" s="23"/>
      <c r="O16" s="23"/>
      <c r="P16" s="23"/>
    </row>
    <row r="17" spans="1:16" s="23" customFormat="1" ht="26.4" x14ac:dyDescent="0.25">
      <c r="A17" s="247">
        <v>20</v>
      </c>
      <c r="B17" s="248" t="s">
        <v>407</v>
      </c>
      <c r="C17" s="249">
        <v>1300</v>
      </c>
      <c r="D17" s="250">
        <f>A17*C17</f>
        <v>26000</v>
      </c>
      <c r="E17" s="1"/>
      <c r="F17" s="1"/>
      <c r="G17" s="1"/>
      <c r="H17" s="1"/>
      <c r="I17" s="1"/>
      <c r="J17" s="1"/>
      <c r="K17" s="1"/>
      <c r="L17" s="1"/>
      <c r="M17" s="1"/>
    </row>
    <row r="18" spans="1:16" s="23" customFormat="1" ht="14.4" x14ac:dyDescent="0.3">
      <c r="A18" s="440">
        <v>1</v>
      </c>
      <c r="B18" s="441" t="s">
        <v>273</v>
      </c>
      <c r="C18" s="442">
        <v>5468</v>
      </c>
      <c r="D18" s="250">
        <f>A18*C18</f>
        <v>5468</v>
      </c>
      <c r="E18" s="1"/>
      <c r="F18" s="1"/>
      <c r="G18" s="1"/>
      <c r="H18" s="1"/>
      <c r="I18" s="1"/>
      <c r="J18" s="1"/>
      <c r="K18" s="1"/>
      <c r="L18" s="1"/>
      <c r="M18"/>
    </row>
    <row r="19" spans="1:16" s="23" customFormat="1" x14ac:dyDescent="0.25">
      <c r="A19" s="440">
        <v>2</v>
      </c>
      <c r="B19" s="441" t="s">
        <v>154</v>
      </c>
      <c r="C19" s="443">
        <v>2435</v>
      </c>
      <c r="D19" s="250">
        <f>A19*C19</f>
        <v>4870</v>
      </c>
      <c r="E19" s="1"/>
      <c r="F19" s="1"/>
      <c r="G19" s="1"/>
      <c r="H19" s="1"/>
      <c r="I19" s="1"/>
      <c r="J19" s="1"/>
      <c r="K19" s="1"/>
      <c r="L19" s="1"/>
      <c r="M19" s="1"/>
    </row>
    <row r="20" spans="1:16" s="23" customFormat="1" ht="39.6" x14ac:dyDescent="0.25">
      <c r="A20" s="240">
        <v>1</v>
      </c>
      <c r="B20" s="241" t="s">
        <v>274</v>
      </c>
      <c r="C20" s="444">
        <v>5800</v>
      </c>
      <c r="D20" s="246">
        <f t="shared" ref="D20:D21" si="1">A20*C20</f>
        <v>5800</v>
      </c>
      <c r="E20" s="1"/>
      <c r="F20" s="1"/>
      <c r="G20" s="1"/>
      <c r="H20" s="1"/>
      <c r="I20" s="1"/>
      <c r="J20" s="1"/>
      <c r="K20" s="1"/>
      <c r="L20" s="1"/>
      <c r="M20" s="1"/>
      <c r="N20" s="1"/>
      <c r="O20" s="1"/>
      <c r="P20" s="1"/>
    </row>
    <row r="21" spans="1:16" x14ac:dyDescent="0.25">
      <c r="A21" s="240">
        <v>2</v>
      </c>
      <c r="B21" s="241" t="s">
        <v>340</v>
      </c>
      <c r="C21" s="444">
        <v>3875</v>
      </c>
      <c r="D21" s="246">
        <f t="shared" si="1"/>
        <v>7750</v>
      </c>
      <c r="E21" s="13"/>
    </row>
    <row r="22" spans="1:16" x14ac:dyDescent="0.25">
      <c r="A22" s="440"/>
      <c r="B22" s="445" t="s">
        <v>404</v>
      </c>
      <c r="C22" s="446" t="s">
        <v>49</v>
      </c>
      <c r="D22" s="447">
        <f>SUM(D13:D21)</f>
        <v>149434</v>
      </c>
      <c r="E22" s="13"/>
    </row>
    <row r="23" spans="1:16" x14ac:dyDescent="0.25">
      <c r="A23" s="440"/>
      <c r="B23" s="445" t="s">
        <v>405</v>
      </c>
      <c r="C23" s="448" t="s">
        <v>51</v>
      </c>
      <c r="D23" s="447">
        <f>D22*0.16</f>
        <v>23909.439999999999</v>
      </c>
      <c r="O23" s="88"/>
      <c r="P23" s="88"/>
    </row>
    <row r="24" spans="1:16" s="88" customFormat="1" ht="13.8" thickBot="1" x14ac:dyDescent="0.3">
      <c r="A24" s="440"/>
      <c r="B24" s="441"/>
      <c r="C24" s="448" t="s">
        <v>52</v>
      </c>
      <c r="D24" s="447">
        <f>SUM(D22:D23)</f>
        <v>173343.44</v>
      </c>
      <c r="E24" s="1"/>
      <c r="F24" s="1"/>
      <c r="G24" s="1"/>
      <c r="H24" s="1"/>
      <c r="I24" s="1"/>
      <c r="J24" s="1"/>
      <c r="K24" s="1"/>
      <c r="L24" s="1"/>
      <c r="M24" s="1"/>
      <c r="N24" s="1"/>
      <c r="O24" s="1"/>
      <c r="P24" s="1"/>
    </row>
    <row r="25" spans="1:16" ht="13.8" thickBot="1" x14ac:dyDescent="0.3">
      <c r="A25" s="34"/>
      <c r="B25" s="449" t="s">
        <v>408</v>
      </c>
      <c r="C25" s="36"/>
      <c r="D25" s="37"/>
    </row>
    <row r="26" spans="1:16" x14ac:dyDescent="0.25">
      <c r="A26" s="451"/>
      <c r="B26" s="453" t="s">
        <v>60</v>
      </c>
      <c r="C26" s="454"/>
      <c r="D26" s="450"/>
    </row>
    <row r="27" spans="1:16" x14ac:dyDescent="0.25">
      <c r="A27" s="451"/>
      <c r="B27" s="455" t="s">
        <v>23</v>
      </c>
      <c r="C27" s="450"/>
      <c r="D27" s="450"/>
    </row>
    <row r="28" spans="1:16" ht="21" x14ac:dyDescent="0.25">
      <c r="A28" s="451"/>
      <c r="B28" s="456" t="s">
        <v>62</v>
      </c>
      <c r="C28" s="454"/>
      <c r="D28" s="450"/>
    </row>
    <row r="29" spans="1:16" x14ac:dyDescent="0.25">
      <c r="A29" s="451"/>
      <c r="B29" s="455" t="s">
        <v>26</v>
      </c>
      <c r="C29" s="454"/>
      <c r="D29" s="450"/>
    </row>
    <row r="30" spans="1:16" x14ac:dyDescent="0.25">
      <c r="A30" s="451"/>
      <c r="B30" s="457" t="s">
        <v>409</v>
      </c>
      <c r="C30" s="454"/>
      <c r="D30" s="450"/>
    </row>
    <row r="31" spans="1:16" x14ac:dyDescent="0.25">
      <c r="A31" s="451"/>
      <c r="B31" s="458" t="s">
        <v>410</v>
      </c>
      <c r="C31" s="454"/>
      <c r="D31" s="450"/>
    </row>
    <row r="32" spans="1:16" x14ac:dyDescent="0.25">
      <c r="A32" s="451"/>
      <c r="B32" s="455" t="s">
        <v>29</v>
      </c>
      <c r="C32" s="450"/>
      <c r="D32" s="450"/>
    </row>
    <row r="33" spans="1:4" x14ac:dyDescent="0.25">
      <c r="A33" s="450"/>
      <c r="B33" s="459" t="s">
        <v>64</v>
      </c>
      <c r="C33" s="450"/>
      <c r="D33" s="450"/>
    </row>
    <row r="34" spans="1:4" x14ac:dyDescent="0.25">
      <c r="A34" s="451"/>
      <c r="B34" s="452" t="s">
        <v>411</v>
      </c>
      <c r="C34" s="460"/>
      <c r="D34" s="461"/>
    </row>
    <row r="35" spans="1:4" x14ac:dyDescent="0.25">
      <c r="A35" s="451"/>
      <c r="B35" s="452" t="s">
        <v>412</v>
      </c>
      <c r="C35" s="460"/>
      <c r="D35" s="460"/>
    </row>
    <row r="36" spans="1:4" ht="34.200000000000003" x14ac:dyDescent="0.25">
      <c r="A36" s="462" t="s">
        <v>0</v>
      </c>
      <c r="B36" s="463" t="s">
        <v>65</v>
      </c>
      <c r="C36" s="64"/>
      <c r="D36" s="450"/>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1">
    <mergeCell ref="A4:D4"/>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C719-93F7-40C5-A773-5C591A0CBF54}">
  <sheetPr>
    <tabColor theme="4" tint="-0.249977111117893"/>
  </sheetPr>
  <dimension ref="A1:P59"/>
  <sheetViews>
    <sheetView topLeftCell="B12" zoomScaleNormal="100" workbookViewId="0">
      <selection activeCell="A26" sqref="A26:L26"/>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413</v>
      </c>
      <c r="B8" s="68"/>
      <c r="C8" s="69"/>
      <c r="D8" s="69"/>
    </row>
    <row r="9" spans="1:16" s="4" customFormat="1" ht="19.2" x14ac:dyDescent="0.45">
      <c r="A9" s="67" t="s">
        <v>418</v>
      </c>
      <c r="B9" s="68"/>
      <c r="C9" s="69"/>
      <c r="D9" s="69"/>
    </row>
    <row r="10" spans="1:16" s="4" customFormat="1" ht="19.2" x14ac:dyDescent="0.45">
      <c r="A10" s="67" t="s">
        <v>414</v>
      </c>
      <c r="B10" s="68"/>
      <c r="C10" s="69"/>
      <c r="D10" s="69"/>
    </row>
    <row r="11" spans="1:16" s="4" customFormat="1" ht="19.2" x14ac:dyDescent="0.45">
      <c r="A11" s="67" t="s">
        <v>415</v>
      </c>
      <c r="B11" s="68"/>
      <c r="C11" s="70"/>
      <c r="D11" s="69"/>
    </row>
    <row r="12" spans="1:16" s="4" customFormat="1" ht="15" customHeight="1" x14ac:dyDescent="0.45">
      <c r="A12" s="67" t="s">
        <v>38</v>
      </c>
      <c r="B12" s="68"/>
      <c r="C12" s="70"/>
      <c r="D12" s="69"/>
    </row>
    <row r="13" spans="1:16" s="4" customFormat="1" ht="15" customHeight="1" x14ac:dyDescent="0.45">
      <c r="A13" s="71" t="s">
        <v>416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25">
      <c r="A16" s="467">
        <v>1</v>
      </c>
      <c r="B16" s="406" t="s">
        <v>422</v>
      </c>
      <c r="C16" s="102">
        <v>1500</v>
      </c>
      <c r="D16" s="79">
        <f t="shared" ref="D16:D19" si="0">A16*C16</f>
        <v>1500</v>
      </c>
      <c r="N16" s="23"/>
      <c r="O16" s="23"/>
      <c r="P16" s="23"/>
    </row>
    <row r="17" spans="1:16" s="23" customFormat="1" ht="15.6" x14ac:dyDescent="0.25">
      <c r="A17" s="467"/>
      <c r="B17" s="406" t="s">
        <v>423</v>
      </c>
      <c r="C17" s="102"/>
      <c r="D17" s="79"/>
      <c r="E17" s="1"/>
      <c r="F17" s="1"/>
      <c r="G17" s="1"/>
      <c r="H17" s="1"/>
      <c r="I17" s="1"/>
      <c r="J17" s="1"/>
      <c r="K17" s="1"/>
      <c r="L17" s="1"/>
      <c r="M17" s="1"/>
    </row>
    <row r="18" spans="1:16" s="23" customFormat="1" ht="60" x14ac:dyDescent="0.3">
      <c r="A18" s="103">
        <v>1</v>
      </c>
      <c r="B18" s="104" t="s">
        <v>417</v>
      </c>
      <c r="C18" s="105">
        <v>4300</v>
      </c>
      <c r="D18" s="79">
        <f t="shared" si="0"/>
        <v>4300</v>
      </c>
      <c r="E18" s="1"/>
      <c r="F18" s="1"/>
      <c r="G18" s="1"/>
      <c r="H18" s="1"/>
      <c r="I18" s="1"/>
      <c r="J18" s="1"/>
      <c r="K18" s="1"/>
      <c r="L18" s="1"/>
      <c r="M18"/>
    </row>
    <row r="19" spans="1:16" s="23" customFormat="1" ht="30" x14ac:dyDescent="0.25">
      <c r="A19" s="106">
        <v>20</v>
      </c>
      <c r="B19" s="107" t="s">
        <v>402</v>
      </c>
      <c r="C19" s="108">
        <v>26.5</v>
      </c>
      <c r="D19" s="109">
        <f t="shared" si="0"/>
        <v>530</v>
      </c>
      <c r="E19" s="1"/>
      <c r="F19" s="1"/>
      <c r="G19" s="1"/>
      <c r="H19" s="1"/>
      <c r="I19" s="1"/>
      <c r="J19" s="1"/>
      <c r="K19" s="1"/>
      <c r="L19" s="1"/>
    </row>
    <row r="20" spans="1:16" s="23" customFormat="1" ht="60" x14ac:dyDescent="0.25">
      <c r="A20" s="103">
        <v>1</v>
      </c>
      <c r="B20" s="104" t="s">
        <v>417</v>
      </c>
      <c r="C20" s="105">
        <v>4300</v>
      </c>
      <c r="D20" s="79">
        <f t="shared" ref="D20" si="1">A20*C20</f>
        <v>4300</v>
      </c>
      <c r="E20" s="1"/>
      <c r="F20" s="1"/>
      <c r="G20" s="1"/>
      <c r="H20" s="1"/>
      <c r="I20" s="1"/>
    </row>
    <row r="21" spans="1:16" ht="15.6" x14ac:dyDescent="0.3">
      <c r="A21" s="99"/>
      <c r="B21" s="85" t="s">
        <v>419</v>
      </c>
      <c r="C21" s="86" t="s">
        <v>49</v>
      </c>
      <c r="D21" s="87">
        <f>SUM(D16:D20)</f>
        <v>10630</v>
      </c>
    </row>
    <row r="22" spans="1:16" ht="15.6" x14ac:dyDescent="0.3">
      <c r="A22" s="99"/>
      <c r="B22" s="465" t="s">
        <v>420</v>
      </c>
      <c r="C22" s="90" t="s">
        <v>51</v>
      </c>
      <c r="D22" s="87">
        <f>D21*0.16</f>
        <v>1700.8</v>
      </c>
    </row>
    <row r="23" spans="1:16" ht="16.2" thickBot="1" x14ac:dyDescent="0.3">
      <c r="A23" s="464"/>
      <c r="B23" s="466" t="s">
        <v>421</v>
      </c>
      <c r="C23" s="86" t="s">
        <v>52</v>
      </c>
      <c r="D23" s="87">
        <f>SUM(D21:D22)</f>
        <v>12330.8</v>
      </c>
    </row>
    <row r="24" spans="1:16" s="88" customFormat="1" ht="16.2" thickBot="1" x14ac:dyDescent="0.3">
      <c r="A24" s="116"/>
      <c r="B24" s="186" t="s">
        <v>424</v>
      </c>
      <c r="C24" s="36"/>
      <c r="D24" s="37"/>
      <c r="E24" s="1"/>
      <c r="F24" s="1"/>
      <c r="G24" s="1"/>
      <c r="H24" s="1"/>
      <c r="I24" s="1"/>
      <c r="J24" s="1"/>
      <c r="M24" s="1"/>
      <c r="N24" s="1"/>
      <c r="O24" s="1"/>
      <c r="P24" s="1"/>
    </row>
    <row r="25" spans="1:16" ht="13.8" x14ac:dyDescent="0.25">
      <c r="A25" s="34"/>
      <c r="B25" s="120" t="s">
        <v>15</v>
      </c>
      <c r="C25" s="121"/>
      <c r="D25" s="122"/>
    </row>
    <row r="26" spans="1:16" ht="13.8" x14ac:dyDescent="0.25">
      <c r="A26" s="34"/>
      <c r="B26" s="126" t="s">
        <v>17</v>
      </c>
      <c r="C26" s="1"/>
      <c r="D26" s="1"/>
    </row>
    <row r="27" spans="1:16" ht="15" x14ac:dyDescent="0.25">
      <c r="A27" s="62"/>
      <c r="B27" s="127" t="s">
        <v>19</v>
      </c>
      <c r="C27" s="1"/>
      <c r="D27" s="1"/>
    </row>
    <row r="28" spans="1:16" ht="15" x14ac:dyDescent="0.25">
      <c r="A28" s="62"/>
      <c r="B28" s="128"/>
      <c r="C28" s="1"/>
      <c r="D28" s="1"/>
    </row>
    <row r="29" spans="1:16" ht="15" x14ac:dyDescent="0.25">
      <c r="A29" s="62"/>
      <c r="B29" s="129" t="s">
        <v>60</v>
      </c>
      <c r="C29" s="13"/>
      <c r="D29" s="1"/>
    </row>
    <row r="30" spans="1:16" ht="15" x14ac:dyDescent="0.25">
      <c r="A30" s="62"/>
      <c r="B30" s="130" t="s">
        <v>23</v>
      </c>
      <c r="C30" s="1"/>
      <c r="D30" s="1"/>
    </row>
    <row r="31" spans="1:16" ht="41.4" x14ac:dyDescent="0.25">
      <c r="A31" s="62"/>
      <c r="B31" s="132" t="s">
        <v>62</v>
      </c>
      <c r="C31" s="13"/>
      <c r="D31" s="1"/>
    </row>
    <row r="32" spans="1:16" ht="15" x14ac:dyDescent="0.25">
      <c r="A32" s="62"/>
      <c r="B32" s="130" t="s">
        <v>26</v>
      </c>
      <c r="C32" s="13"/>
      <c r="D32" s="1"/>
    </row>
    <row r="33" spans="1:4" ht="27.6" x14ac:dyDescent="0.25">
      <c r="A33" s="62"/>
      <c r="B33" s="333" t="s">
        <v>121</v>
      </c>
      <c r="C33" s="13"/>
      <c r="D33" s="1"/>
    </row>
    <row r="34" spans="1:4" ht="27.6" x14ac:dyDescent="0.25">
      <c r="A34" s="62"/>
      <c r="B34" s="334" t="s">
        <v>28</v>
      </c>
      <c r="C34" s="13"/>
      <c r="D34" s="1"/>
    </row>
    <row r="35" spans="1:4" ht="15" x14ac:dyDescent="0.25">
      <c r="A35" s="62"/>
      <c r="B35" s="130" t="s">
        <v>29</v>
      </c>
      <c r="C35" s="1"/>
      <c r="D35" s="1"/>
    </row>
    <row r="36" spans="1:4" ht="13.8" x14ac:dyDescent="0.25">
      <c r="B36" s="138" t="s">
        <v>64</v>
      </c>
      <c r="C36" s="1"/>
      <c r="D36" s="1"/>
    </row>
    <row r="37" spans="1:4" ht="15" x14ac:dyDescent="0.25">
      <c r="A37" s="62"/>
      <c r="B37" s="127" t="s">
        <v>31</v>
      </c>
      <c r="C37" s="54"/>
      <c r="D37" s="58"/>
    </row>
    <row r="38" spans="1:4" ht="15" x14ac:dyDescent="0.25">
      <c r="A38" s="62"/>
      <c r="B38" s="127" t="s">
        <v>32</v>
      </c>
      <c r="C38" s="54"/>
    </row>
    <row r="39" spans="1:4" ht="67.2" x14ac:dyDescent="0.4">
      <c r="A39" s="139" t="s">
        <v>0</v>
      </c>
      <c r="B39" s="140" t="s">
        <v>65</v>
      </c>
      <c r="C39" s="141"/>
      <c r="D39" s="1"/>
    </row>
    <row r="40" spans="1:4" x14ac:dyDescent="0.25">
      <c r="A40" s="142"/>
      <c r="B40" s="64"/>
      <c r="C40" s="64"/>
      <c r="D40" s="1"/>
    </row>
    <row r="41" spans="1:4" x14ac:dyDescent="0.25">
      <c r="A41" s="142"/>
      <c r="B41" s="64"/>
      <c r="C41" s="64"/>
      <c r="D41" s="1"/>
    </row>
    <row r="42" spans="1:4" x14ac:dyDescent="0.25">
      <c r="A42" s="142"/>
      <c r="B42" s="143"/>
      <c r="C42" s="64"/>
      <c r="D42" s="1"/>
    </row>
    <row r="43" spans="1:4" ht="15" x14ac:dyDescent="0.35">
      <c r="A43" s="144"/>
      <c r="B43" s="145"/>
      <c r="C43" s="64"/>
      <c r="D43" s="64"/>
    </row>
    <row r="44" spans="1:4" x14ac:dyDescent="0.25">
      <c r="A44" s="146" t="s">
        <v>0</v>
      </c>
    </row>
    <row r="45" spans="1:4" x14ac:dyDescent="0.25">
      <c r="A45"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fitToWidth="0" orientation="portrait" r:id="rId1"/>
  <headerFooter alignWithMargins="0">
    <oddFooter>Página &amp;P de &amp;N</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6983-C266-4EF8-8259-1D11D2721AE4}">
  <sheetPr>
    <tabColor theme="4" tint="-0.249977111117893"/>
    <pageSetUpPr fitToPage="1"/>
  </sheetPr>
  <dimension ref="A1:G41"/>
  <sheetViews>
    <sheetView topLeftCell="A7" zoomScaleNormal="100" workbookViewId="0">
      <selection activeCell="B15" sqref="B15"/>
    </sheetView>
  </sheetViews>
  <sheetFormatPr baseColWidth="10" defaultColWidth="11.44140625" defaultRowHeight="13.2" x14ac:dyDescent="0.25"/>
  <cols>
    <col min="1" max="1" width="6" style="222" customWidth="1"/>
    <col min="2" max="2" width="74.5546875" style="222" customWidth="1"/>
    <col min="3" max="3" width="11.5546875" style="53" customWidth="1"/>
    <col min="4" max="4" width="13" style="53" customWidth="1"/>
    <col min="5" max="16384" width="11.44140625" style="222"/>
  </cols>
  <sheetData>
    <row r="1" spans="1:7" ht="81" customHeight="1" x14ac:dyDescent="0.25">
      <c r="A1" s="222" t="s">
        <v>0</v>
      </c>
      <c r="C1" s="223"/>
    </row>
    <row r="2" spans="1:7" ht="9" customHeight="1" x14ac:dyDescent="0.25">
      <c r="C2" s="223"/>
    </row>
    <row r="3" spans="1:7" ht="9" customHeight="1" x14ac:dyDescent="0.25">
      <c r="C3" s="223"/>
    </row>
    <row r="4" spans="1:7" s="224" customFormat="1" ht="16.8" x14ac:dyDescent="0.4">
      <c r="A4" s="765"/>
      <c r="B4" s="765"/>
      <c r="C4" s="765"/>
      <c r="D4" s="765"/>
    </row>
    <row r="5" spans="1:7" s="224" customFormat="1" ht="16.8" x14ac:dyDescent="0.4">
      <c r="A5" s="225"/>
      <c r="C5" s="226"/>
      <c r="D5" s="226"/>
    </row>
    <row r="6" spans="1:7" s="224" customFormat="1" ht="16.8" x14ac:dyDescent="0.4">
      <c r="A6" s="225"/>
      <c r="C6" s="226"/>
      <c r="D6" s="226"/>
    </row>
    <row r="7" spans="1:7" s="224" customFormat="1" ht="19.2" x14ac:dyDescent="0.45">
      <c r="A7" s="67" t="s">
        <v>425</v>
      </c>
      <c r="B7" s="68"/>
      <c r="C7" s="69"/>
      <c r="D7" s="69"/>
      <c r="E7" s="4"/>
      <c r="F7" s="4"/>
      <c r="G7" s="4"/>
    </row>
    <row r="8" spans="1:7" s="224" customFormat="1" ht="19.2" x14ac:dyDescent="0.45">
      <c r="A8" s="67" t="s">
        <v>426</v>
      </c>
      <c r="B8" s="68"/>
      <c r="C8" s="69"/>
      <c r="D8" s="69"/>
      <c r="E8" s="4"/>
      <c r="F8" s="4"/>
      <c r="G8" s="4"/>
    </row>
    <row r="9" spans="1:7" s="224" customFormat="1" ht="19.2" x14ac:dyDescent="0.45">
      <c r="A9" s="67" t="s">
        <v>427</v>
      </c>
      <c r="B9" s="68"/>
      <c r="C9" s="69"/>
      <c r="D9" s="69"/>
      <c r="E9" s="4"/>
      <c r="F9" s="4"/>
      <c r="G9" s="4"/>
    </row>
    <row r="10" spans="1:7" s="224" customFormat="1" ht="19.2" x14ac:dyDescent="0.45">
      <c r="A10" s="67" t="s">
        <v>428</v>
      </c>
      <c r="B10" s="68"/>
      <c r="C10" s="70"/>
      <c r="D10" s="69"/>
      <c r="E10" s="4"/>
      <c r="F10" s="4"/>
      <c r="G10" s="4"/>
    </row>
    <row r="11" spans="1:7" s="224" customFormat="1" ht="19.2" x14ac:dyDescent="0.45">
      <c r="A11" s="67" t="s">
        <v>429</v>
      </c>
      <c r="B11" s="68"/>
      <c r="C11" s="70"/>
      <c r="D11" s="69"/>
      <c r="E11" s="4"/>
      <c r="F11" s="4"/>
      <c r="G11" s="4"/>
    </row>
    <row r="12" spans="1:7" s="224" customFormat="1" ht="15" customHeight="1" x14ac:dyDescent="0.45">
      <c r="A12" s="67" t="s">
        <v>38</v>
      </c>
      <c r="B12" s="72"/>
      <c r="C12" s="73"/>
      <c r="D12" s="74"/>
      <c r="G12" s="4"/>
    </row>
    <row r="13" spans="1:7" s="224" customFormat="1" ht="19.2" x14ac:dyDescent="0.45">
      <c r="A13" s="71" t="s">
        <v>440</v>
      </c>
      <c r="B13" s="72"/>
      <c r="C13" s="73"/>
      <c r="D13" s="74"/>
      <c r="E13" s="235"/>
      <c r="F13" s="235"/>
    </row>
    <row r="14" spans="1:7" s="224" customFormat="1" ht="16.8" x14ac:dyDescent="0.4">
      <c r="A14" s="468"/>
      <c r="B14" s="469" t="s">
        <v>442</v>
      </c>
      <c r="C14" s="470"/>
      <c r="D14" s="470"/>
      <c r="E14" s="222"/>
      <c r="F14" s="222"/>
    </row>
    <row r="15" spans="1:7" s="235" customFormat="1" ht="30" x14ac:dyDescent="0.25">
      <c r="A15" s="471">
        <v>8</v>
      </c>
      <c r="B15" s="472" t="s">
        <v>439</v>
      </c>
      <c r="C15" s="473">
        <v>3120</v>
      </c>
      <c r="D15" s="474">
        <f t="shared" ref="D15:D18" si="0">A15*C15</f>
        <v>24960</v>
      </c>
      <c r="E15" s="234"/>
      <c r="F15" s="242"/>
    </row>
    <row r="16" spans="1:7" ht="30" x14ac:dyDescent="0.25">
      <c r="A16" s="359">
        <v>1</v>
      </c>
      <c r="B16" s="360" t="s">
        <v>430</v>
      </c>
      <c r="C16" s="366">
        <v>5879.3</v>
      </c>
      <c r="D16" s="362">
        <f t="shared" si="0"/>
        <v>5879.3</v>
      </c>
      <c r="F16" s="242"/>
    </row>
    <row r="17" spans="1:6" s="242" customFormat="1" ht="30" x14ac:dyDescent="0.25">
      <c r="A17" s="359">
        <v>1</v>
      </c>
      <c r="B17" s="360" t="s">
        <v>431</v>
      </c>
      <c r="C17" s="361">
        <v>2830</v>
      </c>
      <c r="D17" s="362">
        <f t="shared" si="0"/>
        <v>2830</v>
      </c>
      <c r="E17" s="222"/>
    </row>
    <row r="18" spans="1:6" ht="30" x14ac:dyDescent="0.25">
      <c r="A18" s="359">
        <v>1</v>
      </c>
      <c r="B18" s="360" t="s">
        <v>430</v>
      </c>
      <c r="C18" s="366">
        <v>5879.3</v>
      </c>
      <c r="D18" s="362">
        <f t="shared" si="0"/>
        <v>5879.3</v>
      </c>
      <c r="F18" s="242"/>
    </row>
    <row r="19" spans="1:6" ht="15.6" x14ac:dyDescent="0.25">
      <c r="A19" s="370"/>
      <c r="B19" s="475"/>
      <c r="C19" s="476" t="s">
        <v>170</v>
      </c>
      <c r="D19" s="21">
        <f>SUM(D15:D18)</f>
        <v>39548.600000000006</v>
      </c>
      <c r="F19" s="242"/>
    </row>
    <row r="20" spans="1:6" ht="15.6" x14ac:dyDescent="0.3">
      <c r="A20" s="373"/>
      <c r="B20" s="475"/>
      <c r="C20" s="477" t="s">
        <v>319</v>
      </c>
      <c r="D20" s="21">
        <f>D19*0.16</f>
        <v>6327.7760000000007</v>
      </c>
    </row>
    <row r="21" spans="1:6" ht="16.2" thickBot="1" x14ac:dyDescent="0.35">
      <c r="A21" s="373"/>
      <c r="B21" s="475"/>
      <c r="C21" s="478" t="s">
        <v>14</v>
      </c>
      <c r="D21" s="479">
        <f>D19+D20</f>
        <v>45876.376000000004</v>
      </c>
    </row>
    <row r="22" spans="1:6" ht="16.2" thickBot="1" x14ac:dyDescent="0.3">
      <c r="A22" s="373"/>
      <c r="B22" s="785" t="s">
        <v>441</v>
      </c>
      <c r="C22" s="786"/>
      <c r="D22" s="787"/>
    </row>
    <row r="23" spans="1:6" ht="15" x14ac:dyDescent="0.25">
      <c r="A23" s="480"/>
      <c r="B23" s="47" t="s">
        <v>17</v>
      </c>
      <c r="C23" s="222"/>
      <c r="D23" s="222"/>
    </row>
    <row r="24" spans="1:6" ht="15" x14ac:dyDescent="0.25">
      <c r="A24" s="480"/>
      <c r="B24" s="481" t="s">
        <v>432</v>
      </c>
      <c r="C24" s="222"/>
      <c r="D24" s="222"/>
    </row>
    <row r="25" spans="1:6" ht="15" x14ac:dyDescent="0.25">
      <c r="A25" s="480"/>
      <c r="B25" s="50" t="s">
        <v>433</v>
      </c>
      <c r="C25" s="222"/>
      <c r="D25" s="222"/>
    </row>
    <row r="26" spans="1:6" ht="15" x14ac:dyDescent="0.25">
      <c r="A26" s="480"/>
      <c r="B26" s="481" t="s">
        <v>434</v>
      </c>
      <c r="C26" s="222"/>
      <c r="D26" s="222"/>
    </row>
    <row r="27" spans="1:6" ht="13.8" x14ac:dyDescent="0.25">
      <c r="B27" s="482" t="s">
        <v>435</v>
      </c>
      <c r="C27" s="222"/>
      <c r="D27" s="222"/>
    </row>
    <row r="28" spans="1:6" ht="15" x14ac:dyDescent="0.25">
      <c r="A28" s="480"/>
      <c r="B28" s="47" t="s">
        <v>23</v>
      </c>
      <c r="C28" s="483"/>
      <c r="D28" s="483"/>
    </row>
    <row r="29" spans="1:6" ht="27.6" x14ac:dyDescent="0.25">
      <c r="A29" s="480"/>
      <c r="B29" s="55" t="s">
        <v>62</v>
      </c>
      <c r="C29" s="57"/>
      <c r="D29" s="262"/>
    </row>
    <row r="30" spans="1:6" ht="15" x14ac:dyDescent="0.25">
      <c r="A30" s="480"/>
      <c r="B30" s="52" t="s">
        <v>26</v>
      </c>
      <c r="C30" s="57"/>
      <c r="D30" s="57"/>
    </row>
    <row r="31" spans="1:6" ht="15" x14ac:dyDescent="0.25">
      <c r="A31" s="480"/>
      <c r="B31" s="59" t="s">
        <v>436</v>
      </c>
      <c r="C31" s="57"/>
      <c r="D31" s="57"/>
    </row>
    <row r="32" spans="1:6" ht="13.8" x14ac:dyDescent="0.25">
      <c r="B32" s="60" t="s">
        <v>28</v>
      </c>
      <c r="D32" s="260"/>
    </row>
    <row r="33" spans="1:4" ht="15" x14ac:dyDescent="0.25">
      <c r="A33" s="480"/>
      <c r="B33" s="52" t="s">
        <v>29</v>
      </c>
      <c r="C33" s="57"/>
      <c r="D33" s="262"/>
    </row>
    <row r="34" spans="1:4" ht="15" x14ac:dyDescent="0.25">
      <c r="A34" s="480"/>
      <c r="B34" s="61" t="s">
        <v>437</v>
      </c>
      <c r="C34" s="57"/>
      <c r="D34" s="262"/>
    </row>
    <row r="35" spans="1:4" ht="13.8" x14ac:dyDescent="0.25">
      <c r="A35" s="484" t="s">
        <v>0</v>
      </c>
      <c r="B35" s="50" t="s">
        <v>438</v>
      </c>
      <c r="C35" s="57"/>
      <c r="D35" s="57"/>
    </row>
    <row r="36" spans="1:4" ht="50.4" x14ac:dyDescent="0.25">
      <c r="A36" s="263"/>
      <c r="B36" s="66" t="s">
        <v>33</v>
      </c>
      <c r="C36" s="265"/>
      <c r="D36" s="265"/>
    </row>
    <row r="37" spans="1:4" ht="16.8" x14ac:dyDescent="0.4">
      <c r="A37" s="266"/>
      <c r="B37" s="264"/>
      <c r="C37" s="267"/>
      <c r="D37" s="222"/>
    </row>
    <row r="38" spans="1:4" x14ac:dyDescent="0.25">
      <c r="A38" s="266"/>
      <c r="B38" s="267"/>
      <c r="C38" s="267"/>
      <c r="D38" s="222"/>
    </row>
    <row r="39" spans="1:4" x14ac:dyDescent="0.25">
      <c r="A39" s="268"/>
      <c r="B39" s="267"/>
      <c r="C39" s="267"/>
      <c r="D39" s="222"/>
    </row>
    <row r="40" spans="1:4" x14ac:dyDescent="0.25">
      <c r="A40" s="270" t="s">
        <v>0</v>
      </c>
      <c r="B40" s="269"/>
      <c r="C40" s="267"/>
      <c r="D40" s="267"/>
    </row>
    <row r="41" spans="1:4" ht="15" x14ac:dyDescent="0.35">
      <c r="A41" s="222" t="s">
        <v>0</v>
      </c>
      <c r="B41" s="271"/>
    </row>
  </sheetData>
  <mergeCells count="2">
    <mergeCell ref="A4:D4"/>
    <mergeCell ref="B22:D22"/>
  </mergeCells>
  <printOptions horizontalCentered="1"/>
  <pageMargins left="0.25" right="0.25" top="0.75" bottom="0.75" header="0.3" footer="0.3"/>
  <pageSetup scale="80" fitToWidth="0" orientation="portrait" r:id="rId1"/>
  <headerFooter alignWithMargins="0">
    <oddFooter>Página &amp;P de &amp;N</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C2AF-6F3C-4E1C-8806-EDD82FA1DDDD}">
  <sheetPr>
    <tabColor theme="4" tint="-0.249977111117893"/>
    <pageSetUpPr fitToPage="1"/>
  </sheetPr>
  <dimension ref="A1:M70"/>
  <sheetViews>
    <sheetView topLeftCell="A8" zoomScale="85" zoomScaleNormal="85" workbookViewId="0">
      <selection activeCell="D18" sqref="D18"/>
    </sheetView>
  </sheetViews>
  <sheetFormatPr baseColWidth="10" defaultColWidth="11.44140625" defaultRowHeight="13.2" x14ac:dyDescent="0.25"/>
  <cols>
    <col min="1" max="1" width="6" style="1" customWidth="1"/>
    <col min="2" max="2" width="96.886718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443</v>
      </c>
      <c r="B8" s="68"/>
      <c r="C8" s="69"/>
      <c r="D8" s="69"/>
    </row>
    <row r="9" spans="1:7" s="4" customFormat="1" ht="19.2" x14ac:dyDescent="0.45">
      <c r="A9" s="67" t="s">
        <v>444</v>
      </c>
      <c r="B9" s="68"/>
      <c r="C9" s="69"/>
      <c r="D9" s="69"/>
    </row>
    <row r="10" spans="1:7" s="4" customFormat="1" ht="19.2" x14ac:dyDescent="0.45">
      <c r="A10" s="67" t="s">
        <v>445</v>
      </c>
      <c r="B10" s="68"/>
      <c r="C10" s="69"/>
      <c r="D10" s="69"/>
    </row>
    <row r="11" spans="1:7" s="4" customFormat="1" ht="19.2" x14ac:dyDescent="0.45">
      <c r="A11" s="67" t="s">
        <v>452</v>
      </c>
      <c r="B11" s="68"/>
      <c r="C11" s="70"/>
      <c r="D11" s="69"/>
    </row>
    <row r="12" spans="1:7" s="4" customFormat="1" ht="15" customHeight="1" x14ac:dyDescent="0.45">
      <c r="A12" s="67" t="s">
        <v>38</v>
      </c>
      <c r="B12" s="68"/>
      <c r="C12" s="70"/>
      <c r="D12" s="69"/>
    </row>
    <row r="13" spans="1:7" s="4" customFormat="1" ht="19.2" x14ac:dyDescent="0.45">
      <c r="B13" s="72"/>
      <c r="C13" s="73"/>
      <c r="D13" s="74"/>
    </row>
    <row r="14" spans="1:7" s="4" customFormat="1" ht="19.2" x14ac:dyDescent="0.45">
      <c r="A14" s="71" t="s">
        <v>451</v>
      </c>
      <c r="B14" s="72"/>
      <c r="C14" s="73"/>
      <c r="D14" s="74"/>
      <c r="E14" s="10"/>
      <c r="F14" s="10"/>
      <c r="G14" s="10"/>
    </row>
    <row r="15" spans="1:7" s="10" customFormat="1" ht="19.2" x14ac:dyDescent="0.25">
      <c r="A15" s="758" t="s">
        <v>40</v>
      </c>
      <c r="B15" s="759"/>
      <c r="C15" s="760"/>
      <c r="D15" s="761"/>
      <c r="E15" s="1"/>
      <c r="F15" s="1"/>
      <c r="G15" s="1"/>
    </row>
    <row r="16" spans="1:7" x14ac:dyDescent="0.25">
      <c r="A16" s="197"/>
      <c r="B16" s="198"/>
      <c r="C16" s="199"/>
      <c r="D16" s="199"/>
      <c r="E16" s="17"/>
      <c r="F16" s="23"/>
      <c r="G16" s="23"/>
    </row>
    <row r="17" spans="1:13" s="23" customFormat="1" ht="49.5" customHeight="1" x14ac:dyDescent="0.25">
      <c r="A17" s="491">
        <v>1</v>
      </c>
      <c r="B17" s="485" t="s">
        <v>446</v>
      </c>
      <c r="C17" s="486">
        <v>22000</v>
      </c>
      <c r="D17" s="489">
        <f>A17*C17</f>
        <v>22000</v>
      </c>
      <c r="E17" s="17"/>
      <c r="F17" s="1"/>
      <c r="G17" s="1"/>
    </row>
    <row r="18" spans="1:13" s="23" customFormat="1" ht="30" x14ac:dyDescent="0.25">
      <c r="A18" s="491">
        <v>1</v>
      </c>
      <c r="B18" s="485" t="s">
        <v>448</v>
      </c>
      <c r="C18" s="486">
        <v>4810</v>
      </c>
      <c r="D18" s="489">
        <f t="shared" ref="D18:D19" si="0">A18*C18</f>
        <v>4810</v>
      </c>
      <c r="E18" s="17"/>
      <c r="F18" s="1"/>
      <c r="G18" s="1"/>
    </row>
    <row r="19" spans="1:13" s="23" customFormat="1" ht="30" x14ac:dyDescent="0.25">
      <c r="A19" s="491">
        <v>1</v>
      </c>
      <c r="B19" s="485" t="s">
        <v>449</v>
      </c>
      <c r="C19" s="486">
        <v>2530</v>
      </c>
      <c r="D19" s="489">
        <f t="shared" si="0"/>
        <v>2530</v>
      </c>
      <c r="E19" s="17"/>
      <c r="F19" s="1"/>
      <c r="G19" s="1"/>
    </row>
    <row r="20" spans="1:13" s="23" customFormat="1" ht="21" customHeight="1" x14ac:dyDescent="0.25">
      <c r="A20" s="492">
        <v>1</v>
      </c>
      <c r="B20" s="493" t="s">
        <v>454</v>
      </c>
      <c r="C20" s="494" t="s">
        <v>365</v>
      </c>
      <c r="D20" s="495"/>
      <c r="E20" s="17"/>
      <c r="F20" s="1"/>
      <c r="G20" s="1"/>
    </row>
    <row r="21" spans="1:13" s="23" customFormat="1" ht="45" x14ac:dyDescent="0.25">
      <c r="A21" s="491">
        <v>1</v>
      </c>
      <c r="B21" s="485" t="s">
        <v>447</v>
      </c>
      <c r="C21" s="486">
        <v>22000</v>
      </c>
      <c r="D21" s="489">
        <f>A21*C21</f>
        <v>22000</v>
      </c>
      <c r="E21" s="17"/>
      <c r="F21" s="1"/>
      <c r="G21" s="1"/>
      <c r="M21" s="1"/>
    </row>
    <row r="22" spans="1:13" s="23" customFormat="1" ht="15.6" x14ac:dyDescent="0.3">
      <c r="A22" s="487"/>
      <c r="B22" s="499"/>
      <c r="C22" s="488"/>
      <c r="D22" s="490"/>
      <c r="E22" s="13"/>
      <c r="F22" s="1"/>
      <c r="G22" s="1"/>
      <c r="H22" s="1"/>
      <c r="I22" s="1"/>
      <c r="J22" s="1"/>
      <c r="K22" s="1"/>
      <c r="L22" s="1"/>
      <c r="M22" s="1"/>
    </row>
    <row r="23" spans="1:13" s="23" customFormat="1" ht="15.6" x14ac:dyDescent="0.3">
      <c r="A23" s="161"/>
      <c r="B23" s="500" t="s">
        <v>455</v>
      </c>
      <c r="C23" s="496" t="s">
        <v>49</v>
      </c>
      <c r="D23" s="490">
        <f>SUM(D16:D22)</f>
        <v>51340</v>
      </c>
      <c r="E23" s="13"/>
      <c r="F23" s="1"/>
      <c r="G23" s="1"/>
      <c r="H23" s="1"/>
      <c r="I23" s="1"/>
      <c r="J23" s="1"/>
      <c r="K23" s="1"/>
      <c r="L23" s="1"/>
      <c r="M23" s="1"/>
    </row>
    <row r="24" spans="1:13" s="23" customFormat="1" ht="15.6" x14ac:dyDescent="0.3">
      <c r="A24" s="161"/>
      <c r="B24" s="500" t="s">
        <v>457</v>
      </c>
      <c r="C24" s="497" t="s">
        <v>51</v>
      </c>
      <c r="D24" s="171">
        <f>D23*0.16</f>
        <v>8214.4</v>
      </c>
      <c r="E24" s="13"/>
      <c r="F24" s="1"/>
      <c r="G24" s="1"/>
      <c r="H24" s="1"/>
      <c r="I24" s="1"/>
      <c r="J24" s="1"/>
      <c r="K24" s="1"/>
      <c r="L24" s="1"/>
      <c r="M24" s="1"/>
    </row>
    <row r="25" spans="1:13" s="23" customFormat="1" ht="16.2" thickBot="1" x14ac:dyDescent="0.35">
      <c r="A25" s="161"/>
      <c r="B25" s="500" t="s">
        <v>456</v>
      </c>
      <c r="C25" s="498" t="s">
        <v>77</v>
      </c>
      <c r="D25" s="174">
        <f>D23+D24</f>
        <v>59554.400000000001</v>
      </c>
      <c r="E25" s="13"/>
      <c r="F25" s="1"/>
      <c r="G25" s="1"/>
      <c r="H25" s="1"/>
      <c r="I25" s="1"/>
      <c r="J25" s="1"/>
      <c r="K25" s="1"/>
      <c r="L25" s="1"/>
      <c r="M25" s="1"/>
    </row>
    <row r="26" spans="1:13" s="23" customFormat="1" ht="16.2" thickBot="1" x14ac:dyDescent="0.3">
      <c r="A26" s="116"/>
      <c r="B26" s="788" t="s">
        <v>453</v>
      </c>
      <c r="C26" s="789"/>
      <c r="D26" s="790"/>
      <c r="E26" s="1"/>
      <c r="F26" s="1"/>
      <c r="G26" s="1"/>
      <c r="H26" s="1"/>
      <c r="I26" s="1"/>
      <c r="J26" s="1"/>
      <c r="K26" s="1"/>
      <c r="L26" s="1"/>
      <c r="M26" s="1"/>
    </row>
    <row r="27" spans="1:13" s="23" customFormat="1" x14ac:dyDescent="0.25">
      <c r="A27" s="34"/>
      <c r="B27" s="117"/>
      <c r="C27" s="163"/>
      <c r="D27" s="164"/>
      <c r="E27" s="1"/>
      <c r="F27" s="1"/>
      <c r="G27" s="1"/>
      <c r="H27" s="1"/>
      <c r="I27" s="1"/>
      <c r="J27" s="1"/>
      <c r="K27" s="1"/>
      <c r="L27" s="1"/>
      <c r="M27" s="1"/>
    </row>
    <row r="28" spans="1:13" s="23" customFormat="1" ht="13.8" x14ac:dyDescent="0.25">
      <c r="A28" s="34"/>
      <c r="B28" s="135" t="s">
        <v>15</v>
      </c>
      <c r="C28" s="165"/>
      <c r="D28" s="56"/>
      <c r="E28" s="1"/>
      <c r="F28" s="1"/>
      <c r="G28" s="1"/>
      <c r="H28" s="1"/>
      <c r="I28" s="1"/>
      <c r="J28" s="1"/>
      <c r="K28" s="1"/>
      <c r="L28" s="1"/>
      <c r="M28" s="1"/>
    </row>
    <row r="29" spans="1:13" s="23" customFormat="1" ht="15" x14ac:dyDescent="0.25">
      <c r="A29" s="62"/>
      <c r="B29" s="135" t="s">
        <v>17</v>
      </c>
      <c r="C29" s="3"/>
      <c r="D29" s="56"/>
      <c r="E29" s="1"/>
      <c r="F29" s="1"/>
      <c r="G29" s="1"/>
      <c r="H29" s="1"/>
      <c r="I29" s="1"/>
      <c r="J29" s="1"/>
      <c r="K29" s="1"/>
      <c r="L29" s="1"/>
      <c r="M29" s="1"/>
    </row>
    <row r="30" spans="1:13" s="23" customFormat="1" ht="15" x14ac:dyDescent="0.25">
      <c r="A30" s="62"/>
      <c r="B30" s="191" t="s">
        <v>289</v>
      </c>
      <c r="C30" s="3"/>
      <c r="D30" s="56"/>
      <c r="E30" s="1"/>
      <c r="F30" s="1"/>
      <c r="G30" s="1"/>
      <c r="H30" s="1"/>
      <c r="I30" s="1"/>
      <c r="J30" s="1"/>
      <c r="K30" s="1"/>
      <c r="L30" s="1"/>
      <c r="M30" s="1"/>
    </row>
    <row r="31" spans="1:13" ht="15" x14ac:dyDescent="0.25">
      <c r="A31" s="62"/>
      <c r="B31" s="191" t="s">
        <v>21</v>
      </c>
      <c r="D31" s="56"/>
    </row>
    <row r="32" spans="1:13" ht="15" x14ac:dyDescent="0.25">
      <c r="A32" s="62"/>
      <c r="B32" s="191" t="s">
        <v>60</v>
      </c>
      <c r="D32" s="56"/>
    </row>
    <row r="33" spans="1:5" ht="13.8" x14ac:dyDescent="0.25">
      <c r="B33" s="135" t="s">
        <v>23</v>
      </c>
    </row>
    <row r="34" spans="1:5" ht="15" x14ac:dyDescent="0.25">
      <c r="A34" s="62"/>
      <c r="B34" s="187" t="s">
        <v>450</v>
      </c>
      <c r="E34" s="13"/>
    </row>
    <row r="35" spans="1:5" ht="27.6" x14ac:dyDescent="0.25">
      <c r="A35" s="62"/>
      <c r="B35" s="187" t="s">
        <v>62</v>
      </c>
      <c r="C35" s="54"/>
      <c r="D35" s="58"/>
      <c r="E35" s="13"/>
    </row>
    <row r="36" spans="1:5" ht="15" x14ac:dyDescent="0.25">
      <c r="A36" s="62"/>
      <c r="B36" s="135" t="s">
        <v>26</v>
      </c>
      <c r="C36" s="54"/>
      <c r="D36" s="58"/>
    </row>
    <row r="37" spans="1:5" ht="15" x14ac:dyDescent="0.25">
      <c r="A37" s="62"/>
      <c r="B37" s="189" t="s">
        <v>96</v>
      </c>
      <c r="C37" s="54"/>
      <c r="D37" s="54"/>
    </row>
    <row r="38" spans="1:5" ht="15" x14ac:dyDescent="0.25">
      <c r="A38" s="62"/>
      <c r="B38" s="189" t="s">
        <v>28</v>
      </c>
      <c r="C38" s="54"/>
      <c r="D38" s="54"/>
    </row>
    <row r="39" spans="1:5" ht="22.5" customHeight="1" x14ac:dyDescent="0.25">
      <c r="B39" s="135" t="s">
        <v>29</v>
      </c>
      <c r="D39" s="56"/>
    </row>
    <row r="40" spans="1:5" ht="17.25" customHeight="1" x14ac:dyDescent="0.25">
      <c r="A40" s="62"/>
      <c r="B40" s="190" t="s">
        <v>81</v>
      </c>
      <c r="C40" s="54"/>
      <c r="D40" s="58"/>
    </row>
    <row r="41" spans="1:5" ht="15" x14ac:dyDescent="0.25">
      <c r="A41" s="62"/>
      <c r="B41" s="191" t="s">
        <v>31</v>
      </c>
      <c r="C41" s="54"/>
      <c r="D41" s="58"/>
    </row>
    <row r="42" spans="1:5" ht="13.5" customHeight="1" x14ac:dyDescent="0.25">
      <c r="A42" s="139" t="s">
        <v>0</v>
      </c>
      <c r="B42" s="191" t="s">
        <v>32</v>
      </c>
      <c r="C42" s="54"/>
    </row>
    <row r="43" spans="1:5" ht="50.4" x14ac:dyDescent="0.25">
      <c r="A43" s="142"/>
      <c r="B43" s="193" t="s">
        <v>65</v>
      </c>
      <c r="C43" s="141"/>
      <c r="D43" s="1"/>
    </row>
    <row r="44" spans="1:5" x14ac:dyDescent="0.25">
      <c r="A44" s="142"/>
      <c r="B44" s="64"/>
      <c r="C44" s="64"/>
      <c r="D44" s="1"/>
    </row>
    <row r="45" spans="1:5" x14ac:dyDescent="0.25">
      <c r="A45" s="142"/>
      <c r="B45" s="64"/>
      <c r="C45" s="64"/>
      <c r="D45" s="1"/>
    </row>
    <row r="46" spans="1:5" x14ac:dyDescent="0.25">
      <c r="A46" s="144"/>
      <c r="B46" s="143"/>
      <c r="C46" s="64"/>
      <c r="D46" s="1"/>
    </row>
    <row r="47" spans="1:5" ht="15" x14ac:dyDescent="0.35">
      <c r="A47" s="146" t="s">
        <v>0</v>
      </c>
      <c r="B47" s="145"/>
      <c r="C47" s="64"/>
      <c r="D47" s="64"/>
    </row>
    <row r="48" spans="1:5" ht="18" customHeight="1" x14ac:dyDescent="0.25">
      <c r="A48" s="1" t="s">
        <v>0</v>
      </c>
    </row>
    <row r="61" ht="12.75" customHeight="1" x14ac:dyDescent="0.25"/>
    <row r="65" ht="16.5" customHeight="1" x14ac:dyDescent="0.25"/>
    <row r="69" ht="15.75" customHeight="1" x14ac:dyDescent="0.25"/>
    <row r="70" ht="15" customHeight="1" x14ac:dyDescent="0.25"/>
  </sheetData>
  <mergeCells count="3">
    <mergeCell ref="A4:D4"/>
    <mergeCell ref="A15:D15"/>
    <mergeCell ref="B26:D26"/>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7E97-230B-4F4D-B926-96703AE6CA51}">
  <sheetPr>
    <tabColor theme="4" tint="-0.249977111117893"/>
    <pageSetUpPr fitToPage="1"/>
  </sheetPr>
  <dimension ref="A1:F72"/>
  <sheetViews>
    <sheetView topLeftCell="A30" zoomScale="101" zoomScaleNormal="101" workbookViewId="0">
      <selection activeCell="B42" sqref="B42"/>
    </sheetView>
  </sheetViews>
  <sheetFormatPr baseColWidth="10" defaultColWidth="11.44140625" defaultRowHeight="13.2" x14ac:dyDescent="0.25"/>
  <cols>
    <col min="1" max="1" width="6" style="222" customWidth="1"/>
    <col min="2" max="2" width="104.6640625" style="222" customWidth="1"/>
    <col min="3" max="3" width="16.33203125" style="53" customWidth="1"/>
    <col min="4" max="4" width="19.44140625" style="53" customWidth="1"/>
    <col min="5" max="16384" width="11.441406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9.2" x14ac:dyDescent="0.45">
      <c r="A7" s="501" t="s">
        <v>458</v>
      </c>
      <c r="B7" s="502"/>
      <c r="C7" s="503"/>
      <c r="D7" s="503"/>
    </row>
    <row r="8" spans="1:6" s="224" customFormat="1" ht="19.2" x14ac:dyDescent="0.45">
      <c r="A8" s="501" t="s">
        <v>459</v>
      </c>
      <c r="B8" s="502"/>
      <c r="C8" s="503"/>
      <c r="D8" s="503"/>
    </row>
    <row r="9" spans="1:6" s="224" customFormat="1" ht="19.2" x14ac:dyDescent="0.45">
      <c r="A9" s="501" t="s">
        <v>460</v>
      </c>
      <c r="B9" s="502"/>
      <c r="C9" s="503"/>
      <c r="D9" s="503"/>
    </row>
    <row r="10" spans="1:6" s="224" customFormat="1" ht="19.2" x14ac:dyDescent="0.45">
      <c r="A10" s="501" t="s">
        <v>461</v>
      </c>
      <c r="B10" s="502"/>
      <c r="C10" s="504"/>
      <c r="D10" s="503"/>
    </row>
    <row r="11" spans="1:6" s="224" customFormat="1" ht="19.2" x14ac:dyDescent="0.45">
      <c r="A11" s="501" t="s">
        <v>462</v>
      </c>
      <c r="B11" s="502"/>
      <c r="C11" s="504"/>
      <c r="D11" s="503"/>
    </row>
    <row r="12" spans="1:6" s="224" customFormat="1" ht="15" customHeight="1" x14ac:dyDescent="0.4">
      <c r="A12" s="349" t="s">
        <v>38</v>
      </c>
      <c r="B12" s="505"/>
      <c r="C12" s="506"/>
      <c r="D12" s="507"/>
    </row>
    <row r="13" spans="1:6" s="224" customFormat="1" ht="15" customHeight="1" x14ac:dyDescent="0.4">
      <c r="A13" s="508" t="s">
        <v>463</v>
      </c>
      <c r="B13" s="505"/>
      <c r="C13" s="506"/>
      <c r="D13" s="507"/>
    </row>
    <row r="14" spans="1:6" s="224" customFormat="1" ht="11.25" customHeight="1" x14ac:dyDescent="0.4">
      <c r="A14" s="791" t="s">
        <v>464</v>
      </c>
      <c r="B14" s="792"/>
      <c r="C14" s="793"/>
      <c r="D14" s="794"/>
      <c r="E14" s="235"/>
      <c r="F14" s="235"/>
    </row>
    <row r="15" spans="1:6" s="235" customFormat="1" ht="13.8" x14ac:dyDescent="0.25">
      <c r="A15" s="11" t="s">
        <v>7</v>
      </c>
      <c r="B15" s="11" t="s">
        <v>8</v>
      </c>
      <c r="C15" s="12" t="s">
        <v>9</v>
      </c>
      <c r="D15" s="12" t="s">
        <v>10</v>
      </c>
      <c r="E15" s="233"/>
      <c r="F15" s="222"/>
    </row>
    <row r="16" spans="1:6" x14ac:dyDescent="0.25">
      <c r="A16" s="14"/>
      <c r="B16" s="15"/>
      <c r="C16" s="16"/>
      <c r="D16" s="16"/>
      <c r="E16" s="234"/>
      <c r="F16" s="242"/>
    </row>
    <row r="17" spans="1:5" s="242" customFormat="1" ht="16.5" customHeight="1" x14ac:dyDescent="0.25">
      <c r="A17" s="236">
        <v>1</v>
      </c>
      <c r="B17" s="237" t="s">
        <v>465</v>
      </c>
      <c r="C17" s="509">
        <f>(204291)*(1.3)</f>
        <v>265578.3</v>
      </c>
      <c r="D17" s="239">
        <f t="shared" ref="D17:D45" si="0">A17*C17</f>
        <v>265578.3</v>
      </c>
      <c r="E17" s="234"/>
    </row>
    <row r="18" spans="1:5" ht="13.5" customHeight="1" x14ac:dyDescent="0.25">
      <c r="A18" s="240"/>
      <c r="B18" s="241" t="s">
        <v>466</v>
      </c>
      <c r="C18" s="509"/>
      <c r="D18" s="239"/>
      <c r="E18" s="233"/>
    </row>
    <row r="19" spans="1:5" ht="13.5" customHeight="1" x14ac:dyDescent="0.25">
      <c r="A19" s="240">
        <v>1</v>
      </c>
      <c r="B19" s="241" t="s">
        <v>467</v>
      </c>
      <c r="C19" s="509">
        <f>(152974)*(1.3)</f>
        <v>198866.2</v>
      </c>
      <c r="D19" s="239">
        <f t="shared" si="0"/>
        <v>198866.2</v>
      </c>
      <c r="E19" s="233"/>
    </row>
    <row r="20" spans="1:5" ht="13.5" customHeight="1" x14ac:dyDescent="0.25">
      <c r="A20" s="243">
        <v>2</v>
      </c>
      <c r="B20" s="244" t="s">
        <v>468</v>
      </c>
      <c r="C20" s="238">
        <f>(5150)*(1.7)</f>
        <v>8755</v>
      </c>
      <c r="D20" s="239">
        <f t="shared" si="0"/>
        <v>17510</v>
      </c>
      <c r="E20" s="233"/>
    </row>
    <row r="21" spans="1:5" ht="13.5" customHeight="1" x14ac:dyDescent="0.25">
      <c r="A21" s="243">
        <v>3</v>
      </c>
      <c r="B21" s="244" t="s">
        <v>469</v>
      </c>
      <c r="C21" s="238">
        <f>(11896)*(1.4)</f>
        <v>16654.399999999998</v>
      </c>
      <c r="D21" s="239">
        <f t="shared" si="0"/>
        <v>49963.199999999997</v>
      </c>
      <c r="E21" s="233"/>
    </row>
    <row r="22" spans="1:5" x14ac:dyDescent="0.25">
      <c r="A22" s="243">
        <v>58</v>
      </c>
      <c r="B22" s="244" t="s">
        <v>470</v>
      </c>
      <c r="C22" s="245">
        <f>(5640)*(1.2)</f>
        <v>6768</v>
      </c>
      <c r="D22" s="246">
        <f t="shared" si="0"/>
        <v>392544</v>
      </c>
      <c r="E22" s="233"/>
    </row>
    <row r="23" spans="1:5" x14ac:dyDescent="0.25">
      <c r="A23" s="243">
        <v>360</v>
      </c>
      <c r="B23" s="244" t="s">
        <v>471</v>
      </c>
      <c r="C23" s="245">
        <v>100</v>
      </c>
      <c r="D23" s="246">
        <f t="shared" si="0"/>
        <v>36000</v>
      </c>
      <c r="E23" s="233"/>
    </row>
    <row r="24" spans="1:5" x14ac:dyDescent="0.25">
      <c r="A24" s="243"/>
      <c r="B24" s="244" t="s">
        <v>151</v>
      </c>
      <c r="C24" s="245"/>
      <c r="D24" s="246"/>
      <c r="E24" s="233"/>
    </row>
    <row r="25" spans="1:5" x14ac:dyDescent="0.25">
      <c r="A25" s="243">
        <v>2</v>
      </c>
      <c r="B25" s="244" t="s">
        <v>472</v>
      </c>
      <c r="C25" s="245">
        <v>5378</v>
      </c>
      <c r="D25" s="246">
        <f t="shared" si="0"/>
        <v>10756</v>
      </c>
      <c r="E25" s="233"/>
    </row>
    <row r="26" spans="1:5" x14ac:dyDescent="0.25">
      <c r="A26" s="243"/>
      <c r="B26" s="244" t="s">
        <v>473</v>
      </c>
      <c r="C26" s="245"/>
      <c r="D26" s="246"/>
      <c r="E26" s="233"/>
    </row>
    <row r="27" spans="1:5" ht="13.5" customHeight="1" x14ac:dyDescent="0.25">
      <c r="A27" s="243">
        <v>3</v>
      </c>
      <c r="B27" s="244" t="s">
        <v>154</v>
      </c>
      <c r="C27" s="245">
        <v>2134</v>
      </c>
      <c r="D27" s="246">
        <f t="shared" si="0"/>
        <v>6402</v>
      </c>
      <c r="E27" s="233"/>
    </row>
    <row r="28" spans="1:5" ht="13.5" customHeight="1" x14ac:dyDescent="0.25">
      <c r="A28" s="243">
        <v>350</v>
      </c>
      <c r="B28" s="244" t="s">
        <v>474</v>
      </c>
      <c r="C28" s="245">
        <v>16.12</v>
      </c>
      <c r="D28" s="246">
        <f>A28*C28</f>
        <v>5642</v>
      </c>
      <c r="E28" s="233"/>
    </row>
    <row r="29" spans="1:5" x14ac:dyDescent="0.25">
      <c r="A29" s="243">
        <v>1</v>
      </c>
      <c r="B29" s="244" t="s">
        <v>475</v>
      </c>
      <c r="C29" s="238">
        <f>(6205.5*21)*1.3</f>
        <v>169410.15</v>
      </c>
      <c r="D29" s="246">
        <f t="shared" si="0"/>
        <v>169410.15</v>
      </c>
      <c r="E29" s="233"/>
    </row>
    <row r="30" spans="1:5" ht="26.4" x14ac:dyDescent="0.25">
      <c r="A30" s="243">
        <v>1</v>
      </c>
      <c r="B30" s="244" t="s">
        <v>476</v>
      </c>
      <c r="C30" s="238">
        <v>29087</v>
      </c>
      <c r="D30" s="246">
        <f t="shared" si="0"/>
        <v>29087</v>
      </c>
      <c r="E30" s="233"/>
    </row>
    <row r="31" spans="1:5" x14ac:dyDescent="0.25">
      <c r="A31" s="247">
        <v>1</v>
      </c>
      <c r="B31" s="248" t="s">
        <v>477</v>
      </c>
      <c r="C31" s="510">
        <v>10912</v>
      </c>
      <c r="D31" s="250">
        <f t="shared" si="0"/>
        <v>10912</v>
      </c>
      <c r="E31" s="233"/>
    </row>
    <row r="32" spans="1:5" ht="52.8" x14ac:dyDescent="0.25">
      <c r="A32" s="243">
        <v>1</v>
      </c>
      <c r="B32" s="244" t="s">
        <v>478</v>
      </c>
      <c r="C32" s="238">
        <f>(20969+3400)*1.32</f>
        <v>32167.08</v>
      </c>
      <c r="D32" s="246">
        <f t="shared" si="0"/>
        <v>32167.08</v>
      </c>
      <c r="E32" s="233"/>
    </row>
    <row r="33" spans="1:5" x14ac:dyDescent="0.25">
      <c r="A33" s="243">
        <v>1</v>
      </c>
      <c r="B33" s="244" t="s">
        <v>479</v>
      </c>
      <c r="C33" s="245">
        <f>6700*1.4</f>
        <v>9380</v>
      </c>
      <c r="D33" s="246">
        <f t="shared" si="0"/>
        <v>9380</v>
      </c>
      <c r="E33" s="233"/>
    </row>
    <row r="34" spans="1:5" x14ac:dyDescent="0.25">
      <c r="A34" s="243">
        <v>2</v>
      </c>
      <c r="B34" s="244" t="s">
        <v>480</v>
      </c>
      <c r="C34" s="245">
        <f>2700*1.4</f>
        <v>3779.9999999999995</v>
      </c>
      <c r="D34" s="246">
        <f t="shared" si="0"/>
        <v>7559.9999999999991</v>
      </c>
      <c r="E34" s="233"/>
    </row>
    <row r="35" spans="1:5" x14ac:dyDescent="0.25">
      <c r="A35" s="243">
        <v>1</v>
      </c>
      <c r="B35" s="244" t="s">
        <v>161</v>
      </c>
      <c r="C35" s="245">
        <v>1543</v>
      </c>
      <c r="D35" s="246">
        <f t="shared" si="0"/>
        <v>1543</v>
      </c>
      <c r="E35" s="233"/>
    </row>
    <row r="36" spans="1:5" x14ac:dyDescent="0.25">
      <c r="A36" s="243">
        <v>1</v>
      </c>
      <c r="B36" s="244" t="s">
        <v>481</v>
      </c>
      <c r="C36" s="245">
        <f>5775.57*1.4</f>
        <v>8085.7979999999989</v>
      </c>
      <c r="D36" s="246">
        <f t="shared" si="0"/>
        <v>8085.7979999999989</v>
      </c>
      <c r="E36" s="233"/>
    </row>
    <row r="37" spans="1:5" x14ac:dyDescent="0.25">
      <c r="A37" s="243">
        <v>1</v>
      </c>
      <c r="B37" s="244" t="s">
        <v>482</v>
      </c>
      <c r="C37" s="245">
        <f>3100*1.4</f>
        <v>4340</v>
      </c>
      <c r="D37" s="246">
        <f t="shared" si="0"/>
        <v>4340</v>
      </c>
      <c r="E37" s="233"/>
    </row>
    <row r="38" spans="1:5" x14ac:dyDescent="0.25">
      <c r="A38" s="243">
        <v>1</v>
      </c>
      <c r="B38" s="244" t="s">
        <v>483</v>
      </c>
      <c r="C38" s="245">
        <f>4010*1.4</f>
        <v>5614</v>
      </c>
      <c r="D38" s="246">
        <f t="shared" si="0"/>
        <v>5614</v>
      </c>
      <c r="E38" s="233"/>
    </row>
    <row r="39" spans="1:5" x14ac:dyDescent="0.25">
      <c r="A39" s="243">
        <v>1</v>
      </c>
      <c r="B39" s="244" t="s">
        <v>484</v>
      </c>
      <c r="C39" s="245">
        <f>2467*1.4</f>
        <v>3453.7999999999997</v>
      </c>
      <c r="D39" s="246">
        <f t="shared" si="0"/>
        <v>3453.7999999999997</v>
      </c>
      <c r="E39" s="233"/>
    </row>
    <row r="40" spans="1:5" x14ac:dyDescent="0.25">
      <c r="A40" s="243">
        <v>8</v>
      </c>
      <c r="B40" s="244" t="s">
        <v>485</v>
      </c>
      <c r="C40" s="245">
        <f>27.41*1.4</f>
        <v>38.373999999999995</v>
      </c>
      <c r="D40" s="246">
        <f t="shared" si="0"/>
        <v>306.99199999999996</v>
      </c>
      <c r="E40" s="233"/>
    </row>
    <row r="41" spans="1:5" x14ac:dyDescent="0.25">
      <c r="A41" s="243">
        <v>1</v>
      </c>
      <c r="B41" s="244" t="s">
        <v>486</v>
      </c>
      <c r="C41" s="245">
        <f>23.97*1.39</f>
        <v>33.318299999999994</v>
      </c>
      <c r="D41" s="246">
        <f t="shared" si="0"/>
        <v>33.318299999999994</v>
      </c>
      <c r="E41" s="233"/>
    </row>
    <row r="42" spans="1:5" ht="28.5" customHeight="1" x14ac:dyDescent="0.25">
      <c r="A42" s="243">
        <v>1</v>
      </c>
      <c r="B42" s="244" t="s">
        <v>487</v>
      </c>
      <c r="C42" s="245">
        <v>32091</v>
      </c>
      <c r="D42" s="246">
        <f t="shared" si="0"/>
        <v>32091</v>
      </c>
      <c r="E42" s="233"/>
    </row>
    <row r="43" spans="1:5" x14ac:dyDescent="0.25">
      <c r="A43" s="243">
        <v>56</v>
      </c>
      <c r="B43" s="244" t="s">
        <v>488</v>
      </c>
      <c r="C43" s="245">
        <f>56</f>
        <v>56</v>
      </c>
      <c r="D43" s="246">
        <f t="shared" si="0"/>
        <v>3136</v>
      </c>
      <c r="E43" s="233"/>
    </row>
    <row r="44" spans="1:5" ht="13.5" customHeight="1" x14ac:dyDescent="0.25">
      <c r="A44" s="243">
        <v>6</v>
      </c>
      <c r="B44" s="244" t="s">
        <v>489</v>
      </c>
      <c r="C44" s="245">
        <f>14.8*1.5</f>
        <v>22.200000000000003</v>
      </c>
      <c r="D44" s="246">
        <f t="shared" si="0"/>
        <v>133.20000000000002</v>
      </c>
      <c r="E44" s="233"/>
    </row>
    <row r="45" spans="1:5" x14ac:dyDescent="0.25">
      <c r="A45" s="243">
        <v>1</v>
      </c>
      <c r="B45" s="244" t="s">
        <v>490</v>
      </c>
      <c r="C45" s="245">
        <v>3500</v>
      </c>
      <c r="D45" s="246">
        <f t="shared" si="0"/>
        <v>3500</v>
      </c>
      <c r="E45" s="233"/>
    </row>
    <row r="46" spans="1:5" x14ac:dyDescent="0.25">
      <c r="A46" s="243"/>
      <c r="B46" s="244" t="s">
        <v>491</v>
      </c>
      <c r="C46" s="245"/>
      <c r="D46" s="246"/>
      <c r="E46" s="233"/>
    </row>
    <row r="47" spans="1:5" x14ac:dyDescent="0.25">
      <c r="A47" s="251"/>
      <c r="B47" s="252"/>
      <c r="C47" s="253" t="s">
        <v>170</v>
      </c>
      <c r="D47" s="254">
        <f>SUM(D17:D46)</f>
        <v>1304015.0382999999</v>
      </c>
      <c r="E47" s="233"/>
    </row>
    <row r="48" spans="1:5" x14ac:dyDescent="0.25">
      <c r="A48" s="38"/>
      <c r="B48" s="38"/>
      <c r="C48" s="253" t="s">
        <v>13</v>
      </c>
      <c r="D48" s="254">
        <f>D47*0.16</f>
        <v>208642.406128</v>
      </c>
      <c r="E48" s="233"/>
    </row>
    <row r="49" spans="1:5" ht="13.8" thickBot="1" x14ac:dyDescent="0.3">
      <c r="A49" s="38"/>
      <c r="B49" s="256"/>
      <c r="C49" s="257" t="s">
        <v>14</v>
      </c>
      <c r="D49" s="258">
        <f>D47+D48</f>
        <v>1512657.4444279999</v>
      </c>
      <c r="E49" s="255"/>
    </row>
    <row r="50" spans="1:5" ht="13.8" thickBot="1" x14ac:dyDescent="0.3">
      <c r="A50" s="38"/>
      <c r="B50" s="766" t="s">
        <v>492</v>
      </c>
      <c r="C50" s="767"/>
      <c r="D50" s="768"/>
    </row>
    <row r="51" spans="1:5" ht="13.8" x14ac:dyDescent="0.25">
      <c r="A51" s="38"/>
      <c r="B51" s="39" t="s">
        <v>15</v>
      </c>
      <c r="C51" s="40"/>
      <c r="D51" s="259"/>
    </row>
    <row r="52" spans="1:5" ht="15.75" customHeight="1" x14ac:dyDescent="0.25">
      <c r="A52" s="42"/>
      <c r="B52" s="43" t="s">
        <v>16</v>
      </c>
      <c r="C52" s="255"/>
      <c r="D52" s="260"/>
    </row>
    <row r="53" spans="1:5" ht="15" x14ac:dyDescent="0.25">
      <c r="A53" s="46"/>
      <c r="B53" s="52" t="s">
        <v>17</v>
      </c>
      <c r="D53" s="260"/>
    </row>
    <row r="54" spans="1:5" ht="15" x14ac:dyDescent="0.25">
      <c r="A54" s="46"/>
      <c r="B54" s="50" t="s">
        <v>493</v>
      </c>
      <c r="D54" s="260"/>
    </row>
    <row r="55" spans="1:5" ht="15" x14ac:dyDescent="0.25">
      <c r="A55" s="46"/>
      <c r="B55" s="50" t="s">
        <v>21</v>
      </c>
      <c r="D55" s="260"/>
    </row>
    <row r="56" spans="1:5" ht="15" x14ac:dyDescent="0.25">
      <c r="A56" s="46"/>
      <c r="B56" s="50" t="s">
        <v>60</v>
      </c>
      <c r="D56" s="260"/>
    </row>
    <row r="57" spans="1:5" ht="16.5" customHeight="1" x14ac:dyDescent="0.25">
      <c r="A57" s="51"/>
      <c r="B57" s="52" t="s">
        <v>23</v>
      </c>
    </row>
    <row r="58" spans="1:5" ht="15" x14ac:dyDescent="0.25">
      <c r="A58" s="46"/>
      <c r="B58" s="55" t="s">
        <v>24</v>
      </c>
    </row>
    <row r="59" spans="1:5" ht="27.6" x14ac:dyDescent="0.25">
      <c r="A59" s="46"/>
      <c r="B59" s="55" t="s">
        <v>25</v>
      </c>
      <c r="C59" s="57"/>
      <c r="D59" s="262"/>
    </row>
    <row r="60" spans="1:5" ht="15" x14ac:dyDescent="0.25">
      <c r="A60" s="46"/>
      <c r="B60" s="52" t="s">
        <v>26</v>
      </c>
      <c r="C60" s="57"/>
      <c r="D60" s="262"/>
    </row>
    <row r="61" spans="1:5" ht="15" x14ac:dyDescent="0.25">
      <c r="A61" s="46"/>
      <c r="B61" s="59" t="s">
        <v>494</v>
      </c>
      <c r="C61" s="57"/>
      <c r="D61" s="57"/>
    </row>
    <row r="62" spans="1:5" ht="15" customHeight="1" x14ac:dyDescent="0.25">
      <c r="A62" s="46"/>
      <c r="B62" s="60" t="s">
        <v>28</v>
      </c>
      <c r="C62" s="57"/>
      <c r="D62" s="57"/>
    </row>
    <row r="63" spans="1:5" ht="13.8" x14ac:dyDescent="0.25">
      <c r="A63" s="51"/>
      <c r="B63" s="52" t="s">
        <v>29</v>
      </c>
      <c r="D63" s="260"/>
    </row>
    <row r="64" spans="1:5" ht="15" x14ac:dyDescent="0.25">
      <c r="A64" s="46"/>
      <c r="B64" s="61" t="s">
        <v>495</v>
      </c>
      <c r="C64" s="57"/>
      <c r="D64" s="262"/>
    </row>
    <row r="65" spans="1:4" ht="15" x14ac:dyDescent="0.25">
      <c r="A65" s="46"/>
      <c r="B65" s="50" t="s">
        <v>31</v>
      </c>
      <c r="C65" s="57"/>
      <c r="D65" s="262"/>
    </row>
    <row r="66" spans="1:4" ht="33.6" x14ac:dyDescent="0.25">
      <c r="A66" s="65" t="s">
        <v>0</v>
      </c>
      <c r="B66" s="66" t="s">
        <v>33</v>
      </c>
      <c r="C66" s="57"/>
      <c r="D66" s="57"/>
    </row>
    <row r="67" spans="1:4" ht="16.8" x14ac:dyDescent="0.4">
      <c r="A67" s="263"/>
      <c r="B67" s="264"/>
      <c r="C67" s="265"/>
      <c r="D67" s="265"/>
    </row>
    <row r="68" spans="1:4" x14ac:dyDescent="0.25">
      <c r="A68" s="266"/>
      <c r="B68" s="267"/>
      <c r="C68" s="267"/>
      <c r="D68" s="222"/>
    </row>
    <row r="69" spans="1:4" x14ac:dyDescent="0.25">
      <c r="A69" s="266"/>
      <c r="B69" s="267"/>
      <c r="C69" s="267"/>
      <c r="D69" s="222"/>
    </row>
    <row r="70" spans="1:4" x14ac:dyDescent="0.25">
      <c r="A70" s="268"/>
      <c r="B70" s="269"/>
      <c r="C70" s="267"/>
      <c r="D70" s="222"/>
    </row>
    <row r="71" spans="1:4" ht="15" x14ac:dyDescent="0.35">
      <c r="A71" s="270" t="s">
        <v>0</v>
      </c>
      <c r="B71" s="271"/>
      <c r="C71" s="267"/>
      <c r="D71" s="267"/>
    </row>
    <row r="72" spans="1:4" x14ac:dyDescent="0.25">
      <c r="A72" s="222" t="s">
        <v>0</v>
      </c>
    </row>
  </sheetData>
  <mergeCells count="3">
    <mergeCell ref="A4:D4"/>
    <mergeCell ref="A14:D14"/>
    <mergeCell ref="B50:D50"/>
  </mergeCells>
  <printOptions horizontalCentered="1"/>
  <pageMargins left="0.25" right="0.25" top="0.75" bottom="0.75" header="0.3" footer="0.3"/>
  <pageSetup paperSize="9" scale="58" fitToHeight="0" orientation="portrait" r:id="rId1"/>
  <headerFooter alignWithMargins="0">
    <oddFooter>Página &amp;P de &amp;N</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36F03-E1B1-4F28-9D93-DDDC1A64098D}">
  <sheetPr>
    <tabColor theme="4" tint="-0.249977111117893"/>
    <pageSetUpPr fitToPage="1"/>
  </sheetPr>
  <dimension ref="A1:P59"/>
  <sheetViews>
    <sheetView topLeftCell="A7" zoomScale="85" zoomScaleNormal="85" workbookViewId="0">
      <selection activeCell="B10" sqref="B10"/>
    </sheetView>
  </sheetViews>
  <sheetFormatPr baseColWidth="10" defaultColWidth="11.44140625" defaultRowHeight="13.2" x14ac:dyDescent="0.25"/>
  <cols>
    <col min="1" max="1" width="6" style="1" customWidth="1"/>
    <col min="2" max="2" width="86.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501</v>
      </c>
      <c r="B8" s="68"/>
      <c r="C8" s="69"/>
      <c r="D8" s="69"/>
    </row>
    <row r="9" spans="1:16" s="4" customFormat="1" ht="19.2" x14ac:dyDescent="0.45">
      <c r="A9" s="67" t="s">
        <v>502</v>
      </c>
      <c r="B9" s="68"/>
      <c r="C9" s="69"/>
      <c r="D9" s="69"/>
    </row>
    <row r="10" spans="1:16" s="4" customFormat="1" ht="19.2" x14ac:dyDescent="0.45">
      <c r="A10" s="67" t="s">
        <v>360</v>
      </c>
      <c r="B10" s="68"/>
      <c r="C10" s="69"/>
      <c r="D10" s="69"/>
    </row>
    <row r="11" spans="1:16" s="4" customFormat="1" ht="19.2" x14ac:dyDescent="0.45">
      <c r="A11" s="67" t="s">
        <v>503</v>
      </c>
      <c r="B11" s="68"/>
      <c r="C11" s="70"/>
      <c r="D11" s="69"/>
    </row>
    <row r="12" spans="1:16" s="4" customFormat="1" ht="15" customHeight="1" x14ac:dyDescent="0.45">
      <c r="A12" s="67" t="s">
        <v>38</v>
      </c>
      <c r="B12" s="68"/>
      <c r="C12" s="70"/>
      <c r="D12" s="69"/>
    </row>
    <row r="13" spans="1:16" s="4" customFormat="1" ht="15" customHeight="1" x14ac:dyDescent="0.45">
      <c r="A13" s="71" t="s">
        <v>504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498</v>
      </c>
      <c r="C16" s="105">
        <v>36500</v>
      </c>
      <c r="D16" s="79">
        <f t="shared" ref="D16:D17" si="0">A16*C16</f>
        <v>36500</v>
      </c>
      <c r="N16" s="23"/>
      <c r="O16" s="23"/>
      <c r="P16" s="23"/>
    </row>
    <row r="17" spans="1:16" s="23" customFormat="1" ht="15.6" x14ac:dyDescent="0.25">
      <c r="A17" s="103">
        <v>3</v>
      </c>
      <c r="B17" s="104" t="s">
        <v>497</v>
      </c>
      <c r="C17" s="105">
        <v>2380</v>
      </c>
      <c r="D17" s="79">
        <f t="shared" si="0"/>
        <v>7140</v>
      </c>
      <c r="E17" s="13"/>
      <c r="F17" s="1"/>
      <c r="G17" s="1"/>
      <c r="H17" s="1"/>
      <c r="I17" s="1"/>
      <c r="J17" s="1"/>
      <c r="K17" s="1"/>
      <c r="L17" s="1"/>
      <c r="M17" s="1"/>
    </row>
    <row r="18" spans="1:16" s="23" customFormat="1" ht="30" x14ac:dyDescent="0.25">
      <c r="A18" s="103">
        <v>1</v>
      </c>
      <c r="B18" s="104" t="s">
        <v>391</v>
      </c>
      <c r="C18" s="105">
        <v>36500</v>
      </c>
      <c r="D18" s="79">
        <f t="shared" ref="D18" si="1">A18*C18</f>
        <v>36500</v>
      </c>
      <c r="E18" s="13"/>
      <c r="F18" s="1"/>
      <c r="G18" s="1"/>
      <c r="H18" s="1"/>
      <c r="I18" s="1"/>
      <c r="J18" s="1"/>
      <c r="K18" s="1"/>
      <c r="L18" s="1"/>
      <c r="M18" s="1"/>
    </row>
    <row r="19" spans="1:16" s="23" customFormat="1" ht="15.6" x14ac:dyDescent="0.25">
      <c r="A19" s="103">
        <v>2</v>
      </c>
      <c r="B19" s="104" t="s">
        <v>499</v>
      </c>
      <c r="C19" s="105">
        <v>4520</v>
      </c>
      <c r="D19" s="79">
        <f t="shared" ref="D19" si="2">A19*C19</f>
        <v>9040</v>
      </c>
      <c r="E19" s="1"/>
      <c r="F19" s="1"/>
      <c r="G19" s="1"/>
      <c r="H19" s="1"/>
      <c r="I19" s="1"/>
      <c r="J19" s="1"/>
      <c r="K19" s="1"/>
      <c r="L19" s="1"/>
      <c r="M19" s="1"/>
    </row>
    <row r="20" spans="1:16" s="23" customFormat="1" ht="15.6" x14ac:dyDescent="0.3">
      <c r="A20" s="99"/>
      <c r="B20" s="85" t="s">
        <v>500</v>
      </c>
      <c r="C20" s="86" t="s">
        <v>49</v>
      </c>
      <c r="D20" s="87">
        <f>SUM(D16:D19)</f>
        <v>89180</v>
      </c>
      <c r="E20" s="1"/>
      <c r="F20" s="1"/>
      <c r="G20" s="1"/>
      <c r="H20" s="1"/>
      <c r="I20" s="1"/>
      <c r="J20" s="1"/>
      <c r="K20" s="1"/>
      <c r="L20" s="1"/>
      <c r="M20" s="1"/>
      <c r="N20" s="1"/>
      <c r="O20" s="1"/>
      <c r="P20" s="1"/>
    </row>
    <row r="21" spans="1:16" ht="15.6" x14ac:dyDescent="0.3">
      <c r="A21" s="99"/>
      <c r="B21" s="85"/>
      <c r="C21" s="90" t="s">
        <v>51</v>
      </c>
      <c r="D21" s="87">
        <f>D20*0.16</f>
        <v>14268.800000000001</v>
      </c>
    </row>
    <row r="22" spans="1:16" ht="16.2" thickBot="1" x14ac:dyDescent="0.3">
      <c r="A22" s="99"/>
      <c r="B22" s="100"/>
      <c r="C22" s="90" t="s">
        <v>52</v>
      </c>
      <c r="D22" s="87">
        <f>SUM(D20:D21)</f>
        <v>103448.8</v>
      </c>
    </row>
    <row r="23" spans="1:16" ht="16.2" thickBot="1" x14ac:dyDescent="0.3">
      <c r="A23" s="116"/>
      <c r="B23" s="186" t="s">
        <v>381</v>
      </c>
      <c r="C23" s="36"/>
      <c r="D23" s="37"/>
      <c r="O23" s="88"/>
      <c r="P23" s="88"/>
    </row>
    <row r="24" spans="1:16" s="88" customFormat="1" ht="13.8" x14ac:dyDescent="0.25">
      <c r="A24" s="34"/>
      <c r="B24" s="120" t="s">
        <v>15</v>
      </c>
      <c r="C24" s="121"/>
      <c r="D24" s="122"/>
      <c r="E24" s="1"/>
      <c r="F24" s="1"/>
      <c r="G24" s="1"/>
      <c r="H24" s="1"/>
      <c r="I24" s="1"/>
      <c r="J24" s="1"/>
      <c r="K24" s="1"/>
      <c r="L24" s="1"/>
      <c r="M24" s="1"/>
      <c r="N24" s="1"/>
      <c r="O24" s="1"/>
      <c r="P24" s="1"/>
    </row>
    <row r="25" spans="1:16" ht="15.6" x14ac:dyDescent="0.25">
      <c r="A25" s="34"/>
      <c r="B25" s="123"/>
      <c r="C25" s="1"/>
      <c r="D25" s="1"/>
    </row>
    <row r="26" spans="1:16" ht="13.8" x14ac:dyDescent="0.25">
      <c r="A26" s="286"/>
      <c r="B26" s="135" t="s">
        <v>17</v>
      </c>
      <c r="C26" s="1"/>
      <c r="D26" s="1"/>
    </row>
    <row r="27" spans="1:16" ht="15" x14ac:dyDescent="0.25">
      <c r="A27" s="288"/>
      <c r="B27" s="191" t="s">
        <v>19</v>
      </c>
      <c r="C27" s="1"/>
      <c r="D27" s="1"/>
    </row>
    <row r="28" spans="1:16" ht="15" x14ac:dyDescent="0.25">
      <c r="A28" s="288"/>
      <c r="B28" s="290" t="s">
        <v>60</v>
      </c>
      <c r="C28" s="1"/>
      <c r="D28" s="1"/>
    </row>
    <row r="29" spans="1:16" ht="15" x14ac:dyDescent="0.25">
      <c r="A29" s="288"/>
      <c r="B29" s="130" t="s">
        <v>23</v>
      </c>
      <c r="C29" s="13"/>
      <c r="D29" s="1"/>
    </row>
    <row r="30" spans="1:16" ht="27.6" x14ac:dyDescent="0.25">
      <c r="A30" s="288"/>
      <c r="B30" s="187" t="s">
        <v>62</v>
      </c>
      <c r="C30" s="13"/>
      <c r="D30" s="1"/>
    </row>
    <row r="31" spans="1:16" ht="15" x14ac:dyDescent="0.25">
      <c r="A31" s="288"/>
      <c r="B31" s="130" t="s">
        <v>26</v>
      </c>
      <c r="C31" s="13"/>
      <c r="D31" s="1"/>
    </row>
    <row r="32" spans="1:16" ht="31.2" customHeight="1" x14ac:dyDescent="0.25">
      <c r="A32" s="288"/>
      <c r="B32" s="512" t="s">
        <v>505</v>
      </c>
      <c r="C32" s="13"/>
      <c r="D32" s="1"/>
    </row>
    <row r="33" spans="1:4" ht="18" customHeight="1" x14ac:dyDescent="0.25">
      <c r="A33" s="288"/>
      <c r="B33" s="512" t="s">
        <v>28</v>
      </c>
      <c r="C33" s="1"/>
      <c r="D33" s="1"/>
    </row>
    <row r="34" spans="1:4" ht="15" x14ac:dyDescent="0.25">
      <c r="A34" s="288"/>
      <c r="B34" s="130" t="s">
        <v>29</v>
      </c>
      <c r="C34" s="1"/>
      <c r="D34" s="1"/>
    </row>
    <row r="35" spans="1:4" ht="13.8" x14ac:dyDescent="0.25">
      <c r="A35" s="88"/>
      <c r="B35" s="190" t="s">
        <v>64</v>
      </c>
      <c r="C35" s="133"/>
      <c r="D35" s="134"/>
    </row>
    <row r="36" spans="1:4" ht="15" x14ac:dyDescent="0.25">
      <c r="A36" s="288"/>
      <c r="B36" s="191" t="s">
        <v>31</v>
      </c>
      <c r="C36" s="54"/>
      <c r="D36" s="58"/>
    </row>
    <row r="37" spans="1:4" ht="15" x14ac:dyDescent="0.25">
      <c r="A37" s="288"/>
      <c r="B37" s="191" t="s">
        <v>32</v>
      </c>
      <c r="C37" s="54"/>
    </row>
    <row r="38" spans="1:4" ht="50.4" x14ac:dyDescent="0.25">
      <c r="A38" s="293" t="s">
        <v>0</v>
      </c>
      <c r="B38" s="193" t="s">
        <v>65</v>
      </c>
      <c r="C38" s="141"/>
      <c r="D38" s="1"/>
    </row>
    <row r="39" spans="1:4" x14ac:dyDescent="0.25">
      <c r="A39" s="142"/>
      <c r="B39" s="64"/>
      <c r="C39" s="64"/>
      <c r="D39" s="1"/>
    </row>
    <row r="40" spans="1:4" x14ac:dyDescent="0.25">
      <c r="A40" s="142"/>
      <c r="B40" s="64"/>
      <c r="C40" s="64"/>
      <c r="D40" s="1"/>
    </row>
    <row r="41" spans="1:4" x14ac:dyDescent="0.25">
      <c r="A41" s="142"/>
      <c r="B41" s="143"/>
      <c r="C41" s="64"/>
      <c r="D41" s="1"/>
    </row>
    <row r="42" spans="1:4" ht="15" x14ac:dyDescent="0.35">
      <c r="A42" s="144"/>
      <c r="B42" s="145"/>
      <c r="C42" s="64"/>
      <c r="D42" s="64"/>
    </row>
    <row r="43" spans="1:4" x14ac:dyDescent="0.25">
      <c r="A43" s="146" t="s">
        <v>0</v>
      </c>
    </row>
    <row r="44" spans="1:4" x14ac:dyDescent="0.25">
      <c r="A44"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2" fitToWidth="0" orientation="portrait" r:id="rId1"/>
  <headerFooter alignWithMargins="0">
    <oddFooter>Página &amp;P de &amp;N</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9A5A-1E05-4A9D-B192-D8FB3F0DDEE1}">
  <dimension ref="A11:G17"/>
  <sheetViews>
    <sheetView zoomScale="140" zoomScaleNormal="140" workbookViewId="0">
      <selection activeCell="D18" sqref="D18"/>
    </sheetView>
  </sheetViews>
  <sheetFormatPr baseColWidth="10" defaultColWidth="11.44140625" defaultRowHeight="14.4" x14ac:dyDescent="0.3"/>
  <cols>
    <col min="2" max="2" width="37.6640625" bestFit="1" customWidth="1"/>
    <col min="3" max="3" width="38" bestFit="1" customWidth="1"/>
    <col min="4" max="4" width="13.44140625" bestFit="1" customWidth="1"/>
    <col min="5" max="5" width="11" bestFit="1" customWidth="1"/>
    <col min="6" max="6" width="8" bestFit="1" customWidth="1"/>
    <col min="7" max="7" width="11.44140625" bestFit="1" customWidth="1"/>
  </cols>
  <sheetData>
    <row r="11" spans="1:7" x14ac:dyDescent="0.3">
      <c r="A11" s="316" t="s">
        <v>506</v>
      </c>
      <c r="B11" s="316" t="s">
        <v>507</v>
      </c>
      <c r="C11" s="316" t="s">
        <v>508</v>
      </c>
      <c r="D11" s="316" t="s">
        <v>509</v>
      </c>
      <c r="E11" s="316" t="s">
        <v>510</v>
      </c>
      <c r="F11" s="316" t="s">
        <v>511</v>
      </c>
      <c r="G11" s="316" t="s">
        <v>512</v>
      </c>
    </row>
    <row r="12" spans="1:7" x14ac:dyDescent="0.3">
      <c r="A12" s="513">
        <v>45950</v>
      </c>
      <c r="B12" s="307" t="s">
        <v>521</v>
      </c>
      <c r="C12" s="307"/>
      <c r="D12" s="320">
        <v>58881.599999999999</v>
      </c>
      <c r="E12" s="320" t="s">
        <v>513</v>
      </c>
      <c r="F12" s="307" t="s">
        <v>514</v>
      </c>
      <c r="G12" s="307" t="s">
        <v>515</v>
      </c>
    </row>
    <row r="13" spans="1:7" x14ac:dyDescent="0.3">
      <c r="A13" s="513">
        <v>45870</v>
      </c>
      <c r="B13" s="307" t="s">
        <v>516</v>
      </c>
      <c r="C13" s="307" t="s">
        <v>517</v>
      </c>
      <c r="D13" s="320">
        <v>14616</v>
      </c>
      <c r="E13" s="320" t="s">
        <v>513</v>
      </c>
      <c r="F13" s="307">
        <v>23160</v>
      </c>
      <c r="G13" s="307" t="s">
        <v>515</v>
      </c>
    </row>
    <row r="14" spans="1:7" x14ac:dyDescent="0.3">
      <c r="A14" s="513">
        <v>45861</v>
      </c>
      <c r="B14" s="307" t="s">
        <v>520</v>
      </c>
      <c r="C14" s="307" t="s">
        <v>518</v>
      </c>
      <c r="D14" s="320">
        <v>4640</v>
      </c>
      <c r="E14" s="320" t="s">
        <v>513</v>
      </c>
      <c r="F14" s="307">
        <v>23093</v>
      </c>
      <c r="G14" s="307" t="s">
        <v>515</v>
      </c>
    </row>
    <row r="15" spans="1:7" x14ac:dyDescent="0.3">
      <c r="A15" s="513">
        <v>45920</v>
      </c>
      <c r="B15" s="307" t="s">
        <v>519</v>
      </c>
      <c r="C15" s="307" t="s">
        <v>0</v>
      </c>
      <c r="D15" s="320">
        <v>4640</v>
      </c>
      <c r="E15" s="320" t="s">
        <v>513</v>
      </c>
      <c r="F15" s="307" t="s">
        <v>514</v>
      </c>
      <c r="G15" s="307" t="s">
        <v>515</v>
      </c>
    </row>
    <row r="16" spans="1:7" x14ac:dyDescent="0.3">
      <c r="A16" s="513">
        <v>45950</v>
      </c>
      <c r="B16" s="307" t="s">
        <v>522</v>
      </c>
      <c r="C16" s="307"/>
      <c r="D16" s="320">
        <v>59554.400000000001</v>
      </c>
      <c r="E16" s="320" t="s">
        <v>513</v>
      </c>
      <c r="F16" s="307" t="s">
        <v>514</v>
      </c>
      <c r="G16" s="307" t="s">
        <v>515</v>
      </c>
    </row>
    <row r="17" spans="1:7" x14ac:dyDescent="0.3">
      <c r="A17" s="513">
        <v>45950</v>
      </c>
      <c r="B17" s="307" t="s">
        <v>523</v>
      </c>
      <c r="C17" s="307"/>
      <c r="D17" s="320">
        <v>4640</v>
      </c>
      <c r="E17" s="320" t="s">
        <v>513</v>
      </c>
      <c r="F17" s="307" t="s">
        <v>514</v>
      </c>
      <c r="G17" s="307" t="s">
        <v>515</v>
      </c>
    </row>
  </sheetData>
  <pageMargins left="0.7" right="0.7" top="0.75" bottom="0.75" header="0.3" footer="0.3"/>
  <pageSetup paperSize="9" orientation="landscape" r:id="rId1"/>
  <drawing r:id="rId2"/>
  <tableParts count="1">
    <tablePart r:id="rId3"/>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CCF4F-D732-47E4-BB73-7D2FE86EB0AB}">
  <sheetPr>
    <tabColor theme="4" tint="-0.249977111117893"/>
    <pageSetUpPr fitToPage="1"/>
  </sheetPr>
  <dimension ref="A1:M70"/>
  <sheetViews>
    <sheetView topLeftCell="A10" zoomScale="85" zoomScaleNormal="85" workbookViewId="0">
      <selection activeCell="B34" sqref="B34"/>
    </sheetView>
  </sheetViews>
  <sheetFormatPr baseColWidth="10" defaultColWidth="11.44140625" defaultRowHeight="13.2" x14ac:dyDescent="0.25"/>
  <cols>
    <col min="1" max="1" width="6" style="1" customWidth="1"/>
    <col min="2" max="2" width="96.886718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443</v>
      </c>
      <c r="B8" s="68"/>
      <c r="C8" s="69"/>
      <c r="D8" s="69"/>
    </row>
    <row r="9" spans="1:12" s="4" customFormat="1" ht="19.2" x14ac:dyDescent="0.45">
      <c r="A9" s="67" t="s">
        <v>444</v>
      </c>
      <c r="B9" s="68"/>
      <c r="C9" s="69"/>
      <c r="D9" s="69"/>
    </row>
    <row r="10" spans="1:12" s="4" customFormat="1" ht="19.2" x14ac:dyDescent="0.45">
      <c r="A10" s="67" t="s">
        <v>445</v>
      </c>
      <c r="B10" s="68"/>
      <c r="C10" s="69"/>
      <c r="D10" s="69"/>
    </row>
    <row r="11" spans="1:12" s="4" customFormat="1" ht="19.2" x14ac:dyDescent="0.45">
      <c r="A11" s="67" t="s">
        <v>452</v>
      </c>
      <c r="B11" s="68"/>
      <c r="C11" s="70"/>
      <c r="D11" s="69"/>
    </row>
    <row r="12" spans="1:12" s="4" customFormat="1" ht="15" customHeight="1" x14ac:dyDescent="0.45">
      <c r="A12" s="67" t="s">
        <v>38</v>
      </c>
      <c r="B12" s="68"/>
      <c r="C12" s="70"/>
      <c r="D12" s="69"/>
    </row>
    <row r="13" spans="1:12" s="4" customFormat="1" ht="19.2" x14ac:dyDescent="0.45">
      <c r="A13" s="71" t="s">
        <v>524</v>
      </c>
      <c r="B13" s="72"/>
      <c r="C13" s="73"/>
      <c r="D13" s="74"/>
      <c r="E13" s="10"/>
      <c r="F13" s="10"/>
      <c r="G13" s="10"/>
    </row>
    <row r="14" spans="1:12" s="4" customFormat="1" ht="19.2" x14ac:dyDescent="0.4">
      <c r="A14" s="758" t="s">
        <v>40</v>
      </c>
      <c r="B14" s="759"/>
      <c r="C14" s="760"/>
      <c r="D14" s="761"/>
      <c r="E14" s="1"/>
      <c r="F14" s="1"/>
      <c r="G14" s="1"/>
      <c r="H14" s="10"/>
      <c r="I14" s="10"/>
      <c r="J14" s="10"/>
      <c r="K14" s="10"/>
      <c r="L14" s="10"/>
    </row>
    <row r="15" spans="1:12" s="10" customFormat="1" ht="13.8" x14ac:dyDescent="0.25">
      <c r="A15" s="197"/>
      <c r="B15" s="198"/>
      <c r="C15" s="199"/>
      <c r="D15" s="199"/>
      <c r="E15" s="17"/>
      <c r="F15" s="23"/>
      <c r="G15" s="23"/>
      <c r="H15" s="1"/>
      <c r="I15" s="1"/>
      <c r="J15" s="1"/>
      <c r="K15" s="1"/>
      <c r="L15" s="1"/>
    </row>
    <row r="16" spans="1:12" ht="90.6" x14ac:dyDescent="0.25">
      <c r="A16" s="491">
        <v>1</v>
      </c>
      <c r="B16" s="485" t="s">
        <v>525</v>
      </c>
      <c r="C16" s="486">
        <f>55000+(24*950)</f>
        <v>77800</v>
      </c>
      <c r="D16" s="489">
        <f>A16*C16</f>
        <v>77800</v>
      </c>
      <c r="E16" s="17"/>
      <c r="H16" s="23"/>
      <c r="I16" s="23"/>
      <c r="J16" s="23"/>
      <c r="K16" s="23"/>
      <c r="L16" s="23"/>
    </row>
    <row r="17" spans="1:13" s="23" customFormat="1" ht="26.4" x14ac:dyDescent="0.25">
      <c r="A17" s="492">
        <v>1</v>
      </c>
      <c r="B17" s="493" t="s">
        <v>526</v>
      </c>
      <c r="C17" s="494" t="s">
        <v>365</v>
      </c>
      <c r="D17" s="489"/>
      <c r="E17" s="17"/>
      <c r="F17" s="1"/>
      <c r="G17" s="1"/>
    </row>
    <row r="18" spans="1:13" s="23" customFormat="1" ht="15.6" x14ac:dyDescent="0.3">
      <c r="A18" s="487"/>
      <c r="B18" s="499"/>
      <c r="C18" s="488"/>
      <c r="D18" s="490"/>
      <c r="E18" s="13"/>
      <c r="F18" s="1"/>
      <c r="G18" s="1"/>
      <c r="H18" s="1"/>
      <c r="I18" s="1"/>
      <c r="J18" s="1"/>
      <c r="K18" s="1"/>
      <c r="L18" s="1"/>
    </row>
    <row r="19" spans="1:13" s="23" customFormat="1" ht="15.6" x14ac:dyDescent="0.3">
      <c r="A19" s="161"/>
      <c r="B19" s="500" t="s">
        <v>527</v>
      </c>
      <c r="C19" s="496" t="s">
        <v>49</v>
      </c>
      <c r="D19" s="490">
        <f>SUM(D15:D18)</f>
        <v>77800</v>
      </c>
      <c r="E19" s="13"/>
      <c r="F19" s="1"/>
      <c r="G19" s="1"/>
      <c r="H19" s="1"/>
      <c r="I19" s="1"/>
      <c r="J19" s="1"/>
      <c r="K19" s="1"/>
      <c r="L19" s="1"/>
    </row>
    <row r="20" spans="1:13" s="23" customFormat="1" ht="21" customHeight="1" x14ac:dyDescent="0.3">
      <c r="A20" s="161"/>
      <c r="B20" s="500" t="s">
        <v>528</v>
      </c>
      <c r="C20" s="497" t="s">
        <v>51</v>
      </c>
      <c r="D20" s="171">
        <f>D19*0.16</f>
        <v>12448</v>
      </c>
      <c r="E20" s="13"/>
      <c r="F20" s="1"/>
      <c r="G20" s="1"/>
      <c r="H20" s="1"/>
      <c r="I20" s="1"/>
      <c r="J20" s="1"/>
      <c r="K20" s="1"/>
      <c r="L20" s="1"/>
    </row>
    <row r="21" spans="1:13" s="23" customFormat="1" ht="16.2" thickBot="1" x14ac:dyDescent="0.35">
      <c r="A21" s="161"/>
      <c r="B21" s="500"/>
      <c r="C21" s="498" t="s">
        <v>77</v>
      </c>
      <c r="D21" s="174">
        <f>D19+D20</f>
        <v>90248</v>
      </c>
      <c r="E21" s="13"/>
      <c r="F21" s="1"/>
      <c r="G21" s="1"/>
      <c r="H21" s="1"/>
      <c r="I21" s="1"/>
      <c r="J21" s="1"/>
      <c r="K21" s="1"/>
      <c r="L21" s="1"/>
      <c r="M21" s="1"/>
    </row>
    <row r="22" spans="1:13" s="23" customFormat="1" ht="16.2" thickBot="1" x14ac:dyDescent="0.3">
      <c r="A22" s="116"/>
      <c r="B22" s="788" t="s">
        <v>453</v>
      </c>
      <c r="C22" s="789"/>
      <c r="D22" s="790"/>
      <c r="E22" s="1"/>
      <c r="F22" s="1"/>
      <c r="G22" s="1"/>
      <c r="H22" s="1"/>
      <c r="I22" s="1"/>
      <c r="J22" s="1"/>
      <c r="K22" s="1"/>
      <c r="L22" s="1"/>
      <c r="M22" s="1"/>
    </row>
    <row r="23" spans="1:13" s="23" customFormat="1" x14ac:dyDescent="0.25">
      <c r="A23" s="34"/>
      <c r="B23" s="117"/>
      <c r="C23" s="163"/>
      <c r="D23" s="164"/>
      <c r="E23" s="1"/>
      <c r="F23" s="1"/>
      <c r="G23" s="1"/>
      <c r="H23" s="1"/>
      <c r="I23" s="1"/>
      <c r="J23" s="1"/>
      <c r="K23" s="1"/>
      <c r="L23" s="1"/>
      <c r="M23" s="1"/>
    </row>
    <row r="24" spans="1:13" s="23" customFormat="1" ht="13.8" x14ac:dyDescent="0.25">
      <c r="A24" s="34"/>
      <c r="B24" s="135" t="s">
        <v>15</v>
      </c>
      <c r="C24" s="165"/>
      <c r="D24" s="56"/>
      <c r="E24" s="1"/>
      <c r="F24" s="1"/>
      <c r="G24" s="1"/>
      <c r="H24" s="1"/>
      <c r="I24" s="1"/>
      <c r="J24" s="1"/>
      <c r="K24" s="1"/>
      <c r="L24" s="1"/>
      <c r="M24" s="1"/>
    </row>
    <row r="25" spans="1:13" s="23" customFormat="1" ht="15" x14ac:dyDescent="0.25">
      <c r="A25" s="62"/>
      <c r="B25" s="135" t="s">
        <v>17</v>
      </c>
      <c r="C25" s="3"/>
      <c r="D25" s="56"/>
      <c r="E25" s="1"/>
      <c r="F25" s="1"/>
      <c r="G25" s="1"/>
      <c r="H25" s="1"/>
      <c r="I25" s="1"/>
      <c r="J25" s="1"/>
      <c r="K25" s="1"/>
      <c r="L25" s="1"/>
      <c r="M25" s="1"/>
    </row>
    <row r="26" spans="1:13" s="23" customFormat="1" ht="15" x14ac:dyDescent="0.25">
      <c r="A26" s="62"/>
      <c r="B26" s="191" t="s">
        <v>289</v>
      </c>
      <c r="C26" s="3"/>
      <c r="D26" s="56"/>
      <c r="E26" s="1"/>
      <c r="F26" s="1"/>
      <c r="G26" s="1"/>
      <c r="H26" s="1"/>
      <c r="I26" s="1"/>
      <c r="J26" s="1"/>
      <c r="K26" s="1"/>
      <c r="L26" s="1"/>
      <c r="M26" s="1"/>
    </row>
    <row r="27" spans="1:13" s="23" customFormat="1" ht="15" x14ac:dyDescent="0.25">
      <c r="A27" s="62"/>
      <c r="B27" s="191" t="s">
        <v>21</v>
      </c>
      <c r="C27" s="3"/>
      <c r="D27" s="56"/>
      <c r="E27" s="1"/>
      <c r="F27" s="1"/>
      <c r="G27" s="1"/>
      <c r="H27" s="1"/>
      <c r="I27" s="1"/>
      <c r="J27" s="1"/>
      <c r="K27" s="1"/>
      <c r="L27" s="1"/>
      <c r="M27" s="1"/>
    </row>
    <row r="28" spans="1:13" s="23" customFormat="1" ht="15" x14ac:dyDescent="0.25">
      <c r="A28" s="62"/>
      <c r="B28" s="191" t="s">
        <v>60</v>
      </c>
      <c r="C28" s="3"/>
      <c r="D28" s="56"/>
      <c r="E28" s="1"/>
      <c r="F28" s="1"/>
      <c r="G28" s="1"/>
      <c r="H28" s="1"/>
      <c r="I28" s="1"/>
      <c r="J28" s="1"/>
      <c r="K28" s="1"/>
      <c r="L28" s="1"/>
      <c r="M28" s="1"/>
    </row>
    <row r="29" spans="1:13" s="23" customFormat="1" ht="13.8" x14ac:dyDescent="0.25">
      <c r="A29" s="1"/>
      <c r="B29" s="135" t="s">
        <v>23</v>
      </c>
      <c r="C29" s="3"/>
      <c r="D29" s="3"/>
      <c r="E29" s="1"/>
      <c r="F29" s="1"/>
      <c r="G29" s="1"/>
      <c r="H29" s="1"/>
      <c r="I29" s="1"/>
      <c r="J29" s="1"/>
      <c r="K29" s="1"/>
      <c r="L29" s="1"/>
      <c r="M29" s="1"/>
    </row>
    <row r="30" spans="1:13" s="23" customFormat="1" ht="15" x14ac:dyDescent="0.25">
      <c r="A30" s="62"/>
      <c r="B30" s="187" t="s">
        <v>450</v>
      </c>
      <c r="C30" s="3"/>
      <c r="D30" s="3"/>
      <c r="E30" s="13"/>
      <c r="F30" s="1"/>
      <c r="G30" s="1"/>
      <c r="H30" s="1"/>
      <c r="I30" s="1"/>
      <c r="J30" s="1"/>
      <c r="K30" s="1"/>
      <c r="L30" s="1"/>
      <c r="M30" s="1"/>
    </row>
    <row r="31" spans="1:13" ht="27.6" x14ac:dyDescent="0.25">
      <c r="A31" s="62"/>
      <c r="B31" s="187" t="s">
        <v>62</v>
      </c>
      <c r="C31" s="54"/>
      <c r="D31" s="58"/>
      <c r="E31" s="13"/>
    </row>
    <row r="32" spans="1:13" ht="15" x14ac:dyDescent="0.25">
      <c r="A32" s="62"/>
      <c r="B32" s="135" t="s">
        <v>26</v>
      </c>
      <c r="C32" s="54"/>
      <c r="D32" s="58"/>
    </row>
    <row r="33" spans="1:4" ht="15" x14ac:dyDescent="0.25">
      <c r="A33" s="62"/>
      <c r="B33" s="189" t="s">
        <v>567</v>
      </c>
      <c r="C33" s="54"/>
      <c r="D33" s="54"/>
    </row>
    <row r="34" spans="1:4" ht="15" x14ac:dyDescent="0.25">
      <c r="A34" s="62"/>
      <c r="B34" s="189" t="s">
        <v>28</v>
      </c>
      <c r="C34" s="54"/>
      <c r="D34" s="54"/>
    </row>
    <row r="35" spans="1:4" ht="13.8" x14ac:dyDescent="0.25">
      <c r="B35" s="135" t="s">
        <v>29</v>
      </c>
      <c r="D35" s="56"/>
    </row>
    <row r="36" spans="1:4" ht="15" x14ac:dyDescent="0.25">
      <c r="A36" s="62"/>
      <c r="B36" s="190" t="s">
        <v>81</v>
      </c>
      <c r="C36" s="54"/>
      <c r="D36" s="58"/>
    </row>
    <row r="37" spans="1:4" ht="15" x14ac:dyDescent="0.25">
      <c r="A37" s="62"/>
      <c r="B37" s="191" t="s">
        <v>31</v>
      </c>
      <c r="C37" s="54"/>
      <c r="D37" s="58"/>
    </row>
    <row r="38" spans="1:4" ht="13.8" x14ac:dyDescent="0.25">
      <c r="A38" s="139" t="s">
        <v>0</v>
      </c>
      <c r="B38" s="191" t="s">
        <v>32</v>
      </c>
      <c r="C38" s="54"/>
    </row>
    <row r="39" spans="1:4" ht="50.4" x14ac:dyDescent="0.25">
      <c r="A39" s="142"/>
      <c r="B39" s="193" t="s">
        <v>65</v>
      </c>
      <c r="C39" s="141"/>
      <c r="D39" s="1"/>
    </row>
    <row r="40" spans="1:4" ht="17.25" customHeight="1" x14ac:dyDescent="0.25">
      <c r="A40" s="142"/>
      <c r="B40" s="64"/>
      <c r="C40" s="64"/>
      <c r="D40" s="1"/>
    </row>
    <row r="41" spans="1:4" x14ac:dyDescent="0.25">
      <c r="A41" s="142"/>
      <c r="B41" s="64"/>
      <c r="C41" s="64"/>
      <c r="D41" s="1"/>
    </row>
    <row r="42" spans="1:4" ht="13.5" customHeight="1" x14ac:dyDescent="0.25">
      <c r="A42" s="144"/>
      <c r="B42" s="143"/>
      <c r="C42" s="64"/>
      <c r="D42" s="1"/>
    </row>
    <row r="43" spans="1:4" ht="15" x14ac:dyDescent="0.35">
      <c r="A43" s="146" t="s">
        <v>0</v>
      </c>
      <c r="B43" s="145"/>
      <c r="C43" s="64"/>
      <c r="D43" s="64"/>
    </row>
    <row r="44" spans="1:4" x14ac:dyDescent="0.25">
      <c r="A44" s="1" t="s">
        <v>0</v>
      </c>
    </row>
    <row r="48" spans="1:4" ht="18" customHeight="1" x14ac:dyDescent="0.25"/>
    <row r="61" ht="12.75" customHeight="1" x14ac:dyDescent="0.25"/>
    <row r="65" ht="16.5" customHeight="1" x14ac:dyDescent="0.25"/>
    <row r="69" ht="15.75" customHeight="1" x14ac:dyDescent="0.25"/>
    <row r="70" ht="15" customHeight="1" x14ac:dyDescent="0.25"/>
  </sheetData>
  <mergeCells count="3">
    <mergeCell ref="A4:D4"/>
    <mergeCell ref="A14:D14"/>
    <mergeCell ref="B22:D22"/>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58D6-B952-475A-B17E-641DFB3A322D}">
  <sheetPr>
    <tabColor theme="4" tint="-0.249977111117893"/>
    <pageSetUpPr fitToPage="1"/>
  </sheetPr>
  <dimension ref="A1:P59"/>
  <sheetViews>
    <sheetView topLeftCell="A4" zoomScale="85" zoomScaleNormal="85" workbookViewId="0">
      <selection activeCell="D17" sqref="D17:D18"/>
    </sheetView>
  </sheetViews>
  <sheetFormatPr baseColWidth="10" defaultColWidth="11.44140625" defaultRowHeight="13.2" x14ac:dyDescent="0.25"/>
  <cols>
    <col min="1" max="1" width="6" style="1" customWidth="1"/>
    <col min="2" max="2" width="76.6640625" style="1" customWidth="1"/>
    <col min="3" max="3" width="15.33203125" style="3" bestFit="1"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443</v>
      </c>
      <c r="B8" s="68"/>
      <c r="C8" s="69"/>
      <c r="D8" s="69"/>
    </row>
    <row r="9" spans="1:16" s="4" customFormat="1" ht="19.2" x14ac:dyDescent="0.45">
      <c r="A9" s="67" t="s">
        <v>444</v>
      </c>
      <c r="B9" s="68"/>
      <c r="C9" s="69"/>
      <c r="D9" s="69"/>
    </row>
    <row r="10" spans="1:16" s="4" customFormat="1" ht="19.2" x14ac:dyDescent="0.45">
      <c r="A10" s="67" t="s">
        <v>445</v>
      </c>
      <c r="B10" s="68"/>
      <c r="C10" s="69"/>
      <c r="D10" s="69"/>
    </row>
    <row r="11" spans="1:16" s="4" customFormat="1" ht="19.2" x14ac:dyDescent="0.45">
      <c r="A11" s="67" t="s">
        <v>452</v>
      </c>
      <c r="B11" s="68"/>
      <c r="C11" s="70"/>
      <c r="D11" s="69"/>
    </row>
    <row r="12" spans="1:16" s="4" customFormat="1" ht="15" customHeight="1" x14ac:dyDescent="0.45">
      <c r="A12" s="67" t="s">
        <v>38</v>
      </c>
      <c r="B12" s="68"/>
      <c r="C12" s="70"/>
      <c r="D12" s="69"/>
    </row>
    <row r="13" spans="1:16" s="4" customFormat="1" ht="15" customHeight="1" x14ac:dyDescent="0.45">
      <c r="A13" s="71" t="s">
        <v>524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103">
        <v>1</v>
      </c>
      <c r="B16" s="104" t="s">
        <v>592</v>
      </c>
      <c r="C16" s="105">
        <f>35586*1.3</f>
        <v>46261.8</v>
      </c>
      <c r="D16" s="79">
        <f t="shared" ref="D16:D19" si="0">A16*C16</f>
        <v>46261.8</v>
      </c>
      <c r="N16" s="23"/>
      <c r="O16" s="23"/>
      <c r="P16" s="23"/>
    </row>
    <row r="17" spans="1:16" s="23" customFormat="1" ht="30" x14ac:dyDescent="0.25">
      <c r="A17" s="103">
        <v>1</v>
      </c>
      <c r="B17" s="104" t="s">
        <v>589</v>
      </c>
      <c r="C17" s="105">
        <f>89948*1.3</f>
        <v>116932.40000000001</v>
      </c>
      <c r="D17" s="79">
        <f t="shared" si="0"/>
        <v>116932.40000000001</v>
      </c>
      <c r="E17" s="13"/>
      <c r="F17" s="1"/>
      <c r="G17" s="1"/>
      <c r="H17" s="1"/>
      <c r="I17" s="1"/>
      <c r="J17" s="1"/>
      <c r="K17" s="1"/>
      <c r="L17" s="1"/>
      <c r="M17" s="1"/>
    </row>
    <row r="18" spans="1:16" s="23" customFormat="1" ht="15.6" x14ac:dyDescent="0.25">
      <c r="A18" s="103">
        <v>1</v>
      </c>
      <c r="B18" s="104" t="s">
        <v>591</v>
      </c>
      <c r="C18" s="327">
        <f>30140*1.3</f>
        <v>39182</v>
      </c>
      <c r="D18" s="79">
        <f t="shared" si="0"/>
        <v>39182</v>
      </c>
      <c r="E18" s="13"/>
      <c r="F18" s="1"/>
      <c r="G18" s="1"/>
      <c r="H18" s="1"/>
      <c r="I18" s="1"/>
      <c r="J18" s="1"/>
      <c r="K18" s="1"/>
      <c r="L18" s="1"/>
      <c r="M18" s="1"/>
    </row>
    <row r="19" spans="1:16" s="23" customFormat="1" ht="15.6" x14ac:dyDescent="0.25">
      <c r="A19" s="103">
        <v>1</v>
      </c>
      <c r="B19" s="104" t="s">
        <v>590</v>
      </c>
      <c r="C19" s="327">
        <f>25095*1.25</f>
        <v>31368.75</v>
      </c>
      <c r="D19" s="79">
        <f t="shared" si="0"/>
        <v>31368.75</v>
      </c>
      <c r="E19" s="13"/>
      <c r="F19" s="1"/>
      <c r="G19" s="1"/>
      <c r="H19" s="1"/>
      <c r="I19" s="1"/>
      <c r="J19" s="1"/>
      <c r="K19" s="1"/>
      <c r="L19" s="1"/>
      <c r="M19" s="1"/>
    </row>
    <row r="20" spans="1:16" s="23" customFormat="1" ht="15.6" x14ac:dyDescent="0.3">
      <c r="A20" s="516"/>
      <c r="B20" s="517"/>
      <c r="C20" s="86" t="s">
        <v>49</v>
      </c>
      <c r="D20" s="87">
        <f>SUM(D16:D17)</f>
        <v>163194.20000000001</v>
      </c>
      <c r="E20" s="1"/>
      <c r="F20" s="1"/>
      <c r="G20" s="1"/>
      <c r="H20" s="1"/>
      <c r="I20" s="1"/>
      <c r="J20" s="1"/>
      <c r="K20" s="1"/>
      <c r="L20" s="1"/>
      <c r="M20" s="1"/>
      <c r="N20" s="1"/>
      <c r="O20" s="1"/>
      <c r="P20" s="1"/>
    </row>
    <row r="21" spans="1:16" ht="15.6" x14ac:dyDescent="0.3">
      <c r="A21" s="516"/>
      <c r="B21" s="517"/>
      <c r="C21" s="90" t="s">
        <v>51</v>
      </c>
      <c r="D21" s="87">
        <f>D20*0.16</f>
        <v>26111.072000000004</v>
      </c>
    </row>
    <row r="22" spans="1:16" ht="16.2" thickBot="1" x14ac:dyDescent="0.3">
      <c r="A22" s="516"/>
      <c r="B22" s="100"/>
      <c r="C22" s="90" t="s">
        <v>52</v>
      </c>
      <c r="D22" s="87">
        <f>SUM(D20:D21)</f>
        <v>189305.27200000003</v>
      </c>
    </row>
    <row r="23" spans="1:16" ht="16.2" thickBot="1" x14ac:dyDescent="0.3">
      <c r="A23" s="116"/>
      <c r="B23" s="186" t="s">
        <v>381</v>
      </c>
      <c r="C23" s="36"/>
      <c r="D23" s="37"/>
      <c r="O23" s="88"/>
      <c r="P23" s="88"/>
    </row>
    <row r="24" spans="1:16" s="88" customFormat="1" ht="13.8" x14ac:dyDescent="0.25">
      <c r="A24" s="34"/>
      <c r="B24" s="120" t="s">
        <v>15</v>
      </c>
      <c r="C24" s="121"/>
      <c r="D24" s="122"/>
      <c r="E24" s="1"/>
      <c r="F24" s="1"/>
      <c r="G24" s="1"/>
      <c r="H24" s="1"/>
      <c r="I24" s="1"/>
      <c r="J24" s="1"/>
      <c r="K24" s="1"/>
      <c r="L24" s="1"/>
      <c r="M24" s="1"/>
      <c r="N24" s="1"/>
      <c r="O24" s="1"/>
      <c r="P24" s="1"/>
    </row>
    <row r="25" spans="1:16" ht="15.6" x14ac:dyDescent="0.25">
      <c r="A25" s="34"/>
      <c r="B25" s="123"/>
      <c r="C25" s="1"/>
      <c r="D25" s="1"/>
    </row>
    <row r="26" spans="1:16" ht="13.8" x14ac:dyDescent="0.25">
      <c r="A26" s="286"/>
      <c r="B26" s="135" t="s">
        <v>17</v>
      </c>
      <c r="C26" s="1"/>
      <c r="D26" s="1"/>
    </row>
    <row r="27" spans="1:16" ht="15" x14ac:dyDescent="0.25">
      <c r="A27" s="288"/>
      <c r="B27" s="191" t="s">
        <v>19</v>
      </c>
      <c r="C27" s="1"/>
      <c r="D27" s="1"/>
    </row>
    <row r="28" spans="1:16" ht="15" x14ac:dyDescent="0.25">
      <c r="A28" s="288"/>
      <c r="B28" s="290" t="s">
        <v>60</v>
      </c>
      <c r="C28" s="1"/>
      <c r="D28" s="1"/>
    </row>
    <row r="29" spans="1:16" ht="15" x14ac:dyDescent="0.25">
      <c r="A29" s="288"/>
      <c r="B29" s="130" t="s">
        <v>23</v>
      </c>
      <c r="C29" s="13"/>
      <c r="D29" s="1"/>
    </row>
    <row r="30" spans="1:16" ht="27.6" x14ac:dyDescent="0.25">
      <c r="A30" s="288"/>
      <c r="B30" s="187" t="s">
        <v>62</v>
      </c>
      <c r="C30" s="13"/>
      <c r="D30" s="1"/>
    </row>
    <row r="31" spans="1:16" ht="15" x14ac:dyDescent="0.25">
      <c r="A31" s="288"/>
      <c r="B31" s="130" t="s">
        <v>26</v>
      </c>
      <c r="C31" s="13"/>
      <c r="D31" s="1"/>
    </row>
    <row r="32" spans="1:16" ht="31.2" customHeight="1" x14ac:dyDescent="0.25">
      <c r="A32" s="288"/>
      <c r="B32" s="512" t="s">
        <v>505</v>
      </c>
      <c r="C32" s="13"/>
      <c r="D32" s="1"/>
    </row>
    <row r="33" spans="1:4" ht="18" customHeight="1" x14ac:dyDescent="0.25">
      <c r="A33" s="288"/>
      <c r="B33" s="512" t="s">
        <v>28</v>
      </c>
      <c r="C33" s="1"/>
      <c r="D33" s="1"/>
    </row>
    <row r="34" spans="1:4" ht="15" x14ac:dyDescent="0.25">
      <c r="A34" s="288"/>
      <c r="B34" s="130" t="s">
        <v>29</v>
      </c>
      <c r="C34" s="1"/>
      <c r="D34" s="1"/>
    </row>
    <row r="35" spans="1:4" ht="13.8" x14ac:dyDescent="0.25">
      <c r="A35" s="88"/>
      <c r="B35" s="190" t="s">
        <v>64</v>
      </c>
      <c r="C35" s="133"/>
      <c r="D35" s="134"/>
    </row>
    <row r="36" spans="1:4" ht="15" x14ac:dyDescent="0.25">
      <c r="A36" s="288"/>
      <c r="B36" s="191" t="s">
        <v>31</v>
      </c>
      <c r="C36" s="54"/>
      <c r="D36" s="58"/>
    </row>
    <row r="37" spans="1:4" ht="15" x14ac:dyDescent="0.25">
      <c r="A37" s="288"/>
      <c r="B37" s="191" t="s">
        <v>32</v>
      </c>
      <c r="C37" s="54"/>
    </row>
    <row r="38" spans="1:4" ht="50.4" x14ac:dyDescent="0.25">
      <c r="A38" s="293" t="s">
        <v>0</v>
      </c>
      <c r="B38" s="193" t="s">
        <v>65</v>
      </c>
      <c r="C38" s="141"/>
      <c r="D38" s="1"/>
    </row>
    <row r="39" spans="1:4" x14ac:dyDescent="0.25">
      <c r="A39" s="142"/>
      <c r="B39" s="64"/>
      <c r="C39" s="64"/>
      <c r="D39" s="1"/>
    </row>
    <row r="40" spans="1:4" x14ac:dyDescent="0.25">
      <c r="A40" s="142"/>
      <c r="B40" s="64"/>
      <c r="C40" s="64"/>
      <c r="D40" s="1"/>
    </row>
    <row r="41" spans="1:4" x14ac:dyDescent="0.25">
      <c r="A41" s="142"/>
      <c r="B41" s="143"/>
      <c r="C41" s="64"/>
      <c r="D41" s="1"/>
    </row>
    <row r="42" spans="1:4" ht="15" x14ac:dyDescent="0.35">
      <c r="A42" s="144"/>
      <c r="B42" s="145"/>
      <c r="C42" s="64"/>
      <c r="D42" s="64"/>
    </row>
    <row r="43" spans="1:4" x14ac:dyDescent="0.25">
      <c r="A43" s="146" t="s">
        <v>0</v>
      </c>
    </row>
    <row r="44" spans="1:4" x14ac:dyDescent="0.25">
      <c r="A44"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3" fitToWidth="0" orientation="portrait" r:id="rId1"/>
  <headerFooter alignWithMargins="0">
    <oddFooter>Página &amp;P de &amp;N</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594F-6EF8-4669-ACA8-80FFF97002BA}">
  <sheetPr>
    <tabColor theme="4" tint="-0.249977111117893"/>
    <pageSetUpPr fitToPage="1"/>
  </sheetPr>
  <dimension ref="A1:P59"/>
  <sheetViews>
    <sheetView topLeftCell="A11" zoomScale="85" zoomScaleNormal="85" workbookViewId="0">
      <selection activeCell="B22" sqref="B22"/>
    </sheetView>
  </sheetViews>
  <sheetFormatPr baseColWidth="10" defaultColWidth="11.44140625" defaultRowHeight="13.2" x14ac:dyDescent="0.25"/>
  <cols>
    <col min="1" max="1" width="6" style="1" customWidth="1"/>
    <col min="2" max="2" width="79.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443</v>
      </c>
      <c r="B8" s="68"/>
      <c r="C8" s="69"/>
      <c r="D8" s="69"/>
    </row>
    <row r="9" spans="1:16" s="4" customFormat="1" ht="19.2" x14ac:dyDescent="0.45">
      <c r="A9" s="67" t="s">
        <v>444</v>
      </c>
      <c r="B9" s="68"/>
      <c r="C9" s="69"/>
      <c r="D9" s="69"/>
    </row>
    <row r="10" spans="1:16" s="4" customFormat="1" ht="19.2" x14ac:dyDescent="0.45">
      <c r="A10" s="67" t="s">
        <v>445</v>
      </c>
      <c r="B10" s="68"/>
      <c r="C10" s="69"/>
      <c r="D10" s="69"/>
    </row>
    <row r="11" spans="1:16" s="4" customFormat="1" ht="19.2" x14ac:dyDescent="0.45">
      <c r="A11" s="67" t="s">
        <v>452</v>
      </c>
      <c r="B11" s="68"/>
      <c r="C11" s="70"/>
      <c r="D11" s="69"/>
    </row>
    <row r="12" spans="1:16" s="4" customFormat="1" ht="15" customHeight="1" x14ac:dyDescent="0.45">
      <c r="A12" s="67" t="s">
        <v>38</v>
      </c>
      <c r="B12" s="68"/>
      <c r="C12" s="70"/>
      <c r="D12" s="69"/>
    </row>
    <row r="13" spans="1:16" s="4" customFormat="1" ht="15" customHeight="1" x14ac:dyDescent="0.45">
      <c r="A13" s="71" t="s">
        <v>583</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103">
        <v>1</v>
      </c>
      <c r="B16" s="104" t="s">
        <v>529</v>
      </c>
      <c r="C16" s="105">
        <v>32670</v>
      </c>
      <c r="D16" s="79">
        <f t="shared" ref="D16:D17" si="0">A16*C16</f>
        <v>32670</v>
      </c>
      <c r="N16" s="23"/>
      <c r="O16" s="23"/>
      <c r="P16" s="23"/>
    </row>
    <row r="17" spans="1:16" s="23" customFormat="1" ht="15.6" x14ac:dyDescent="0.25">
      <c r="A17" s="103">
        <v>1</v>
      </c>
      <c r="B17" s="104" t="s">
        <v>530</v>
      </c>
      <c r="C17" s="105">
        <f>14560</f>
        <v>14560</v>
      </c>
      <c r="D17" s="79">
        <f t="shared" si="0"/>
        <v>14560</v>
      </c>
      <c r="E17" s="13"/>
      <c r="F17" s="1"/>
      <c r="G17" s="1"/>
      <c r="H17" s="1"/>
      <c r="I17" s="1"/>
      <c r="J17" s="1"/>
      <c r="K17" s="1"/>
      <c r="L17" s="1"/>
      <c r="M17" s="1"/>
    </row>
    <row r="18" spans="1:16" s="23" customFormat="1" ht="15.6" x14ac:dyDescent="0.3">
      <c r="A18" s="516"/>
      <c r="B18" s="517"/>
      <c r="C18" s="86" t="s">
        <v>49</v>
      </c>
      <c r="D18" s="87">
        <f>SUM(D16:D17)</f>
        <v>47230</v>
      </c>
      <c r="E18" s="1"/>
      <c r="F18" s="1"/>
      <c r="G18" s="1"/>
      <c r="H18" s="1"/>
      <c r="I18" s="1"/>
      <c r="J18" s="1"/>
      <c r="K18" s="1"/>
      <c r="L18" s="1"/>
      <c r="M18" s="1"/>
    </row>
    <row r="19" spans="1:16" s="23" customFormat="1" ht="15.6" x14ac:dyDescent="0.3">
      <c r="A19" s="516"/>
      <c r="B19" s="517"/>
      <c r="C19" s="90" t="s">
        <v>51</v>
      </c>
      <c r="D19" s="87">
        <f>D18*0.16</f>
        <v>7556.8</v>
      </c>
      <c r="E19" s="1"/>
      <c r="F19" s="1"/>
      <c r="G19" s="1"/>
      <c r="H19" s="1"/>
      <c r="I19" s="1"/>
      <c r="J19" s="1"/>
      <c r="K19" s="1"/>
      <c r="L19" s="1"/>
      <c r="M19" s="1"/>
    </row>
    <row r="20" spans="1:16" s="23" customFormat="1" ht="16.2" thickBot="1" x14ac:dyDescent="0.3">
      <c r="A20" s="516"/>
      <c r="B20" s="100"/>
      <c r="C20" s="90" t="s">
        <v>52</v>
      </c>
      <c r="D20" s="87">
        <f>SUM(D18:D19)</f>
        <v>54786.8</v>
      </c>
      <c r="E20" s="1"/>
      <c r="F20" s="1"/>
      <c r="G20" s="1"/>
      <c r="H20" s="1"/>
      <c r="I20" s="1"/>
      <c r="J20" s="1"/>
      <c r="K20" s="1"/>
      <c r="L20" s="1"/>
      <c r="M20" s="1"/>
      <c r="N20" s="1"/>
      <c r="O20" s="1"/>
      <c r="P20" s="1"/>
    </row>
    <row r="21" spans="1:16" ht="16.2" thickBot="1" x14ac:dyDescent="0.3">
      <c r="A21" s="116"/>
      <c r="B21" s="186" t="s">
        <v>584</v>
      </c>
      <c r="C21" s="36"/>
      <c r="D21" s="37"/>
    </row>
    <row r="22" spans="1:16" ht="13.8" x14ac:dyDescent="0.25">
      <c r="A22" s="34"/>
      <c r="B22" s="120" t="s">
        <v>15</v>
      </c>
      <c r="C22" s="121"/>
      <c r="D22" s="122"/>
    </row>
    <row r="23" spans="1:16" ht="15.6" x14ac:dyDescent="0.25">
      <c r="A23" s="34"/>
      <c r="B23" s="123"/>
      <c r="C23" s="1"/>
      <c r="D23" s="1"/>
      <c r="O23" s="88"/>
      <c r="P23" s="88"/>
    </row>
    <row r="24" spans="1:16" s="88" customFormat="1" ht="13.8" x14ac:dyDescent="0.25">
      <c r="A24" s="286"/>
      <c r="B24" s="135" t="s">
        <v>17</v>
      </c>
      <c r="C24" s="1"/>
      <c r="D24" s="1"/>
      <c r="E24" s="1"/>
      <c r="F24" s="1"/>
      <c r="G24" s="1"/>
      <c r="H24" s="1"/>
      <c r="I24" s="1"/>
      <c r="J24" s="1"/>
      <c r="K24" s="1"/>
      <c r="L24" s="1"/>
      <c r="M24" s="1"/>
      <c r="N24" s="1"/>
      <c r="O24" s="1"/>
      <c r="P24" s="1"/>
    </row>
    <row r="25" spans="1:16" ht="15" x14ac:dyDescent="0.25">
      <c r="A25" s="288"/>
      <c r="B25" s="191" t="s">
        <v>19</v>
      </c>
      <c r="C25" s="1"/>
      <c r="D25" s="1"/>
    </row>
    <row r="26" spans="1:16" ht="15" x14ac:dyDescent="0.25">
      <c r="A26" s="288"/>
      <c r="B26" s="290" t="s">
        <v>60</v>
      </c>
      <c r="C26" s="1"/>
      <c r="D26" s="1"/>
    </row>
    <row r="27" spans="1:16" ht="15" x14ac:dyDescent="0.25">
      <c r="A27" s="288"/>
      <c r="B27" s="130" t="s">
        <v>23</v>
      </c>
      <c r="C27" s="13"/>
      <c r="D27" s="1"/>
    </row>
    <row r="28" spans="1:16" ht="27.6" x14ac:dyDescent="0.25">
      <c r="A28" s="288"/>
      <c r="B28" s="187" t="s">
        <v>62</v>
      </c>
      <c r="C28" s="13"/>
      <c r="D28" s="1"/>
    </row>
    <row r="29" spans="1:16" ht="15" x14ac:dyDescent="0.25">
      <c r="A29" s="288"/>
      <c r="B29" s="130" t="s">
        <v>26</v>
      </c>
      <c r="C29" s="13"/>
      <c r="D29" s="1"/>
    </row>
    <row r="30" spans="1:16" ht="27.6" x14ac:dyDescent="0.25">
      <c r="A30" s="288"/>
      <c r="B30" s="512" t="s">
        <v>566</v>
      </c>
      <c r="C30" s="13"/>
      <c r="D30" s="1"/>
    </row>
    <row r="31" spans="1:16" ht="15" x14ac:dyDescent="0.25">
      <c r="A31" s="288"/>
      <c r="B31" s="512" t="s">
        <v>28</v>
      </c>
      <c r="C31" s="1"/>
      <c r="D31" s="1"/>
    </row>
    <row r="32" spans="1:16" ht="31.2" customHeight="1" x14ac:dyDescent="0.25">
      <c r="A32" s="288"/>
      <c r="B32" s="130" t="s">
        <v>29</v>
      </c>
      <c r="C32" s="1"/>
      <c r="D32" s="1"/>
    </row>
    <row r="33" spans="1:4" ht="18" customHeight="1" x14ac:dyDescent="0.25">
      <c r="A33" s="88"/>
      <c r="B33" s="190" t="s">
        <v>64</v>
      </c>
      <c r="C33" s="133"/>
      <c r="D33" s="134"/>
    </row>
    <row r="34" spans="1:4" ht="15" x14ac:dyDescent="0.25">
      <c r="A34" s="288"/>
      <c r="B34" s="191" t="s">
        <v>31</v>
      </c>
      <c r="C34" s="54"/>
      <c r="D34" s="58"/>
    </row>
    <row r="35" spans="1:4" ht="15" x14ac:dyDescent="0.25">
      <c r="A35" s="288"/>
      <c r="B35" s="191" t="s">
        <v>32</v>
      </c>
      <c r="C35" s="54"/>
    </row>
    <row r="36" spans="1:4" ht="50.4" x14ac:dyDescent="0.25">
      <c r="A36" s="293" t="s">
        <v>0</v>
      </c>
      <c r="B36" s="193"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8" fitToWidth="0" orientation="portrait" r:id="rId1"/>
  <headerFooter alignWithMargins="0">
    <oddFooter>Página &amp;P de &amp;N</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29161-6675-433A-8713-972CDF6F6F07}">
  <sheetPr>
    <tabColor theme="4" tint="-0.249977111117893"/>
    <pageSetUpPr fitToPage="1"/>
  </sheetPr>
  <dimension ref="A1:G50"/>
  <sheetViews>
    <sheetView zoomScaleNormal="100" workbookViewId="0">
      <selection activeCell="A13" sqref="A13"/>
    </sheetView>
  </sheetViews>
  <sheetFormatPr baseColWidth="10" defaultColWidth="10.33203125" defaultRowHeight="13.2" x14ac:dyDescent="0.25"/>
  <cols>
    <col min="1" max="1" width="5.44140625" style="1" customWidth="1"/>
    <col min="2" max="2" width="77" style="1" customWidth="1"/>
    <col min="3" max="3" width="14.88671875" style="3" bestFit="1" customWidth="1"/>
    <col min="4" max="4" width="15.33203125" style="3" bestFit="1" customWidth="1"/>
    <col min="5" max="16384" width="10.332031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514"/>
      <c r="D5" s="514"/>
    </row>
    <row r="6" spans="1:7" s="4" customFormat="1" ht="16.8" x14ac:dyDescent="0.4">
      <c r="A6" s="5"/>
      <c r="C6" s="514"/>
      <c r="D6" s="514"/>
    </row>
    <row r="7" spans="1:7" s="4" customFormat="1" ht="19.2" x14ac:dyDescent="0.45">
      <c r="A7" s="67" t="s">
        <v>443</v>
      </c>
      <c r="B7" s="68"/>
      <c r="C7" s="514"/>
      <c r="D7" s="514"/>
    </row>
    <row r="8" spans="1:7" s="4" customFormat="1" ht="19.2" x14ac:dyDescent="0.45">
      <c r="A8" s="67" t="s">
        <v>444</v>
      </c>
      <c r="B8" s="68"/>
      <c r="C8" s="514"/>
      <c r="D8" s="514"/>
    </row>
    <row r="9" spans="1:7" s="4" customFormat="1" ht="19.2" x14ac:dyDescent="0.45">
      <c r="A9" s="67" t="s">
        <v>445</v>
      </c>
      <c r="B9" s="68"/>
      <c r="C9" s="514"/>
      <c r="D9" s="514"/>
    </row>
    <row r="10" spans="1:7" s="4" customFormat="1" ht="19.2" x14ac:dyDescent="0.45">
      <c r="A10" s="67" t="s">
        <v>535</v>
      </c>
      <c r="B10" s="68"/>
      <c r="C10" s="514"/>
      <c r="D10" s="514"/>
    </row>
    <row r="11" spans="1:7" s="4" customFormat="1" ht="19.2" x14ac:dyDescent="0.45">
      <c r="A11" s="67" t="s">
        <v>38</v>
      </c>
      <c r="B11" s="68"/>
      <c r="C11" s="6"/>
      <c r="D11" s="6"/>
    </row>
    <row r="12" spans="1:7" s="4" customFormat="1" ht="15" customHeight="1" x14ac:dyDescent="0.45">
      <c r="A12" s="71" t="s">
        <v>536</v>
      </c>
      <c r="B12" s="72"/>
      <c r="C12" s="6"/>
      <c r="D12" s="6"/>
    </row>
    <row r="13" spans="1:7" s="4" customFormat="1" ht="15" customHeight="1" x14ac:dyDescent="0.4">
      <c r="A13" s="11" t="s">
        <v>7</v>
      </c>
      <c r="B13" s="11" t="s">
        <v>8</v>
      </c>
      <c r="C13" s="12" t="s">
        <v>9</v>
      </c>
      <c r="D13" s="12" t="s">
        <v>10</v>
      </c>
      <c r="E13" s="13"/>
    </row>
    <row r="14" spans="1:7" s="4" customFormat="1" ht="16.8" x14ac:dyDescent="0.4">
      <c r="A14" s="14"/>
      <c r="B14" s="15"/>
      <c r="C14" s="16"/>
      <c r="D14" s="16"/>
      <c r="E14" s="17"/>
      <c r="F14" s="10"/>
    </row>
    <row r="15" spans="1:7" s="10" customFormat="1" ht="45" x14ac:dyDescent="0.25">
      <c r="A15" s="515">
        <v>1</v>
      </c>
      <c r="B15" s="518" t="s">
        <v>534</v>
      </c>
      <c r="C15" s="97">
        <v>4000</v>
      </c>
      <c r="D15" s="21">
        <f>A15*C15</f>
        <v>4000</v>
      </c>
      <c r="E15" s="17"/>
      <c r="F15" s="1"/>
      <c r="G15" s="23"/>
    </row>
    <row r="16" spans="1:7" ht="15.6" x14ac:dyDescent="0.25">
      <c r="A16" s="24"/>
      <c r="B16" s="519" t="s">
        <v>531</v>
      </c>
      <c r="C16" s="25" t="s">
        <v>12</v>
      </c>
      <c r="D16" s="26">
        <f>SUM(D15:D15)</f>
        <v>4000</v>
      </c>
    </row>
    <row r="17" spans="1:4" ht="15.6" x14ac:dyDescent="0.3">
      <c r="A17" s="27"/>
      <c r="B17" s="520"/>
      <c r="C17" s="28" t="s">
        <v>13</v>
      </c>
      <c r="D17" s="29">
        <f>D16*0.16</f>
        <v>640</v>
      </c>
    </row>
    <row r="18" spans="1:4" ht="16.2" thickBot="1" x14ac:dyDescent="0.35">
      <c r="A18" s="30"/>
      <c r="B18" s="31"/>
      <c r="C18" s="32" t="s">
        <v>14</v>
      </c>
      <c r="D18" s="33">
        <f>D16+D17</f>
        <v>4640</v>
      </c>
    </row>
    <row r="19" spans="1:4" ht="16.2" thickBot="1" x14ac:dyDescent="0.3">
      <c r="A19" s="34"/>
      <c r="B19" s="35" t="s">
        <v>532</v>
      </c>
      <c r="C19" s="36"/>
      <c r="D19" s="37"/>
    </row>
    <row r="20" spans="1:4" ht="13.8" x14ac:dyDescent="0.25">
      <c r="B20" s="135" t="s">
        <v>23</v>
      </c>
      <c r="C20" s="13"/>
      <c r="D20" s="41"/>
    </row>
    <row r="21" spans="1:4" ht="27.6" x14ac:dyDescent="0.25">
      <c r="A21" s="62"/>
      <c r="B21" s="187" t="s">
        <v>24</v>
      </c>
    </row>
    <row r="22" spans="1:4" ht="41.4" x14ac:dyDescent="0.25">
      <c r="A22" s="62"/>
      <c r="B22" s="187" t="s">
        <v>25</v>
      </c>
      <c r="C22" s="54"/>
      <c r="D22" s="58"/>
    </row>
    <row r="23" spans="1:4" ht="15" x14ac:dyDescent="0.25">
      <c r="A23" s="62"/>
      <c r="B23" s="135" t="s">
        <v>26</v>
      </c>
      <c r="C23" s="54"/>
      <c r="D23" s="58"/>
    </row>
    <row r="24" spans="1:4" ht="15" x14ac:dyDescent="0.25">
      <c r="A24" s="62"/>
      <c r="B24" s="188" t="s">
        <v>112</v>
      </c>
      <c r="C24" s="54"/>
      <c r="D24" s="54"/>
    </row>
    <row r="25" spans="1:4" ht="15" x14ac:dyDescent="0.25">
      <c r="A25" s="62"/>
      <c r="B25" s="189" t="s">
        <v>28</v>
      </c>
      <c r="C25" s="54"/>
      <c r="D25" s="54"/>
    </row>
    <row r="26" spans="1:4" ht="13.8" x14ac:dyDescent="0.25">
      <c r="B26" s="135" t="s">
        <v>29</v>
      </c>
      <c r="D26" s="56"/>
    </row>
    <row r="27" spans="1:4" ht="15" x14ac:dyDescent="0.25">
      <c r="A27" s="62"/>
      <c r="B27" s="190" t="s">
        <v>533</v>
      </c>
      <c r="C27" s="54"/>
      <c r="D27" s="58"/>
    </row>
    <row r="28" spans="1:4" ht="15" x14ac:dyDescent="0.25">
      <c r="A28" s="62"/>
      <c r="B28" s="191" t="s">
        <v>31</v>
      </c>
      <c r="C28" s="54"/>
      <c r="D28" s="58"/>
    </row>
    <row r="29" spans="1:4" ht="13.8" x14ac:dyDescent="0.25">
      <c r="A29" s="139" t="s">
        <v>0</v>
      </c>
      <c r="B29" s="192" t="s">
        <v>32</v>
      </c>
      <c r="C29" s="54"/>
    </row>
    <row r="30" spans="1:4" x14ac:dyDescent="0.25">
      <c r="A30" s="142"/>
      <c r="B30" s="64"/>
      <c r="C30" s="64"/>
      <c r="D30" s="1"/>
    </row>
    <row r="31" spans="1:4" x14ac:dyDescent="0.25">
      <c r="A31" s="142"/>
      <c r="B31" s="64"/>
      <c r="C31" s="64"/>
      <c r="D31" s="1"/>
    </row>
    <row r="32" spans="1:4" x14ac:dyDescent="0.25">
      <c r="A32" s="144"/>
      <c r="B32" s="143"/>
      <c r="C32" s="64"/>
      <c r="D32" s="1"/>
    </row>
    <row r="33" spans="1:4" ht="15" x14ac:dyDescent="0.35">
      <c r="A33" s="146"/>
      <c r="B33" s="145"/>
      <c r="C33" s="64"/>
      <c r="D33" s="64"/>
    </row>
    <row r="34" spans="1:4" x14ac:dyDescent="0.25">
      <c r="A34" s="1" t="s">
        <v>0</v>
      </c>
    </row>
    <row r="41" spans="1:4" ht="17.25" customHeight="1" x14ac:dyDescent="0.25"/>
    <row r="45" spans="1:4" ht="16.5" customHeight="1" x14ac:dyDescent="0.25"/>
    <row r="49" ht="15.75" customHeight="1" x14ac:dyDescent="0.25"/>
    <row r="50" ht="15" customHeight="1" x14ac:dyDescent="0.25"/>
  </sheetData>
  <mergeCells count="1">
    <mergeCell ref="A4:D4"/>
  </mergeCells>
  <printOptions horizontalCentered="1"/>
  <pageMargins left="0.25" right="0.25" top="0.75" bottom="0.75" header="0.3" footer="0.3"/>
  <pageSetup paperSize="9" scale="85" fitToWidth="0" orientation="portrait" r:id="rId1"/>
  <headerFooter alignWithMargins="0">
    <oddFooter>Página &amp;P de &amp;N</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8603F-F15A-4C06-9A6D-10A5A961C1BF}">
  <sheetPr>
    <tabColor theme="4" tint="-0.249977111117893"/>
    <pageSetUpPr fitToPage="1"/>
  </sheetPr>
  <dimension ref="A1:G50"/>
  <sheetViews>
    <sheetView zoomScaleNormal="100" workbookViewId="0">
      <selection activeCell="A13" sqref="A13"/>
    </sheetView>
  </sheetViews>
  <sheetFormatPr baseColWidth="10" defaultColWidth="10.33203125" defaultRowHeight="13.2" x14ac:dyDescent="0.25"/>
  <cols>
    <col min="1" max="1" width="5.44140625" style="1" customWidth="1"/>
    <col min="2" max="2" width="77" style="1" customWidth="1"/>
    <col min="3" max="3" width="14.88671875" style="3" bestFit="1" customWidth="1"/>
    <col min="4" max="4" width="15.33203125" style="3" bestFit="1" customWidth="1"/>
    <col min="5" max="16384" width="10.332031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514"/>
      <c r="D5" s="514"/>
    </row>
    <row r="6" spans="1:7" s="4" customFormat="1" ht="16.8" x14ac:dyDescent="0.4">
      <c r="A6" s="5"/>
      <c r="C6" s="514"/>
      <c r="D6" s="514"/>
    </row>
    <row r="7" spans="1:7" s="4" customFormat="1" ht="19.2" x14ac:dyDescent="0.45">
      <c r="A7" s="67" t="s">
        <v>443</v>
      </c>
      <c r="B7" s="68"/>
      <c r="C7" s="514"/>
      <c r="D7" s="514"/>
    </row>
    <row r="8" spans="1:7" s="4" customFormat="1" ht="19.2" x14ac:dyDescent="0.45">
      <c r="A8" s="67" t="s">
        <v>444</v>
      </c>
      <c r="B8" s="68"/>
      <c r="C8" s="514"/>
      <c r="D8" s="514"/>
    </row>
    <row r="9" spans="1:7" s="4" customFormat="1" ht="19.2" x14ac:dyDescent="0.45">
      <c r="A9" s="67" t="s">
        <v>445</v>
      </c>
      <c r="B9" s="68"/>
      <c r="C9" s="514"/>
      <c r="D9" s="514"/>
    </row>
    <row r="10" spans="1:7" s="4" customFormat="1" ht="19.2" x14ac:dyDescent="0.45">
      <c r="A10" s="67" t="s">
        <v>537</v>
      </c>
      <c r="B10" s="68"/>
      <c r="C10" s="514"/>
      <c r="D10" s="514"/>
    </row>
    <row r="11" spans="1:7" s="4" customFormat="1" ht="19.2" x14ac:dyDescent="0.45">
      <c r="A11" s="67" t="s">
        <v>38</v>
      </c>
      <c r="B11" s="68"/>
      <c r="C11" s="6"/>
      <c r="D11" s="6"/>
    </row>
    <row r="12" spans="1:7" s="4" customFormat="1" ht="15" customHeight="1" x14ac:dyDescent="0.45">
      <c r="A12" s="71" t="s">
        <v>538</v>
      </c>
      <c r="B12" s="72"/>
      <c r="C12" s="6"/>
      <c r="D12" s="6"/>
    </row>
    <row r="13" spans="1:7" s="4" customFormat="1" ht="15" customHeight="1" x14ac:dyDescent="0.4">
      <c r="A13" s="11" t="s">
        <v>7</v>
      </c>
      <c r="B13" s="11" t="s">
        <v>8</v>
      </c>
      <c r="C13" s="12" t="s">
        <v>9</v>
      </c>
      <c r="D13" s="12" t="s">
        <v>10</v>
      </c>
      <c r="E13" s="13"/>
    </row>
    <row r="14" spans="1:7" s="4" customFormat="1" ht="16.8" x14ac:dyDescent="0.4">
      <c r="A14" s="14"/>
      <c r="B14" s="15"/>
      <c r="C14" s="16"/>
      <c r="D14" s="16"/>
      <c r="E14" s="17"/>
      <c r="F14" s="10"/>
    </row>
    <row r="15" spans="1:7" s="10" customFormat="1" ht="45" x14ac:dyDescent="0.25">
      <c r="A15" s="515">
        <v>1</v>
      </c>
      <c r="B15" s="518" t="s">
        <v>534</v>
      </c>
      <c r="C15" s="97">
        <v>4000</v>
      </c>
      <c r="D15" s="21">
        <f>A15*C15</f>
        <v>4000</v>
      </c>
      <c r="E15" s="17"/>
      <c r="F15" s="1"/>
      <c r="G15" s="23"/>
    </row>
    <row r="16" spans="1:7" ht="15.6" x14ac:dyDescent="0.25">
      <c r="A16" s="24"/>
      <c r="B16" s="519" t="s">
        <v>531</v>
      </c>
      <c r="C16" s="25" t="s">
        <v>12</v>
      </c>
      <c r="D16" s="26">
        <f>SUM(D15:D15)</f>
        <v>4000</v>
      </c>
    </row>
    <row r="17" spans="1:4" ht="15.6" x14ac:dyDescent="0.3">
      <c r="A17" s="27"/>
      <c r="B17" s="520"/>
      <c r="C17" s="28" t="s">
        <v>13</v>
      </c>
      <c r="D17" s="29">
        <f>D16*0.16</f>
        <v>640</v>
      </c>
    </row>
    <row r="18" spans="1:4" ht="16.2" thickBot="1" x14ac:dyDescent="0.35">
      <c r="A18" s="30"/>
      <c r="B18" s="31"/>
      <c r="C18" s="32" t="s">
        <v>14</v>
      </c>
      <c r="D18" s="33">
        <f>D16+D17</f>
        <v>4640</v>
      </c>
    </row>
    <row r="19" spans="1:4" ht="16.2" thickBot="1" x14ac:dyDescent="0.3">
      <c r="A19" s="34"/>
      <c r="B19" s="35" t="s">
        <v>532</v>
      </c>
      <c r="C19" s="36"/>
      <c r="D19" s="37"/>
    </row>
    <row r="20" spans="1:4" ht="13.8" x14ac:dyDescent="0.25">
      <c r="B20" s="135" t="s">
        <v>23</v>
      </c>
      <c r="C20" s="13"/>
      <c r="D20" s="41"/>
    </row>
    <row r="21" spans="1:4" ht="27.6" x14ac:dyDescent="0.25">
      <c r="A21" s="62"/>
      <c r="B21" s="187" t="s">
        <v>24</v>
      </c>
    </row>
    <row r="22" spans="1:4" ht="41.4" x14ac:dyDescent="0.25">
      <c r="A22" s="62"/>
      <c r="B22" s="187" t="s">
        <v>25</v>
      </c>
      <c r="C22" s="54"/>
      <c r="D22" s="58"/>
    </row>
    <row r="23" spans="1:4" ht="15" x14ac:dyDescent="0.25">
      <c r="A23" s="62"/>
      <c r="B23" s="135" t="s">
        <v>26</v>
      </c>
      <c r="C23" s="54"/>
      <c r="D23" s="58"/>
    </row>
    <row r="24" spans="1:4" ht="15" x14ac:dyDescent="0.25">
      <c r="A24" s="62"/>
      <c r="B24" s="188" t="s">
        <v>112</v>
      </c>
      <c r="C24" s="54"/>
      <c r="D24" s="54"/>
    </row>
    <row r="25" spans="1:4" ht="15" x14ac:dyDescent="0.25">
      <c r="A25" s="62"/>
      <c r="B25" s="189" t="s">
        <v>28</v>
      </c>
      <c r="C25" s="54"/>
      <c r="D25" s="54"/>
    </row>
    <row r="26" spans="1:4" ht="13.8" x14ac:dyDescent="0.25">
      <c r="B26" s="135" t="s">
        <v>29</v>
      </c>
      <c r="D26" s="56"/>
    </row>
    <row r="27" spans="1:4" ht="15" x14ac:dyDescent="0.25">
      <c r="A27" s="62"/>
      <c r="B27" s="190" t="s">
        <v>533</v>
      </c>
      <c r="C27" s="54"/>
      <c r="D27" s="58"/>
    </row>
    <row r="28" spans="1:4" ht="15" x14ac:dyDescent="0.25">
      <c r="A28" s="62"/>
      <c r="B28" s="191" t="s">
        <v>31</v>
      </c>
      <c r="C28" s="54"/>
      <c r="D28" s="58"/>
    </row>
    <row r="29" spans="1:4" ht="13.8" x14ac:dyDescent="0.25">
      <c r="A29" s="139" t="s">
        <v>0</v>
      </c>
      <c r="B29" s="192" t="s">
        <v>32</v>
      </c>
      <c r="C29" s="54"/>
    </row>
    <row r="30" spans="1:4" x14ac:dyDescent="0.25">
      <c r="A30" s="142"/>
      <c r="B30" s="64"/>
      <c r="C30" s="64"/>
      <c r="D30" s="1"/>
    </row>
    <row r="31" spans="1:4" x14ac:dyDescent="0.25">
      <c r="A31" s="142"/>
      <c r="B31" s="64"/>
      <c r="C31" s="64"/>
      <c r="D31" s="1"/>
    </row>
    <row r="32" spans="1:4" x14ac:dyDescent="0.25">
      <c r="A32" s="144"/>
      <c r="B32" s="143"/>
      <c r="C32" s="64"/>
      <c r="D32" s="1"/>
    </row>
    <row r="33" spans="1:4" ht="15" x14ac:dyDescent="0.35">
      <c r="A33" s="146"/>
      <c r="B33" s="145"/>
      <c r="C33" s="64"/>
      <c r="D33" s="64"/>
    </row>
    <row r="34" spans="1:4" x14ac:dyDescent="0.25">
      <c r="A34" s="1" t="s">
        <v>0</v>
      </c>
    </row>
    <row r="41" spans="1:4" ht="17.25" customHeight="1" x14ac:dyDescent="0.25"/>
    <row r="45" spans="1:4" ht="16.5" customHeight="1" x14ac:dyDescent="0.25"/>
    <row r="49" ht="15.75" customHeight="1" x14ac:dyDescent="0.25"/>
    <row r="50" ht="15" customHeight="1" x14ac:dyDescent="0.25"/>
  </sheetData>
  <mergeCells count="1">
    <mergeCell ref="A4:D4"/>
  </mergeCells>
  <printOptions horizontalCentered="1"/>
  <pageMargins left="0.25" right="0.25" top="0.75" bottom="0.75" header="0.3" footer="0.3"/>
  <pageSetup paperSize="9" scale="85" fitToWidth="0" orientation="portrait" r:id="rId1"/>
  <headerFooter alignWithMargins="0">
    <oddFooter>Página &amp;P de &amp;N</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4186-8722-4FC0-84D6-70CAE7D10F2E}">
  <sheetPr>
    <tabColor theme="4" tint="-0.249977111117893"/>
    <pageSetUpPr fitToPage="1"/>
  </sheetPr>
  <dimension ref="A1:G50"/>
  <sheetViews>
    <sheetView zoomScaleNormal="100" workbookViewId="0">
      <selection activeCell="A13" sqref="A13"/>
    </sheetView>
  </sheetViews>
  <sheetFormatPr baseColWidth="10" defaultColWidth="10.33203125" defaultRowHeight="13.2" x14ac:dyDescent="0.25"/>
  <cols>
    <col min="1" max="1" width="5.44140625" style="1" customWidth="1"/>
    <col min="2" max="2" width="77" style="1" customWidth="1"/>
    <col min="3" max="3" width="14.88671875" style="3" bestFit="1" customWidth="1"/>
    <col min="4" max="4" width="15.33203125" style="3" bestFit="1" customWidth="1"/>
    <col min="5" max="16384" width="10.332031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514"/>
      <c r="D5" s="514"/>
    </row>
    <row r="6" spans="1:7" s="4" customFormat="1" ht="16.8" x14ac:dyDescent="0.4">
      <c r="A6" s="5"/>
      <c r="C6" s="514"/>
      <c r="D6" s="514"/>
    </row>
    <row r="7" spans="1:7" s="4" customFormat="1" ht="19.2" x14ac:dyDescent="0.45">
      <c r="A7" s="67" t="s">
        <v>443</v>
      </c>
      <c r="B7" s="68"/>
      <c r="C7" s="514"/>
      <c r="D7" s="514"/>
    </row>
    <row r="8" spans="1:7" s="4" customFormat="1" ht="19.2" x14ac:dyDescent="0.45">
      <c r="A8" s="67" t="s">
        <v>444</v>
      </c>
      <c r="B8" s="68"/>
      <c r="C8" s="514"/>
      <c r="D8" s="514"/>
    </row>
    <row r="9" spans="1:7" s="4" customFormat="1" ht="19.2" x14ac:dyDescent="0.45">
      <c r="A9" s="67" t="s">
        <v>445</v>
      </c>
      <c r="B9" s="68"/>
      <c r="C9" s="514"/>
      <c r="D9" s="514"/>
    </row>
    <row r="10" spans="1:7" s="4" customFormat="1" ht="19.2" x14ac:dyDescent="0.45">
      <c r="A10" s="67" t="s">
        <v>537</v>
      </c>
      <c r="B10" s="68"/>
      <c r="C10" s="514"/>
      <c r="D10" s="514"/>
    </row>
    <row r="11" spans="1:7" s="4" customFormat="1" ht="19.2" x14ac:dyDescent="0.45">
      <c r="A11" s="67" t="s">
        <v>38</v>
      </c>
      <c r="B11" s="68"/>
      <c r="C11" s="6"/>
      <c r="D11" s="6"/>
    </row>
    <row r="12" spans="1:7" s="4" customFormat="1" ht="15" customHeight="1" x14ac:dyDescent="0.45">
      <c r="A12" s="71" t="s">
        <v>539</v>
      </c>
      <c r="B12" s="72"/>
      <c r="C12" s="6"/>
      <c r="D12" s="6"/>
    </row>
    <row r="13" spans="1:7" s="4" customFormat="1" ht="15" customHeight="1" x14ac:dyDescent="0.4">
      <c r="A13" s="11" t="s">
        <v>7</v>
      </c>
      <c r="B13" s="11" t="s">
        <v>8</v>
      </c>
      <c r="C13" s="12" t="s">
        <v>9</v>
      </c>
      <c r="D13" s="12" t="s">
        <v>10</v>
      </c>
      <c r="E13" s="13"/>
    </row>
    <row r="14" spans="1:7" s="4" customFormat="1" ht="16.8" x14ac:dyDescent="0.4">
      <c r="A14" s="14"/>
      <c r="B14" s="15"/>
      <c r="C14" s="16"/>
      <c r="D14" s="16"/>
      <c r="E14" s="17"/>
      <c r="F14" s="10"/>
    </row>
    <row r="15" spans="1:7" s="10" customFormat="1" ht="45" x14ac:dyDescent="0.25">
      <c r="A15" s="515">
        <v>1</v>
      </c>
      <c r="B15" s="518" t="s">
        <v>534</v>
      </c>
      <c r="C15" s="97">
        <v>4000</v>
      </c>
      <c r="D15" s="21">
        <f>A15*C15</f>
        <v>4000</v>
      </c>
      <c r="E15" s="17"/>
      <c r="F15" s="1"/>
      <c r="G15" s="23"/>
    </row>
    <row r="16" spans="1:7" ht="15.6" x14ac:dyDescent="0.25">
      <c r="A16" s="24"/>
      <c r="B16" s="519" t="s">
        <v>531</v>
      </c>
      <c r="C16" s="25" t="s">
        <v>12</v>
      </c>
      <c r="D16" s="26">
        <f>SUM(D15:D15)</f>
        <v>4000</v>
      </c>
    </row>
    <row r="17" spans="1:4" ht="15.6" x14ac:dyDescent="0.3">
      <c r="A17" s="27"/>
      <c r="B17" s="520"/>
      <c r="C17" s="28" t="s">
        <v>13</v>
      </c>
      <c r="D17" s="29">
        <f>D16*0.16</f>
        <v>640</v>
      </c>
    </row>
    <row r="18" spans="1:4" ht="16.2" thickBot="1" x14ac:dyDescent="0.35">
      <c r="A18" s="30"/>
      <c r="B18" s="31"/>
      <c r="C18" s="32" t="s">
        <v>14</v>
      </c>
      <c r="D18" s="33">
        <f>D16+D17</f>
        <v>4640</v>
      </c>
    </row>
    <row r="19" spans="1:4" ht="16.2" thickBot="1" x14ac:dyDescent="0.3">
      <c r="A19" s="34"/>
      <c r="B19" s="35" t="s">
        <v>532</v>
      </c>
      <c r="C19" s="36"/>
      <c r="D19" s="37"/>
    </row>
    <row r="20" spans="1:4" ht="13.8" x14ac:dyDescent="0.25">
      <c r="B20" s="135" t="s">
        <v>23</v>
      </c>
      <c r="C20" s="13"/>
      <c r="D20" s="41"/>
    </row>
    <row r="21" spans="1:4" ht="27.6" x14ac:dyDescent="0.25">
      <c r="A21" s="62"/>
      <c r="B21" s="187" t="s">
        <v>24</v>
      </c>
    </row>
    <row r="22" spans="1:4" ht="41.4" x14ac:dyDescent="0.25">
      <c r="A22" s="62"/>
      <c r="B22" s="187" t="s">
        <v>25</v>
      </c>
      <c r="C22" s="54"/>
      <c r="D22" s="58"/>
    </row>
    <row r="23" spans="1:4" ht="15" x14ac:dyDescent="0.25">
      <c r="A23" s="62"/>
      <c r="B23" s="135" t="s">
        <v>26</v>
      </c>
      <c r="C23" s="54"/>
      <c r="D23" s="58"/>
    </row>
    <row r="24" spans="1:4" ht="15" x14ac:dyDescent="0.25">
      <c r="A24" s="62"/>
      <c r="B24" s="188" t="s">
        <v>112</v>
      </c>
      <c r="C24" s="54"/>
      <c r="D24" s="54"/>
    </row>
    <row r="25" spans="1:4" ht="15" x14ac:dyDescent="0.25">
      <c r="A25" s="62"/>
      <c r="B25" s="189" t="s">
        <v>28</v>
      </c>
      <c r="C25" s="54"/>
      <c r="D25" s="54"/>
    </row>
    <row r="26" spans="1:4" ht="13.8" x14ac:dyDescent="0.25">
      <c r="B26" s="135" t="s">
        <v>29</v>
      </c>
      <c r="D26" s="56"/>
    </row>
    <row r="27" spans="1:4" ht="15" x14ac:dyDescent="0.25">
      <c r="A27" s="62"/>
      <c r="B27" s="190" t="s">
        <v>533</v>
      </c>
      <c r="C27" s="54"/>
      <c r="D27" s="58"/>
    </row>
    <row r="28" spans="1:4" ht="15" x14ac:dyDescent="0.25">
      <c r="A28" s="62"/>
      <c r="B28" s="191" t="s">
        <v>31</v>
      </c>
      <c r="C28" s="54"/>
      <c r="D28" s="58"/>
    </row>
    <row r="29" spans="1:4" ht="13.8" x14ac:dyDescent="0.25">
      <c r="A29" s="139" t="s">
        <v>0</v>
      </c>
      <c r="B29" s="192" t="s">
        <v>32</v>
      </c>
      <c r="C29" s="54"/>
    </row>
    <row r="30" spans="1:4" x14ac:dyDescent="0.25">
      <c r="A30" s="142"/>
      <c r="B30" s="64"/>
      <c r="C30" s="64"/>
      <c r="D30" s="1"/>
    </row>
    <row r="31" spans="1:4" x14ac:dyDescent="0.25">
      <c r="A31" s="142"/>
      <c r="B31" s="64"/>
      <c r="C31" s="64"/>
      <c r="D31" s="1"/>
    </row>
    <row r="32" spans="1:4" x14ac:dyDescent="0.25">
      <c r="A32" s="144"/>
      <c r="B32" s="143"/>
      <c r="C32" s="64"/>
      <c r="D32" s="1"/>
    </row>
    <row r="33" spans="1:4" ht="15" x14ac:dyDescent="0.35">
      <c r="A33" s="146"/>
      <c r="B33" s="145"/>
      <c r="C33" s="64"/>
      <c r="D33" s="64"/>
    </row>
    <row r="34" spans="1:4" x14ac:dyDescent="0.25">
      <c r="A34" s="1" t="s">
        <v>0</v>
      </c>
    </row>
    <row r="41" spans="1:4" ht="17.25" customHeight="1" x14ac:dyDescent="0.25"/>
    <row r="45" spans="1:4" ht="16.5" customHeight="1" x14ac:dyDescent="0.25"/>
    <row r="49" ht="15.75" customHeight="1" x14ac:dyDescent="0.25"/>
    <row r="50" ht="15" customHeight="1" x14ac:dyDescent="0.25"/>
  </sheetData>
  <mergeCells count="1">
    <mergeCell ref="A4:D4"/>
  </mergeCells>
  <printOptions horizontalCentered="1"/>
  <pageMargins left="0.25" right="0.25" top="0.75" bottom="0.75" header="0.3" footer="0.3"/>
  <pageSetup paperSize="9" scale="85" fitToWidth="0" orientation="portrait" r:id="rId1"/>
  <headerFooter alignWithMargins="0">
    <oddFooter>Página &amp;P de &amp;N</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2135F-5F17-4C5B-AFC6-2B837066A2E9}">
  <sheetPr>
    <tabColor theme="4" tint="-0.249977111117893"/>
    <pageSetUpPr fitToPage="1"/>
  </sheetPr>
  <dimension ref="A1:F75"/>
  <sheetViews>
    <sheetView topLeftCell="A45" zoomScaleNormal="100" workbookViewId="0">
      <selection activeCell="C15" sqref="C15"/>
    </sheetView>
  </sheetViews>
  <sheetFormatPr baseColWidth="10" defaultColWidth="11.44140625" defaultRowHeight="13.2" x14ac:dyDescent="0.25"/>
  <cols>
    <col min="1" max="1" width="6" style="1" customWidth="1"/>
    <col min="2" max="2" width="100.33203125" style="1" customWidth="1"/>
    <col min="3" max="3" width="12.6640625" style="3" customWidth="1"/>
    <col min="4" max="4" width="14.554687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748"/>
      <c r="B4" s="748"/>
      <c r="C4" s="748"/>
      <c r="D4" s="748"/>
    </row>
    <row r="5" spans="1:6" s="4" customFormat="1" ht="16.8" x14ac:dyDescent="0.4">
      <c r="A5" s="5"/>
      <c r="C5" s="6"/>
      <c r="D5" s="6"/>
    </row>
    <row r="6" spans="1:6" s="4" customFormat="1" ht="16.8" x14ac:dyDescent="0.4">
      <c r="A6" s="5"/>
      <c r="C6" s="6"/>
      <c r="D6" s="6"/>
    </row>
    <row r="7" spans="1:6" s="4" customFormat="1" ht="16.8" x14ac:dyDescent="0.4">
      <c r="A7" s="5"/>
      <c r="C7" s="6"/>
      <c r="D7" s="6"/>
    </row>
    <row r="8" spans="1:6" s="4" customFormat="1" ht="16.8" x14ac:dyDescent="0.4">
      <c r="A8" s="5" t="s">
        <v>559</v>
      </c>
      <c r="C8" s="6"/>
      <c r="D8" s="6"/>
    </row>
    <row r="9" spans="1:6" s="4" customFormat="1" ht="16.8" x14ac:dyDescent="0.4">
      <c r="A9" s="5" t="s">
        <v>560</v>
      </c>
      <c r="C9" s="6"/>
      <c r="D9" s="6"/>
    </row>
    <row r="10" spans="1:6" s="4" customFormat="1" ht="16.8" x14ac:dyDescent="0.4">
      <c r="A10" s="5" t="s">
        <v>561</v>
      </c>
      <c r="C10" s="6"/>
      <c r="D10" s="6"/>
    </row>
    <row r="11" spans="1:6" s="4" customFormat="1" ht="16.8" x14ac:dyDescent="0.4">
      <c r="A11" s="5" t="s">
        <v>562</v>
      </c>
      <c r="C11" s="7"/>
      <c r="D11" s="6"/>
    </row>
    <row r="12" spans="1:6" s="4" customFormat="1" ht="15" customHeight="1" x14ac:dyDescent="0.4">
      <c r="A12" s="8" t="s">
        <v>563</v>
      </c>
      <c r="B12" s="9"/>
      <c r="C12" s="351"/>
      <c r="D12" s="352"/>
    </row>
    <row r="13" spans="1:6" s="4" customFormat="1" ht="15" customHeight="1" x14ac:dyDescent="0.4">
      <c r="A13" s="229" t="s">
        <v>38</v>
      </c>
      <c r="B13" s="230"/>
      <c r="C13" s="231"/>
      <c r="D13" s="232"/>
    </row>
    <row r="14" spans="1:6" s="4" customFormat="1" ht="16.8" x14ac:dyDescent="0.4">
      <c r="A14" s="14"/>
      <c r="B14" s="15"/>
      <c r="C14" s="16"/>
      <c r="D14" s="16"/>
      <c r="E14" s="543"/>
      <c r="F14" s="10"/>
    </row>
    <row r="15" spans="1:6" s="10" customFormat="1" ht="13.8" x14ac:dyDescent="0.25">
      <c r="A15" s="240">
        <v>1</v>
      </c>
      <c r="B15" s="541" t="s">
        <v>557</v>
      </c>
      <c r="C15" s="542">
        <f>105440*1.25</f>
        <v>131800</v>
      </c>
      <c r="D15" s="397">
        <f>A15*C15</f>
        <v>131800</v>
      </c>
      <c r="E15" s="13"/>
      <c r="F15" s="1"/>
    </row>
    <row r="16" spans="1:6" x14ac:dyDescent="0.25">
      <c r="A16" s="240">
        <v>1</v>
      </c>
      <c r="B16" s="541" t="s">
        <v>556</v>
      </c>
      <c r="C16" s="509">
        <f>(4657*17.72*1.2)</f>
        <v>99026.447999999989</v>
      </c>
      <c r="D16" s="397">
        <f>A16*C16</f>
        <v>99026.447999999989</v>
      </c>
      <c r="E16" s="17"/>
      <c r="F16" s="23"/>
    </row>
    <row r="17" spans="1:6" s="23" customFormat="1" ht="15.75" customHeight="1" x14ac:dyDescent="0.25">
      <c r="A17" s="236">
        <v>1</v>
      </c>
      <c r="B17" s="237" t="s">
        <v>554</v>
      </c>
      <c r="C17" s="509">
        <f>(6928*18)*(1.2)</f>
        <v>149644.79999999999</v>
      </c>
      <c r="D17" s="397">
        <f>A17*C17</f>
        <v>149644.79999999999</v>
      </c>
      <c r="E17" s="17"/>
      <c r="F17" s="1"/>
    </row>
    <row r="18" spans="1:6" ht="13.5" customHeight="1" x14ac:dyDescent="0.25">
      <c r="A18" s="240"/>
      <c r="B18" s="241" t="s">
        <v>553</v>
      </c>
      <c r="C18" s="509"/>
      <c r="D18" s="397"/>
      <c r="E18" s="13"/>
    </row>
    <row r="19" spans="1:6" ht="13.5" customHeight="1" x14ac:dyDescent="0.25">
      <c r="A19" s="236">
        <v>1</v>
      </c>
      <c r="B19" s="237" t="s">
        <v>555</v>
      </c>
      <c r="C19" s="509">
        <f>(91856)*(1.3)</f>
        <v>119412.8</v>
      </c>
      <c r="D19" s="239">
        <f>A19*C19</f>
        <v>119412.8</v>
      </c>
      <c r="E19" s="17"/>
    </row>
    <row r="20" spans="1:6" ht="13.5" customHeight="1" x14ac:dyDescent="0.25">
      <c r="A20" s="240"/>
      <c r="B20" s="241" t="s">
        <v>558</v>
      </c>
      <c r="C20" s="509"/>
      <c r="D20" s="239"/>
      <c r="E20" s="13"/>
      <c r="F20" s="122"/>
    </row>
    <row r="21" spans="1:6" ht="13.5" customHeight="1" x14ac:dyDescent="0.25">
      <c r="A21" s="236">
        <v>1</v>
      </c>
      <c r="B21" s="237" t="s">
        <v>554</v>
      </c>
      <c r="C21" s="509">
        <f>(6927*18)*(1.3)</f>
        <v>162091.80000000002</v>
      </c>
      <c r="D21" s="239">
        <f>A21*C21</f>
        <v>162091.80000000002</v>
      </c>
      <c r="E21" s="13"/>
    </row>
    <row r="22" spans="1:6" ht="13.5" customHeight="1" x14ac:dyDescent="0.25">
      <c r="A22" s="240"/>
      <c r="B22" s="241" t="s">
        <v>553</v>
      </c>
      <c r="C22" s="509"/>
      <c r="D22" s="239"/>
    </row>
    <row r="23" spans="1:6" ht="13.5" customHeight="1" x14ac:dyDescent="0.25">
      <c r="A23" s="537"/>
      <c r="B23" s="540"/>
      <c r="C23" s="539"/>
      <c r="D23" s="538"/>
      <c r="E23" s="13"/>
    </row>
    <row r="24" spans="1:6" ht="13.5" customHeight="1" x14ac:dyDescent="0.25">
      <c r="A24" s="11" t="s">
        <v>7</v>
      </c>
      <c r="B24" s="11" t="s">
        <v>8</v>
      </c>
      <c r="C24" s="12" t="s">
        <v>9</v>
      </c>
      <c r="D24" s="12" t="s">
        <v>10</v>
      </c>
      <c r="E24" s="13"/>
    </row>
    <row r="25" spans="1:6" ht="18" customHeight="1" x14ac:dyDescent="0.25">
      <c r="A25" s="14"/>
      <c r="B25" s="15"/>
      <c r="C25" s="16"/>
      <c r="D25" s="16"/>
      <c r="E25" s="13"/>
    </row>
    <row r="26" spans="1:6" x14ac:dyDescent="0.25">
      <c r="A26" s="240">
        <v>1</v>
      </c>
      <c r="B26" s="241" t="s">
        <v>565</v>
      </c>
      <c r="C26" s="509">
        <f>(2450*18*1.2)</f>
        <v>52920</v>
      </c>
      <c r="D26" s="239">
        <f>A26*C26</f>
        <v>52920</v>
      </c>
      <c r="E26" s="13"/>
    </row>
    <row r="27" spans="1:6" ht="13.5" customHeight="1" x14ac:dyDescent="0.25">
      <c r="A27" s="240">
        <v>1</v>
      </c>
      <c r="B27" s="241" t="s">
        <v>568</v>
      </c>
      <c r="C27" s="509">
        <f>(47414*1.3)</f>
        <v>61638.200000000004</v>
      </c>
      <c r="D27" s="239">
        <f>A27*C27</f>
        <v>61638.200000000004</v>
      </c>
      <c r="E27" s="13"/>
    </row>
    <row r="28" spans="1:6" x14ac:dyDescent="0.25">
      <c r="A28" s="240">
        <v>1</v>
      </c>
      <c r="B28" s="241" t="s">
        <v>571</v>
      </c>
      <c r="C28" s="509">
        <f>(122980)*(1.22)</f>
        <v>150035.6</v>
      </c>
      <c r="D28" s="239">
        <f>A28*C28</f>
        <v>150035.6</v>
      </c>
      <c r="E28" s="13"/>
    </row>
    <row r="29" spans="1:6" x14ac:dyDescent="0.25">
      <c r="A29" s="240">
        <v>1</v>
      </c>
      <c r="B29" s="241" t="s">
        <v>564</v>
      </c>
      <c r="C29" s="509">
        <f>(5610.5*18)*(1.3)</f>
        <v>131285.70000000001</v>
      </c>
      <c r="D29" s="239">
        <f>A29*C29</f>
        <v>131285.70000000001</v>
      </c>
      <c r="E29" s="13"/>
    </row>
    <row r="30" spans="1:6" x14ac:dyDescent="0.25">
      <c r="A30" s="240">
        <v>1</v>
      </c>
      <c r="B30" s="241" t="s">
        <v>570</v>
      </c>
      <c r="C30" s="509">
        <f>(5610.5*18)*(1.3)</f>
        <v>131285.70000000001</v>
      </c>
      <c r="D30" s="239">
        <f>A30*C30</f>
        <v>131285.70000000001</v>
      </c>
      <c r="E30" s="13"/>
    </row>
    <row r="31" spans="1:6" x14ac:dyDescent="0.25">
      <c r="A31" s="537"/>
      <c r="B31" s="537"/>
      <c r="C31" s="117"/>
      <c r="D31" s="536"/>
      <c r="E31" s="13"/>
    </row>
    <row r="32" spans="1:6" ht="26.4" x14ac:dyDescent="0.25">
      <c r="A32" s="11" t="s">
        <v>7</v>
      </c>
      <c r="B32" s="11" t="s">
        <v>8</v>
      </c>
      <c r="C32" s="12" t="s">
        <v>9</v>
      </c>
      <c r="D32" s="12" t="s">
        <v>10</v>
      </c>
      <c r="E32" s="13"/>
    </row>
    <row r="33" spans="1:5" x14ac:dyDescent="0.25">
      <c r="A33" s="14"/>
      <c r="B33" s="15"/>
      <c r="C33" s="16"/>
      <c r="D33" s="16"/>
    </row>
    <row r="34" spans="1:5" x14ac:dyDescent="0.25">
      <c r="A34" s="243">
        <v>190</v>
      </c>
      <c r="B34" s="244" t="s">
        <v>474</v>
      </c>
      <c r="C34" s="245">
        <v>22.8</v>
      </c>
      <c r="D34" s="246">
        <f>A34*C34</f>
        <v>4332</v>
      </c>
    </row>
    <row r="35" spans="1:5" ht="13.8" thickBot="1" x14ac:dyDescent="0.3">
      <c r="A35" s="544">
        <v>190</v>
      </c>
      <c r="B35" s="545" t="s">
        <v>57</v>
      </c>
      <c r="C35" s="546">
        <v>43.8</v>
      </c>
      <c r="D35" s="547">
        <f>A35*C35</f>
        <v>8322</v>
      </c>
    </row>
    <row r="36" spans="1:5" ht="13.8" thickBot="1" x14ac:dyDescent="0.3">
      <c r="A36" s="548">
        <v>1</v>
      </c>
      <c r="B36" s="549" t="s">
        <v>569</v>
      </c>
      <c r="C36" s="550">
        <f>2900*1.45</f>
        <v>4205</v>
      </c>
      <c r="D36" s="547">
        <f>A36*C36</f>
        <v>4205</v>
      </c>
      <c r="E36" s="13"/>
    </row>
    <row r="37" spans="1:5" x14ac:dyDescent="0.25">
      <c r="A37" s="527"/>
      <c r="B37" s="527"/>
      <c r="C37" s="533"/>
      <c r="D37" s="533"/>
      <c r="E37" s="13"/>
    </row>
    <row r="38" spans="1:5" ht="26.4" x14ac:dyDescent="0.25">
      <c r="A38" s="11" t="s">
        <v>7</v>
      </c>
      <c r="B38" s="11" t="s">
        <v>8</v>
      </c>
      <c r="C38" s="12" t="s">
        <v>9</v>
      </c>
      <c r="D38" s="12" t="s">
        <v>10</v>
      </c>
      <c r="E38" s="13"/>
    </row>
    <row r="39" spans="1:5" x14ac:dyDescent="0.25">
      <c r="A39" s="14"/>
      <c r="B39" s="15"/>
      <c r="C39" s="16"/>
      <c r="D39" s="16"/>
      <c r="E39" s="13"/>
    </row>
    <row r="40" spans="1:5" x14ac:dyDescent="0.25">
      <c r="A40" s="247">
        <v>270</v>
      </c>
      <c r="B40" s="248" t="s">
        <v>552</v>
      </c>
      <c r="C40" s="249">
        <f>(596)*(1.33)</f>
        <v>792.68000000000006</v>
      </c>
      <c r="D40" s="250">
        <f>A40*C40</f>
        <v>214023.6</v>
      </c>
    </row>
    <row r="41" spans="1:5" x14ac:dyDescent="0.25">
      <c r="A41" s="247">
        <v>270</v>
      </c>
      <c r="B41" s="248" t="s">
        <v>551</v>
      </c>
      <c r="C41" s="249">
        <f>(736)*(1.33)</f>
        <v>978.88000000000011</v>
      </c>
      <c r="D41" s="250">
        <f>A41*C41</f>
        <v>264297.60000000003</v>
      </c>
      <c r="E41" s="13"/>
    </row>
    <row r="42" spans="1:5" x14ac:dyDescent="0.25">
      <c r="A42" s="247">
        <v>270</v>
      </c>
      <c r="B42" s="248" t="s">
        <v>343</v>
      </c>
      <c r="C42" s="249">
        <f>(842)*(1.3)</f>
        <v>1094.6000000000001</v>
      </c>
      <c r="D42" s="250">
        <f>A42*C42</f>
        <v>295542.00000000006</v>
      </c>
      <c r="E42" s="13"/>
    </row>
    <row r="43" spans="1:5" x14ac:dyDescent="0.25">
      <c r="A43" s="247">
        <v>270</v>
      </c>
      <c r="B43" s="248" t="s">
        <v>344</v>
      </c>
      <c r="C43" s="249">
        <f>(1050)*(1.47)</f>
        <v>1543.5</v>
      </c>
      <c r="D43" s="250">
        <f>A43*C43</f>
        <v>416745</v>
      </c>
    </row>
    <row r="44" spans="1:5" x14ac:dyDescent="0.25">
      <c r="A44" s="527"/>
      <c r="B44" s="526"/>
      <c r="C44" s="535"/>
      <c r="D44" s="533"/>
    </row>
    <row r="45" spans="1:5" ht="26.4" x14ac:dyDescent="0.25">
      <c r="A45" s="11" t="s">
        <v>7</v>
      </c>
      <c r="B45" s="11" t="s">
        <v>8</v>
      </c>
      <c r="C45" s="12" t="s">
        <v>9</v>
      </c>
      <c r="D45" s="12" t="s">
        <v>10</v>
      </c>
    </row>
    <row r="46" spans="1:5" x14ac:dyDescent="0.25">
      <c r="A46" s="14"/>
      <c r="B46" s="15"/>
      <c r="C46" s="16"/>
      <c r="D46" s="16"/>
    </row>
    <row r="47" spans="1:5" x14ac:dyDescent="0.25">
      <c r="A47" s="243">
        <v>1</v>
      </c>
      <c r="B47" s="244" t="s">
        <v>550</v>
      </c>
      <c r="C47" s="238">
        <f>(8520)*(2)</f>
        <v>17040</v>
      </c>
      <c r="D47" s="239">
        <f>A47*C47</f>
        <v>17040</v>
      </c>
    </row>
    <row r="48" spans="1:5" x14ac:dyDescent="0.25">
      <c r="A48" s="243">
        <v>1</v>
      </c>
      <c r="B48" s="244" t="s">
        <v>549</v>
      </c>
      <c r="C48" s="238">
        <f>(19880)*(1.51)</f>
        <v>30018.799999999999</v>
      </c>
      <c r="D48" s="239">
        <f>A48*C48</f>
        <v>30018.799999999999</v>
      </c>
    </row>
    <row r="49" spans="1:4" x14ac:dyDescent="0.25">
      <c r="A49" s="247">
        <v>1</v>
      </c>
      <c r="B49" s="248" t="s">
        <v>548</v>
      </c>
      <c r="C49" s="510">
        <f>(2551*18)*1.3</f>
        <v>59693.4</v>
      </c>
      <c r="D49" s="250">
        <f>A49*C49</f>
        <v>59693.4</v>
      </c>
    </row>
    <row r="50" spans="1:4" x14ac:dyDescent="0.25">
      <c r="A50" s="534"/>
      <c r="B50" s="527"/>
      <c r="C50" s="533"/>
      <c r="D50" s="532"/>
    </row>
    <row r="51" spans="1:4" ht="26.4" x14ac:dyDescent="0.25">
      <c r="A51" s="247">
        <v>1</v>
      </c>
      <c r="B51" s="248" t="s">
        <v>547</v>
      </c>
      <c r="C51" s="529">
        <v>35627</v>
      </c>
      <c r="D51" s="250">
        <f>A51*C51</f>
        <v>35627</v>
      </c>
    </row>
    <row r="52" spans="1:4" ht="26.4" x14ac:dyDescent="0.25">
      <c r="A52" s="247">
        <v>1</v>
      </c>
      <c r="B52" s="248" t="s">
        <v>546</v>
      </c>
      <c r="C52" s="529">
        <v>37861</v>
      </c>
      <c r="D52" s="250">
        <f>A52*C52</f>
        <v>37861</v>
      </c>
    </row>
    <row r="53" spans="1:4" x14ac:dyDescent="0.25">
      <c r="A53" s="247">
        <v>1</v>
      </c>
      <c r="B53" s="248" t="s">
        <v>545</v>
      </c>
      <c r="C53" s="510">
        <f>(2576.78*21)*(1.3)</f>
        <v>70346.094000000012</v>
      </c>
      <c r="D53" s="250">
        <f>A53*C53</f>
        <v>70346.094000000012</v>
      </c>
    </row>
    <row r="54" spans="1:4" x14ac:dyDescent="0.25">
      <c r="A54" s="531">
        <v>1</v>
      </c>
      <c r="B54" s="530" t="s">
        <v>544</v>
      </c>
      <c r="C54" s="529">
        <f>9650*1.32</f>
        <v>12738</v>
      </c>
      <c r="D54" s="528">
        <f>A54*C54</f>
        <v>12738</v>
      </c>
    </row>
    <row r="55" spans="1:4" ht="26.4" x14ac:dyDescent="0.25">
      <c r="A55" s="531"/>
      <c r="B55" s="530" t="s">
        <v>543</v>
      </c>
      <c r="C55" s="529"/>
      <c r="D55" s="528"/>
    </row>
    <row r="56" spans="1:4" x14ac:dyDescent="0.25">
      <c r="A56" s="527"/>
      <c r="B56" s="526"/>
      <c r="C56" s="525"/>
      <c r="D56" s="524"/>
    </row>
    <row r="57" spans="1:4" ht="13.8" x14ac:dyDescent="0.25">
      <c r="B57" s="135" t="s">
        <v>23</v>
      </c>
    </row>
    <row r="58" spans="1:4" ht="15" x14ac:dyDescent="0.25">
      <c r="A58" s="62"/>
      <c r="B58" s="187" t="s">
        <v>24</v>
      </c>
    </row>
    <row r="59" spans="1:4" ht="41.4" x14ac:dyDescent="0.25">
      <c r="A59" s="62"/>
      <c r="B59" s="187" t="s">
        <v>542</v>
      </c>
      <c r="C59" s="54"/>
      <c r="D59" s="58"/>
    </row>
    <row r="60" spans="1:4" ht="15" x14ac:dyDescent="0.25">
      <c r="A60" s="62"/>
      <c r="B60" s="135" t="s">
        <v>26</v>
      </c>
      <c r="C60" s="54"/>
      <c r="D60" s="58"/>
    </row>
    <row r="61" spans="1:4" ht="15" x14ac:dyDescent="0.25">
      <c r="A61" s="62"/>
      <c r="B61" s="523" t="s">
        <v>541</v>
      </c>
      <c r="C61" s="54"/>
      <c r="D61" s="54"/>
    </row>
    <row r="62" spans="1:4" ht="15" x14ac:dyDescent="0.25">
      <c r="A62" s="62"/>
      <c r="B62" s="189" t="s">
        <v>28</v>
      </c>
      <c r="C62" s="54"/>
      <c r="D62" s="54"/>
    </row>
    <row r="63" spans="1:4" ht="13.8" x14ac:dyDescent="0.25">
      <c r="B63" s="135" t="s">
        <v>29</v>
      </c>
      <c r="D63" s="56"/>
    </row>
    <row r="64" spans="1:4" ht="15" x14ac:dyDescent="0.25">
      <c r="A64" s="62"/>
      <c r="B64" s="191" t="s">
        <v>540</v>
      </c>
      <c r="C64" s="54"/>
      <c r="D64" s="58"/>
    </row>
    <row r="65" spans="1:4" ht="15" x14ac:dyDescent="0.25">
      <c r="A65" s="62"/>
      <c r="B65" s="191" t="s">
        <v>31</v>
      </c>
      <c r="C65" s="54"/>
      <c r="D65" s="58"/>
    </row>
    <row r="66" spans="1:4" ht="15" x14ac:dyDescent="0.25">
      <c r="A66" s="62"/>
      <c r="B66" s="191" t="s">
        <v>32</v>
      </c>
      <c r="D66" s="64"/>
    </row>
    <row r="67" spans="1:4" ht="33.6" x14ac:dyDescent="0.4">
      <c r="A67" s="62"/>
      <c r="B67" s="217" t="s">
        <v>33</v>
      </c>
      <c r="C67" s="54"/>
      <c r="D67" s="54"/>
    </row>
    <row r="68" spans="1:4" ht="16.8" x14ac:dyDescent="0.4">
      <c r="A68" s="62"/>
      <c r="B68" s="522"/>
      <c r="C68" s="141"/>
      <c r="D68" s="141"/>
    </row>
    <row r="69" spans="1:4" ht="13.8" x14ac:dyDescent="0.25">
      <c r="A69" s="139" t="s">
        <v>0</v>
      </c>
      <c r="B69" s="64"/>
      <c r="C69" s="64"/>
      <c r="D69" s="1"/>
    </row>
    <row r="70" spans="1:4" ht="13.8" x14ac:dyDescent="0.25">
      <c r="A70" s="521"/>
      <c r="B70" s="64"/>
      <c r="C70" s="64"/>
      <c r="D70" s="1"/>
    </row>
    <row r="71" spans="1:4" x14ac:dyDescent="0.25">
      <c r="A71" s="142"/>
      <c r="B71" s="143"/>
      <c r="C71" s="64"/>
      <c r="D71" s="1"/>
    </row>
    <row r="72" spans="1:4" ht="15" x14ac:dyDescent="0.35">
      <c r="A72" s="142"/>
      <c r="B72" s="145"/>
      <c r="C72" s="64"/>
      <c r="D72" s="64"/>
    </row>
    <row r="73" spans="1:4" x14ac:dyDescent="0.25">
      <c r="A73" s="144"/>
    </row>
    <row r="74" spans="1:4" x14ac:dyDescent="0.25">
      <c r="A74" s="146" t="s">
        <v>0</v>
      </c>
    </row>
    <row r="75" spans="1:4" x14ac:dyDescent="0.25">
      <c r="A75" s="1" t="s">
        <v>0</v>
      </c>
    </row>
  </sheetData>
  <mergeCells count="1">
    <mergeCell ref="A4:D4"/>
  </mergeCells>
  <printOptions horizontalCentered="1"/>
  <pageMargins left="0.59055118110236227" right="0.59055118110236227" top="0.19685039370078741" bottom="0.19685039370078741" header="0.19685039370078741" footer="0.19685039370078741"/>
  <pageSetup paperSize="9" scale="61" fitToWidth="0" orientation="portrait" r:id="rId1"/>
  <headerFooter alignWithMargins="0">
    <oddFooter>Página &amp;P de &amp;N</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D92F-862B-4DC6-ACB3-DB247A96C3F5}">
  <sheetPr>
    <tabColor theme="4" tint="-0.249977111117893"/>
    <pageSetUpPr fitToPage="1"/>
  </sheetPr>
  <dimension ref="A1:P59"/>
  <sheetViews>
    <sheetView topLeftCell="A4" zoomScale="85" zoomScaleNormal="85" workbookViewId="0">
      <selection activeCell="C16" sqref="C16"/>
    </sheetView>
  </sheetViews>
  <sheetFormatPr baseColWidth="10" defaultColWidth="11.44140625" defaultRowHeight="13.2" x14ac:dyDescent="0.25"/>
  <cols>
    <col min="1" max="1" width="6" style="1" customWidth="1"/>
    <col min="2" max="2" width="86.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559</v>
      </c>
      <c r="B8" s="68"/>
      <c r="C8" s="69"/>
      <c r="D8" s="69"/>
    </row>
    <row r="9" spans="1:16" s="4" customFormat="1" ht="19.2" x14ac:dyDescent="0.45">
      <c r="A9" s="67" t="s">
        <v>560</v>
      </c>
      <c r="B9" s="68"/>
      <c r="C9" s="69"/>
      <c r="D9" s="69"/>
    </row>
    <row r="10" spans="1:16" s="4" customFormat="1" ht="19.2" x14ac:dyDescent="0.45">
      <c r="A10" s="67" t="s">
        <v>561</v>
      </c>
      <c r="B10" s="68"/>
      <c r="C10" s="69"/>
      <c r="D10" s="69"/>
    </row>
    <row r="11" spans="1:16" s="4" customFormat="1" ht="19.2" x14ac:dyDescent="0.45">
      <c r="A11" s="67" t="s">
        <v>562</v>
      </c>
      <c r="B11" s="68"/>
      <c r="C11" s="70"/>
      <c r="D11" s="69"/>
    </row>
    <row r="12" spans="1:16" s="4" customFormat="1" ht="15" customHeight="1" x14ac:dyDescent="0.45">
      <c r="A12" s="71" t="s">
        <v>583</v>
      </c>
      <c r="B12" s="72"/>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572</v>
      </c>
      <c r="C16" s="105">
        <v>23800</v>
      </c>
      <c r="D16" s="79">
        <f t="shared" ref="D16:D19" si="0">A16*C16</f>
        <v>23800</v>
      </c>
      <c r="N16" s="23"/>
      <c r="O16" s="23"/>
      <c r="P16" s="23"/>
    </row>
    <row r="17" spans="1:16" s="23" customFormat="1" ht="15.6" x14ac:dyDescent="0.25">
      <c r="A17" s="103">
        <v>2</v>
      </c>
      <c r="B17" s="104" t="s">
        <v>497</v>
      </c>
      <c r="C17" s="105">
        <v>2380</v>
      </c>
      <c r="D17" s="79">
        <f t="shared" si="0"/>
        <v>4760</v>
      </c>
      <c r="E17" s="13"/>
      <c r="F17" s="1"/>
      <c r="G17" s="1"/>
      <c r="H17" s="1"/>
      <c r="I17" s="1"/>
      <c r="J17" s="1"/>
      <c r="K17" s="1"/>
      <c r="L17" s="1"/>
      <c r="M17" s="1"/>
    </row>
    <row r="18" spans="1:16" s="23" customFormat="1" ht="30" x14ac:dyDescent="0.25">
      <c r="A18" s="103">
        <v>1</v>
      </c>
      <c r="B18" s="104" t="s">
        <v>391</v>
      </c>
      <c r="C18" s="105">
        <v>21600</v>
      </c>
      <c r="D18" s="79">
        <f t="shared" si="0"/>
        <v>21600</v>
      </c>
      <c r="E18" s="13"/>
      <c r="F18" s="1"/>
      <c r="G18" s="1"/>
      <c r="H18" s="1"/>
      <c r="I18" s="1"/>
      <c r="J18" s="1"/>
      <c r="K18" s="1"/>
      <c r="L18" s="1"/>
      <c r="M18" s="1"/>
    </row>
    <row r="19" spans="1:16" s="23" customFormat="1" ht="15.6" x14ac:dyDescent="0.25">
      <c r="A19" s="103">
        <v>1</v>
      </c>
      <c r="B19" s="104" t="s">
        <v>499</v>
      </c>
      <c r="C19" s="105">
        <v>4520</v>
      </c>
      <c r="D19" s="79">
        <f t="shared" si="0"/>
        <v>4520</v>
      </c>
      <c r="E19" s="1"/>
      <c r="F19" s="1"/>
      <c r="G19" s="1"/>
      <c r="H19" s="1"/>
      <c r="I19" s="1"/>
      <c r="J19" s="1"/>
      <c r="K19" s="1"/>
      <c r="L19" s="1"/>
      <c r="M19" s="1"/>
    </row>
    <row r="20" spans="1:16" s="23" customFormat="1" ht="15.6" x14ac:dyDescent="0.3">
      <c r="A20" s="99"/>
      <c r="B20" s="85" t="s">
        <v>500</v>
      </c>
      <c r="C20" s="86" t="s">
        <v>49</v>
      </c>
      <c r="D20" s="87">
        <f>SUM(D16:D19)</f>
        <v>54680</v>
      </c>
      <c r="E20" s="1"/>
      <c r="F20" s="1"/>
      <c r="G20" s="1"/>
      <c r="H20" s="1"/>
      <c r="I20" s="1"/>
      <c r="J20" s="1"/>
      <c r="K20" s="1"/>
      <c r="L20" s="1"/>
      <c r="M20" s="1"/>
      <c r="N20" s="1"/>
      <c r="O20" s="1"/>
      <c r="P20" s="1"/>
    </row>
    <row r="21" spans="1:16" ht="15.6" x14ac:dyDescent="0.3">
      <c r="A21" s="99"/>
      <c r="B21" s="85"/>
      <c r="C21" s="90" t="s">
        <v>51</v>
      </c>
      <c r="D21" s="87">
        <f>D20*0.16</f>
        <v>8748.7999999999993</v>
      </c>
    </row>
    <row r="22" spans="1:16" ht="16.2" thickBot="1" x14ac:dyDescent="0.3">
      <c r="A22" s="99"/>
      <c r="B22" s="100"/>
      <c r="C22" s="90" t="s">
        <v>52</v>
      </c>
      <c r="D22" s="87">
        <f>SUM(D20:D21)</f>
        <v>63428.800000000003</v>
      </c>
    </row>
    <row r="23" spans="1:16" ht="16.2" thickBot="1" x14ac:dyDescent="0.3">
      <c r="A23" s="116"/>
      <c r="B23" s="186" t="s">
        <v>588</v>
      </c>
      <c r="C23" s="36"/>
      <c r="D23" s="37"/>
      <c r="O23" s="88"/>
      <c r="P23" s="88"/>
    </row>
    <row r="24" spans="1:16" s="88" customFormat="1" ht="13.8" x14ac:dyDescent="0.25">
      <c r="A24" s="34"/>
      <c r="B24" s="120" t="s">
        <v>15</v>
      </c>
      <c r="C24" s="121"/>
      <c r="D24" s="122"/>
      <c r="E24" s="1"/>
      <c r="F24" s="1"/>
      <c r="G24" s="1"/>
      <c r="H24" s="1"/>
      <c r="I24" s="1"/>
      <c r="J24" s="1"/>
      <c r="K24" s="1"/>
      <c r="L24" s="1"/>
      <c r="M24" s="1"/>
      <c r="N24" s="1"/>
      <c r="O24" s="1"/>
      <c r="P24" s="1"/>
    </row>
    <row r="25" spans="1:16" ht="15.6" x14ac:dyDescent="0.25">
      <c r="A25" s="34"/>
      <c r="B25" s="123"/>
      <c r="C25" s="1"/>
      <c r="D25" s="1"/>
    </row>
    <row r="26" spans="1:16" ht="13.8" x14ac:dyDescent="0.25">
      <c r="A26" s="286"/>
      <c r="B26" s="135" t="s">
        <v>17</v>
      </c>
      <c r="C26" s="1"/>
      <c r="D26" s="1"/>
    </row>
    <row r="27" spans="1:16" ht="15" x14ac:dyDescent="0.25">
      <c r="A27" s="288"/>
      <c r="B27" s="191" t="s">
        <v>19</v>
      </c>
      <c r="C27" s="1"/>
      <c r="D27" s="1"/>
    </row>
    <row r="28" spans="1:16" ht="15" x14ac:dyDescent="0.25">
      <c r="A28" s="288"/>
      <c r="B28" s="290" t="s">
        <v>60</v>
      </c>
      <c r="C28" s="1"/>
      <c r="D28" s="1"/>
    </row>
    <row r="29" spans="1:16" ht="15" x14ac:dyDescent="0.25">
      <c r="A29" s="288"/>
      <c r="B29" s="130" t="s">
        <v>23</v>
      </c>
      <c r="C29" s="13"/>
      <c r="D29" s="1"/>
    </row>
    <row r="30" spans="1:16" ht="27.6" x14ac:dyDescent="0.25">
      <c r="A30" s="288"/>
      <c r="B30" s="187" t="s">
        <v>62</v>
      </c>
      <c r="C30" s="13"/>
      <c r="D30" s="1"/>
    </row>
    <row r="31" spans="1:16" ht="15" x14ac:dyDescent="0.25">
      <c r="A31" s="288"/>
      <c r="B31" s="130" t="s">
        <v>26</v>
      </c>
      <c r="C31" s="13"/>
      <c r="D31" s="1"/>
    </row>
    <row r="32" spans="1:16" ht="31.2" customHeight="1" x14ac:dyDescent="0.25">
      <c r="A32" s="288"/>
      <c r="B32" s="512" t="s">
        <v>505</v>
      </c>
      <c r="C32" s="13"/>
      <c r="D32" s="1"/>
    </row>
    <row r="33" spans="1:4" ht="18" customHeight="1" x14ac:dyDescent="0.25">
      <c r="A33" s="288"/>
      <c r="B33" s="512" t="s">
        <v>28</v>
      </c>
      <c r="C33" s="1"/>
      <c r="D33" s="1"/>
    </row>
    <row r="34" spans="1:4" ht="15" x14ac:dyDescent="0.25">
      <c r="A34" s="288"/>
      <c r="B34" s="130" t="s">
        <v>29</v>
      </c>
      <c r="C34" s="1"/>
      <c r="D34" s="1"/>
    </row>
    <row r="35" spans="1:4" ht="13.8" x14ac:dyDescent="0.25">
      <c r="A35" s="88"/>
      <c r="B35" s="190" t="s">
        <v>64</v>
      </c>
      <c r="C35" s="133"/>
      <c r="D35" s="134"/>
    </row>
    <row r="36" spans="1:4" ht="15" x14ac:dyDescent="0.25">
      <c r="A36" s="288"/>
      <c r="B36" s="191" t="s">
        <v>31</v>
      </c>
      <c r="C36" s="54"/>
      <c r="D36" s="58"/>
    </row>
    <row r="37" spans="1:4" ht="15" x14ac:dyDescent="0.25">
      <c r="A37" s="288"/>
      <c r="B37" s="191" t="s">
        <v>32</v>
      </c>
      <c r="C37" s="54"/>
    </row>
    <row r="38" spans="1:4" ht="50.4" x14ac:dyDescent="0.25">
      <c r="A38" s="293" t="s">
        <v>0</v>
      </c>
      <c r="B38" s="193" t="s">
        <v>65</v>
      </c>
      <c r="C38" s="141"/>
      <c r="D38" s="1"/>
    </row>
    <row r="39" spans="1:4" x14ac:dyDescent="0.25">
      <c r="A39" s="142"/>
      <c r="B39" s="64"/>
      <c r="C39" s="64"/>
      <c r="D39" s="1"/>
    </row>
    <row r="40" spans="1:4" x14ac:dyDescent="0.25">
      <c r="A40" s="142"/>
      <c r="B40" s="64"/>
      <c r="C40" s="64"/>
      <c r="D40" s="1"/>
    </row>
    <row r="41" spans="1:4" x14ac:dyDescent="0.25">
      <c r="A41" s="142"/>
      <c r="B41" s="143"/>
      <c r="C41" s="64"/>
      <c r="D41" s="1"/>
    </row>
    <row r="42" spans="1:4" ht="15" x14ac:dyDescent="0.35">
      <c r="A42" s="144"/>
      <c r="B42" s="145"/>
      <c r="C42" s="64"/>
      <c r="D42" s="64"/>
    </row>
    <row r="43" spans="1:4" x14ac:dyDescent="0.25">
      <c r="A43" s="146" t="s">
        <v>0</v>
      </c>
    </row>
    <row r="44" spans="1:4" x14ac:dyDescent="0.25">
      <c r="A44"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2" fitToWidth="0" orientation="portrait" r:id="rId1"/>
  <headerFooter alignWithMargins="0">
    <oddFooter>Página &amp;P de &amp;N</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F809D-E577-492B-87E4-51AE1E68E7E2}">
  <sheetPr>
    <tabColor theme="4" tint="-0.249977111117893"/>
    <pageSetUpPr fitToPage="1"/>
  </sheetPr>
  <dimension ref="A1:F74"/>
  <sheetViews>
    <sheetView topLeftCell="A30" zoomScaleNormal="100" workbookViewId="0">
      <selection activeCell="D19" sqref="D19"/>
    </sheetView>
  </sheetViews>
  <sheetFormatPr baseColWidth="10" defaultColWidth="11.44140625" defaultRowHeight="13.2" x14ac:dyDescent="0.25"/>
  <cols>
    <col min="1" max="1" width="6" style="1" customWidth="1"/>
    <col min="2" max="2" width="100.33203125" style="1" customWidth="1"/>
    <col min="3" max="3" width="12.6640625" style="3" customWidth="1"/>
    <col min="4" max="4" width="14.554687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748"/>
      <c r="B4" s="748"/>
      <c r="C4" s="748"/>
      <c r="D4" s="748"/>
    </row>
    <row r="5" spans="1:6" s="4" customFormat="1" ht="16.8" x14ac:dyDescent="0.4">
      <c r="A5" s="5"/>
      <c r="C5" s="6"/>
      <c r="D5" s="6"/>
    </row>
    <row r="6" spans="1:6" s="4" customFormat="1" ht="16.8" x14ac:dyDescent="0.4">
      <c r="A6" s="5"/>
      <c r="C6" s="6"/>
      <c r="D6" s="6"/>
    </row>
    <row r="7" spans="1:6" s="4" customFormat="1" ht="16.8" x14ac:dyDescent="0.4">
      <c r="A7" s="5"/>
      <c r="C7" s="6"/>
      <c r="D7" s="6"/>
    </row>
    <row r="8" spans="1:6" s="4" customFormat="1" ht="16.8" x14ac:dyDescent="0.4">
      <c r="A8" s="5" t="s">
        <v>559</v>
      </c>
      <c r="C8" s="6"/>
      <c r="D8" s="6"/>
    </row>
    <row r="9" spans="1:6" s="4" customFormat="1" ht="16.8" x14ac:dyDescent="0.4">
      <c r="A9" s="5" t="s">
        <v>560</v>
      </c>
      <c r="C9" s="6"/>
      <c r="D9" s="6"/>
    </row>
    <row r="10" spans="1:6" s="4" customFormat="1" ht="16.8" x14ac:dyDescent="0.4">
      <c r="A10" s="5" t="s">
        <v>561</v>
      </c>
      <c r="C10" s="6"/>
      <c r="D10" s="6"/>
    </row>
    <row r="11" spans="1:6" s="4" customFormat="1" ht="16.8" x14ac:dyDescent="0.4">
      <c r="A11" s="5" t="s">
        <v>562</v>
      </c>
      <c r="C11" s="7"/>
      <c r="D11" s="6"/>
    </row>
    <row r="12" spans="1:6" s="4" customFormat="1" ht="15" customHeight="1" x14ac:dyDescent="0.4">
      <c r="A12" s="8" t="s">
        <v>563</v>
      </c>
      <c r="B12" s="9"/>
      <c r="C12" s="351"/>
      <c r="D12" s="352"/>
    </row>
    <row r="13" spans="1:6" s="4" customFormat="1" ht="15" customHeight="1" x14ac:dyDescent="0.4">
      <c r="A13" s="229" t="s">
        <v>38</v>
      </c>
      <c r="B13" s="230"/>
      <c r="C13" s="231"/>
      <c r="D13" s="232"/>
    </row>
    <row r="14" spans="1:6" s="4" customFormat="1" ht="16.8" x14ac:dyDescent="0.4">
      <c r="A14" s="14"/>
      <c r="B14" s="15"/>
      <c r="C14" s="16"/>
      <c r="D14" s="16"/>
      <c r="E14" s="543"/>
      <c r="F14" s="10"/>
    </row>
    <row r="15" spans="1:6" s="10" customFormat="1" ht="13.8" x14ac:dyDescent="0.25">
      <c r="A15" s="240">
        <v>1</v>
      </c>
      <c r="B15" s="541" t="s">
        <v>557</v>
      </c>
      <c r="C15" s="542">
        <f>105440*1.25</f>
        <v>131800</v>
      </c>
      <c r="D15" s="397">
        <f>A15*C15</f>
        <v>131800</v>
      </c>
      <c r="E15" s="13"/>
      <c r="F15" s="1"/>
    </row>
    <row r="16" spans="1:6" x14ac:dyDescent="0.25">
      <c r="A16" s="240">
        <v>1</v>
      </c>
      <c r="B16" s="541" t="s">
        <v>578</v>
      </c>
      <c r="C16" s="509">
        <f>(4657*17.72*1.2)</f>
        <v>99026.447999999989</v>
      </c>
      <c r="D16" s="397">
        <f>A16*C16</f>
        <v>99026.447999999989</v>
      </c>
      <c r="E16" s="17"/>
      <c r="F16" s="23"/>
    </row>
    <row r="17" spans="1:6" s="23" customFormat="1" ht="15.75" customHeight="1" x14ac:dyDescent="0.25">
      <c r="A17" s="236">
        <v>1</v>
      </c>
      <c r="B17" s="237" t="s">
        <v>554</v>
      </c>
      <c r="C17" s="509">
        <f>(6928*18)*(1.2)</f>
        <v>149644.79999999999</v>
      </c>
      <c r="D17" s="397">
        <f>A17*C17</f>
        <v>149644.79999999999</v>
      </c>
      <c r="E17" s="17"/>
      <c r="F17" s="1"/>
    </row>
    <row r="18" spans="1:6" ht="13.5" customHeight="1" x14ac:dyDescent="0.25">
      <c r="A18" s="240"/>
      <c r="B18" s="241" t="s">
        <v>573</v>
      </c>
      <c r="C18" s="509"/>
      <c r="D18" s="397"/>
      <c r="E18" s="13"/>
    </row>
    <row r="19" spans="1:6" ht="13.5" customHeight="1" x14ac:dyDescent="0.25">
      <c r="A19" s="236">
        <v>1</v>
      </c>
      <c r="B19" s="237" t="s">
        <v>555</v>
      </c>
      <c r="C19" s="509">
        <f>(91856)*(1.3)</f>
        <v>119412.8</v>
      </c>
      <c r="D19" s="239">
        <f>A19*C19</f>
        <v>119412.8</v>
      </c>
      <c r="E19" s="17"/>
    </row>
    <row r="20" spans="1:6" ht="13.5" customHeight="1" x14ac:dyDescent="0.25">
      <c r="A20" s="240"/>
      <c r="B20" s="241" t="s">
        <v>558</v>
      </c>
      <c r="C20" s="509"/>
      <c r="D20" s="239"/>
      <c r="E20" s="13"/>
      <c r="F20" s="122"/>
    </row>
    <row r="21" spans="1:6" ht="13.5" customHeight="1" x14ac:dyDescent="0.25">
      <c r="A21" s="537"/>
      <c r="B21" s="540"/>
      <c r="C21" s="539"/>
      <c r="D21" s="538"/>
      <c r="E21" s="13"/>
    </row>
    <row r="22" spans="1:6" ht="13.5" customHeight="1" x14ac:dyDescent="0.25">
      <c r="A22" s="11" t="s">
        <v>7</v>
      </c>
      <c r="B22" s="11" t="s">
        <v>8</v>
      </c>
      <c r="C22" s="12" t="s">
        <v>9</v>
      </c>
      <c r="D22" s="12" t="s">
        <v>10</v>
      </c>
      <c r="E22" s="13"/>
    </row>
    <row r="23" spans="1:6" ht="13.5" customHeight="1" x14ac:dyDescent="0.25">
      <c r="A23" s="14"/>
      <c r="B23" s="15"/>
      <c r="C23" s="16"/>
      <c r="D23" s="16"/>
      <c r="E23" s="13"/>
    </row>
    <row r="24" spans="1:6" ht="13.5" customHeight="1" x14ac:dyDescent="0.25">
      <c r="A24" s="240">
        <v>1</v>
      </c>
      <c r="B24" s="241" t="s">
        <v>574</v>
      </c>
      <c r="C24" s="509">
        <f>(43552*1.2)</f>
        <v>52262.400000000001</v>
      </c>
      <c r="D24" s="239">
        <f>A24*C24</f>
        <v>52262.400000000001</v>
      </c>
      <c r="E24" s="13"/>
    </row>
    <row r="25" spans="1:6" x14ac:dyDescent="0.25">
      <c r="A25" s="240">
        <v>1</v>
      </c>
      <c r="B25" s="241" t="s">
        <v>576</v>
      </c>
      <c r="C25" s="509">
        <f>(47414*1.3)</f>
        <v>61638.200000000004</v>
      </c>
      <c r="D25" s="239">
        <f>A25*C25</f>
        <v>61638.200000000004</v>
      </c>
      <c r="E25" s="13"/>
    </row>
    <row r="26" spans="1:6" x14ac:dyDescent="0.25">
      <c r="A26" s="240">
        <v>1</v>
      </c>
      <c r="B26" s="241" t="s">
        <v>577</v>
      </c>
      <c r="C26" s="509">
        <f>(119634)*(1.25)</f>
        <v>149542.5</v>
      </c>
      <c r="D26" s="239">
        <f>A26*C26</f>
        <v>149542.5</v>
      </c>
      <c r="E26" s="13"/>
    </row>
    <row r="27" spans="1:6" ht="13.5" customHeight="1" x14ac:dyDescent="0.25">
      <c r="A27" s="240">
        <v>1</v>
      </c>
      <c r="B27" s="241" t="s">
        <v>575</v>
      </c>
      <c r="C27" s="509">
        <f>(5117*18)*(1.3)</f>
        <v>119737.8</v>
      </c>
      <c r="D27" s="239">
        <f>A27*C27</f>
        <v>119737.8</v>
      </c>
      <c r="E27" s="13"/>
    </row>
    <row r="28" spans="1:6" x14ac:dyDescent="0.25">
      <c r="A28" s="240">
        <v>1</v>
      </c>
      <c r="B28" s="241" t="s">
        <v>579</v>
      </c>
      <c r="C28" s="509">
        <f>(69174)*(1.3)</f>
        <v>89926.2</v>
      </c>
      <c r="D28" s="239">
        <f>A28*C28</f>
        <v>89926.2</v>
      </c>
      <c r="E28" s="13"/>
    </row>
    <row r="29" spans="1:6" x14ac:dyDescent="0.25">
      <c r="A29" s="537"/>
      <c r="B29" s="537"/>
      <c r="C29" s="117"/>
      <c r="D29" s="536"/>
      <c r="E29" s="13"/>
    </row>
    <row r="30" spans="1:6" ht="26.4" x14ac:dyDescent="0.25">
      <c r="A30" s="11" t="s">
        <v>7</v>
      </c>
      <c r="B30" s="11" t="s">
        <v>8</v>
      </c>
      <c r="C30" s="12" t="s">
        <v>9</v>
      </c>
      <c r="D30" s="12" t="s">
        <v>10</v>
      </c>
      <c r="E30" s="13"/>
    </row>
    <row r="31" spans="1:6" x14ac:dyDescent="0.25">
      <c r="A31" s="14"/>
      <c r="B31" s="15"/>
      <c r="C31" s="16"/>
      <c r="D31" s="16"/>
    </row>
    <row r="32" spans="1:6" x14ac:dyDescent="0.25">
      <c r="A32" s="243">
        <v>190</v>
      </c>
      <c r="B32" s="244" t="s">
        <v>474</v>
      </c>
      <c r="C32" s="245">
        <v>22.8</v>
      </c>
      <c r="D32" s="246">
        <f>A32*C32</f>
        <v>4332</v>
      </c>
    </row>
    <row r="33" spans="1:5" ht="13.8" thickBot="1" x14ac:dyDescent="0.3">
      <c r="A33" s="544">
        <v>190</v>
      </c>
      <c r="B33" s="545" t="s">
        <v>57</v>
      </c>
      <c r="C33" s="546">
        <v>43.8</v>
      </c>
      <c r="D33" s="547">
        <f>A33*C33</f>
        <v>8322</v>
      </c>
    </row>
    <row r="34" spans="1:5" ht="13.8" thickBot="1" x14ac:dyDescent="0.3">
      <c r="A34" s="548">
        <v>1</v>
      </c>
      <c r="B34" s="549" t="s">
        <v>569</v>
      </c>
      <c r="C34" s="550">
        <f>2900*1.45</f>
        <v>4205</v>
      </c>
      <c r="D34" s="547">
        <f>A34*C34</f>
        <v>4205</v>
      </c>
      <c r="E34" s="13"/>
    </row>
    <row r="35" spans="1:5" x14ac:dyDescent="0.25">
      <c r="A35" s="527"/>
      <c r="B35" s="527"/>
      <c r="C35" s="533"/>
      <c r="D35" s="533"/>
      <c r="E35" s="13"/>
    </row>
    <row r="36" spans="1:5" ht="26.4" x14ac:dyDescent="0.25">
      <c r="A36" s="11" t="s">
        <v>7</v>
      </c>
      <c r="B36" s="11" t="s">
        <v>8</v>
      </c>
      <c r="C36" s="12" t="s">
        <v>9</v>
      </c>
      <c r="D36" s="12" t="s">
        <v>10</v>
      </c>
      <c r="E36" s="13"/>
    </row>
    <row r="37" spans="1:5" x14ac:dyDescent="0.25">
      <c r="A37" s="14"/>
      <c r="B37" s="15"/>
      <c r="C37" s="16"/>
      <c r="D37" s="16"/>
      <c r="E37" s="13"/>
    </row>
    <row r="38" spans="1:5" x14ac:dyDescent="0.25">
      <c r="A38" s="247">
        <v>270</v>
      </c>
      <c r="B38" s="248" t="s">
        <v>552</v>
      </c>
      <c r="C38" s="249">
        <f>(596)*(1.33)</f>
        <v>792.68000000000006</v>
      </c>
      <c r="D38" s="250">
        <f>A38*C38</f>
        <v>214023.6</v>
      </c>
    </row>
    <row r="39" spans="1:5" x14ac:dyDescent="0.25">
      <c r="A39" s="247">
        <v>270</v>
      </c>
      <c r="B39" s="248" t="s">
        <v>551</v>
      </c>
      <c r="C39" s="249">
        <f>(736)*(1.33)</f>
        <v>978.88000000000011</v>
      </c>
      <c r="D39" s="250">
        <f>A39*C39</f>
        <v>264297.60000000003</v>
      </c>
      <c r="E39" s="13"/>
    </row>
    <row r="40" spans="1:5" x14ac:dyDescent="0.25">
      <c r="A40" s="247">
        <v>270</v>
      </c>
      <c r="B40" s="248" t="s">
        <v>343</v>
      </c>
      <c r="C40" s="249">
        <f>(842)*(1.3)</f>
        <v>1094.6000000000001</v>
      </c>
      <c r="D40" s="250">
        <f>A40*C40</f>
        <v>295542.00000000006</v>
      </c>
      <c r="E40" s="13"/>
    </row>
    <row r="41" spans="1:5" x14ac:dyDescent="0.25">
      <c r="A41" s="247">
        <v>270</v>
      </c>
      <c r="B41" s="248" t="s">
        <v>344</v>
      </c>
      <c r="C41" s="249">
        <f>(1050)*(1.47)</f>
        <v>1543.5</v>
      </c>
      <c r="D41" s="250">
        <f>A41*C41</f>
        <v>416745</v>
      </c>
    </row>
    <row r="42" spans="1:5" x14ac:dyDescent="0.25">
      <c r="A42" s="527"/>
      <c r="B42" s="526"/>
      <c r="C42" s="535"/>
      <c r="D42" s="533"/>
    </row>
    <row r="43" spans="1:5" ht="26.4" x14ac:dyDescent="0.25">
      <c r="A43" s="11" t="s">
        <v>7</v>
      </c>
      <c r="B43" s="11" t="s">
        <v>8</v>
      </c>
      <c r="C43" s="12" t="s">
        <v>9</v>
      </c>
      <c r="D43" s="12" t="s">
        <v>10</v>
      </c>
    </row>
    <row r="44" spans="1:5" x14ac:dyDescent="0.25">
      <c r="A44" s="14"/>
      <c r="B44" s="15"/>
      <c r="C44" s="16"/>
      <c r="D44" s="16"/>
    </row>
    <row r="45" spans="1:5" x14ac:dyDescent="0.25">
      <c r="A45" s="243">
        <v>1</v>
      </c>
      <c r="B45" s="244" t="s">
        <v>550</v>
      </c>
      <c r="C45" s="238">
        <f>(8520)*(2)</f>
        <v>17040</v>
      </c>
      <c r="D45" s="239">
        <f>A45*C45</f>
        <v>17040</v>
      </c>
    </row>
    <row r="46" spans="1:5" x14ac:dyDescent="0.25">
      <c r="A46" s="243">
        <v>1</v>
      </c>
      <c r="B46" s="244" t="s">
        <v>549</v>
      </c>
      <c r="C46" s="238">
        <f>(19880)*(1.51)</f>
        <v>30018.799999999999</v>
      </c>
      <c r="D46" s="239">
        <f>A46*C46</f>
        <v>30018.799999999999</v>
      </c>
    </row>
    <row r="47" spans="1:5" x14ac:dyDescent="0.25">
      <c r="A47" s="247">
        <v>1</v>
      </c>
      <c r="B47" s="248" t="s">
        <v>548</v>
      </c>
      <c r="C47" s="510">
        <f>(2551*18)*1.3</f>
        <v>59693.4</v>
      </c>
      <c r="D47" s="250">
        <f>A47*C47</f>
        <v>59693.4</v>
      </c>
    </row>
    <row r="48" spans="1:5" x14ac:dyDescent="0.25">
      <c r="A48" s="534"/>
      <c r="B48" s="527"/>
      <c r="C48" s="533"/>
      <c r="D48" s="532"/>
    </row>
    <row r="49" spans="1:4" ht="26.4" x14ac:dyDescent="0.25">
      <c r="A49" s="247">
        <v>1</v>
      </c>
      <c r="B49" s="248" t="s">
        <v>580</v>
      </c>
      <c r="C49" s="529">
        <f>29870</f>
        <v>29870</v>
      </c>
      <c r="D49" s="250">
        <f>A49*C49</f>
        <v>29870</v>
      </c>
    </row>
    <row r="50" spans="1:4" ht="26.4" x14ac:dyDescent="0.25">
      <c r="A50" s="247">
        <v>1</v>
      </c>
      <c r="B50" s="248" t="s">
        <v>547</v>
      </c>
      <c r="C50" s="529">
        <v>35627</v>
      </c>
      <c r="D50" s="250">
        <f>A50*C50</f>
        <v>35627</v>
      </c>
    </row>
    <row r="51" spans="1:4" ht="26.4" x14ac:dyDescent="0.25">
      <c r="A51" s="247">
        <v>1</v>
      </c>
      <c r="B51" s="248" t="s">
        <v>546</v>
      </c>
      <c r="C51" s="529">
        <v>37861</v>
      </c>
      <c r="D51" s="250">
        <f>A51*C51</f>
        <v>37861</v>
      </c>
    </row>
    <row r="52" spans="1:4" x14ac:dyDescent="0.25">
      <c r="A52" s="247">
        <v>1</v>
      </c>
      <c r="B52" s="248" t="s">
        <v>545</v>
      </c>
      <c r="C52" s="510">
        <f>(2576.78*21)*(1.3)</f>
        <v>70346.094000000012</v>
      </c>
      <c r="D52" s="250">
        <f>A52*C52</f>
        <v>70346.094000000012</v>
      </c>
    </row>
    <row r="53" spans="1:4" x14ac:dyDescent="0.25">
      <c r="A53" s="531">
        <v>1</v>
      </c>
      <c r="B53" s="530" t="s">
        <v>544</v>
      </c>
      <c r="C53" s="529">
        <v>7300</v>
      </c>
      <c r="D53" s="528">
        <f>A53*C53</f>
        <v>7300</v>
      </c>
    </row>
    <row r="54" spans="1:4" ht="26.4" x14ac:dyDescent="0.25">
      <c r="A54" s="531"/>
      <c r="B54" s="530" t="s">
        <v>543</v>
      </c>
      <c r="C54" s="529"/>
      <c r="D54" s="528"/>
    </row>
    <row r="55" spans="1:4" x14ac:dyDescent="0.25">
      <c r="A55" s="527"/>
      <c r="B55" s="526"/>
      <c r="C55" s="525"/>
      <c r="D55" s="524"/>
    </row>
    <row r="56" spans="1:4" ht="13.8" x14ac:dyDescent="0.25">
      <c r="B56" s="135" t="s">
        <v>23</v>
      </c>
    </row>
    <row r="57" spans="1:4" ht="15" x14ac:dyDescent="0.25">
      <c r="A57" s="62"/>
      <c r="B57" s="187" t="s">
        <v>24</v>
      </c>
    </row>
    <row r="58" spans="1:4" ht="41.4" x14ac:dyDescent="0.25">
      <c r="A58" s="62"/>
      <c r="B58" s="187" t="s">
        <v>582</v>
      </c>
      <c r="C58" s="54"/>
      <c r="D58" s="58"/>
    </row>
    <row r="59" spans="1:4" ht="15" x14ac:dyDescent="0.25">
      <c r="A59" s="62"/>
      <c r="B59" s="135" t="s">
        <v>26</v>
      </c>
      <c r="C59" s="54"/>
      <c r="D59" s="58"/>
    </row>
    <row r="60" spans="1:4" ht="15" x14ac:dyDescent="0.25">
      <c r="A60" s="62"/>
      <c r="B60" s="523" t="s">
        <v>581</v>
      </c>
      <c r="C60" s="54"/>
      <c r="D60" s="54"/>
    </row>
    <row r="61" spans="1:4" ht="15" x14ac:dyDescent="0.25">
      <c r="A61" s="62"/>
      <c r="B61" s="189" t="s">
        <v>28</v>
      </c>
      <c r="C61" s="54"/>
      <c r="D61" s="54"/>
    </row>
    <row r="62" spans="1:4" ht="13.8" x14ac:dyDescent="0.25">
      <c r="B62" s="135" t="s">
        <v>29</v>
      </c>
      <c r="D62" s="56"/>
    </row>
    <row r="63" spans="1:4" ht="15" x14ac:dyDescent="0.25">
      <c r="A63" s="62"/>
      <c r="B63" s="191" t="s">
        <v>540</v>
      </c>
      <c r="C63" s="54"/>
      <c r="D63" s="58"/>
    </row>
    <row r="64" spans="1:4" ht="15" x14ac:dyDescent="0.25">
      <c r="A64" s="62"/>
      <c r="B64" s="191" t="s">
        <v>31</v>
      </c>
      <c r="C64" s="54"/>
      <c r="D64" s="58"/>
    </row>
    <row r="65" spans="1:4" ht="15" x14ac:dyDescent="0.25">
      <c r="A65" s="62"/>
      <c r="B65" s="191" t="s">
        <v>32</v>
      </c>
      <c r="D65" s="64"/>
    </row>
    <row r="66" spans="1:4" ht="33.6" x14ac:dyDescent="0.4">
      <c r="A66" s="62"/>
      <c r="B66" s="217" t="s">
        <v>33</v>
      </c>
      <c r="C66" s="54"/>
      <c r="D66" s="54"/>
    </row>
    <row r="67" spans="1:4" ht="16.8" x14ac:dyDescent="0.4">
      <c r="A67" s="62"/>
      <c r="B67" s="522"/>
      <c r="C67" s="141"/>
      <c r="D67" s="141"/>
    </row>
    <row r="68" spans="1:4" ht="13.8" x14ac:dyDescent="0.25">
      <c r="A68" s="139" t="s">
        <v>0</v>
      </c>
      <c r="B68" s="64"/>
      <c r="C68" s="64"/>
      <c r="D68" s="1"/>
    </row>
    <row r="69" spans="1:4" ht="13.8" x14ac:dyDescent="0.25">
      <c r="A69" s="521"/>
      <c r="B69" s="64"/>
      <c r="C69" s="64"/>
      <c r="D69" s="1"/>
    </row>
    <row r="70" spans="1:4" x14ac:dyDescent="0.25">
      <c r="A70" s="142"/>
      <c r="B70" s="143"/>
      <c r="C70" s="64"/>
      <c r="D70" s="1"/>
    </row>
    <row r="71" spans="1:4" ht="15" x14ac:dyDescent="0.35">
      <c r="A71" s="142"/>
      <c r="B71" s="145"/>
      <c r="C71" s="64"/>
      <c r="D71" s="64"/>
    </row>
    <row r="72" spans="1:4" x14ac:dyDescent="0.25">
      <c r="A72" s="144"/>
    </row>
    <row r="73" spans="1:4" x14ac:dyDescent="0.25">
      <c r="A73" s="146" t="s">
        <v>0</v>
      </c>
    </row>
    <row r="74" spans="1:4" x14ac:dyDescent="0.25">
      <c r="A74" s="1" t="s">
        <v>0</v>
      </c>
    </row>
  </sheetData>
  <mergeCells count="1">
    <mergeCell ref="A4:D4"/>
  </mergeCells>
  <printOptions horizontalCentered="1"/>
  <pageMargins left="0.59055118110236227" right="0.59055118110236227" top="0.19685039370078741" bottom="0.19685039370078741" header="0.19685039370078741" footer="0.19685039370078741"/>
  <pageSetup paperSize="9" scale="61" fitToWidth="0" orientation="portrait" r:id="rId1"/>
  <headerFooter alignWithMargins="0">
    <oddFooter>Página &amp;P de &amp;N</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68B93-7FE5-430E-85BF-973450851C56}">
  <sheetPr>
    <tabColor theme="4" tint="-0.249977111117893"/>
    <pageSetUpPr fitToPage="1"/>
  </sheetPr>
  <dimension ref="A1:P59"/>
  <sheetViews>
    <sheetView topLeftCell="A10" zoomScale="85" zoomScaleNormal="85" workbookViewId="0">
      <selection activeCell="L16" sqref="L16"/>
    </sheetView>
  </sheetViews>
  <sheetFormatPr baseColWidth="10" defaultColWidth="11.44140625" defaultRowHeight="13.2" x14ac:dyDescent="0.25"/>
  <cols>
    <col min="1" max="1" width="6" style="1" customWidth="1"/>
    <col min="2" max="2" width="86.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559</v>
      </c>
      <c r="B8" s="68"/>
      <c r="C8" s="69"/>
      <c r="D8" s="69"/>
    </row>
    <row r="9" spans="1:16" s="4" customFormat="1" ht="19.2" x14ac:dyDescent="0.45">
      <c r="A9" s="67" t="s">
        <v>560</v>
      </c>
      <c r="B9" s="68"/>
      <c r="C9" s="69"/>
      <c r="D9" s="69"/>
    </row>
    <row r="10" spans="1:16" s="4" customFormat="1" ht="19.2" x14ac:dyDescent="0.45">
      <c r="A10" s="67" t="s">
        <v>561</v>
      </c>
      <c r="B10" s="68"/>
      <c r="C10" s="69"/>
      <c r="D10" s="69"/>
    </row>
    <row r="11" spans="1:16" s="4" customFormat="1" ht="19.2" x14ac:dyDescent="0.45">
      <c r="A11" s="67" t="s">
        <v>562</v>
      </c>
      <c r="B11" s="68"/>
      <c r="C11" s="70"/>
      <c r="D11" s="69"/>
    </row>
    <row r="12" spans="1:16" s="4" customFormat="1" ht="15" customHeight="1" x14ac:dyDescent="0.45">
      <c r="A12" s="71" t="s">
        <v>583</v>
      </c>
      <c r="B12" s="72"/>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1.2" x14ac:dyDescent="0.25">
      <c r="A16" s="80">
        <v>1</v>
      </c>
      <c r="B16" s="298" t="s">
        <v>585</v>
      </c>
      <c r="C16" s="306">
        <f>(4657*17.72*1.2)</f>
        <v>99026.447999999989</v>
      </c>
      <c r="D16" s="79">
        <f>A16*C16</f>
        <v>99026.447999999989</v>
      </c>
      <c r="E16" s="551"/>
      <c r="N16" s="23"/>
      <c r="O16" s="23"/>
      <c r="P16" s="23"/>
    </row>
    <row r="17" spans="1:16" s="23" customFormat="1" ht="15.6" x14ac:dyDescent="0.25">
      <c r="A17" s="80">
        <v>1</v>
      </c>
      <c r="B17" s="167" t="s">
        <v>586</v>
      </c>
      <c r="C17" s="306">
        <f>(43552*1.2)</f>
        <v>52262.400000000001</v>
      </c>
      <c r="D17" s="83">
        <f>A17*C17</f>
        <v>52262.400000000001</v>
      </c>
      <c r="E17" s="13"/>
      <c r="F17" s="1"/>
      <c r="G17" s="1"/>
      <c r="H17" s="1"/>
      <c r="I17" s="1"/>
      <c r="J17" s="1"/>
      <c r="K17" s="1"/>
      <c r="L17" s="1"/>
      <c r="M17" s="1"/>
    </row>
    <row r="18" spans="1:16" s="23" customFormat="1" ht="30" x14ac:dyDescent="0.25">
      <c r="A18" s="95">
        <v>1</v>
      </c>
      <c r="B18" s="96" t="s">
        <v>580</v>
      </c>
      <c r="C18" s="552">
        <f>29870</f>
        <v>29870</v>
      </c>
      <c r="D18" s="98">
        <f>A18*C18</f>
        <v>29870</v>
      </c>
      <c r="E18" s="13"/>
      <c r="F18" s="1"/>
      <c r="G18" s="1"/>
      <c r="H18" s="1"/>
      <c r="I18" s="1"/>
      <c r="J18" s="1"/>
      <c r="K18" s="1"/>
      <c r="L18" s="1"/>
      <c r="M18" s="1"/>
    </row>
    <row r="19" spans="1:16" s="23" customFormat="1" ht="15.6" x14ac:dyDescent="0.3">
      <c r="A19" s="99"/>
      <c r="B19" s="85" t="s">
        <v>500</v>
      </c>
      <c r="C19" s="86" t="s">
        <v>49</v>
      </c>
      <c r="D19" s="87">
        <f>SUM(D16:D18)</f>
        <v>181158.848</v>
      </c>
      <c r="E19" s="1"/>
      <c r="F19" s="1"/>
      <c r="G19" s="1"/>
      <c r="H19" s="1"/>
      <c r="I19" s="1"/>
      <c r="J19" s="1"/>
      <c r="K19" s="1"/>
      <c r="L19" s="1"/>
      <c r="M19" s="1"/>
    </row>
    <row r="20" spans="1:16" s="23" customFormat="1" ht="15.6" x14ac:dyDescent="0.3">
      <c r="A20" s="99"/>
      <c r="B20" s="85"/>
      <c r="C20" s="90" t="s">
        <v>51</v>
      </c>
      <c r="D20" s="87">
        <f>D19*0.16</f>
        <v>28985.415680000002</v>
      </c>
      <c r="E20" s="1"/>
      <c r="F20" s="1"/>
      <c r="G20" s="1"/>
      <c r="H20" s="1"/>
      <c r="I20" s="1"/>
      <c r="J20" s="1"/>
      <c r="K20" s="1"/>
      <c r="L20" s="1"/>
      <c r="M20" s="1"/>
      <c r="N20" s="1"/>
      <c r="O20" s="1"/>
      <c r="P20" s="1"/>
    </row>
    <row r="21" spans="1:16" ht="16.2" thickBot="1" x14ac:dyDescent="0.3">
      <c r="A21" s="99"/>
      <c r="B21" s="100"/>
      <c r="C21" s="90" t="s">
        <v>52</v>
      </c>
      <c r="D21" s="87">
        <f>SUM(D19:D20)</f>
        <v>210144.26368</v>
      </c>
    </row>
    <row r="22" spans="1:16" ht="16.2" thickBot="1" x14ac:dyDescent="0.3">
      <c r="A22" s="116"/>
      <c r="B22" s="186" t="s">
        <v>587</v>
      </c>
      <c r="C22" s="36"/>
      <c r="D22" s="37"/>
    </row>
    <row r="23" spans="1:16" ht="13.8" x14ac:dyDescent="0.25">
      <c r="A23" s="34"/>
      <c r="B23" s="120" t="s">
        <v>15</v>
      </c>
      <c r="C23" s="121"/>
      <c r="D23" s="122"/>
      <c r="O23" s="88"/>
      <c r="P23" s="88"/>
    </row>
    <row r="24" spans="1:16" s="88" customFormat="1" ht="15.6" x14ac:dyDescent="0.25">
      <c r="A24" s="34"/>
      <c r="B24" s="123"/>
      <c r="C24" s="1"/>
      <c r="D24" s="1"/>
      <c r="E24" s="1"/>
      <c r="F24" s="1"/>
      <c r="G24" s="1"/>
      <c r="H24" s="1"/>
      <c r="I24" s="1"/>
      <c r="J24" s="1"/>
      <c r="K24" s="1"/>
      <c r="L24" s="1"/>
      <c r="M24" s="1"/>
      <c r="N24" s="1"/>
      <c r="O24" s="1"/>
      <c r="P24" s="1"/>
    </row>
    <row r="25" spans="1:16" ht="13.8" x14ac:dyDescent="0.25">
      <c r="A25" s="286"/>
      <c r="B25" s="135" t="s">
        <v>17</v>
      </c>
      <c r="C25" s="1"/>
      <c r="D25" s="1"/>
    </row>
    <row r="26" spans="1:16" ht="15" x14ac:dyDescent="0.25">
      <c r="A26" s="288"/>
      <c r="B26" s="191" t="s">
        <v>19</v>
      </c>
      <c r="C26" s="1"/>
      <c r="D26" s="1"/>
    </row>
    <row r="27" spans="1:16" ht="15" x14ac:dyDescent="0.25">
      <c r="A27" s="288"/>
      <c r="B27" s="290" t="s">
        <v>60</v>
      </c>
      <c r="C27" s="1"/>
      <c r="D27" s="1"/>
    </row>
    <row r="28" spans="1:16" ht="15" x14ac:dyDescent="0.25">
      <c r="A28" s="288"/>
      <c r="B28" s="130" t="s">
        <v>23</v>
      </c>
      <c r="C28" s="13"/>
      <c r="D28" s="1"/>
    </row>
    <row r="29" spans="1:16" ht="27.6" x14ac:dyDescent="0.25">
      <c r="A29" s="288"/>
      <c r="B29" s="187" t="s">
        <v>62</v>
      </c>
      <c r="C29" s="13"/>
      <c r="D29" s="1"/>
    </row>
    <row r="30" spans="1:16" ht="15" x14ac:dyDescent="0.25">
      <c r="A30" s="288"/>
      <c r="B30" s="130" t="s">
        <v>26</v>
      </c>
      <c r="C30" s="13"/>
      <c r="D30" s="1"/>
    </row>
    <row r="31" spans="1:16" ht="27.6" x14ac:dyDescent="0.25">
      <c r="A31" s="288"/>
      <c r="B31" s="512" t="s">
        <v>505</v>
      </c>
      <c r="C31" s="13"/>
      <c r="D31" s="1"/>
    </row>
    <row r="32" spans="1:16" ht="31.2" customHeight="1" x14ac:dyDescent="0.25">
      <c r="A32" s="288"/>
      <c r="B32" s="512" t="s">
        <v>28</v>
      </c>
      <c r="C32" s="1"/>
      <c r="D32" s="1"/>
    </row>
    <row r="33" spans="1:4" ht="18" customHeight="1" x14ac:dyDescent="0.25">
      <c r="A33" s="288"/>
      <c r="B33" s="130" t="s">
        <v>29</v>
      </c>
      <c r="C33" s="1"/>
      <c r="D33" s="1"/>
    </row>
    <row r="34" spans="1:4" ht="13.8" x14ac:dyDescent="0.25">
      <c r="A34" s="88"/>
      <c r="B34" s="190" t="s">
        <v>64</v>
      </c>
      <c r="C34" s="133"/>
      <c r="D34" s="134"/>
    </row>
    <row r="35" spans="1:4" ht="15" x14ac:dyDescent="0.25">
      <c r="A35" s="288"/>
      <c r="B35" s="191" t="s">
        <v>31</v>
      </c>
      <c r="C35" s="54"/>
      <c r="D35" s="58"/>
    </row>
    <row r="36" spans="1:4" ht="15" x14ac:dyDescent="0.25">
      <c r="A36" s="288"/>
      <c r="B36" s="191" t="s">
        <v>32</v>
      </c>
      <c r="C36" s="54"/>
    </row>
    <row r="37" spans="1:4" ht="50.4" x14ac:dyDescent="0.25">
      <c r="A37" s="293" t="s">
        <v>0</v>
      </c>
      <c r="B37" s="193" t="s">
        <v>65</v>
      </c>
      <c r="C37" s="141"/>
      <c r="D37" s="1"/>
    </row>
    <row r="38" spans="1:4" x14ac:dyDescent="0.25">
      <c r="A38" s="142"/>
      <c r="B38" s="64"/>
      <c r="C38" s="64"/>
      <c r="D38" s="1"/>
    </row>
    <row r="39" spans="1:4" x14ac:dyDescent="0.25">
      <c r="A39" s="142"/>
      <c r="B39" s="64"/>
      <c r="C39" s="64"/>
      <c r="D39" s="1"/>
    </row>
    <row r="40" spans="1:4" x14ac:dyDescent="0.25">
      <c r="A40" s="142"/>
      <c r="B40" s="143"/>
      <c r="C40" s="64"/>
      <c r="D40" s="1"/>
    </row>
    <row r="41" spans="1:4" ht="15" x14ac:dyDescent="0.35">
      <c r="A41" s="144"/>
      <c r="B41" s="145"/>
      <c r="C41" s="64"/>
      <c r="D41" s="64"/>
    </row>
    <row r="42" spans="1:4" x14ac:dyDescent="0.25">
      <c r="A42" s="146" t="s">
        <v>0</v>
      </c>
    </row>
    <row r="43" spans="1:4" x14ac:dyDescent="0.25">
      <c r="A43"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3" fitToWidth="0" orientation="portrait" r:id="rId1"/>
  <headerFooter alignWithMargins="0">
    <oddFooter>Página &amp;P de &amp;N</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03C5-0029-4696-99E1-F4FEF41B188E}">
  <sheetPr>
    <tabColor theme="4" tint="-0.249977111117893"/>
    <pageSetUpPr fitToPage="1"/>
  </sheetPr>
  <dimension ref="A1:M70"/>
  <sheetViews>
    <sheetView topLeftCell="A9" zoomScale="85" zoomScaleNormal="85" workbookViewId="0">
      <selection activeCell="A12" sqref="A12"/>
    </sheetView>
  </sheetViews>
  <sheetFormatPr baseColWidth="10" defaultColWidth="11.44140625" defaultRowHeight="13.2" x14ac:dyDescent="0.25"/>
  <cols>
    <col min="1" max="1" width="6" style="1" customWidth="1"/>
    <col min="2" max="2" width="96.88671875" style="1" customWidth="1"/>
    <col min="3" max="3" width="13.33203125" style="3" bestFit="1"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598</v>
      </c>
      <c r="B8" s="68"/>
      <c r="C8" s="69"/>
      <c r="D8" s="69"/>
    </row>
    <row r="9" spans="1:12" s="4" customFormat="1" ht="19.2" x14ac:dyDescent="0.45">
      <c r="A9" s="67" t="s">
        <v>599</v>
      </c>
      <c r="B9" s="68"/>
      <c r="C9" s="69"/>
      <c r="D9" s="69"/>
    </row>
    <row r="10" spans="1:12" s="4" customFormat="1" ht="19.2" x14ac:dyDescent="0.45">
      <c r="A10" s="67" t="s">
        <v>600</v>
      </c>
      <c r="B10" s="68"/>
      <c r="C10" s="69"/>
      <c r="D10" s="69"/>
    </row>
    <row r="11" spans="1:12" s="4" customFormat="1" ht="19.2" x14ac:dyDescent="0.45">
      <c r="A11" s="67" t="s">
        <v>601</v>
      </c>
      <c r="B11" s="68"/>
      <c r="C11" s="70"/>
      <c r="D11" s="69"/>
    </row>
    <row r="12" spans="1:12" s="4" customFormat="1" ht="15" customHeight="1" x14ac:dyDescent="0.45">
      <c r="A12" s="67" t="s">
        <v>38</v>
      </c>
      <c r="B12" s="68"/>
      <c r="C12" s="70"/>
      <c r="D12" s="69"/>
    </row>
    <row r="13" spans="1:12" s="4" customFormat="1" ht="19.2" x14ac:dyDescent="0.45">
      <c r="A13" s="71" t="s">
        <v>597</v>
      </c>
      <c r="B13" s="72"/>
      <c r="C13" s="73"/>
      <c r="D13" s="74"/>
      <c r="E13" s="10"/>
      <c r="F13" s="10"/>
      <c r="G13" s="10"/>
    </row>
    <row r="14" spans="1:12" s="4" customFormat="1" ht="19.2" x14ac:dyDescent="0.4">
      <c r="A14" s="758" t="s">
        <v>40</v>
      </c>
      <c r="B14" s="759"/>
      <c r="C14" s="760"/>
      <c r="D14" s="761"/>
      <c r="E14" s="1"/>
      <c r="F14" s="1"/>
      <c r="G14" s="1"/>
      <c r="H14" s="10"/>
      <c r="I14" s="10"/>
      <c r="J14" s="10"/>
      <c r="K14" s="10"/>
      <c r="L14" s="10"/>
    </row>
    <row r="15" spans="1:12" s="10" customFormat="1" ht="13.8" x14ac:dyDescent="0.25">
      <c r="A15" s="197"/>
      <c r="B15" s="198"/>
      <c r="C15" s="199"/>
      <c r="D15" s="199"/>
      <c r="E15" s="17"/>
      <c r="F15" s="23"/>
      <c r="G15" s="23"/>
      <c r="H15" s="1"/>
      <c r="I15" s="1"/>
      <c r="J15" s="1"/>
      <c r="K15" s="1"/>
      <c r="L15" s="1"/>
    </row>
    <row r="16" spans="1:12" ht="75.599999999999994" x14ac:dyDescent="0.25">
      <c r="A16" s="491">
        <v>1</v>
      </c>
      <c r="B16" s="485" t="s">
        <v>594</v>
      </c>
      <c r="C16" s="486">
        <v>125000</v>
      </c>
      <c r="D16" s="489">
        <f>A16*C16</f>
        <v>125000</v>
      </c>
      <c r="E16" s="17"/>
      <c r="H16" s="23"/>
      <c r="I16" s="23"/>
      <c r="J16" s="23"/>
      <c r="K16" s="23"/>
      <c r="L16" s="23"/>
    </row>
    <row r="17" spans="1:13" s="23" customFormat="1" ht="15.6" x14ac:dyDescent="0.25">
      <c r="A17" s="491">
        <v>1</v>
      </c>
      <c r="B17" s="485" t="s">
        <v>593</v>
      </c>
      <c r="C17" s="486">
        <v>1050</v>
      </c>
      <c r="D17" s="489"/>
      <c r="E17" s="17"/>
      <c r="F17" s="1"/>
      <c r="G17" s="1"/>
    </row>
    <row r="18" spans="1:13" s="23" customFormat="1" ht="15.6" x14ac:dyDescent="0.25">
      <c r="A18" s="492">
        <v>1</v>
      </c>
      <c r="B18" s="493" t="s">
        <v>526</v>
      </c>
      <c r="C18" s="494" t="s">
        <v>365</v>
      </c>
      <c r="D18" s="489"/>
      <c r="E18" s="17"/>
      <c r="F18" s="1"/>
      <c r="G18" s="1"/>
    </row>
    <row r="19" spans="1:13" s="23" customFormat="1" ht="15.6" x14ac:dyDescent="0.3">
      <c r="A19" s="487"/>
      <c r="B19" s="499"/>
      <c r="C19" s="488"/>
      <c r="D19" s="490"/>
      <c r="E19" s="13"/>
      <c r="F19" s="1"/>
      <c r="G19" s="1"/>
      <c r="H19" s="1"/>
      <c r="I19" s="1"/>
      <c r="J19" s="1"/>
      <c r="K19" s="1"/>
      <c r="L19" s="1"/>
    </row>
    <row r="20" spans="1:13" s="23" customFormat="1" ht="21" customHeight="1" x14ac:dyDescent="0.3">
      <c r="A20" s="161"/>
      <c r="B20" s="500" t="s">
        <v>595</v>
      </c>
      <c r="C20" s="496" t="s">
        <v>49</v>
      </c>
      <c r="D20" s="490">
        <f>SUM(D15:D19)</f>
        <v>125000</v>
      </c>
      <c r="E20" s="13"/>
      <c r="F20" s="1"/>
      <c r="G20" s="1"/>
      <c r="H20" s="1"/>
      <c r="I20" s="1"/>
      <c r="J20" s="1"/>
      <c r="K20" s="1"/>
      <c r="L20" s="1"/>
    </row>
    <row r="21" spans="1:13" s="23" customFormat="1" ht="15.6" x14ac:dyDescent="0.3">
      <c r="A21" s="161"/>
      <c r="B21" s="500" t="s">
        <v>596</v>
      </c>
      <c r="C21" s="497" t="s">
        <v>51</v>
      </c>
      <c r="D21" s="171">
        <f>D20*0.16</f>
        <v>20000</v>
      </c>
      <c r="E21" s="13"/>
      <c r="F21" s="1"/>
      <c r="G21" s="1"/>
      <c r="H21" s="1"/>
      <c r="I21" s="1"/>
      <c r="J21" s="1"/>
      <c r="K21" s="1"/>
      <c r="L21" s="1"/>
      <c r="M21" s="1"/>
    </row>
    <row r="22" spans="1:13" s="23" customFormat="1" ht="16.2" thickBot="1" x14ac:dyDescent="0.35">
      <c r="A22" s="161"/>
      <c r="B22" s="500"/>
      <c r="C22" s="498" t="s">
        <v>77</v>
      </c>
      <c r="D22" s="174">
        <f>D20+D21</f>
        <v>145000</v>
      </c>
      <c r="E22" s="13"/>
      <c r="F22" s="1"/>
      <c r="G22" s="1"/>
      <c r="H22" s="1"/>
      <c r="I22" s="1"/>
      <c r="J22" s="1"/>
      <c r="K22" s="1"/>
      <c r="L22" s="1"/>
      <c r="M22" s="1"/>
    </row>
    <row r="23" spans="1:13" s="23" customFormat="1" ht="16.2" thickBot="1" x14ac:dyDescent="0.3">
      <c r="A23" s="116"/>
      <c r="B23" s="788" t="s">
        <v>453</v>
      </c>
      <c r="C23" s="789"/>
      <c r="D23" s="790"/>
      <c r="E23" s="1"/>
      <c r="F23" s="1"/>
      <c r="G23" s="1"/>
      <c r="H23" s="1"/>
      <c r="I23" s="1"/>
      <c r="J23" s="1"/>
      <c r="K23" s="1"/>
      <c r="L23" s="1"/>
      <c r="M23" s="1"/>
    </row>
    <row r="24" spans="1:13" s="23" customFormat="1" x14ac:dyDescent="0.25">
      <c r="A24" s="34"/>
      <c r="B24" s="117"/>
      <c r="C24" s="163"/>
      <c r="D24" s="164"/>
      <c r="E24" s="1"/>
      <c r="F24" s="1"/>
      <c r="G24" s="1"/>
      <c r="H24" s="1"/>
      <c r="I24" s="1"/>
      <c r="J24" s="1"/>
      <c r="K24" s="1"/>
      <c r="L24" s="1"/>
      <c r="M24" s="1"/>
    </row>
    <row r="25" spans="1:13" s="23" customFormat="1" ht="13.8" x14ac:dyDescent="0.25">
      <c r="A25" s="34"/>
      <c r="B25" s="135" t="s">
        <v>15</v>
      </c>
      <c r="C25" s="165"/>
      <c r="D25" s="56"/>
      <c r="E25" s="1"/>
      <c r="F25" s="1"/>
      <c r="G25" s="1"/>
      <c r="H25" s="1"/>
      <c r="I25" s="1"/>
      <c r="J25" s="1"/>
      <c r="K25" s="1"/>
      <c r="L25" s="1"/>
      <c r="M25" s="1"/>
    </row>
    <row r="26" spans="1:13" s="23" customFormat="1" ht="15" x14ac:dyDescent="0.25">
      <c r="A26" s="62"/>
      <c r="B26" s="135" t="s">
        <v>17</v>
      </c>
      <c r="C26" s="3"/>
      <c r="D26" s="56"/>
      <c r="E26" s="1"/>
      <c r="F26" s="1"/>
      <c r="G26" s="1"/>
      <c r="H26" s="1"/>
      <c r="I26" s="1"/>
      <c r="J26" s="1"/>
      <c r="K26" s="1"/>
      <c r="L26" s="1"/>
      <c r="M26" s="1"/>
    </row>
    <row r="27" spans="1:13" s="23" customFormat="1" ht="15" x14ac:dyDescent="0.25">
      <c r="A27" s="62"/>
      <c r="B27" s="191" t="s">
        <v>289</v>
      </c>
      <c r="C27" s="3"/>
      <c r="D27" s="56"/>
      <c r="E27" s="1"/>
      <c r="F27" s="1"/>
      <c r="G27" s="1"/>
      <c r="H27" s="1"/>
      <c r="I27" s="1"/>
      <c r="J27" s="1"/>
      <c r="K27" s="1"/>
      <c r="L27" s="1"/>
      <c r="M27" s="1"/>
    </row>
    <row r="28" spans="1:13" s="23" customFormat="1" ht="15" x14ac:dyDescent="0.25">
      <c r="A28" s="62"/>
      <c r="B28" s="191" t="s">
        <v>21</v>
      </c>
      <c r="C28" s="3"/>
      <c r="D28" s="56"/>
      <c r="E28" s="1"/>
      <c r="F28" s="1"/>
      <c r="G28" s="1"/>
      <c r="H28" s="1"/>
      <c r="I28" s="1"/>
      <c r="J28" s="1"/>
      <c r="K28" s="1"/>
      <c r="L28" s="1"/>
      <c r="M28" s="1"/>
    </row>
    <row r="29" spans="1:13" s="23" customFormat="1" ht="15" x14ac:dyDescent="0.25">
      <c r="A29" s="62"/>
      <c r="B29" s="191" t="s">
        <v>60</v>
      </c>
      <c r="C29" s="3"/>
      <c r="D29" s="56"/>
      <c r="E29" s="1"/>
      <c r="F29" s="1"/>
      <c r="G29" s="1"/>
      <c r="H29" s="1"/>
      <c r="I29" s="1"/>
      <c r="J29" s="1"/>
      <c r="K29" s="1"/>
      <c r="L29" s="1"/>
      <c r="M29" s="1"/>
    </row>
    <row r="30" spans="1:13" s="23" customFormat="1" ht="13.8" x14ac:dyDescent="0.25">
      <c r="A30" s="1"/>
      <c r="B30" s="135" t="s">
        <v>23</v>
      </c>
      <c r="C30" s="3"/>
      <c r="D30" s="3"/>
      <c r="E30" s="1"/>
      <c r="F30" s="1"/>
      <c r="G30" s="1"/>
      <c r="H30" s="1"/>
      <c r="I30" s="1"/>
      <c r="J30" s="1"/>
      <c r="K30" s="1"/>
      <c r="L30" s="1"/>
      <c r="M30" s="1"/>
    </row>
    <row r="31" spans="1:13" ht="15" x14ac:dyDescent="0.25">
      <c r="A31" s="62"/>
      <c r="B31" s="187" t="s">
        <v>450</v>
      </c>
      <c r="E31" s="13"/>
    </row>
    <row r="32" spans="1:13" ht="27.6" x14ac:dyDescent="0.25">
      <c r="A32" s="62"/>
      <c r="B32" s="187" t="s">
        <v>62</v>
      </c>
      <c r="C32" s="54"/>
      <c r="D32" s="58"/>
      <c r="E32" s="13"/>
    </row>
    <row r="33" spans="1:4" ht="15" x14ac:dyDescent="0.25">
      <c r="A33" s="62"/>
      <c r="B33" s="135" t="s">
        <v>26</v>
      </c>
      <c r="C33" s="54"/>
      <c r="D33" s="58"/>
    </row>
    <row r="34" spans="1:4" ht="15" x14ac:dyDescent="0.25">
      <c r="A34" s="62"/>
      <c r="B34" s="189" t="s">
        <v>567</v>
      </c>
      <c r="C34" s="54"/>
      <c r="D34" s="54"/>
    </row>
    <row r="35" spans="1:4" ht="15" x14ac:dyDescent="0.25">
      <c r="A35" s="62"/>
      <c r="B35" s="189" t="s">
        <v>28</v>
      </c>
      <c r="C35" s="54"/>
      <c r="D35" s="54"/>
    </row>
    <row r="36" spans="1:4" ht="13.8" x14ac:dyDescent="0.25">
      <c r="B36" s="135" t="s">
        <v>29</v>
      </c>
      <c r="D36" s="56"/>
    </row>
    <row r="37" spans="1:4" ht="15" x14ac:dyDescent="0.25">
      <c r="A37" s="62"/>
      <c r="B37" s="190" t="s">
        <v>81</v>
      </c>
      <c r="C37" s="54"/>
      <c r="D37" s="58"/>
    </row>
    <row r="38" spans="1:4" ht="15" x14ac:dyDescent="0.25">
      <c r="A38" s="62"/>
      <c r="B38" s="191" t="s">
        <v>31</v>
      </c>
      <c r="C38" s="54"/>
      <c r="D38" s="58"/>
    </row>
    <row r="39" spans="1:4" ht="13.8" x14ac:dyDescent="0.25">
      <c r="A39" s="139" t="s">
        <v>0</v>
      </c>
      <c r="B39" s="191" t="s">
        <v>32</v>
      </c>
      <c r="C39" s="54"/>
    </row>
    <row r="40" spans="1:4" ht="17.25" customHeight="1" x14ac:dyDescent="0.25">
      <c r="A40" s="142"/>
      <c r="B40" s="193" t="s">
        <v>65</v>
      </c>
      <c r="C40" s="141"/>
      <c r="D40" s="1"/>
    </row>
    <row r="41" spans="1:4" x14ac:dyDescent="0.25">
      <c r="A41" s="142"/>
      <c r="B41" s="64"/>
      <c r="C41" s="64"/>
      <c r="D41" s="1"/>
    </row>
    <row r="42" spans="1:4" ht="13.5" customHeight="1" x14ac:dyDescent="0.25">
      <c r="A42" s="142"/>
      <c r="B42" s="64"/>
      <c r="C42" s="64"/>
      <c r="D42" s="1"/>
    </row>
    <row r="43" spans="1:4" x14ac:dyDescent="0.25">
      <c r="A43" s="144"/>
      <c r="B43" s="143"/>
      <c r="C43" s="64"/>
      <c r="D43" s="1"/>
    </row>
    <row r="44" spans="1:4" ht="15" x14ac:dyDescent="0.35">
      <c r="A44" s="146" t="s">
        <v>0</v>
      </c>
      <c r="B44" s="145"/>
      <c r="C44" s="64"/>
      <c r="D44" s="64"/>
    </row>
    <row r="45" spans="1:4" x14ac:dyDescent="0.25">
      <c r="A45" s="1" t="s">
        <v>0</v>
      </c>
    </row>
    <row r="48" spans="1:4" ht="18" customHeight="1" x14ac:dyDescent="0.25"/>
    <row r="61" ht="12.75" customHeight="1" x14ac:dyDescent="0.25"/>
    <row r="65" ht="16.5" customHeight="1" x14ac:dyDescent="0.25"/>
    <row r="69" ht="15.75" customHeight="1" x14ac:dyDescent="0.25"/>
    <row r="70" ht="15" customHeight="1" x14ac:dyDescent="0.25"/>
  </sheetData>
  <mergeCells count="3">
    <mergeCell ref="A4:D4"/>
    <mergeCell ref="A14:D14"/>
    <mergeCell ref="B23:D23"/>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2A4A-43E4-49E7-A8A7-60DEEF2586A0}">
  <sheetPr>
    <tabColor theme="4" tint="-0.249977111117893"/>
  </sheetPr>
  <dimension ref="A1:P43"/>
  <sheetViews>
    <sheetView topLeftCell="A10" zoomScale="85" zoomScaleNormal="85" workbookViewId="0">
      <selection activeCell="A20" sqref="A20:D20"/>
    </sheetView>
  </sheetViews>
  <sheetFormatPr baseColWidth="10" defaultColWidth="11.44140625" defaultRowHeight="13.2" x14ac:dyDescent="0.25"/>
  <cols>
    <col min="1" max="1" width="6" style="1" customWidth="1"/>
    <col min="2" max="2" width="67.33203125" style="1" customWidth="1"/>
    <col min="3" max="3" width="14.10937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603</v>
      </c>
      <c r="B8" s="68"/>
      <c r="C8" s="69"/>
      <c r="D8" s="69"/>
    </row>
    <row r="9" spans="1:16" s="4" customFormat="1" ht="19.2" x14ac:dyDescent="0.45">
      <c r="A9" s="67" t="s">
        <v>604</v>
      </c>
      <c r="B9" s="68"/>
      <c r="C9" s="69"/>
      <c r="D9" s="69"/>
    </row>
    <row r="10" spans="1:16" s="4" customFormat="1" ht="19.2" x14ac:dyDescent="0.45">
      <c r="A10" s="67" t="s">
        <v>605</v>
      </c>
      <c r="B10" s="68"/>
      <c r="C10" s="69"/>
      <c r="D10" s="69"/>
    </row>
    <row r="11" spans="1:16" s="4" customFormat="1" ht="19.2" x14ac:dyDescent="0.45">
      <c r="A11" s="67" t="s">
        <v>606</v>
      </c>
      <c r="B11" s="68"/>
      <c r="C11" s="70"/>
      <c r="D11" s="69"/>
    </row>
    <row r="12" spans="1:16" s="4" customFormat="1" ht="15" customHeight="1" x14ac:dyDescent="0.45">
      <c r="A12" s="71" t="s">
        <v>607</v>
      </c>
      <c r="B12" s="72"/>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ht="13.5" customHeight="1" x14ac:dyDescent="0.25">
      <c r="A15" s="537"/>
      <c r="B15" s="537"/>
      <c r="C15" s="117"/>
      <c r="D15" s="536"/>
    </row>
    <row r="16" spans="1:16" x14ac:dyDescent="0.25">
      <c r="A16" s="11" t="s">
        <v>7</v>
      </c>
      <c r="B16" s="11" t="s">
        <v>8</v>
      </c>
      <c r="C16" s="12" t="s">
        <v>9</v>
      </c>
      <c r="D16" s="12" t="s">
        <v>10</v>
      </c>
      <c r="E16" s="13"/>
    </row>
    <row r="17" spans="1:12" x14ac:dyDescent="0.25">
      <c r="A17" s="14"/>
      <c r="B17" s="15"/>
      <c r="C17" s="16"/>
      <c r="D17" s="16"/>
      <c r="E17" s="13"/>
    </row>
    <row r="18" spans="1:12" ht="46.2" x14ac:dyDescent="0.25">
      <c r="A18" s="95">
        <v>1</v>
      </c>
      <c r="B18" s="96" t="s">
        <v>648</v>
      </c>
      <c r="C18" s="583">
        <f>(12107)*(1.5)+5800</f>
        <v>23960.5</v>
      </c>
      <c r="D18" s="98">
        <f t="shared" ref="D18:D21" si="0">A18*C18</f>
        <v>23960.5</v>
      </c>
    </row>
    <row r="19" spans="1:12" ht="31.2" x14ac:dyDescent="0.25">
      <c r="A19" s="103">
        <v>1</v>
      </c>
      <c r="B19" s="104" t="s">
        <v>612</v>
      </c>
      <c r="C19" s="583">
        <f>(1984.5*18.4*1.3)</f>
        <v>47469.24</v>
      </c>
      <c r="D19" s="83">
        <f t="shared" si="0"/>
        <v>47469.24</v>
      </c>
    </row>
    <row r="20" spans="1:12" ht="46.2" x14ac:dyDescent="0.25">
      <c r="A20" s="95">
        <v>1</v>
      </c>
      <c r="B20" s="96" t="s">
        <v>647</v>
      </c>
      <c r="C20" s="583">
        <f>(25232*1.3)+4200</f>
        <v>37001.599999999999</v>
      </c>
      <c r="D20" s="98">
        <f t="shared" si="0"/>
        <v>37001.599999999999</v>
      </c>
    </row>
    <row r="21" spans="1:12" ht="46.2" x14ac:dyDescent="0.25">
      <c r="A21" s="106">
        <v>1</v>
      </c>
      <c r="B21" s="107" t="s">
        <v>649</v>
      </c>
      <c r="C21" s="169">
        <f>(1959*18.5)*1.34+4500</f>
        <v>53063.61</v>
      </c>
      <c r="D21" s="109">
        <f t="shared" si="0"/>
        <v>53063.61</v>
      </c>
    </row>
    <row r="22" spans="1:12" ht="39.6" x14ac:dyDescent="0.25">
      <c r="A22" s="574"/>
      <c r="B22" s="575" t="s">
        <v>646</v>
      </c>
      <c r="C22" s="576"/>
      <c r="D22" s="577"/>
    </row>
    <row r="23" spans="1:12" x14ac:dyDescent="0.25">
      <c r="A23" s="527"/>
      <c r="B23" s="527"/>
      <c r="C23" s="533"/>
      <c r="D23" s="533"/>
    </row>
    <row r="24" spans="1:12" ht="13.8" x14ac:dyDescent="0.25">
      <c r="A24" s="88"/>
      <c r="B24" s="135" t="s">
        <v>23</v>
      </c>
      <c r="C24" s="578"/>
      <c r="D24" s="578"/>
      <c r="E24" s="88"/>
      <c r="F24" s="88"/>
      <c r="G24" s="88"/>
      <c r="H24" s="88"/>
      <c r="I24" s="88"/>
      <c r="J24" s="88"/>
      <c r="K24" s="88"/>
      <c r="L24" s="88"/>
    </row>
    <row r="25" spans="1:12" ht="27.6" x14ac:dyDescent="0.25">
      <c r="A25" s="288"/>
      <c r="B25" s="187" t="s">
        <v>24</v>
      </c>
      <c r="C25" s="578"/>
      <c r="D25" s="578"/>
      <c r="E25" s="88"/>
      <c r="F25" s="88"/>
      <c r="G25" s="88"/>
      <c r="H25" s="88"/>
      <c r="I25" s="88"/>
      <c r="J25" s="88"/>
      <c r="K25" s="88"/>
      <c r="L25" s="88"/>
    </row>
    <row r="26" spans="1:12" ht="55.2" x14ac:dyDescent="0.25">
      <c r="A26" s="288"/>
      <c r="B26" s="187" t="s">
        <v>542</v>
      </c>
      <c r="C26" s="579"/>
      <c r="D26" s="580"/>
      <c r="E26" s="88"/>
      <c r="F26" s="88"/>
      <c r="G26" s="88"/>
      <c r="H26" s="88"/>
      <c r="I26" s="88"/>
      <c r="J26" s="88"/>
      <c r="K26" s="88"/>
      <c r="L26" s="88"/>
    </row>
    <row r="27" spans="1:12" ht="15" x14ac:dyDescent="0.25">
      <c r="A27" s="288"/>
      <c r="B27" s="135" t="s">
        <v>26</v>
      </c>
      <c r="C27" s="579"/>
      <c r="D27" s="580"/>
      <c r="E27" s="88"/>
      <c r="F27" s="88"/>
      <c r="G27" s="88"/>
      <c r="H27" s="88"/>
      <c r="I27" s="88"/>
      <c r="J27" s="88"/>
      <c r="K27" s="88"/>
      <c r="L27" s="88"/>
    </row>
    <row r="28" spans="1:12" ht="15" x14ac:dyDescent="0.25">
      <c r="A28" s="288"/>
      <c r="B28" s="523" t="s">
        <v>541</v>
      </c>
      <c r="C28" s="579"/>
      <c r="D28" s="579"/>
      <c r="E28" s="88"/>
      <c r="F28" s="88"/>
      <c r="G28" s="88"/>
      <c r="H28" s="88"/>
      <c r="I28" s="88"/>
      <c r="J28" s="88"/>
      <c r="K28" s="88"/>
      <c r="L28" s="88"/>
    </row>
    <row r="29" spans="1:12" ht="31.2" customHeight="1" x14ac:dyDescent="0.25">
      <c r="A29" s="288"/>
      <c r="B29" s="189" t="s">
        <v>28</v>
      </c>
      <c r="C29" s="579"/>
      <c r="D29" s="579"/>
      <c r="E29" s="88"/>
      <c r="F29" s="88"/>
      <c r="G29" s="88"/>
      <c r="H29" s="88"/>
      <c r="I29" s="88"/>
      <c r="J29" s="88"/>
      <c r="K29" s="88"/>
      <c r="L29" s="88"/>
    </row>
    <row r="30" spans="1:12" ht="13.8" x14ac:dyDescent="0.25">
      <c r="A30" s="88"/>
      <c r="B30" s="135" t="s">
        <v>29</v>
      </c>
      <c r="C30" s="578"/>
      <c r="D30" s="581"/>
      <c r="E30" s="88"/>
      <c r="F30" s="88"/>
      <c r="G30" s="88"/>
      <c r="H30" s="88"/>
      <c r="I30" s="88"/>
      <c r="J30" s="88"/>
      <c r="K30" s="88"/>
      <c r="L30" s="88"/>
    </row>
    <row r="31" spans="1:12" ht="15" x14ac:dyDescent="0.25">
      <c r="A31" s="288"/>
      <c r="B31" s="191" t="s">
        <v>540</v>
      </c>
      <c r="C31" s="579"/>
      <c r="D31" s="580"/>
      <c r="E31" s="88"/>
      <c r="F31" s="88"/>
      <c r="G31" s="88"/>
      <c r="H31" s="88"/>
      <c r="I31" s="88"/>
      <c r="J31" s="88"/>
      <c r="K31" s="88"/>
      <c r="L31" s="88"/>
    </row>
    <row r="32" spans="1:12" ht="15" x14ac:dyDescent="0.25">
      <c r="A32" s="288"/>
      <c r="B32" s="191" t="s">
        <v>31</v>
      </c>
      <c r="C32" s="579"/>
      <c r="D32" s="580"/>
      <c r="E32" s="88"/>
      <c r="F32" s="88"/>
      <c r="G32" s="88"/>
      <c r="H32" s="88"/>
      <c r="I32" s="88"/>
      <c r="J32" s="88"/>
      <c r="K32" s="88"/>
      <c r="L32" s="88"/>
    </row>
    <row r="33" spans="1:12" ht="15" x14ac:dyDescent="0.25">
      <c r="A33" s="288"/>
      <c r="B33" s="191" t="s">
        <v>32</v>
      </c>
      <c r="C33" s="578"/>
      <c r="D33" s="582"/>
      <c r="E33" s="88"/>
      <c r="F33" s="88"/>
      <c r="G33" s="88"/>
      <c r="H33" s="88"/>
      <c r="I33" s="88"/>
      <c r="J33" s="88"/>
      <c r="K33" s="88"/>
      <c r="L33" s="88"/>
    </row>
    <row r="34" spans="1:12" ht="12.75" customHeight="1" x14ac:dyDescent="0.25">
      <c r="A34" s="288"/>
      <c r="B34" s="193" t="s">
        <v>33</v>
      </c>
      <c r="C34" s="579"/>
      <c r="D34" s="579"/>
      <c r="E34" s="88"/>
      <c r="F34" s="88"/>
      <c r="G34" s="88"/>
      <c r="H34" s="88"/>
      <c r="I34" s="88"/>
      <c r="J34" s="88"/>
      <c r="K34" s="88"/>
      <c r="L34" s="88"/>
    </row>
    <row r="35" spans="1:12" x14ac:dyDescent="0.25">
      <c r="A35" s="88"/>
      <c r="B35" s="88"/>
      <c r="C35" s="578"/>
      <c r="D35" s="578"/>
      <c r="E35" s="88"/>
      <c r="F35" s="88"/>
      <c r="G35" s="88"/>
      <c r="H35" s="88"/>
      <c r="I35" s="88"/>
      <c r="J35" s="88"/>
      <c r="K35" s="88"/>
      <c r="L35" s="88"/>
    </row>
    <row r="36" spans="1:12" x14ac:dyDescent="0.25">
      <c r="A36" s="88"/>
      <c r="B36" s="88"/>
      <c r="C36" s="578"/>
      <c r="D36" s="578"/>
      <c r="E36" s="88"/>
      <c r="F36" s="88"/>
      <c r="G36" s="88"/>
      <c r="H36" s="88"/>
      <c r="I36" s="88"/>
      <c r="J36" s="88"/>
      <c r="K36" s="88"/>
      <c r="L36" s="88"/>
    </row>
    <row r="37" spans="1:12" x14ac:dyDescent="0.25">
      <c r="A37" s="88"/>
      <c r="B37" s="88"/>
      <c r="C37" s="578"/>
      <c r="D37" s="578"/>
      <c r="E37" s="88"/>
      <c r="F37" s="88"/>
      <c r="G37" s="88"/>
      <c r="H37" s="88"/>
      <c r="I37" s="88"/>
      <c r="J37" s="88"/>
      <c r="K37" s="88"/>
      <c r="L37" s="88"/>
    </row>
    <row r="38" spans="1:12" x14ac:dyDescent="0.25">
      <c r="A38" s="88"/>
      <c r="B38" s="88"/>
      <c r="C38" s="578"/>
      <c r="D38" s="578"/>
      <c r="E38" s="88"/>
      <c r="F38" s="88"/>
      <c r="G38" s="88"/>
      <c r="H38" s="88"/>
      <c r="I38" s="88"/>
      <c r="J38" s="88"/>
      <c r="K38" s="88"/>
      <c r="L38" s="88"/>
    </row>
    <row r="39" spans="1:12" x14ac:dyDescent="0.25">
      <c r="A39" s="88"/>
      <c r="B39" s="88"/>
      <c r="C39" s="578"/>
      <c r="D39" s="578"/>
      <c r="E39" s="88"/>
      <c r="F39" s="88"/>
      <c r="G39" s="88"/>
      <c r="H39" s="88"/>
      <c r="I39" s="88"/>
      <c r="J39" s="88"/>
      <c r="K39" s="88"/>
      <c r="L39" s="88"/>
    </row>
    <row r="40" spans="1:12" x14ac:dyDescent="0.25">
      <c r="A40" s="88"/>
      <c r="B40" s="88"/>
      <c r="C40" s="578"/>
      <c r="D40" s="578"/>
      <c r="E40" s="88"/>
      <c r="F40" s="88"/>
      <c r="G40" s="88"/>
      <c r="H40" s="88"/>
      <c r="I40" s="88"/>
      <c r="J40" s="88"/>
      <c r="K40" s="88"/>
      <c r="L40" s="88"/>
    </row>
    <row r="41" spans="1:12" x14ac:dyDescent="0.25">
      <c r="A41" s="88"/>
      <c r="B41" s="88"/>
      <c r="C41" s="578"/>
      <c r="D41" s="578"/>
      <c r="E41" s="88"/>
      <c r="F41" s="88"/>
      <c r="G41" s="88"/>
      <c r="H41" s="88"/>
      <c r="I41" s="88"/>
      <c r="J41" s="88"/>
      <c r="K41" s="88"/>
      <c r="L41" s="88"/>
    </row>
    <row r="42" spans="1:12" ht="15.75" customHeight="1" x14ac:dyDescent="0.25">
      <c r="A42" s="88"/>
      <c r="B42" s="88"/>
      <c r="C42" s="578"/>
      <c r="D42" s="578"/>
      <c r="E42" s="88"/>
      <c r="F42" s="88"/>
      <c r="G42" s="88"/>
      <c r="H42" s="88"/>
      <c r="I42" s="88"/>
      <c r="J42" s="88"/>
      <c r="K42" s="88"/>
      <c r="L42" s="88"/>
    </row>
    <row r="43" spans="1:12" ht="15" customHeight="1" x14ac:dyDescent="0.25"/>
  </sheetData>
  <mergeCells count="2">
    <mergeCell ref="A4:D4"/>
    <mergeCell ref="A14:D14"/>
  </mergeCells>
  <printOptions horizontalCentered="1"/>
  <pageMargins left="0" right="0" top="0" bottom="0" header="0" footer="0"/>
  <pageSetup paperSize="9" orientation="portrait" r:id="rId1"/>
  <headerFooter alignWithMargins="0">
    <oddFooter>Página &amp;P de &amp;N</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A295-DFE3-438B-9945-6A6A3368738C}">
  <sheetPr>
    <tabColor theme="4" tint="-0.249977111117893"/>
    <pageSetUpPr fitToPage="1"/>
  </sheetPr>
  <dimension ref="A1:P59"/>
  <sheetViews>
    <sheetView topLeftCell="A11" zoomScale="95" zoomScaleNormal="85" workbookViewId="0">
      <selection activeCell="M17" sqref="M17"/>
    </sheetView>
  </sheetViews>
  <sheetFormatPr baseColWidth="10" defaultColWidth="11.44140625" defaultRowHeight="13.2" x14ac:dyDescent="0.25"/>
  <cols>
    <col min="1" max="1" width="6" style="1" customWidth="1"/>
    <col min="2" max="2" width="86.33203125" style="1" customWidth="1"/>
    <col min="3" max="3" width="15.33203125" style="3" bestFit="1"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603</v>
      </c>
      <c r="B8" s="68"/>
      <c r="C8" s="69"/>
      <c r="D8" s="69"/>
    </row>
    <row r="9" spans="1:16" s="4" customFormat="1" ht="19.2" x14ac:dyDescent="0.45">
      <c r="A9" s="67" t="s">
        <v>604</v>
      </c>
      <c r="B9" s="68"/>
      <c r="C9" s="69"/>
      <c r="D9" s="69"/>
    </row>
    <row r="10" spans="1:16" s="4" customFormat="1" ht="19.2" x14ac:dyDescent="0.45">
      <c r="A10" s="67" t="s">
        <v>605</v>
      </c>
      <c r="B10" s="68"/>
      <c r="C10" s="69"/>
      <c r="D10" s="69"/>
    </row>
    <row r="11" spans="1:16" s="4" customFormat="1" ht="19.2" x14ac:dyDescent="0.45">
      <c r="A11" s="67" t="s">
        <v>606</v>
      </c>
      <c r="B11" s="68"/>
      <c r="C11" s="70"/>
      <c r="D11" s="69"/>
    </row>
    <row r="12" spans="1:16" s="4" customFormat="1" ht="15" customHeight="1" x14ac:dyDescent="0.45">
      <c r="A12" s="71" t="s">
        <v>652</v>
      </c>
      <c r="B12" s="72"/>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6" x14ac:dyDescent="0.25">
      <c r="A16" s="325">
        <v>1</v>
      </c>
      <c r="B16" s="326" t="s">
        <v>608</v>
      </c>
      <c r="C16" s="554">
        <v>23800</v>
      </c>
      <c r="D16" s="150">
        <f t="shared" ref="D16" si="0">A16*C16</f>
        <v>23800</v>
      </c>
      <c r="N16" s="23"/>
      <c r="O16" s="23"/>
      <c r="P16" s="23"/>
    </row>
    <row r="17" spans="1:16" s="23" customFormat="1" ht="45" x14ac:dyDescent="0.25">
      <c r="A17" s="80">
        <v>1</v>
      </c>
      <c r="B17" s="167" t="s">
        <v>651</v>
      </c>
      <c r="C17" s="168">
        <v>14000</v>
      </c>
      <c r="D17" s="79">
        <f t="shared" ref="D17:D24" si="1">A17*C17</f>
        <v>14000</v>
      </c>
      <c r="E17" s="13"/>
      <c r="F17" s="1"/>
      <c r="G17" s="1"/>
      <c r="H17" s="1"/>
      <c r="I17" s="1"/>
      <c r="J17" s="1"/>
      <c r="K17" s="1"/>
      <c r="L17" s="1"/>
      <c r="M17" s="1"/>
    </row>
    <row r="18" spans="1:16" s="23" customFormat="1" ht="61.8" x14ac:dyDescent="0.25">
      <c r="A18" s="80">
        <v>1</v>
      </c>
      <c r="B18" s="167" t="s">
        <v>650</v>
      </c>
      <c r="C18" s="306">
        <v>16800</v>
      </c>
      <c r="D18" s="83">
        <f t="shared" si="1"/>
        <v>16800</v>
      </c>
      <c r="E18" s="13"/>
      <c r="F18" s="1"/>
      <c r="G18" s="1"/>
      <c r="H18" s="1"/>
      <c r="I18" s="1"/>
      <c r="J18" s="1"/>
      <c r="K18" s="1"/>
      <c r="L18" s="1"/>
      <c r="M18" s="1"/>
    </row>
    <row r="19" spans="1:16" s="23" customFormat="1" ht="30.6" x14ac:dyDescent="0.25">
      <c r="A19" s="103">
        <v>1</v>
      </c>
      <c r="B19" s="104" t="s">
        <v>612</v>
      </c>
      <c r="C19" s="583">
        <f>(1984.5*18.4*1.3)</f>
        <v>47469.24</v>
      </c>
      <c r="D19" s="83">
        <f t="shared" si="1"/>
        <v>47469.24</v>
      </c>
      <c r="E19" s="13"/>
      <c r="F19" s="1"/>
      <c r="G19" s="1"/>
      <c r="H19" s="1"/>
      <c r="I19" s="1"/>
      <c r="J19" s="1"/>
      <c r="K19" s="1"/>
      <c r="L19" s="1"/>
      <c r="M19" s="1"/>
    </row>
    <row r="20" spans="1:16" s="23" customFormat="1" ht="15.6" x14ac:dyDescent="0.25">
      <c r="A20" s="103">
        <v>2</v>
      </c>
      <c r="B20" s="104" t="s">
        <v>497</v>
      </c>
      <c r="C20" s="105">
        <v>2380</v>
      </c>
      <c r="D20" s="555">
        <f t="shared" si="1"/>
        <v>4760</v>
      </c>
      <c r="E20" s="1"/>
      <c r="F20" s="1"/>
      <c r="G20" s="1"/>
      <c r="H20" s="1"/>
      <c r="I20" s="1"/>
      <c r="J20" s="1"/>
      <c r="K20" s="1"/>
      <c r="L20" s="1"/>
      <c r="M20" s="1"/>
      <c r="N20" s="1"/>
      <c r="O20" s="1"/>
      <c r="P20" s="1"/>
    </row>
    <row r="21" spans="1:16" ht="30" x14ac:dyDescent="0.25">
      <c r="A21" s="103">
        <v>1</v>
      </c>
      <c r="B21" s="104" t="s">
        <v>391</v>
      </c>
      <c r="C21" s="105">
        <v>23800</v>
      </c>
      <c r="D21" s="79">
        <f t="shared" si="1"/>
        <v>23800</v>
      </c>
    </row>
    <row r="22" spans="1:16" ht="15.6" x14ac:dyDescent="0.25">
      <c r="A22" s="103">
        <v>3</v>
      </c>
      <c r="B22" s="104" t="s">
        <v>499</v>
      </c>
      <c r="C22" s="105">
        <v>5380</v>
      </c>
      <c r="D22" s="79">
        <f t="shared" si="1"/>
        <v>16140</v>
      </c>
    </row>
    <row r="23" spans="1:16" ht="45" x14ac:dyDescent="0.25">
      <c r="A23" s="103">
        <v>1</v>
      </c>
      <c r="B23" s="104" t="s">
        <v>609</v>
      </c>
      <c r="C23" s="327">
        <v>7300</v>
      </c>
      <c r="D23" s="79">
        <f t="shared" si="1"/>
        <v>7300</v>
      </c>
      <c r="O23" s="88"/>
      <c r="P23" s="88"/>
    </row>
    <row r="24" spans="1:16" s="88" customFormat="1" ht="30" x14ac:dyDescent="0.25">
      <c r="A24" s="103">
        <v>1</v>
      </c>
      <c r="B24" s="104" t="s">
        <v>610</v>
      </c>
      <c r="C24" s="327">
        <v>2800</v>
      </c>
      <c r="D24" s="79">
        <f t="shared" si="1"/>
        <v>2800</v>
      </c>
      <c r="E24" s="1"/>
      <c r="F24" s="1"/>
      <c r="G24" s="1"/>
      <c r="H24" s="1"/>
      <c r="I24" s="1"/>
      <c r="J24" s="1"/>
      <c r="K24" s="1"/>
      <c r="L24" s="1"/>
      <c r="M24" s="1"/>
      <c r="N24" s="1"/>
      <c r="O24" s="1"/>
      <c r="P24" s="1"/>
    </row>
    <row r="25" spans="1:16" ht="15.6" x14ac:dyDescent="0.3">
      <c r="A25" s="99"/>
      <c r="B25" s="85" t="s">
        <v>611</v>
      </c>
      <c r="C25" s="86" t="s">
        <v>49</v>
      </c>
      <c r="D25" s="87">
        <f>SUM(D16:D24)</f>
        <v>156869.24</v>
      </c>
    </row>
    <row r="26" spans="1:16" ht="15.6" x14ac:dyDescent="0.3">
      <c r="A26" s="99"/>
      <c r="B26" s="85"/>
      <c r="C26" s="90" t="s">
        <v>51</v>
      </c>
      <c r="D26" s="87">
        <f>D25*0.16</f>
        <v>25099.078399999999</v>
      </c>
    </row>
    <row r="27" spans="1:16" ht="16.2" thickBot="1" x14ac:dyDescent="0.3">
      <c r="A27" s="99"/>
      <c r="B27" s="556"/>
      <c r="C27" s="90" t="s">
        <v>52</v>
      </c>
      <c r="D27" s="87">
        <f>SUM(D25:D26)</f>
        <v>181968.31839999999</v>
      </c>
    </row>
    <row r="28" spans="1:16" ht="16.2" thickBot="1" x14ac:dyDescent="0.3">
      <c r="A28" s="116"/>
      <c r="B28" s="186" t="s">
        <v>653</v>
      </c>
      <c r="C28" s="36"/>
      <c r="D28" s="37"/>
    </row>
    <row r="29" spans="1:16" ht="13.8" x14ac:dyDescent="0.25">
      <c r="A29" s="34"/>
      <c r="B29" s="120" t="s">
        <v>15</v>
      </c>
      <c r="C29" s="121"/>
      <c r="D29" s="122"/>
    </row>
    <row r="30" spans="1:16" ht="15.6" x14ac:dyDescent="0.25">
      <c r="A30" s="34"/>
      <c r="B30" s="123"/>
      <c r="C30" s="1"/>
      <c r="D30" s="1"/>
    </row>
    <row r="31" spans="1:16" ht="13.8" x14ac:dyDescent="0.25">
      <c r="A31" s="286"/>
      <c r="B31" s="135" t="s">
        <v>17</v>
      </c>
      <c r="C31" s="1"/>
      <c r="D31" s="1"/>
    </row>
    <row r="32" spans="1:16" ht="31.2" customHeight="1" x14ac:dyDescent="0.25">
      <c r="A32" s="288"/>
      <c r="B32" s="191" t="s">
        <v>19</v>
      </c>
      <c r="C32" s="1"/>
      <c r="D32" s="1"/>
    </row>
    <row r="33" spans="1:4" ht="18" customHeight="1" x14ac:dyDescent="0.25">
      <c r="A33" s="288"/>
      <c r="B33" s="290" t="s">
        <v>60</v>
      </c>
      <c r="C33" s="1"/>
      <c r="D33" s="1"/>
    </row>
    <row r="34" spans="1:4" ht="15" x14ac:dyDescent="0.25">
      <c r="A34" s="288"/>
      <c r="B34" s="130" t="s">
        <v>23</v>
      </c>
      <c r="C34" s="13"/>
      <c r="D34" s="1"/>
    </row>
    <row r="35" spans="1:4" ht="27.6" x14ac:dyDescent="0.25">
      <c r="A35" s="288"/>
      <c r="B35" s="187" t="s">
        <v>62</v>
      </c>
      <c r="C35" s="13"/>
      <c r="D35" s="1"/>
    </row>
    <row r="36" spans="1:4" ht="15" x14ac:dyDescent="0.25">
      <c r="A36" s="288"/>
      <c r="B36" s="130" t="s">
        <v>26</v>
      </c>
      <c r="C36" s="13"/>
      <c r="D36" s="1"/>
    </row>
    <row r="37" spans="1:4" ht="17.399999999999999" customHeight="1" x14ac:dyDescent="0.25">
      <c r="A37" s="288"/>
      <c r="B37" s="512" t="s">
        <v>505</v>
      </c>
      <c r="C37" s="13"/>
      <c r="D37" s="1"/>
    </row>
    <row r="38" spans="1:4" ht="15" x14ac:dyDescent="0.25">
      <c r="A38" s="288"/>
      <c r="B38" s="512" t="s">
        <v>28</v>
      </c>
      <c r="C38" s="1"/>
      <c r="D38" s="1"/>
    </row>
    <row r="39" spans="1:4" ht="15" x14ac:dyDescent="0.25">
      <c r="A39" s="288"/>
      <c r="B39" s="130" t="s">
        <v>29</v>
      </c>
      <c r="C39" s="1"/>
      <c r="D39" s="1"/>
    </row>
    <row r="40" spans="1:4" ht="13.8" x14ac:dyDescent="0.25">
      <c r="A40" s="88"/>
      <c r="B40" s="190" t="s">
        <v>64</v>
      </c>
      <c r="C40" s="133"/>
      <c r="D40" s="134"/>
    </row>
    <row r="41" spans="1:4" ht="15" x14ac:dyDescent="0.25">
      <c r="A41" s="288"/>
      <c r="B41" s="191" t="s">
        <v>31</v>
      </c>
      <c r="C41" s="54"/>
      <c r="D41" s="58"/>
    </row>
    <row r="42" spans="1:4" ht="15" x14ac:dyDescent="0.25">
      <c r="A42" s="288"/>
      <c r="B42" s="191" t="s">
        <v>32</v>
      </c>
      <c r="C42" s="54"/>
    </row>
    <row r="43" spans="1:4" ht="50.4" x14ac:dyDescent="0.25">
      <c r="A43" s="293" t="s">
        <v>0</v>
      </c>
      <c r="B43" s="193" t="s">
        <v>65</v>
      </c>
      <c r="C43" s="141"/>
      <c r="D43" s="1"/>
    </row>
    <row r="44" spans="1:4" x14ac:dyDescent="0.25">
      <c r="A44" s="142"/>
      <c r="B44" s="64"/>
      <c r="C44" s="64"/>
      <c r="D44" s="1"/>
    </row>
    <row r="45" spans="1:4" x14ac:dyDescent="0.25">
      <c r="A45" s="142"/>
      <c r="B45" s="64"/>
      <c r="C45" s="64"/>
      <c r="D45" s="1"/>
    </row>
    <row r="46" spans="1:4" x14ac:dyDescent="0.25">
      <c r="A46" s="142"/>
      <c r="B46" s="143"/>
      <c r="C46" s="64"/>
      <c r="D46" s="1"/>
    </row>
    <row r="47" spans="1:4" ht="15" x14ac:dyDescent="0.35">
      <c r="A47" s="144"/>
      <c r="B47" s="145"/>
      <c r="C47" s="64"/>
      <c r="D47" s="64"/>
    </row>
    <row r="48" spans="1:4" x14ac:dyDescent="0.25">
      <c r="A48" s="146" t="s">
        <v>0</v>
      </c>
    </row>
    <row r="49" spans="1:1" x14ac:dyDescent="0.25">
      <c r="A49" s="1" t="s">
        <v>0</v>
      </c>
    </row>
    <row r="50" spans="1:1" ht="12.75" customHeight="1" x14ac:dyDescent="0.25"/>
    <row r="58" spans="1:1" ht="15.75" customHeight="1" x14ac:dyDescent="0.25"/>
    <row r="59" spans="1:1" ht="15" customHeight="1" x14ac:dyDescent="0.25"/>
  </sheetData>
  <mergeCells count="2">
    <mergeCell ref="A4:D4"/>
    <mergeCell ref="A14:D14"/>
  </mergeCells>
  <printOptions horizontalCentered="1"/>
  <pageMargins left="0.25" right="0.25" top="0.75" bottom="0.75" header="0.3" footer="0.3"/>
  <pageSetup paperSize="9" scale="57" fitToWidth="0" orientation="portrait" r:id="rId1"/>
  <headerFooter alignWithMargins="0">
    <oddFooter>Página &amp;P de &amp;N</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5539-5942-404A-B7B0-6FA08EC09B54}">
  <sheetPr>
    <tabColor theme="4" tint="-0.249977111117893"/>
    <pageSetUpPr fitToPage="1"/>
  </sheetPr>
  <dimension ref="A1:P59"/>
  <sheetViews>
    <sheetView topLeftCell="A15" zoomScale="95" zoomScaleNormal="85" workbookViewId="0">
      <selection activeCell="A23" sqref="A23:D23"/>
    </sheetView>
  </sheetViews>
  <sheetFormatPr baseColWidth="10" defaultColWidth="11.44140625" defaultRowHeight="13.2" x14ac:dyDescent="0.25"/>
  <cols>
    <col min="1" max="1" width="6" style="1" customWidth="1"/>
    <col min="2" max="2" width="86.33203125" style="1" customWidth="1"/>
    <col min="3" max="3" width="15.33203125" style="3" bestFit="1"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603</v>
      </c>
      <c r="B8" s="68"/>
      <c r="C8" s="69"/>
      <c r="D8" s="69"/>
    </row>
    <row r="9" spans="1:16" s="4" customFormat="1" ht="19.2" x14ac:dyDescent="0.45">
      <c r="A9" s="67" t="s">
        <v>604</v>
      </c>
      <c r="B9" s="68"/>
      <c r="C9" s="69"/>
      <c r="D9" s="69"/>
    </row>
    <row r="10" spans="1:16" s="4" customFormat="1" ht="19.2" x14ac:dyDescent="0.45">
      <c r="A10" s="67" t="s">
        <v>605</v>
      </c>
      <c r="B10" s="68"/>
      <c r="C10" s="69"/>
      <c r="D10" s="69"/>
    </row>
    <row r="11" spans="1:16" s="4" customFormat="1" ht="19.2" x14ac:dyDescent="0.45">
      <c r="A11" s="67" t="s">
        <v>606</v>
      </c>
      <c r="B11" s="68"/>
      <c r="C11" s="70"/>
      <c r="D11" s="69"/>
    </row>
    <row r="12" spans="1:16" s="4" customFormat="1" ht="15" customHeight="1" x14ac:dyDescent="0.45">
      <c r="A12" s="71" t="s">
        <v>652</v>
      </c>
      <c r="B12" s="72"/>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6" x14ac:dyDescent="0.25">
      <c r="A16" s="325">
        <v>1</v>
      </c>
      <c r="B16" s="326" t="s">
        <v>608</v>
      </c>
      <c r="C16" s="554">
        <v>23800</v>
      </c>
      <c r="D16" s="150">
        <f t="shared" ref="D16:D25" si="0">A16*C16</f>
        <v>23800</v>
      </c>
      <c r="N16" s="23"/>
      <c r="O16" s="23"/>
      <c r="P16" s="23"/>
    </row>
    <row r="17" spans="1:16" s="23" customFormat="1" ht="45" x14ac:dyDescent="0.25">
      <c r="A17" s="80">
        <v>1</v>
      </c>
      <c r="B17" s="167" t="s">
        <v>651</v>
      </c>
      <c r="C17" s="168">
        <v>14000</v>
      </c>
      <c r="D17" s="79">
        <f t="shared" si="0"/>
        <v>14000</v>
      </c>
      <c r="E17" s="13"/>
      <c r="F17" s="1"/>
      <c r="G17" s="1"/>
      <c r="H17" s="1"/>
      <c r="I17" s="1"/>
      <c r="J17" s="1"/>
      <c r="K17" s="1"/>
      <c r="L17" s="1"/>
      <c r="M17" s="1"/>
    </row>
    <row r="18" spans="1:16" s="23" customFormat="1" ht="61.8" x14ac:dyDescent="0.25">
      <c r="A18" s="80">
        <v>1</v>
      </c>
      <c r="B18" s="167" t="s">
        <v>650</v>
      </c>
      <c r="C18" s="306">
        <v>16800</v>
      </c>
      <c r="D18" s="83">
        <f t="shared" si="0"/>
        <v>16800</v>
      </c>
      <c r="E18" s="13"/>
      <c r="F18" s="1"/>
      <c r="G18" s="1"/>
      <c r="H18" s="1"/>
      <c r="I18" s="1"/>
      <c r="J18" s="1"/>
      <c r="K18" s="1"/>
      <c r="L18" s="1"/>
      <c r="M18" s="1"/>
    </row>
    <row r="19" spans="1:16" s="23" customFormat="1" ht="31.2" x14ac:dyDescent="0.25">
      <c r="A19" s="95">
        <v>1</v>
      </c>
      <c r="B19" s="96" t="s">
        <v>647</v>
      </c>
      <c r="C19" s="583">
        <f>(25232*1.3)+4200</f>
        <v>37001.599999999999</v>
      </c>
      <c r="D19" s="98">
        <f t="shared" si="0"/>
        <v>37001.599999999999</v>
      </c>
      <c r="E19" s="13"/>
      <c r="F19" s="1"/>
      <c r="G19" s="1"/>
      <c r="H19" s="1"/>
      <c r="I19" s="1"/>
      <c r="J19" s="1"/>
      <c r="K19" s="1"/>
      <c r="L19" s="1"/>
      <c r="M19" s="1"/>
    </row>
    <row r="20" spans="1:16" s="23" customFormat="1" ht="15.6" x14ac:dyDescent="0.25">
      <c r="A20" s="103">
        <v>2</v>
      </c>
      <c r="B20" s="104" t="s">
        <v>497</v>
      </c>
      <c r="C20" s="105">
        <v>2380</v>
      </c>
      <c r="D20" s="555">
        <f t="shared" si="0"/>
        <v>4760</v>
      </c>
      <c r="E20" s="1"/>
      <c r="F20" s="1"/>
      <c r="G20" s="1"/>
      <c r="H20" s="1"/>
      <c r="I20" s="1"/>
      <c r="J20" s="1"/>
      <c r="K20" s="1"/>
      <c r="L20" s="1"/>
      <c r="M20" s="1"/>
      <c r="N20" s="1"/>
      <c r="O20" s="1"/>
      <c r="P20" s="1"/>
    </row>
    <row r="21" spans="1:16" ht="30" x14ac:dyDescent="0.25">
      <c r="A21" s="103">
        <v>1</v>
      </c>
      <c r="B21" s="104" t="s">
        <v>654</v>
      </c>
      <c r="C21" s="105">
        <f>(6*1400)+4000</f>
        <v>12400</v>
      </c>
      <c r="D21" s="555">
        <f t="shared" si="0"/>
        <v>12400</v>
      </c>
    </row>
    <row r="22" spans="1:16" ht="30" x14ac:dyDescent="0.25">
      <c r="A22" s="103">
        <v>1</v>
      </c>
      <c r="B22" s="104" t="s">
        <v>391</v>
      </c>
      <c r="C22" s="105">
        <v>23800</v>
      </c>
      <c r="D22" s="79">
        <f t="shared" si="0"/>
        <v>23800</v>
      </c>
    </row>
    <row r="23" spans="1:16" ht="15.6" x14ac:dyDescent="0.25">
      <c r="A23" s="103">
        <v>3</v>
      </c>
      <c r="B23" s="104" t="s">
        <v>499</v>
      </c>
      <c r="C23" s="105">
        <v>5380</v>
      </c>
      <c r="D23" s="79">
        <f t="shared" si="0"/>
        <v>16140</v>
      </c>
      <c r="O23" s="88"/>
      <c r="P23" s="88"/>
    </row>
    <row r="24" spans="1:16" s="88" customFormat="1" ht="45" x14ac:dyDescent="0.25">
      <c r="A24" s="103">
        <v>1</v>
      </c>
      <c r="B24" s="104" t="s">
        <v>609</v>
      </c>
      <c r="C24" s="327">
        <v>7300</v>
      </c>
      <c r="D24" s="79">
        <f t="shared" si="0"/>
        <v>7300</v>
      </c>
      <c r="E24" s="1"/>
      <c r="F24" s="1"/>
      <c r="G24" s="1"/>
      <c r="H24" s="1"/>
      <c r="I24" s="1"/>
      <c r="J24" s="1"/>
      <c r="K24" s="1"/>
      <c r="L24" s="1"/>
      <c r="M24" s="1"/>
      <c r="N24" s="1"/>
      <c r="O24" s="1"/>
      <c r="P24" s="1"/>
    </row>
    <row r="25" spans="1:16" ht="30" x14ac:dyDescent="0.25">
      <c r="A25" s="103">
        <v>1</v>
      </c>
      <c r="B25" s="104" t="s">
        <v>610</v>
      </c>
      <c r="C25" s="327">
        <v>2800</v>
      </c>
      <c r="D25" s="79">
        <f t="shared" si="0"/>
        <v>2800</v>
      </c>
    </row>
    <row r="26" spans="1:16" ht="15.6" x14ac:dyDescent="0.3">
      <c r="A26" s="99"/>
      <c r="B26" s="85" t="s">
        <v>611</v>
      </c>
      <c r="C26" s="86" t="s">
        <v>49</v>
      </c>
      <c r="D26" s="87">
        <f>SUM(D16:D25)</f>
        <v>158801.60000000001</v>
      </c>
    </row>
    <row r="27" spans="1:16" ht="15.6" x14ac:dyDescent="0.3">
      <c r="A27" s="99"/>
      <c r="B27" s="85"/>
      <c r="C27" s="90" t="s">
        <v>51</v>
      </c>
      <c r="D27" s="87">
        <f>D26*0.16</f>
        <v>25408.256000000001</v>
      </c>
    </row>
    <row r="28" spans="1:16" ht="16.2" thickBot="1" x14ac:dyDescent="0.3">
      <c r="A28" s="99"/>
      <c r="B28" s="556"/>
      <c r="C28" s="90" t="s">
        <v>52</v>
      </c>
      <c r="D28" s="87">
        <f>SUM(D26:D27)</f>
        <v>184209.856</v>
      </c>
    </row>
    <row r="29" spans="1:16" ht="16.2" thickBot="1" x14ac:dyDescent="0.3">
      <c r="A29" s="116"/>
      <c r="B29" s="186" t="s">
        <v>655</v>
      </c>
      <c r="C29" s="36"/>
      <c r="D29" s="37"/>
    </row>
    <row r="30" spans="1:16" ht="13.8" x14ac:dyDescent="0.25">
      <c r="A30" s="34"/>
      <c r="B30" s="120" t="s">
        <v>15</v>
      </c>
      <c r="C30" s="121"/>
      <c r="D30" s="122"/>
    </row>
    <row r="31" spans="1:16" ht="15.6" x14ac:dyDescent="0.25">
      <c r="A31" s="34"/>
      <c r="B31" s="123"/>
      <c r="C31" s="1"/>
      <c r="D31" s="1"/>
    </row>
    <row r="32" spans="1:16" ht="31.2" customHeight="1" x14ac:dyDescent="0.25">
      <c r="A32" s="286"/>
      <c r="B32" s="135" t="s">
        <v>17</v>
      </c>
      <c r="C32" s="1"/>
      <c r="D32" s="1"/>
    </row>
    <row r="33" spans="1:4" ht="18" customHeight="1" x14ac:dyDescent="0.25">
      <c r="A33" s="288"/>
      <c r="B33" s="191" t="s">
        <v>19</v>
      </c>
      <c r="C33" s="1"/>
      <c r="D33" s="1"/>
    </row>
    <row r="34" spans="1:4" ht="15" x14ac:dyDescent="0.25">
      <c r="A34" s="288"/>
      <c r="B34" s="290" t="s">
        <v>60</v>
      </c>
      <c r="C34" s="1"/>
      <c r="D34" s="1"/>
    </row>
    <row r="35" spans="1:4" ht="15" x14ac:dyDescent="0.25">
      <c r="A35" s="288"/>
      <c r="B35" s="130" t="s">
        <v>23</v>
      </c>
      <c r="C35" s="13"/>
      <c r="D35" s="1"/>
    </row>
    <row r="36" spans="1:4" ht="27.6" x14ac:dyDescent="0.25">
      <c r="A36" s="288"/>
      <c r="B36" s="187" t="s">
        <v>62</v>
      </c>
      <c r="C36" s="13"/>
      <c r="D36" s="1"/>
    </row>
    <row r="37" spans="1:4" ht="15" x14ac:dyDescent="0.25">
      <c r="A37" s="288"/>
      <c r="B37" s="130" t="s">
        <v>26</v>
      </c>
      <c r="C37" s="13"/>
      <c r="D37" s="1"/>
    </row>
    <row r="38" spans="1:4" ht="17.399999999999999" x14ac:dyDescent="0.25">
      <c r="A38" s="288"/>
      <c r="B38" s="512" t="s">
        <v>656</v>
      </c>
      <c r="C38" s="13"/>
      <c r="D38" s="1"/>
    </row>
    <row r="39" spans="1:4" ht="15" x14ac:dyDescent="0.25">
      <c r="A39" s="288"/>
      <c r="B39" s="512" t="s">
        <v>28</v>
      </c>
      <c r="C39" s="1"/>
      <c r="D39" s="1"/>
    </row>
    <row r="40" spans="1:4" ht="15" x14ac:dyDescent="0.25">
      <c r="A40" s="288"/>
      <c r="B40" s="130" t="s">
        <v>29</v>
      </c>
      <c r="C40" s="1"/>
      <c r="D40" s="1"/>
    </row>
    <row r="41" spans="1:4" ht="13.8" x14ac:dyDescent="0.25">
      <c r="A41" s="88"/>
      <c r="B41" s="586" t="s">
        <v>660</v>
      </c>
      <c r="C41" s="133"/>
      <c r="D41" s="134"/>
    </row>
    <row r="42" spans="1:4" ht="15" x14ac:dyDescent="0.25">
      <c r="A42" s="288"/>
      <c r="B42" s="191" t="s">
        <v>31</v>
      </c>
      <c r="C42" s="54"/>
      <c r="D42" s="58"/>
    </row>
    <row r="43" spans="1:4" ht="15" x14ac:dyDescent="0.25">
      <c r="A43" s="288"/>
      <c r="B43" s="191" t="s">
        <v>32</v>
      </c>
      <c r="C43" s="54"/>
    </row>
    <row r="44" spans="1:4" ht="50.4" x14ac:dyDescent="0.25">
      <c r="A44" s="293" t="s">
        <v>0</v>
      </c>
      <c r="B44" s="193" t="s">
        <v>65</v>
      </c>
      <c r="C44" s="141"/>
      <c r="D44" s="1"/>
    </row>
    <row r="45" spans="1:4" x14ac:dyDescent="0.25">
      <c r="A45" s="142"/>
      <c r="B45" s="64"/>
      <c r="C45" s="64"/>
      <c r="D45" s="1"/>
    </row>
    <row r="46" spans="1:4" x14ac:dyDescent="0.25">
      <c r="A46" s="142"/>
      <c r="B46" s="64"/>
      <c r="C46" s="64"/>
      <c r="D46" s="1"/>
    </row>
    <row r="47" spans="1:4" x14ac:dyDescent="0.25">
      <c r="A47" s="142"/>
      <c r="B47" s="143"/>
      <c r="C47" s="64"/>
      <c r="D47" s="1"/>
    </row>
    <row r="48" spans="1:4" ht="15" x14ac:dyDescent="0.35">
      <c r="A48" s="144"/>
      <c r="B48" s="145"/>
      <c r="C48" s="64"/>
      <c r="D48" s="64"/>
    </row>
    <row r="49" spans="1:1" x14ac:dyDescent="0.25">
      <c r="A49" s="146" t="s">
        <v>0</v>
      </c>
    </row>
    <row r="50" spans="1:1" ht="12.75" customHeight="1" x14ac:dyDescent="0.25">
      <c r="A50" s="1" t="s">
        <v>0</v>
      </c>
    </row>
    <row r="58" spans="1:1" ht="15.75" customHeight="1" x14ac:dyDescent="0.25"/>
    <row r="59" spans="1:1" ht="15" customHeight="1" x14ac:dyDescent="0.25"/>
  </sheetData>
  <mergeCells count="2">
    <mergeCell ref="A4:D4"/>
    <mergeCell ref="A14:D14"/>
  </mergeCells>
  <printOptions horizontalCentered="1"/>
  <pageMargins left="0.25" right="0.25" top="0.75" bottom="0.75" header="0.3" footer="0.3"/>
  <pageSetup paperSize="9" scale="57" fitToWidth="0" orientation="portrait" r:id="rId1"/>
  <headerFooter alignWithMargins="0">
    <oddFooter>Página &amp;P de &amp;N</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46EF-1752-4698-B654-4DBD00327780}">
  <sheetPr>
    <tabColor theme="4" tint="-0.249977111117893"/>
    <pageSetUpPr fitToPage="1"/>
  </sheetPr>
  <dimension ref="A1:P59"/>
  <sheetViews>
    <sheetView zoomScale="95" zoomScaleNormal="85" workbookViewId="0">
      <selection activeCell="O38" sqref="O38"/>
    </sheetView>
  </sheetViews>
  <sheetFormatPr baseColWidth="10" defaultColWidth="11.44140625" defaultRowHeight="13.2" x14ac:dyDescent="0.25"/>
  <cols>
    <col min="1" max="1" width="6" style="1" customWidth="1"/>
    <col min="2" max="2" width="74.33203125" style="1" customWidth="1"/>
    <col min="3" max="3" width="13.3320312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603</v>
      </c>
      <c r="B8" s="68"/>
      <c r="C8" s="69"/>
      <c r="D8" s="69"/>
    </row>
    <row r="9" spans="1:16" s="4" customFormat="1" ht="19.2" x14ac:dyDescent="0.45">
      <c r="A9" s="67" t="s">
        <v>604</v>
      </c>
      <c r="B9" s="68"/>
      <c r="C9" s="69"/>
      <c r="D9" s="69"/>
    </row>
    <row r="10" spans="1:16" s="4" customFormat="1" ht="19.2" x14ac:dyDescent="0.45">
      <c r="A10" s="67" t="s">
        <v>659</v>
      </c>
      <c r="B10" s="68"/>
      <c r="C10" s="69"/>
      <c r="D10" s="69"/>
    </row>
    <row r="11" spans="1:16" s="4" customFormat="1" ht="19.2" x14ac:dyDescent="0.45">
      <c r="A11" s="67" t="s">
        <v>658</v>
      </c>
      <c r="B11" s="68"/>
      <c r="C11" s="70"/>
      <c r="D11" s="69"/>
    </row>
    <row r="12" spans="1:16" s="4" customFormat="1" ht="15" customHeight="1" x14ac:dyDescent="0.45">
      <c r="A12" s="71" t="s">
        <v>657</v>
      </c>
      <c r="B12" s="72"/>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6.2" x14ac:dyDescent="0.25">
      <c r="A16" s="95">
        <v>1</v>
      </c>
      <c r="B16" s="96" t="s">
        <v>647</v>
      </c>
      <c r="C16" s="583">
        <f>(25232*1.3)+4200</f>
        <v>37001.599999999999</v>
      </c>
      <c r="D16" s="98">
        <f t="shared" ref="D16" si="0">A16*C16</f>
        <v>37001.599999999999</v>
      </c>
      <c r="E16" s="13"/>
      <c r="N16" s="23"/>
      <c r="O16" s="23"/>
      <c r="P16" s="23"/>
    </row>
    <row r="17" spans="1:16" s="23" customFormat="1" ht="15.6" x14ac:dyDescent="0.3">
      <c r="A17" s="99"/>
      <c r="B17" s="584"/>
      <c r="C17" s="86" t="s">
        <v>49</v>
      </c>
      <c r="D17" s="87">
        <f>SUM(D16:D16)</f>
        <v>37001.599999999999</v>
      </c>
      <c r="E17" s="1"/>
      <c r="F17" s="1"/>
      <c r="G17" s="1"/>
      <c r="H17" s="1"/>
      <c r="I17" s="1"/>
      <c r="J17" s="1"/>
      <c r="K17" s="1"/>
      <c r="L17" s="1"/>
      <c r="M17" s="1"/>
    </row>
    <row r="18" spans="1:16" s="23" customFormat="1" ht="15.6" x14ac:dyDescent="0.3">
      <c r="A18" s="99"/>
      <c r="B18" s="584"/>
      <c r="C18" s="90" t="s">
        <v>51</v>
      </c>
      <c r="D18" s="87">
        <f>D17*0.16</f>
        <v>5920.2560000000003</v>
      </c>
      <c r="E18" s="1"/>
      <c r="F18" s="1"/>
      <c r="G18" s="1"/>
      <c r="H18" s="1"/>
      <c r="I18" s="1"/>
      <c r="J18" s="1"/>
      <c r="K18" s="1"/>
      <c r="L18" s="1"/>
      <c r="M18" s="1"/>
    </row>
    <row r="19" spans="1:16" s="23" customFormat="1" ht="16.2" thickBot="1" x14ac:dyDescent="0.3">
      <c r="A19" s="99"/>
      <c r="B19" s="585"/>
      <c r="C19" s="90" t="s">
        <v>52</v>
      </c>
      <c r="D19" s="87">
        <f>SUM(D17:D18)</f>
        <v>42921.856</v>
      </c>
      <c r="E19" s="1"/>
      <c r="F19" s="1"/>
      <c r="G19" s="1"/>
      <c r="H19" s="1"/>
      <c r="I19" s="1"/>
      <c r="J19" s="1"/>
      <c r="K19" s="1"/>
      <c r="L19" s="1"/>
      <c r="M19" s="1"/>
    </row>
    <row r="20" spans="1:16" s="23" customFormat="1" ht="16.2" thickBot="1" x14ac:dyDescent="0.3">
      <c r="A20" s="116"/>
      <c r="B20" s="186" t="s">
        <v>655</v>
      </c>
      <c r="C20" s="36"/>
      <c r="D20" s="37"/>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286"/>
      <c r="B23" s="135" t="s">
        <v>17</v>
      </c>
      <c r="C23" s="1"/>
      <c r="D23" s="1"/>
      <c r="O23" s="88"/>
      <c r="P23" s="88"/>
    </row>
    <row r="24" spans="1:16" s="88" customFormat="1" ht="15" x14ac:dyDescent="0.25">
      <c r="A24" s="288"/>
      <c r="B24" s="191" t="s">
        <v>19</v>
      </c>
      <c r="C24" s="1"/>
      <c r="D24" s="1"/>
      <c r="E24" s="1"/>
      <c r="F24" s="1"/>
      <c r="G24" s="1"/>
      <c r="H24" s="1"/>
      <c r="I24" s="1"/>
      <c r="J24" s="1"/>
      <c r="K24" s="1"/>
      <c r="L24" s="1"/>
      <c r="M24" s="1"/>
      <c r="N24" s="1"/>
      <c r="O24" s="1"/>
      <c r="P24" s="1"/>
    </row>
    <row r="25" spans="1:16" ht="15" x14ac:dyDescent="0.25">
      <c r="A25" s="288"/>
      <c r="B25" s="290" t="s">
        <v>60</v>
      </c>
      <c r="C25" s="1"/>
      <c r="D25" s="1"/>
    </row>
    <row r="26" spans="1:16" ht="15" x14ac:dyDescent="0.25">
      <c r="A26" s="288"/>
      <c r="B26" s="130" t="s">
        <v>23</v>
      </c>
      <c r="C26" s="13"/>
      <c r="D26" s="1"/>
    </row>
    <row r="27" spans="1:16" ht="27.6" x14ac:dyDescent="0.25">
      <c r="A27" s="288"/>
      <c r="B27" s="187" t="s">
        <v>62</v>
      </c>
      <c r="C27" s="13"/>
      <c r="D27" s="1"/>
    </row>
    <row r="28" spans="1:16" ht="15" x14ac:dyDescent="0.25">
      <c r="A28" s="288"/>
      <c r="B28" s="130" t="s">
        <v>26</v>
      </c>
      <c r="C28" s="13"/>
      <c r="D28" s="1"/>
    </row>
    <row r="29" spans="1:16" ht="19.2" customHeight="1" x14ac:dyDescent="0.25">
      <c r="A29" s="288"/>
      <c r="B29" s="512" t="s">
        <v>505</v>
      </c>
      <c r="C29" s="13"/>
      <c r="D29" s="1"/>
    </row>
    <row r="30" spans="1:16" ht="15" x14ac:dyDescent="0.25">
      <c r="A30" s="288"/>
      <c r="B30" s="512" t="s">
        <v>28</v>
      </c>
      <c r="C30" s="1"/>
      <c r="D30" s="1"/>
    </row>
    <row r="31" spans="1:16" ht="15" x14ac:dyDescent="0.25">
      <c r="A31" s="288"/>
      <c r="B31" s="130" t="s">
        <v>29</v>
      </c>
      <c r="C31" s="1"/>
      <c r="D31" s="1"/>
    </row>
    <row r="32" spans="1:16" ht="13.8" x14ac:dyDescent="0.25">
      <c r="A32" s="88"/>
      <c r="B32" s="190" t="s">
        <v>64</v>
      </c>
      <c r="C32" s="133"/>
      <c r="D32" s="134"/>
    </row>
    <row r="33" spans="1:4" ht="15" x14ac:dyDescent="0.25">
      <c r="A33" s="288"/>
      <c r="B33" s="191" t="s">
        <v>31</v>
      </c>
      <c r="C33" s="54"/>
      <c r="D33" s="58"/>
    </row>
    <row r="34" spans="1:4" ht="15" x14ac:dyDescent="0.25">
      <c r="A34" s="288"/>
      <c r="B34" s="191" t="s">
        <v>32</v>
      </c>
      <c r="C34" s="54"/>
    </row>
    <row r="35" spans="1:4" ht="50.4" x14ac:dyDescent="0.25">
      <c r="A35" s="293" t="s">
        <v>0</v>
      </c>
      <c r="B35" s="193" t="s">
        <v>65</v>
      </c>
      <c r="C35" s="141"/>
      <c r="D35" s="1"/>
    </row>
    <row r="36" spans="1:4" x14ac:dyDescent="0.25">
      <c r="A36" s="142"/>
      <c r="B36" s="64"/>
      <c r="C36" s="64"/>
      <c r="D36" s="1"/>
    </row>
    <row r="37" spans="1:4" x14ac:dyDescent="0.25">
      <c r="A37" s="142"/>
      <c r="B37" s="64"/>
      <c r="C37" s="64"/>
      <c r="D37" s="1"/>
    </row>
    <row r="38" spans="1:4" x14ac:dyDescent="0.25">
      <c r="A38" s="142"/>
      <c r="B38" s="143"/>
      <c r="C38" s="64"/>
      <c r="D38" s="1"/>
    </row>
    <row r="39" spans="1:4" ht="15" x14ac:dyDescent="0.35">
      <c r="A39" s="144"/>
      <c r="B39" s="145"/>
      <c r="C39" s="64"/>
      <c r="D39" s="64"/>
    </row>
    <row r="40" spans="1:4" x14ac:dyDescent="0.25">
      <c r="A40" s="146" t="s">
        <v>0</v>
      </c>
    </row>
    <row r="41" spans="1:4" x14ac:dyDescent="0.25">
      <c r="A41"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90" fitToWidth="0" orientation="portrait" r:id="rId1"/>
  <headerFooter alignWithMargins="0">
    <oddFooter>Página &amp;P de &amp;N</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7AF4-D7A9-448D-8CDC-57F85C994C50}">
  <sheetPr>
    <tabColor theme="4" tint="-0.249977111117893"/>
    <pageSetUpPr fitToPage="1"/>
  </sheetPr>
  <dimension ref="A1:P60"/>
  <sheetViews>
    <sheetView topLeftCell="A3" zoomScale="95" zoomScaleNormal="85" workbookViewId="0">
      <selection activeCell="M18" sqref="M18"/>
    </sheetView>
  </sheetViews>
  <sheetFormatPr baseColWidth="10" defaultColWidth="11.44140625" defaultRowHeight="13.2" x14ac:dyDescent="0.25"/>
  <cols>
    <col min="1" max="1" width="6" style="1" customWidth="1"/>
    <col min="2" max="2" width="74.33203125" style="1" customWidth="1"/>
    <col min="3" max="3" width="13.3320312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603</v>
      </c>
      <c r="B8" s="68" t="s">
        <v>661</v>
      </c>
      <c r="C8" s="69"/>
      <c r="D8" s="69"/>
    </row>
    <row r="9" spans="1:16" s="4" customFormat="1" ht="19.2" x14ac:dyDescent="0.45">
      <c r="A9" s="67" t="s">
        <v>665</v>
      </c>
      <c r="B9" s="68"/>
      <c r="C9" s="69"/>
      <c r="D9" s="69"/>
    </row>
    <row r="10" spans="1:16" s="4" customFormat="1" ht="19.2" x14ac:dyDescent="0.45">
      <c r="A10" s="67" t="s">
        <v>664</v>
      </c>
      <c r="B10" s="68"/>
      <c r="C10" s="69"/>
      <c r="D10" s="69"/>
    </row>
    <row r="11" spans="1:16" s="4" customFormat="1" ht="19.2" x14ac:dyDescent="0.45">
      <c r="A11" s="67" t="s">
        <v>271</v>
      </c>
      <c r="B11" s="70"/>
      <c r="C11" s="69"/>
    </row>
    <row r="12" spans="1:16" s="4" customFormat="1" ht="15" customHeight="1" x14ac:dyDescent="0.45">
      <c r="A12" s="71" t="s">
        <v>657</v>
      </c>
      <c r="B12" s="68"/>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 x14ac:dyDescent="0.25">
      <c r="A16" s="14">
        <v>1</v>
      </c>
      <c r="B16" s="96" t="s">
        <v>662</v>
      </c>
      <c r="C16" s="583">
        <f>(882*18)*1.2</f>
        <v>19051.2</v>
      </c>
      <c r="D16" s="583">
        <f>(882*18)*1.2</f>
        <v>19051.2</v>
      </c>
      <c r="E16" s="13"/>
      <c r="N16" s="23"/>
      <c r="O16" s="23"/>
      <c r="P16" s="23"/>
    </row>
    <row r="17" spans="1:16" ht="15" x14ac:dyDescent="0.25">
      <c r="A17" s="14">
        <v>1</v>
      </c>
      <c r="B17" s="96" t="s">
        <v>663</v>
      </c>
      <c r="C17" s="583">
        <f>(785.12*18)*1.2</f>
        <v>16958.592000000001</v>
      </c>
      <c r="D17" s="583">
        <f>(785.12*18)*1.2</f>
        <v>16958.592000000001</v>
      </c>
      <c r="E17" s="13"/>
      <c r="N17" s="23"/>
      <c r="O17" s="23"/>
      <c r="P17" s="23"/>
    </row>
    <row r="18" spans="1:16" s="23" customFormat="1" ht="15.6" x14ac:dyDescent="0.3">
      <c r="A18" s="14"/>
      <c r="B18" s="587"/>
      <c r="C18" s="86" t="s">
        <v>49</v>
      </c>
      <c r="D18" s="87">
        <f>SUM(D16:D17)</f>
        <v>36009.792000000001</v>
      </c>
      <c r="E18" s="1"/>
      <c r="F18" s="1"/>
      <c r="G18" s="1"/>
      <c r="H18" s="1"/>
      <c r="I18" s="1"/>
      <c r="J18" s="1"/>
      <c r="K18" s="1"/>
      <c r="L18" s="1"/>
      <c r="M18" s="1"/>
    </row>
    <row r="19" spans="1:16" s="23" customFormat="1" ht="15.6" x14ac:dyDescent="0.25">
      <c r="A19" s="95"/>
      <c r="B19" s="585"/>
      <c r="C19" s="90" t="s">
        <v>51</v>
      </c>
      <c r="D19" s="87">
        <f>D18*0.16</f>
        <v>5761.5667200000007</v>
      </c>
      <c r="E19" s="1"/>
      <c r="F19" s="1"/>
      <c r="G19" s="1"/>
      <c r="H19" s="1"/>
      <c r="I19" s="1"/>
      <c r="J19" s="1"/>
      <c r="K19" s="1"/>
      <c r="L19" s="1"/>
      <c r="M19" s="1"/>
    </row>
    <row r="20" spans="1:16" s="23" customFormat="1" ht="16.2" thickBot="1" x14ac:dyDescent="0.3">
      <c r="A20" s="99"/>
      <c r="B20" s="186" t="s">
        <v>666</v>
      </c>
      <c r="C20" s="90" t="s">
        <v>52</v>
      </c>
      <c r="D20" s="87">
        <f>SUM(D18:D19)</f>
        <v>41771.358720000004</v>
      </c>
      <c r="E20" s="1"/>
      <c r="F20" s="1"/>
      <c r="G20" s="1"/>
      <c r="H20" s="1"/>
      <c r="I20" s="1"/>
      <c r="J20" s="1"/>
      <c r="K20" s="1"/>
      <c r="L20" s="1"/>
      <c r="M20" s="1"/>
    </row>
    <row r="21" spans="1:16" s="23" customFormat="1" ht="16.2" thickBot="1" x14ac:dyDescent="0.3">
      <c r="A21" s="99"/>
      <c r="C21" s="36"/>
      <c r="D21" s="37"/>
      <c r="E21" s="1"/>
      <c r="F21" s="1"/>
      <c r="G21" s="1"/>
      <c r="H21" s="1"/>
      <c r="I21" s="1"/>
      <c r="J21" s="1"/>
      <c r="K21" s="1"/>
      <c r="L21" s="1"/>
      <c r="M21" s="1"/>
      <c r="N21" s="1"/>
      <c r="O21" s="1"/>
      <c r="P21" s="1"/>
    </row>
    <row r="22" spans="1:16" ht="15.6" x14ac:dyDescent="0.25">
      <c r="A22" s="99"/>
      <c r="B22" s="120" t="s">
        <v>15</v>
      </c>
      <c r="C22" s="121"/>
      <c r="D22" s="122"/>
    </row>
    <row r="23" spans="1:16" ht="15.6" x14ac:dyDescent="0.25">
      <c r="A23" s="116"/>
      <c r="B23" s="123"/>
      <c r="C23" s="1"/>
      <c r="D23" s="1"/>
    </row>
    <row r="24" spans="1:16" ht="13.8" x14ac:dyDescent="0.25">
      <c r="A24" s="34"/>
      <c r="B24" s="135" t="s">
        <v>17</v>
      </c>
      <c r="C24" s="1"/>
      <c r="D24" s="1"/>
      <c r="O24" s="88"/>
      <c r="P24" s="88"/>
    </row>
    <row r="25" spans="1:16" s="88" customFormat="1" ht="13.8" x14ac:dyDescent="0.25">
      <c r="A25" s="34"/>
      <c r="B25" s="191" t="s">
        <v>19</v>
      </c>
      <c r="C25" s="1"/>
      <c r="D25" s="1"/>
      <c r="E25" s="1"/>
      <c r="F25" s="1"/>
      <c r="G25" s="1"/>
      <c r="H25" s="1"/>
      <c r="I25" s="1"/>
      <c r="J25" s="1"/>
      <c r="K25" s="1"/>
      <c r="L25" s="1"/>
      <c r="M25" s="1"/>
      <c r="N25" s="1"/>
      <c r="O25" s="1"/>
      <c r="P25" s="1"/>
    </row>
    <row r="26" spans="1:16" ht="13.8" x14ac:dyDescent="0.25">
      <c r="A26" s="286"/>
      <c r="B26" s="290" t="s">
        <v>60</v>
      </c>
      <c r="C26" s="1"/>
      <c r="D26" s="1"/>
    </row>
    <row r="27" spans="1:16" ht="15" x14ac:dyDescent="0.25">
      <c r="A27" s="288"/>
      <c r="B27" s="130" t="s">
        <v>23</v>
      </c>
      <c r="C27" s="13"/>
      <c r="D27" s="1"/>
    </row>
    <row r="28" spans="1:16" ht="27.6" x14ac:dyDescent="0.25">
      <c r="A28" s="288"/>
      <c r="B28" s="187" t="s">
        <v>62</v>
      </c>
      <c r="C28" s="13"/>
      <c r="D28" s="1"/>
    </row>
    <row r="29" spans="1:16" ht="15" x14ac:dyDescent="0.25">
      <c r="A29" s="288"/>
      <c r="B29" s="130" t="s">
        <v>26</v>
      </c>
      <c r="C29" s="13"/>
      <c r="D29" s="1"/>
    </row>
    <row r="30" spans="1:16" ht="19.2" customHeight="1" x14ac:dyDescent="0.25">
      <c r="A30" s="288"/>
      <c r="B30" s="512" t="s">
        <v>505</v>
      </c>
      <c r="C30" s="13"/>
      <c r="D30" s="1"/>
    </row>
    <row r="31" spans="1:16" ht="15" x14ac:dyDescent="0.25">
      <c r="A31" s="288"/>
      <c r="B31" s="512" t="s">
        <v>28</v>
      </c>
      <c r="C31" s="1"/>
      <c r="D31" s="1"/>
    </row>
    <row r="32" spans="1:16" ht="15" x14ac:dyDescent="0.25">
      <c r="A32" s="288"/>
      <c r="B32" s="130" t="s">
        <v>29</v>
      </c>
      <c r="C32" s="1"/>
      <c r="D32" s="1"/>
    </row>
    <row r="33" spans="1:4" ht="15" x14ac:dyDescent="0.25">
      <c r="A33" s="288"/>
      <c r="B33" s="190" t="s">
        <v>64</v>
      </c>
      <c r="C33" s="133"/>
      <c r="D33" s="134"/>
    </row>
    <row r="34" spans="1:4" ht="15" x14ac:dyDescent="0.25">
      <c r="A34" s="288"/>
      <c r="B34" s="191" t="s">
        <v>31</v>
      </c>
      <c r="C34" s="54"/>
      <c r="D34" s="58"/>
    </row>
    <row r="35" spans="1:4" ht="13.8" x14ac:dyDescent="0.25">
      <c r="A35" s="88"/>
      <c r="B35" s="191" t="s">
        <v>32</v>
      </c>
      <c r="C35" s="54"/>
    </row>
    <row r="36" spans="1:4" ht="50.4" x14ac:dyDescent="0.25">
      <c r="A36" s="288"/>
      <c r="B36" s="193" t="s">
        <v>65</v>
      </c>
      <c r="C36" s="141"/>
      <c r="D36" s="1"/>
    </row>
    <row r="37" spans="1:4" ht="15" x14ac:dyDescent="0.25">
      <c r="A37" s="288"/>
      <c r="B37" s="64"/>
      <c r="C37" s="64"/>
      <c r="D37" s="1"/>
    </row>
    <row r="38" spans="1:4" ht="13.8" x14ac:dyDescent="0.25">
      <c r="A38" s="293" t="s">
        <v>0</v>
      </c>
      <c r="B38" s="64"/>
      <c r="C38" s="64"/>
      <c r="D38" s="1"/>
    </row>
    <row r="39" spans="1:4" x14ac:dyDescent="0.25">
      <c r="A39" s="142"/>
      <c r="B39" s="143"/>
      <c r="C39" s="64"/>
      <c r="D39" s="1"/>
    </row>
    <row r="40" spans="1:4" ht="15" x14ac:dyDescent="0.35">
      <c r="A40" s="142"/>
      <c r="B40" s="145"/>
      <c r="C40" s="64"/>
      <c r="D40" s="64"/>
    </row>
    <row r="41" spans="1:4" x14ac:dyDescent="0.25">
      <c r="A41" s="142"/>
    </row>
    <row r="42" spans="1:4" x14ac:dyDescent="0.25">
      <c r="A42" s="144"/>
    </row>
    <row r="43" spans="1:4" x14ac:dyDescent="0.25">
      <c r="A43" s="146" t="s">
        <v>0</v>
      </c>
    </row>
    <row r="44" spans="1:4" x14ac:dyDescent="0.25">
      <c r="A44" s="1" t="s">
        <v>0</v>
      </c>
    </row>
    <row r="51" ht="12.75" customHeight="1" x14ac:dyDescent="0.25"/>
    <row r="59" ht="15.75" customHeight="1" x14ac:dyDescent="0.25"/>
    <row r="60" ht="15" customHeight="1" x14ac:dyDescent="0.25"/>
  </sheetData>
  <mergeCells count="2">
    <mergeCell ref="A4:D4"/>
    <mergeCell ref="A14:D14"/>
  </mergeCells>
  <printOptions horizontalCentered="1"/>
  <pageMargins left="0.25" right="0.25" top="0.75" bottom="0.75" header="0.3" footer="0.3"/>
  <pageSetup paperSize="9" scale="88" fitToWidth="0" orientation="portrait" r:id="rId1"/>
  <headerFooter alignWithMargins="0">
    <oddFooter>Página &amp;P de &amp;N</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6BAC7-3C93-4A8D-A907-A1B9AC68ECAA}">
  <sheetPr>
    <tabColor theme="4" tint="-0.249977111117893"/>
    <pageSetUpPr fitToPage="1"/>
  </sheetPr>
  <dimension ref="A1:G38"/>
  <sheetViews>
    <sheetView topLeftCell="A4" zoomScaleNormal="100" workbookViewId="0">
      <selection activeCell="A15" sqref="A15:D17"/>
    </sheetView>
  </sheetViews>
  <sheetFormatPr baseColWidth="10" defaultColWidth="11.44140625" defaultRowHeight="13.2" x14ac:dyDescent="0.25"/>
  <cols>
    <col min="1" max="1" width="6" style="222" customWidth="1"/>
    <col min="2" max="2" width="75" style="222" customWidth="1"/>
    <col min="3" max="3" width="13.44140625" style="53" customWidth="1"/>
    <col min="4" max="4" width="13" style="53" customWidth="1"/>
    <col min="5" max="16384" width="11.44140625" style="222"/>
  </cols>
  <sheetData>
    <row r="1" spans="1:7" ht="81" customHeight="1" x14ac:dyDescent="0.25">
      <c r="A1" s="222" t="s">
        <v>0</v>
      </c>
      <c r="C1" s="223"/>
    </row>
    <row r="2" spans="1:7" ht="9" customHeight="1" x14ac:dyDescent="0.25">
      <c r="C2" s="223"/>
    </row>
    <row r="3" spans="1:7" ht="9" customHeight="1" x14ac:dyDescent="0.25">
      <c r="C3" s="223"/>
    </row>
    <row r="4" spans="1:7" s="224" customFormat="1" ht="16.8" x14ac:dyDescent="0.4">
      <c r="A4" s="765"/>
      <c r="B4" s="765"/>
      <c r="C4" s="765"/>
      <c r="D4" s="765"/>
    </row>
    <row r="5" spans="1:7" s="224" customFormat="1" ht="16.8" x14ac:dyDescent="0.4">
      <c r="A5" s="225"/>
      <c r="C5" s="226"/>
      <c r="D5" s="226"/>
    </row>
    <row r="6" spans="1:7" s="224" customFormat="1" ht="16.8" x14ac:dyDescent="0.4">
      <c r="A6" s="225"/>
      <c r="C6" s="226"/>
      <c r="D6" s="226"/>
    </row>
    <row r="7" spans="1:7" s="224" customFormat="1" ht="19.2" x14ac:dyDescent="0.45">
      <c r="A7" s="67" t="s">
        <v>668</v>
      </c>
      <c r="B7" s="68"/>
      <c r="C7" s="69"/>
      <c r="D7" s="69"/>
      <c r="E7" s="4"/>
      <c r="F7" s="4"/>
      <c r="G7" s="4"/>
    </row>
    <row r="8" spans="1:7" s="224" customFormat="1" ht="19.2" x14ac:dyDescent="0.45">
      <c r="A8" s="67" t="s">
        <v>669</v>
      </c>
      <c r="B8" s="68"/>
      <c r="C8" s="69"/>
      <c r="D8" s="69"/>
      <c r="E8" s="4"/>
      <c r="F8" s="4"/>
      <c r="G8" s="4"/>
    </row>
    <row r="9" spans="1:7" s="224" customFormat="1" ht="19.2" x14ac:dyDescent="0.45">
      <c r="A9" s="67" t="s">
        <v>670</v>
      </c>
      <c r="B9" s="68"/>
      <c r="C9" s="69"/>
      <c r="D9" s="69"/>
      <c r="E9" s="4"/>
      <c r="F9" s="4"/>
      <c r="G9" s="4"/>
    </row>
    <row r="10" spans="1:7" s="224" customFormat="1" ht="19.2" x14ac:dyDescent="0.45">
      <c r="A10" s="67" t="s">
        <v>671</v>
      </c>
      <c r="B10" s="68"/>
      <c r="C10" s="70"/>
      <c r="D10" s="69"/>
      <c r="E10" s="4"/>
      <c r="F10" s="4"/>
      <c r="G10" s="4"/>
    </row>
    <row r="11" spans="1:7" s="224" customFormat="1" ht="19.2" x14ac:dyDescent="0.45">
      <c r="A11" s="67" t="s">
        <v>672</v>
      </c>
      <c r="B11" s="68"/>
      <c r="C11" s="70"/>
      <c r="D11" s="69"/>
      <c r="E11" s="4"/>
      <c r="F11" s="4"/>
      <c r="G11" s="4"/>
    </row>
    <row r="12" spans="1:7" s="224" customFormat="1" ht="15" customHeight="1" x14ac:dyDescent="0.45">
      <c r="A12" s="67" t="s">
        <v>38</v>
      </c>
      <c r="B12" s="72"/>
      <c r="C12" s="73"/>
      <c r="D12" s="74"/>
      <c r="G12" s="4"/>
    </row>
    <row r="13" spans="1:7" s="224" customFormat="1" ht="19.2" x14ac:dyDescent="0.45">
      <c r="A13" s="592" t="s">
        <v>673</v>
      </c>
      <c r="B13" s="593"/>
      <c r="C13" s="73"/>
      <c r="D13" s="594"/>
      <c r="E13" s="235"/>
      <c r="F13" s="235"/>
    </row>
    <row r="14" spans="1:7" s="224" customFormat="1" ht="16.8" x14ac:dyDescent="0.4">
      <c r="A14" s="595"/>
      <c r="B14" s="596"/>
      <c r="C14" s="597"/>
      <c r="D14" s="597"/>
      <c r="E14" s="233"/>
      <c r="F14" s="222"/>
    </row>
    <row r="15" spans="1:7" s="235" customFormat="1" ht="30" x14ac:dyDescent="0.25">
      <c r="A15" s="95">
        <v>2</v>
      </c>
      <c r="B15" s="96" t="s">
        <v>667</v>
      </c>
      <c r="C15" s="583">
        <v>2100</v>
      </c>
      <c r="D15" s="98">
        <f t="shared" ref="D15:D17" si="0">A15*C15</f>
        <v>4200</v>
      </c>
      <c r="E15" s="234"/>
      <c r="F15" s="242"/>
    </row>
    <row r="16" spans="1:7" ht="30" x14ac:dyDescent="0.25">
      <c r="A16" s="18">
        <v>1</v>
      </c>
      <c r="B16" s="591" t="s">
        <v>431</v>
      </c>
      <c r="C16" s="552">
        <v>1300</v>
      </c>
      <c r="D16" s="21">
        <f t="shared" si="0"/>
        <v>1300</v>
      </c>
      <c r="E16" s="233"/>
      <c r="F16" s="242"/>
    </row>
    <row r="17" spans="1:6" s="242" customFormat="1" ht="15.6" x14ac:dyDescent="0.25">
      <c r="A17" s="18">
        <v>1</v>
      </c>
      <c r="B17" s="591" t="s">
        <v>684</v>
      </c>
      <c r="C17" s="552">
        <f>6200*1.4+2000</f>
        <v>10680</v>
      </c>
      <c r="D17" s="21">
        <f t="shared" si="0"/>
        <v>10680</v>
      </c>
      <c r="E17" s="233"/>
    </row>
    <row r="18" spans="1:6" ht="15.6" x14ac:dyDescent="0.25">
      <c r="A18" s="370"/>
      <c r="B18" s="475"/>
      <c r="C18" s="476" t="s">
        <v>170</v>
      </c>
      <c r="D18" s="21">
        <f>SUM(D15:D17)</f>
        <v>16180</v>
      </c>
      <c r="F18" s="242"/>
    </row>
    <row r="19" spans="1:6" ht="15.6" x14ac:dyDescent="0.3">
      <c r="A19" s="373"/>
      <c r="B19" s="475"/>
      <c r="C19" s="477" t="s">
        <v>319</v>
      </c>
      <c r="D19" s="21">
        <f>D18*0.16</f>
        <v>2588.8000000000002</v>
      </c>
      <c r="F19" s="242"/>
    </row>
    <row r="20" spans="1:6" ht="16.2" thickBot="1" x14ac:dyDescent="0.35">
      <c r="A20" s="373"/>
      <c r="B20" s="475"/>
      <c r="C20" s="477" t="s">
        <v>14</v>
      </c>
      <c r="D20" s="21">
        <f>D18+D19</f>
        <v>18768.8</v>
      </c>
    </row>
    <row r="21" spans="1:6" ht="16.2" thickBot="1" x14ac:dyDescent="0.3">
      <c r="A21" s="373"/>
      <c r="B21" s="785" t="s">
        <v>685</v>
      </c>
      <c r="C21" s="795"/>
      <c r="D21" s="796"/>
    </row>
    <row r="22" spans="1:6" ht="15" x14ac:dyDescent="0.25">
      <c r="A22" s="480"/>
      <c r="B22" s="47" t="s">
        <v>17</v>
      </c>
      <c r="C22" s="222"/>
      <c r="D22" s="222"/>
    </row>
    <row r="23" spans="1:6" ht="15" x14ac:dyDescent="0.25">
      <c r="A23" s="480"/>
      <c r="B23" s="481" t="s">
        <v>432</v>
      </c>
      <c r="C23" s="222"/>
      <c r="D23" s="222"/>
    </row>
    <row r="24" spans="1:6" ht="15" x14ac:dyDescent="0.25">
      <c r="A24" s="480"/>
      <c r="B24" s="50" t="s">
        <v>433</v>
      </c>
      <c r="C24" s="222"/>
      <c r="D24" s="222"/>
    </row>
    <row r="25" spans="1:6" ht="15" x14ac:dyDescent="0.25">
      <c r="A25" s="480"/>
      <c r="B25" s="47" t="s">
        <v>23</v>
      </c>
      <c r="C25" s="483"/>
      <c r="D25" s="483"/>
    </row>
    <row r="26" spans="1:6" ht="27.6" x14ac:dyDescent="0.25">
      <c r="A26" s="480"/>
      <c r="B26" s="55" t="s">
        <v>62</v>
      </c>
      <c r="C26" s="57"/>
      <c r="D26" s="262"/>
    </row>
    <row r="27" spans="1:6" ht="15" x14ac:dyDescent="0.25">
      <c r="A27" s="480"/>
      <c r="B27" s="52" t="s">
        <v>26</v>
      </c>
      <c r="C27" s="57"/>
      <c r="D27" s="57"/>
    </row>
    <row r="28" spans="1:6" ht="15" x14ac:dyDescent="0.25">
      <c r="A28" s="480"/>
      <c r="B28" s="59" t="s">
        <v>436</v>
      </c>
      <c r="C28" s="57"/>
      <c r="D28" s="57"/>
    </row>
    <row r="29" spans="1:6" ht="13.8" x14ac:dyDescent="0.25">
      <c r="B29" s="60" t="s">
        <v>28</v>
      </c>
      <c r="D29" s="260"/>
    </row>
    <row r="30" spans="1:6" ht="15" x14ac:dyDescent="0.25">
      <c r="A30" s="480"/>
      <c r="B30" s="52" t="s">
        <v>29</v>
      </c>
      <c r="C30" s="57"/>
      <c r="D30" s="262"/>
    </row>
    <row r="31" spans="1:6" ht="15" x14ac:dyDescent="0.25">
      <c r="A31" s="480"/>
      <c r="B31" s="61" t="s">
        <v>674</v>
      </c>
      <c r="C31" s="57"/>
      <c r="D31" s="262"/>
    </row>
    <row r="32" spans="1:6" ht="13.8" x14ac:dyDescent="0.25">
      <c r="A32" s="484" t="s">
        <v>0</v>
      </c>
      <c r="B32" s="50" t="s">
        <v>438</v>
      </c>
      <c r="C32" s="57"/>
      <c r="D32" s="57"/>
    </row>
    <row r="33" spans="1:4" ht="50.4" x14ac:dyDescent="0.25">
      <c r="A33" s="263"/>
      <c r="B33" s="66" t="s">
        <v>33</v>
      </c>
      <c r="C33" s="265"/>
      <c r="D33" s="265"/>
    </row>
    <row r="34" spans="1:4" ht="16.8" x14ac:dyDescent="0.4">
      <c r="A34" s="266"/>
      <c r="B34" s="264"/>
      <c r="C34" s="267"/>
      <c r="D34" s="222"/>
    </row>
    <row r="35" spans="1:4" x14ac:dyDescent="0.25">
      <c r="A35" s="266"/>
      <c r="B35" s="267"/>
      <c r="C35" s="267"/>
      <c r="D35" s="222"/>
    </row>
    <row r="36" spans="1:4" x14ac:dyDescent="0.25">
      <c r="A36" s="268"/>
      <c r="B36" s="267"/>
      <c r="C36" s="267"/>
      <c r="D36" s="222"/>
    </row>
    <row r="37" spans="1:4" x14ac:dyDescent="0.25">
      <c r="A37" s="270" t="s">
        <v>0</v>
      </c>
      <c r="B37" s="269"/>
      <c r="C37" s="267"/>
      <c r="D37" s="267"/>
    </row>
    <row r="38" spans="1:4" ht="15" x14ac:dyDescent="0.35">
      <c r="A38" s="222" t="s">
        <v>0</v>
      </c>
      <c r="B38" s="271"/>
    </row>
  </sheetData>
  <mergeCells count="2">
    <mergeCell ref="A4:D4"/>
    <mergeCell ref="B21:D21"/>
  </mergeCells>
  <printOptions horizontalCentered="1"/>
  <pageMargins left="0.25" right="0.25" top="0.75" bottom="0.75" header="0.3" footer="0.3"/>
  <pageSetup scale="88" fitToWidth="0" orientation="portrait" r:id="rId1"/>
  <headerFooter alignWithMargins="0">
    <oddFooter>Página &amp;P de &amp;N</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FBDF-C7BE-4AF6-A64E-2A6A11326BBB}">
  <sheetPr>
    <tabColor theme="4" tint="-0.249977111117893"/>
    <pageSetUpPr fitToPage="1"/>
  </sheetPr>
  <dimension ref="A1:P59"/>
  <sheetViews>
    <sheetView topLeftCell="A9" zoomScale="95" zoomScaleNormal="85" workbookViewId="0">
      <selection activeCell="B32" sqref="B32"/>
    </sheetView>
  </sheetViews>
  <sheetFormatPr baseColWidth="10" defaultColWidth="11.44140625" defaultRowHeight="13.2" x14ac:dyDescent="0.25"/>
  <cols>
    <col min="1" max="1" width="6" style="1" customWidth="1"/>
    <col min="2" max="2" width="79.6640625" style="1" customWidth="1"/>
    <col min="3" max="3" width="15.33203125" style="3" bestFit="1"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603</v>
      </c>
      <c r="B8" s="68"/>
      <c r="C8" s="69"/>
      <c r="D8" s="69"/>
    </row>
    <row r="9" spans="1:16" s="4" customFormat="1" ht="19.2" x14ac:dyDescent="0.45">
      <c r="A9" s="67" t="s">
        <v>604</v>
      </c>
      <c r="B9" s="68"/>
      <c r="C9" s="69"/>
      <c r="D9" s="69"/>
    </row>
    <row r="10" spans="1:16" s="4" customFormat="1" ht="19.2" x14ac:dyDescent="0.45">
      <c r="A10" s="67" t="s">
        <v>605</v>
      </c>
      <c r="B10" s="68"/>
      <c r="C10" s="69"/>
      <c r="D10" s="69"/>
    </row>
    <row r="11" spans="1:16" s="4" customFormat="1" ht="19.2" x14ac:dyDescent="0.45">
      <c r="A11" s="67" t="s">
        <v>606</v>
      </c>
      <c r="B11" s="68"/>
      <c r="C11" s="70"/>
      <c r="D11" s="69"/>
    </row>
    <row r="12" spans="1:16" s="4" customFormat="1" ht="15" customHeight="1" x14ac:dyDescent="0.45">
      <c r="A12" s="71" t="s">
        <v>652</v>
      </c>
      <c r="B12" s="72"/>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1.2" x14ac:dyDescent="0.25">
      <c r="A16" s="95">
        <v>170</v>
      </c>
      <c r="B16" s="96" t="s">
        <v>680</v>
      </c>
      <c r="C16" s="97">
        <f>(730)*(1.33)</f>
        <v>970.90000000000009</v>
      </c>
      <c r="D16" s="98">
        <f>A16*C16</f>
        <v>165053.00000000003</v>
      </c>
      <c r="N16" s="23"/>
      <c r="O16" s="23"/>
      <c r="P16" s="23"/>
    </row>
    <row r="17" spans="1:13" s="23" customFormat="1" ht="31.2" x14ac:dyDescent="0.25">
      <c r="A17" s="95">
        <v>170</v>
      </c>
      <c r="B17" s="96" t="s">
        <v>679</v>
      </c>
      <c r="C17" s="97">
        <f>(1061.4)*(1.3)</f>
        <v>1379.8200000000002</v>
      </c>
      <c r="D17" s="98">
        <f>A17*C17</f>
        <v>234569.40000000002</v>
      </c>
      <c r="E17" s="13"/>
      <c r="F17" s="1"/>
      <c r="G17" s="1"/>
      <c r="H17" s="1"/>
      <c r="I17" s="1"/>
      <c r="J17" s="1"/>
      <c r="K17" s="1"/>
      <c r="L17" s="1"/>
      <c r="M17" s="1"/>
    </row>
    <row r="18" spans="1:13" s="23" customFormat="1" ht="31.2" x14ac:dyDescent="0.25">
      <c r="A18" s="95">
        <v>170</v>
      </c>
      <c r="B18" s="96" t="s">
        <v>678</v>
      </c>
      <c r="C18" s="97">
        <f>(1140)*(1.33)</f>
        <v>1516.2</v>
      </c>
      <c r="D18" s="98">
        <f>A18*C18</f>
        <v>257754</v>
      </c>
      <c r="E18" s="13"/>
      <c r="F18" s="1"/>
      <c r="G18" s="1"/>
      <c r="H18" s="1"/>
      <c r="I18" s="1"/>
      <c r="J18" s="1"/>
      <c r="K18" s="1"/>
      <c r="L18" s="1"/>
      <c r="M18" s="1"/>
    </row>
    <row r="19" spans="1:13" s="23" customFormat="1" ht="15.6" x14ac:dyDescent="0.3">
      <c r="A19" s="99"/>
      <c r="B19" s="85" t="s">
        <v>681</v>
      </c>
      <c r="C19" s="86" t="s">
        <v>49</v>
      </c>
      <c r="D19" s="87">
        <f>SUM(D16:D18)</f>
        <v>657376.4</v>
      </c>
      <c r="E19" s="1"/>
      <c r="F19" s="1"/>
      <c r="G19" s="1"/>
      <c r="H19" s="1"/>
      <c r="I19" s="1"/>
    </row>
    <row r="20" spans="1:13" s="23" customFormat="1" ht="15.6" x14ac:dyDescent="0.3">
      <c r="A20" s="99"/>
      <c r="B20" s="85" t="s">
        <v>682</v>
      </c>
      <c r="C20" s="90" t="s">
        <v>51</v>
      </c>
      <c r="D20" s="87">
        <f>D19*0.16</f>
        <v>105180.224</v>
      </c>
      <c r="E20" s="1"/>
      <c r="F20" s="1"/>
      <c r="G20" s="1"/>
      <c r="H20" s="1"/>
      <c r="I20" s="1"/>
      <c r="J20" s="1"/>
      <c r="K20" s="1"/>
      <c r="L20" s="1"/>
    </row>
    <row r="21" spans="1:13" ht="16.2" thickBot="1" x14ac:dyDescent="0.3">
      <c r="A21" s="99"/>
      <c r="B21" s="556"/>
      <c r="C21" s="90" t="s">
        <v>52</v>
      </c>
      <c r="D21" s="87">
        <f>SUM(D19:D20)</f>
        <v>762556.62400000007</v>
      </c>
    </row>
    <row r="22" spans="1:13" ht="16.2" thickBot="1" x14ac:dyDescent="0.3">
      <c r="A22" s="116"/>
      <c r="B22" s="186" t="s">
        <v>655</v>
      </c>
      <c r="C22" s="36"/>
      <c r="D22" s="37"/>
    </row>
    <row r="23" spans="1:13" ht="13.8" x14ac:dyDescent="0.25">
      <c r="A23" s="34"/>
      <c r="B23" s="120" t="s">
        <v>15</v>
      </c>
      <c r="C23" s="121"/>
      <c r="D23" s="122"/>
      <c r="K23" s="88"/>
      <c r="L23" s="88"/>
    </row>
    <row r="24" spans="1:13" s="88" customFormat="1" ht="15.6" x14ac:dyDescent="0.25">
      <c r="A24" s="34"/>
      <c r="B24" s="123"/>
      <c r="C24" s="1"/>
      <c r="D24" s="1"/>
      <c r="E24" s="1"/>
      <c r="F24" s="1"/>
      <c r="G24" s="1"/>
      <c r="H24" s="1"/>
      <c r="I24" s="1"/>
      <c r="J24" s="1"/>
      <c r="K24" s="1"/>
      <c r="L24" s="1"/>
    </row>
    <row r="25" spans="1:13" ht="13.8" x14ac:dyDescent="0.25">
      <c r="A25" s="286"/>
      <c r="B25" s="135" t="s">
        <v>17</v>
      </c>
      <c r="C25" s="1"/>
      <c r="D25" s="1"/>
    </row>
    <row r="26" spans="1:13" ht="15" x14ac:dyDescent="0.25">
      <c r="A26" s="288"/>
      <c r="B26" s="191" t="s">
        <v>19</v>
      </c>
      <c r="C26" s="1"/>
      <c r="D26" s="1"/>
    </row>
    <row r="27" spans="1:13" ht="15" x14ac:dyDescent="0.25">
      <c r="A27" s="288"/>
      <c r="B27" s="290" t="s">
        <v>60</v>
      </c>
      <c r="C27" s="1"/>
      <c r="D27" s="1"/>
    </row>
    <row r="28" spans="1:13" ht="15" x14ac:dyDescent="0.25">
      <c r="A28" s="288"/>
      <c r="B28" s="130" t="s">
        <v>23</v>
      </c>
      <c r="C28" s="13"/>
      <c r="D28" s="1"/>
    </row>
    <row r="29" spans="1:13" ht="27.6" x14ac:dyDescent="0.25">
      <c r="A29" s="288"/>
      <c r="B29" s="187" t="s">
        <v>62</v>
      </c>
      <c r="C29" s="13"/>
      <c r="D29" s="1"/>
    </row>
    <row r="30" spans="1:13" ht="15" x14ac:dyDescent="0.25">
      <c r="A30" s="288"/>
      <c r="B30" s="130" t="s">
        <v>26</v>
      </c>
      <c r="C30" s="13"/>
      <c r="D30" s="1"/>
    </row>
    <row r="31" spans="1:13" ht="15" x14ac:dyDescent="0.25">
      <c r="A31" s="288"/>
      <c r="B31" s="512" t="s">
        <v>686</v>
      </c>
      <c r="C31" s="13"/>
      <c r="D31" s="1"/>
    </row>
    <row r="32" spans="1:13" ht="15" x14ac:dyDescent="0.25">
      <c r="A32" s="288"/>
      <c r="B32" s="512" t="s">
        <v>28</v>
      </c>
      <c r="C32" s="1"/>
      <c r="D32" s="1"/>
    </row>
    <row r="33" spans="1:4" ht="18" customHeight="1" x14ac:dyDescent="0.25">
      <c r="A33" s="288"/>
      <c r="B33" s="130" t="s">
        <v>29</v>
      </c>
      <c r="C33" s="1"/>
      <c r="D33" s="1"/>
    </row>
    <row r="34" spans="1:4" ht="13.8" x14ac:dyDescent="0.25">
      <c r="A34" s="88"/>
      <c r="B34" s="586" t="s">
        <v>683</v>
      </c>
      <c r="C34" s="133"/>
      <c r="D34" s="134"/>
    </row>
    <row r="35" spans="1:4" ht="15" x14ac:dyDescent="0.25">
      <c r="A35" s="288"/>
      <c r="B35" s="191" t="s">
        <v>31</v>
      </c>
      <c r="C35" s="54"/>
      <c r="D35" s="58"/>
    </row>
    <row r="36" spans="1:4" ht="15" x14ac:dyDescent="0.25">
      <c r="A36" s="288"/>
      <c r="B36" s="191" t="s">
        <v>32</v>
      </c>
      <c r="C36" s="54"/>
    </row>
    <row r="37" spans="1:4" ht="50.4" x14ac:dyDescent="0.25">
      <c r="A37" s="293" t="s">
        <v>0</v>
      </c>
      <c r="B37" s="193" t="s">
        <v>65</v>
      </c>
      <c r="C37" s="141"/>
      <c r="D37" s="1"/>
    </row>
    <row r="38" spans="1:4" x14ac:dyDescent="0.25">
      <c r="A38" s="142"/>
      <c r="B38" s="64"/>
      <c r="C38" s="64"/>
      <c r="D38" s="1"/>
    </row>
    <row r="39" spans="1:4" x14ac:dyDescent="0.25">
      <c r="A39" s="142"/>
      <c r="B39" s="64"/>
      <c r="C39" s="64"/>
      <c r="D39" s="1"/>
    </row>
    <row r="40" spans="1:4" x14ac:dyDescent="0.25">
      <c r="A40" s="142"/>
      <c r="B40" s="143"/>
      <c r="C40" s="64"/>
      <c r="D40" s="1"/>
    </row>
    <row r="41" spans="1:4" ht="15" x14ac:dyDescent="0.35">
      <c r="A41" s="144"/>
      <c r="B41" s="145"/>
      <c r="C41" s="64"/>
      <c r="D41" s="64"/>
    </row>
    <row r="42" spans="1:4" x14ac:dyDescent="0.25">
      <c r="A42" s="146" t="s">
        <v>0</v>
      </c>
    </row>
    <row r="43" spans="1:4" x14ac:dyDescent="0.25">
      <c r="A43"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4" fitToWidth="0" orientation="portrait" r:id="rId1"/>
  <headerFooter alignWithMargins="0">
    <oddFooter>Página &amp;P de &amp;N</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42F3-E083-4B28-BB21-ACDB88692FF5}">
  <sheetPr>
    <tabColor theme="4" tint="-0.249977111117893"/>
    <pageSetUpPr fitToPage="1"/>
  </sheetPr>
  <dimension ref="A1:G36"/>
  <sheetViews>
    <sheetView topLeftCell="A11" zoomScaleNormal="100" workbookViewId="0">
      <selection activeCell="F28" sqref="F28"/>
    </sheetView>
  </sheetViews>
  <sheetFormatPr baseColWidth="10" defaultColWidth="11.44140625" defaultRowHeight="13.2" x14ac:dyDescent="0.25"/>
  <cols>
    <col min="1" max="1" width="6" style="222" customWidth="1"/>
    <col min="2" max="2" width="74.5546875" style="222" customWidth="1"/>
    <col min="3" max="3" width="12.6640625" style="53" bestFit="1" customWidth="1"/>
    <col min="4" max="4" width="13" style="53" customWidth="1"/>
    <col min="5" max="16384" width="11.44140625" style="222"/>
  </cols>
  <sheetData>
    <row r="1" spans="1:7" ht="81" customHeight="1" x14ac:dyDescent="0.25">
      <c r="A1" s="222" t="s">
        <v>0</v>
      </c>
      <c r="C1" s="223"/>
    </row>
    <row r="2" spans="1:7" ht="9" customHeight="1" x14ac:dyDescent="0.25">
      <c r="C2" s="223"/>
    </row>
    <row r="3" spans="1:7" ht="9" customHeight="1" x14ac:dyDescent="0.25">
      <c r="C3" s="223"/>
    </row>
    <row r="4" spans="1:7" s="224" customFormat="1" ht="16.8" x14ac:dyDescent="0.4">
      <c r="A4" s="765"/>
      <c r="B4" s="765"/>
      <c r="C4" s="765"/>
      <c r="D4" s="765"/>
    </row>
    <row r="5" spans="1:7" s="224" customFormat="1" ht="16.8" x14ac:dyDescent="0.4">
      <c r="A5" s="225"/>
      <c r="C5" s="226"/>
      <c r="D5" s="226"/>
    </row>
    <row r="6" spans="1:7" s="224" customFormat="1" ht="16.8" x14ac:dyDescent="0.4">
      <c r="A6" s="225"/>
      <c r="C6" s="226"/>
      <c r="D6" s="226"/>
    </row>
    <row r="7" spans="1:7" s="224" customFormat="1" ht="19.2" x14ac:dyDescent="0.45">
      <c r="A7" s="67" t="s">
        <v>687</v>
      </c>
      <c r="B7" s="68"/>
      <c r="C7" s="69"/>
      <c r="D7" s="69"/>
      <c r="E7" s="4"/>
      <c r="F7" s="4"/>
      <c r="G7" s="4"/>
    </row>
    <row r="8" spans="1:7" s="224" customFormat="1" ht="19.2" x14ac:dyDescent="0.45">
      <c r="A8" s="67" t="s">
        <v>665</v>
      </c>
      <c r="B8" s="68"/>
      <c r="C8" s="69"/>
      <c r="D8" s="69"/>
      <c r="E8" s="4"/>
      <c r="F8" s="4"/>
      <c r="G8" s="4"/>
    </row>
    <row r="9" spans="1:7" s="224" customFormat="1" ht="19.2" x14ac:dyDescent="0.45">
      <c r="A9" s="67" t="s">
        <v>688</v>
      </c>
      <c r="B9" s="68"/>
      <c r="C9" s="69"/>
      <c r="D9" s="69"/>
      <c r="E9" s="4"/>
      <c r="F9" s="4"/>
      <c r="G9" s="4"/>
    </row>
    <row r="10" spans="1:7" s="224" customFormat="1" ht="19.2" x14ac:dyDescent="0.45">
      <c r="A10" s="67" t="s">
        <v>671</v>
      </c>
      <c r="B10" s="68"/>
      <c r="C10" s="70"/>
      <c r="D10" s="69"/>
      <c r="E10" s="4"/>
      <c r="F10" s="4"/>
      <c r="G10" s="4"/>
    </row>
    <row r="11" spans="1:7" s="224" customFormat="1" ht="19.2" x14ac:dyDescent="0.45">
      <c r="A11" s="67" t="s">
        <v>689</v>
      </c>
      <c r="B11" s="68"/>
      <c r="C11" s="70"/>
      <c r="D11" s="69"/>
      <c r="E11" s="4"/>
      <c r="F11" s="4"/>
      <c r="G11" s="4"/>
    </row>
    <row r="12" spans="1:7" s="224" customFormat="1" ht="15" customHeight="1" x14ac:dyDescent="0.45">
      <c r="A12" s="67" t="s">
        <v>38</v>
      </c>
      <c r="B12" s="72"/>
      <c r="C12" s="73"/>
      <c r="D12" s="74"/>
      <c r="G12" s="4"/>
    </row>
    <row r="13" spans="1:7" s="224" customFormat="1" ht="19.2" x14ac:dyDescent="0.45">
      <c r="A13" s="592" t="s">
        <v>673</v>
      </c>
      <c r="B13" s="593"/>
      <c r="C13" s="73"/>
      <c r="D13" s="594"/>
      <c r="E13" s="235"/>
      <c r="F13" s="235"/>
    </row>
    <row r="14" spans="1:7" s="224" customFormat="1" ht="16.8" x14ac:dyDescent="0.4">
      <c r="A14" s="595"/>
      <c r="B14" s="596"/>
      <c r="C14" s="597"/>
      <c r="D14" s="597"/>
      <c r="E14" s="233"/>
      <c r="F14" s="222"/>
    </row>
    <row r="15" spans="1:7" s="235" customFormat="1" ht="30" x14ac:dyDescent="0.25">
      <c r="A15" s="80">
        <v>1</v>
      </c>
      <c r="B15" s="167" t="s">
        <v>690</v>
      </c>
      <c r="C15" s="168">
        <f>(120*80)+4000</f>
        <v>13600</v>
      </c>
      <c r="D15" s="79">
        <f t="shared" ref="D15" si="0">A15*C15</f>
        <v>13600</v>
      </c>
      <c r="E15" s="234"/>
      <c r="F15" s="242"/>
    </row>
    <row r="16" spans="1:7" ht="15.6" x14ac:dyDescent="0.25">
      <c r="A16" s="370"/>
      <c r="B16" s="475"/>
      <c r="C16" s="476" t="s">
        <v>170</v>
      </c>
      <c r="D16" s="21">
        <f>SUM(D15:D15)</f>
        <v>13600</v>
      </c>
      <c r="E16" s="233"/>
      <c r="F16" s="242"/>
    </row>
    <row r="17" spans="1:6" s="242" customFormat="1" ht="15.6" x14ac:dyDescent="0.3">
      <c r="A17" s="373"/>
      <c r="B17" s="475"/>
      <c r="C17" s="477" t="s">
        <v>319</v>
      </c>
      <c r="D17" s="21">
        <f>D16*0.16</f>
        <v>2176</v>
      </c>
      <c r="E17" s="222"/>
    </row>
    <row r="18" spans="1:6" ht="16.2" thickBot="1" x14ac:dyDescent="0.35">
      <c r="A18" s="373"/>
      <c r="B18" s="475"/>
      <c r="C18" s="478" t="s">
        <v>14</v>
      </c>
      <c r="D18" s="479">
        <f>D16+D17</f>
        <v>15776</v>
      </c>
      <c r="F18" s="242"/>
    </row>
    <row r="19" spans="1:6" ht="16.2" thickBot="1" x14ac:dyDescent="0.3">
      <c r="A19" s="373"/>
      <c r="B19" s="785" t="s">
        <v>691</v>
      </c>
      <c r="C19" s="786"/>
      <c r="D19" s="787"/>
      <c r="F19" s="242"/>
    </row>
    <row r="20" spans="1:6" ht="15" x14ac:dyDescent="0.25">
      <c r="A20" s="480"/>
      <c r="B20" s="47" t="s">
        <v>17</v>
      </c>
      <c r="C20" s="222"/>
      <c r="D20" s="222"/>
    </row>
    <row r="21" spans="1:6" ht="15" x14ac:dyDescent="0.25">
      <c r="A21" s="480"/>
      <c r="B21" s="481" t="s">
        <v>432</v>
      </c>
      <c r="C21" s="222"/>
      <c r="D21" s="222"/>
    </row>
    <row r="22" spans="1:6" ht="15" x14ac:dyDescent="0.25">
      <c r="A22" s="480"/>
      <c r="B22" s="50" t="s">
        <v>433</v>
      </c>
      <c r="C22" s="222"/>
      <c r="D22" s="222"/>
    </row>
    <row r="23" spans="1:6" ht="15" x14ac:dyDescent="0.25">
      <c r="A23" s="480"/>
      <c r="B23" s="47" t="s">
        <v>23</v>
      </c>
      <c r="C23" s="483"/>
      <c r="D23" s="483"/>
    </row>
    <row r="24" spans="1:6" ht="27.6" x14ac:dyDescent="0.25">
      <c r="A24" s="480"/>
      <c r="B24" s="55" t="s">
        <v>62</v>
      </c>
      <c r="C24" s="57"/>
      <c r="D24" s="262"/>
    </row>
    <row r="25" spans="1:6" ht="15" x14ac:dyDescent="0.25">
      <c r="A25" s="480"/>
      <c r="B25" s="52" t="s">
        <v>26</v>
      </c>
      <c r="C25" s="57"/>
      <c r="D25" s="57"/>
    </row>
    <row r="26" spans="1:6" ht="15" x14ac:dyDescent="0.25">
      <c r="A26" s="480"/>
      <c r="B26" s="59" t="s">
        <v>436</v>
      </c>
      <c r="C26" s="57"/>
      <c r="D26" s="57"/>
    </row>
    <row r="27" spans="1:6" ht="13.8" x14ac:dyDescent="0.25">
      <c r="B27" s="60" t="s">
        <v>28</v>
      </c>
      <c r="D27" s="260"/>
    </row>
    <row r="28" spans="1:6" ht="15" x14ac:dyDescent="0.25">
      <c r="A28" s="480"/>
      <c r="B28" s="52" t="s">
        <v>29</v>
      </c>
      <c r="C28" s="57"/>
      <c r="D28" s="262"/>
    </row>
    <row r="29" spans="1:6" ht="15" x14ac:dyDescent="0.25">
      <c r="A29" s="480"/>
      <c r="B29" s="61" t="s">
        <v>674</v>
      </c>
      <c r="C29" s="57"/>
      <c r="D29" s="262"/>
    </row>
    <row r="30" spans="1:6" ht="13.8" x14ac:dyDescent="0.25">
      <c r="A30" s="484" t="s">
        <v>0</v>
      </c>
      <c r="B30" s="50" t="s">
        <v>438</v>
      </c>
      <c r="C30" s="57"/>
      <c r="D30" s="57"/>
    </row>
    <row r="31" spans="1:6" ht="50.4" x14ac:dyDescent="0.25">
      <c r="A31" s="263"/>
      <c r="B31" s="66" t="s">
        <v>33</v>
      </c>
      <c r="C31" s="265"/>
      <c r="D31" s="265"/>
    </row>
    <row r="32" spans="1:6" ht="16.8" x14ac:dyDescent="0.4">
      <c r="A32" s="266"/>
      <c r="B32" s="264"/>
      <c r="C32" s="267"/>
      <c r="D32" s="222"/>
    </row>
    <row r="33" spans="1:4" x14ac:dyDescent="0.25">
      <c r="A33" s="266"/>
      <c r="B33" s="267"/>
      <c r="C33" s="267"/>
      <c r="D33" s="222"/>
    </row>
    <row r="34" spans="1:4" x14ac:dyDescent="0.25">
      <c r="A34" s="268"/>
      <c r="B34" s="267"/>
      <c r="C34" s="267"/>
      <c r="D34" s="222"/>
    </row>
    <row r="35" spans="1:4" x14ac:dyDescent="0.25">
      <c r="A35" s="270" t="s">
        <v>0</v>
      </c>
      <c r="B35" s="269"/>
      <c r="C35" s="267"/>
      <c r="D35" s="267"/>
    </row>
    <row r="36" spans="1:4" ht="15" x14ac:dyDescent="0.35">
      <c r="A36" s="222" t="s">
        <v>0</v>
      </c>
      <c r="B36" s="271"/>
    </row>
  </sheetData>
  <mergeCells count="2">
    <mergeCell ref="A4:D4"/>
    <mergeCell ref="B19:D19"/>
  </mergeCells>
  <printOptions horizontalCentered="1"/>
  <pageMargins left="0.25" right="0.25" top="0.75" bottom="0.75" header="0.3" footer="0.3"/>
  <pageSetup scale="94" fitToWidth="0" orientation="portrait" r:id="rId1"/>
  <headerFooter alignWithMargins="0">
    <oddFooter>Página &amp;P de &amp;N</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A82A-A31D-4C91-9F8F-AEEE1FC3D48A}">
  <sheetPr>
    <tabColor theme="4" tint="-0.249977111117893"/>
  </sheetPr>
  <dimension ref="A1:P59"/>
  <sheetViews>
    <sheetView topLeftCell="A6" zoomScale="85" zoomScaleNormal="85" workbookViewId="0">
      <selection activeCell="B21" sqref="B21"/>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336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25">
      <c r="A16" s="95">
        <v>200</v>
      </c>
      <c r="B16" s="96" t="s">
        <v>344</v>
      </c>
      <c r="C16" s="97">
        <f>(1190)*(1.37)</f>
        <v>1630.3000000000002</v>
      </c>
      <c r="D16" s="98">
        <f>A16*C16</f>
        <v>326060.00000000006</v>
      </c>
      <c r="N16" s="23"/>
      <c r="O16" s="23"/>
      <c r="P16" s="23"/>
    </row>
    <row r="17" spans="1:16" s="23" customFormat="1" ht="15.6" x14ac:dyDescent="0.3">
      <c r="A17" s="99"/>
      <c r="B17" s="85"/>
      <c r="C17" s="86" t="s">
        <v>49</v>
      </c>
      <c r="D17" s="87">
        <f>SUM(D16:K16)</f>
        <v>326060.00000000006</v>
      </c>
      <c r="E17" s="1"/>
      <c r="F17" s="1"/>
      <c r="G17" s="1"/>
      <c r="H17" s="1"/>
      <c r="I17" s="1"/>
      <c r="J17" s="1"/>
      <c r="K17" s="1"/>
      <c r="L17" s="1"/>
      <c r="M17" s="1"/>
    </row>
    <row r="18" spans="1:16" s="23" customFormat="1" ht="15.6" x14ac:dyDescent="0.3">
      <c r="A18" s="99"/>
      <c r="B18" s="85"/>
      <c r="C18" s="90" t="s">
        <v>51</v>
      </c>
      <c r="D18" s="87">
        <f>D17*0.16</f>
        <v>52169.600000000013</v>
      </c>
      <c r="E18" s="1"/>
      <c r="F18" s="1"/>
      <c r="G18" s="1"/>
      <c r="H18" s="1"/>
      <c r="I18" s="1"/>
      <c r="J18" s="1"/>
      <c r="K18" s="1"/>
      <c r="L18" s="1"/>
      <c r="M18"/>
    </row>
    <row r="19" spans="1:16" s="23" customFormat="1" ht="16.2" thickBot="1" x14ac:dyDescent="0.3">
      <c r="A19" s="99"/>
      <c r="B19" s="100"/>
      <c r="C19" s="90" t="s">
        <v>52</v>
      </c>
      <c r="D19" s="87">
        <f>SUM(D17:D18)</f>
        <v>378229.60000000009</v>
      </c>
      <c r="E19" s="1"/>
      <c r="F19" s="1"/>
      <c r="G19" s="1"/>
      <c r="H19" s="1"/>
      <c r="I19" s="1"/>
      <c r="J19" s="1"/>
      <c r="K19" s="1"/>
      <c r="L19" s="1"/>
      <c r="M19" s="1"/>
    </row>
    <row r="20" spans="1:16" s="23" customFormat="1" ht="16.2" thickBot="1" x14ac:dyDescent="0.3">
      <c r="A20" s="116"/>
      <c r="B20" s="186"/>
      <c r="C20" s="36"/>
      <c r="D20" s="37"/>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
      <c r="D25" s="1"/>
    </row>
    <row r="26" spans="1:16" ht="15" x14ac:dyDescent="0.25">
      <c r="A26" s="62"/>
      <c r="B26" s="129" t="s">
        <v>60</v>
      </c>
      <c r="C26" s="13"/>
      <c r="D26" s="1"/>
    </row>
    <row r="27" spans="1:16" ht="15" x14ac:dyDescent="0.25">
      <c r="A27" s="62"/>
      <c r="B27" s="130" t="s">
        <v>23</v>
      </c>
      <c r="C27" s="1"/>
      <c r="D27" s="1"/>
    </row>
    <row r="28" spans="1:16" ht="41.4" x14ac:dyDescent="0.25">
      <c r="A28" s="62"/>
      <c r="B28" s="132" t="s">
        <v>62</v>
      </c>
      <c r="C28" s="13"/>
      <c r="D28" s="1"/>
    </row>
    <row r="29" spans="1:16" ht="15" x14ac:dyDescent="0.25">
      <c r="A29" s="62"/>
      <c r="B29" s="130" t="s">
        <v>26</v>
      </c>
      <c r="C29" s="13"/>
      <c r="D29" s="1"/>
    </row>
    <row r="30" spans="1:16" ht="27.6" x14ac:dyDescent="0.25">
      <c r="A30" s="62"/>
      <c r="B30" s="333" t="s">
        <v>121</v>
      </c>
      <c r="C30" s="13"/>
      <c r="D30" s="1"/>
    </row>
    <row r="31" spans="1:16" ht="27.6" x14ac:dyDescent="0.25">
      <c r="A31" s="62"/>
      <c r="B31" s="334" t="s">
        <v>28</v>
      </c>
      <c r="C31" s="13"/>
      <c r="D31" s="1"/>
    </row>
    <row r="32" spans="1:16" ht="15" x14ac:dyDescent="0.25">
      <c r="A32" s="62"/>
      <c r="B32" s="130" t="s">
        <v>29</v>
      </c>
      <c r="C32" s="1"/>
      <c r="D32" s="1"/>
    </row>
    <row r="33" spans="1:4" ht="13.8" x14ac:dyDescent="0.25">
      <c r="B33" s="138" t="s">
        <v>64</v>
      </c>
      <c r="C33" s="1"/>
      <c r="D33" s="1"/>
    </row>
    <row r="34" spans="1:4" ht="15" x14ac:dyDescent="0.25">
      <c r="A34" s="62"/>
      <c r="B34" s="127" t="s">
        <v>31</v>
      </c>
      <c r="C34" s="54"/>
      <c r="D34" s="58"/>
    </row>
    <row r="35" spans="1:4" ht="15" x14ac:dyDescent="0.25">
      <c r="A35" s="62"/>
      <c r="B35" s="127" t="s">
        <v>32</v>
      </c>
      <c r="C35" s="54"/>
    </row>
    <row r="36" spans="1:4" ht="67.2"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fitToHeight="0" orientation="portrait" r:id="rId1"/>
  <headerFooter alignWithMargins="0">
    <oddFooter>Página &amp;P de &amp;N</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C2BD-1C3A-4376-B557-65B338EBFB96}">
  <sheetPr>
    <tabColor theme="4" tint="-0.249977111117893"/>
    <pageSetUpPr fitToPage="1"/>
  </sheetPr>
  <dimension ref="A1:G37"/>
  <sheetViews>
    <sheetView topLeftCell="A7" zoomScaleNormal="100" workbookViewId="0">
      <selection activeCell="A15" sqref="A15"/>
    </sheetView>
  </sheetViews>
  <sheetFormatPr baseColWidth="10" defaultColWidth="11.44140625" defaultRowHeight="13.2" x14ac:dyDescent="0.25"/>
  <cols>
    <col min="1" max="1" width="6" style="222" customWidth="1"/>
    <col min="2" max="2" width="74.5546875" style="222" customWidth="1"/>
    <col min="3" max="3" width="12.6640625" style="53" bestFit="1" customWidth="1"/>
    <col min="4" max="4" width="13" style="53" customWidth="1"/>
    <col min="5" max="16384" width="11.44140625" style="222"/>
  </cols>
  <sheetData>
    <row r="1" spans="1:7" ht="81" customHeight="1" x14ac:dyDescent="0.25">
      <c r="A1" s="222" t="s">
        <v>0</v>
      </c>
      <c r="C1" s="223"/>
    </row>
    <row r="2" spans="1:7" ht="9" customHeight="1" x14ac:dyDescent="0.25">
      <c r="C2" s="223"/>
    </row>
    <row r="3" spans="1:7" ht="9" customHeight="1" x14ac:dyDescent="0.25">
      <c r="C3" s="223"/>
    </row>
    <row r="4" spans="1:7" s="224" customFormat="1" ht="16.8" x14ac:dyDescent="0.4">
      <c r="A4" s="765"/>
      <c r="B4" s="765"/>
      <c r="C4" s="765"/>
      <c r="D4" s="765"/>
    </row>
    <row r="5" spans="1:7" s="224" customFormat="1" ht="16.8" x14ac:dyDescent="0.4">
      <c r="A5" s="225"/>
      <c r="C5" s="226"/>
      <c r="D5" s="226"/>
    </row>
    <row r="6" spans="1:7" s="224" customFormat="1" ht="16.8" x14ac:dyDescent="0.4">
      <c r="A6" s="225"/>
      <c r="C6" s="226"/>
      <c r="D6" s="226"/>
    </row>
    <row r="7" spans="1:7" s="224" customFormat="1" ht="19.2" x14ac:dyDescent="0.45">
      <c r="A7" s="67" t="s">
        <v>668</v>
      </c>
      <c r="B7" s="68"/>
      <c r="C7" s="69"/>
      <c r="D7" s="69"/>
      <c r="E7" s="4"/>
      <c r="F7" s="4"/>
      <c r="G7" s="4"/>
    </row>
    <row r="8" spans="1:7" s="224" customFormat="1" ht="19.2" x14ac:dyDescent="0.45">
      <c r="A8" s="67" t="s">
        <v>669</v>
      </c>
      <c r="B8" s="68"/>
      <c r="C8" s="69"/>
      <c r="D8" s="69"/>
      <c r="E8" s="4"/>
      <c r="F8" s="4"/>
      <c r="G8" s="4"/>
    </row>
    <row r="9" spans="1:7" s="224" customFormat="1" ht="19.2" x14ac:dyDescent="0.45">
      <c r="A9" s="67" t="s">
        <v>670</v>
      </c>
      <c r="B9" s="68"/>
      <c r="C9" s="69"/>
      <c r="D9" s="69"/>
      <c r="E9" s="4"/>
      <c r="F9" s="4"/>
      <c r="G9" s="4"/>
    </row>
    <row r="10" spans="1:7" s="224" customFormat="1" ht="19.2" x14ac:dyDescent="0.45">
      <c r="A10" s="67" t="s">
        <v>671</v>
      </c>
      <c r="B10" s="68"/>
      <c r="C10" s="70"/>
      <c r="D10" s="69"/>
      <c r="E10" s="4"/>
      <c r="F10" s="4"/>
      <c r="G10" s="4"/>
    </row>
    <row r="11" spans="1:7" s="224" customFormat="1" ht="19.2" x14ac:dyDescent="0.45">
      <c r="A11" s="67" t="s">
        <v>672</v>
      </c>
      <c r="B11" s="68"/>
      <c r="C11" s="70"/>
      <c r="D11" s="69"/>
      <c r="E11" s="4"/>
      <c r="F11" s="4"/>
      <c r="G11" s="4"/>
    </row>
    <row r="12" spans="1:7" s="224" customFormat="1" ht="15" customHeight="1" x14ac:dyDescent="0.45">
      <c r="A12" s="67" t="s">
        <v>38</v>
      </c>
      <c r="B12" s="72"/>
      <c r="C12" s="73"/>
      <c r="D12" s="74"/>
      <c r="G12" s="4"/>
    </row>
    <row r="13" spans="1:7" s="224" customFormat="1" ht="19.2" x14ac:dyDescent="0.45">
      <c r="A13" s="71" t="s">
        <v>673</v>
      </c>
      <c r="B13" s="72"/>
      <c r="C13" s="73"/>
      <c r="D13" s="74"/>
      <c r="E13" s="235"/>
      <c r="F13" s="235"/>
    </row>
    <row r="14" spans="1:7" s="224" customFormat="1" ht="16.8" x14ac:dyDescent="0.4">
      <c r="A14" s="588"/>
      <c r="B14" s="589"/>
      <c r="C14" s="590"/>
      <c r="D14" s="590"/>
      <c r="E14" s="222"/>
      <c r="F14" s="222"/>
    </row>
    <row r="15" spans="1:7" s="235" customFormat="1" ht="30" x14ac:dyDescent="0.25">
      <c r="A15" s="103">
        <v>1</v>
      </c>
      <c r="B15" s="104" t="s">
        <v>675</v>
      </c>
      <c r="C15" s="105">
        <f>140*105</f>
        <v>14700</v>
      </c>
      <c r="D15" s="79">
        <f t="shared" ref="D15:D16" si="0">A15*C15</f>
        <v>14700</v>
      </c>
      <c r="E15" s="234"/>
      <c r="F15" s="242"/>
    </row>
    <row r="16" spans="1:7" ht="15.6" x14ac:dyDescent="0.25">
      <c r="A16" s="103">
        <v>1</v>
      </c>
      <c r="B16" s="104" t="s">
        <v>676</v>
      </c>
      <c r="C16" s="105">
        <v>5380</v>
      </c>
      <c r="D16" s="79">
        <f t="shared" si="0"/>
        <v>5380</v>
      </c>
      <c r="F16" s="242"/>
    </row>
    <row r="17" spans="1:6" s="242" customFormat="1" ht="15.6" x14ac:dyDescent="0.25">
      <c r="A17" s="370"/>
      <c r="B17" s="475"/>
      <c r="C17" s="476" t="s">
        <v>170</v>
      </c>
      <c r="D17" s="21">
        <f>SUM(D15:D16)</f>
        <v>20080</v>
      </c>
      <c r="E17" s="222"/>
    </row>
    <row r="18" spans="1:6" ht="15.6" x14ac:dyDescent="0.3">
      <c r="A18" s="373"/>
      <c r="B18" s="475"/>
      <c r="C18" s="477" t="s">
        <v>319</v>
      </c>
      <c r="D18" s="21">
        <f>D17*0.16</f>
        <v>3212.8</v>
      </c>
      <c r="F18" s="242"/>
    </row>
    <row r="19" spans="1:6" ht="16.2" thickBot="1" x14ac:dyDescent="0.35">
      <c r="A19" s="373"/>
      <c r="B19" s="475"/>
      <c r="C19" s="478" t="s">
        <v>14</v>
      </c>
      <c r="D19" s="479">
        <f>D17+D18</f>
        <v>23292.799999999999</v>
      </c>
      <c r="F19" s="242"/>
    </row>
    <row r="20" spans="1:6" ht="16.2" thickBot="1" x14ac:dyDescent="0.3">
      <c r="A20" s="373"/>
      <c r="B20" s="785" t="s">
        <v>677</v>
      </c>
      <c r="C20" s="786"/>
      <c r="D20" s="787"/>
    </row>
    <row r="21" spans="1:6" ht="15" x14ac:dyDescent="0.25">
      <c r="A21" s="480"/>
      <c r="B21" s="47" t="s">
        <v>17</v>
      </c>
      <c r="C21" s="222"/>
      <c r="D21" s="222"/>
    </row>
    <row r="22" spans="1:6" ht="15" x14ac:dyDescent="0.25">
      <c r="A22" s="480"/>
      <c r="B22" s="481" t="s">
        <v>432</v>
      </c>
      <c r="C22" s="222"/>
      <c r="D22" s="222"/>
    </row>
    <row r="23" spans="1:6" ht="15" x14ac:dyDescent="0.25">
      <c r="A23" s="480"/>
      <c r="B23" s="50" t="s">
        <v>433</v>
      </c>
      <c r="C23" s="222"/>
      <c r="D23" s="222"/>
    </row>
    <row r="24" spans="1:6" ht="15" x14ac:dyDescent="0.25">
      <c r="A24" s="480"/>
      <c r="B24" s="47" t="s">
        <v>23</v>
      </c>
      <c r="C24" s="483"/>
      <c r="D24" s="483"/>
    </row>
    <row r="25" spans="1:6" ht="27.6" x14ac:dyDescent="0.25">
      <c r="A25" s="480"/>
      <c r="B25" s="55" t="s">
        <v>62</v>
      </c>
      <c r="C25" s="57"/>
      <c r="D25" s="262"/>
    </row>
    <row r="26" spans="1:6" ht="15" x14ac:dyDescent="0.25">
      <c r="A26" s="480"/>
      <c r="B26" s="52" t="s">
        <v>26</v>
      </c>
      <c r="C26" s="57"/>
      <c r="D26" s="57"/>
    </row>
    <row r="27" spans="1:6" ht="15" x14ac:dyDescent="0.25">
      <c r="A27" s="480"/>
      <c r="B27" s="59" t="s">
        <v>436</v>
      </c>
      <c r="C27" s="57"/>
      <c r="D27" s="57"/>
    </row>
    <row r="28" spans="1:6" ht="13.8" x14ac:dyDescent="0.25">
      <c r="B28" s="60" t="s">
        <v>28</v>
      </c>
      <c r="D28" s="260"/>
    </row>
    <row r="29" spans="1:6" ht="15" x14ac:dyDescent="0.25">
      <c r="A29" s="480"/>
      <c r="B29" s="52" t="s">
        <v>29</v>
      </c>
      <c r="C29" s="57"/>
      <c r="D29" s="262"/>
    </row>
    <row r="30" spans="1:6" ht="15" x14ac:dyDescent="0.25">
      <c r="A30" s="480"/>
      <c r="B30" s="61" t="s">
        <v>674</v>
      </c>
      <c r="C30" s="57"/>
      <c r="D30" s="262"/>
    </row>
    <row r="31" spans="1:6" ht="13.8" x14ac:dyDescent="0.25">
      <c r="A31" s="484" t="s">
        <v>0</v>
      </c>
      <c r="B31" s="50" t="s">
        <v>438</v>
      </c>
      <c r="C31" s="57"/>
      <c r="D31" s="57"/>
    </row>
    <row r="32" spans="1:6" ht="50.4" x14ac:dyDescent="0.25">
      <c r="A32" s="263"/>
      <c r="B32" s="66" t="s">
        <v>33</v>
      </c>
      <c r="C32" s="265"/>
      <c r="D32" s="265"/>
    </row>
    <row r="33" spans="1:4" ht="16.8" x14ac:dyDescent="0.4">
      <c r="A33" s="266"/>
      <c r="B33" s="264"/>
      <c r="C33" s="267"/>
      <c r="D33" s="222"/>
    </row>
    <row r="34" spans="1:4" x14ac:dyDescent="0.25">
      <c r="A34" s="266"/>
      <c r="B34" s="267"/>
      <c r="C34" s="267"/>
      <c r="D34" s="222"/>
    </row>
    <row r="35" spans="1:4" x14ac:dyDescent="0.25">
      <c r="A35" s="268"/>
      <c r="B35" s="267"/>
      <c r="C35" s="267"/>
      <c r="D35" s="222"/>
    </row>
    <row r="36" spans="1:4" x14ac:dyDescent="0.25">
      <c r="A36" s="270" t="s">
        <v>0</v>
      </c>
      <c r="B36" s="269"/>
      <c r="C36" s="267"/>
      <c r="D36" s="267"/>
    </row>
    <row r="37" spans="1:4" ht="15" x14ac:dyDescent="0.35">
      <c r="A37" s="222" t="s">
        <v>0</v>
      </c>
      <c r="B37" s="271"/>
    </row>
  </sheetData>
  <mergeCells count="2">
    <mergeCell ref="A4:D4"/>
    <mergeCell ref="B20:D20"/>
  </mergeCells>
  <printOptions horizontalCentered="1"/>
  <pageMargins left="0.25" right="0.25" top="0.75" bottom="0.75" header="0.3" footer="0.3"/>
  <pageSetup scale="92" fitToWidth="0" orientation="portrait" r:id="rId1"/>
  <headerFooter alignWithMargins="0">
    <oddFooter>Página &amp;P de &amp;N</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820B3-ED0F-466D-B071-7A4827750558}">
  <sheetPr>
    <tabColor theme="4" tint="-0.249977111117893"/>
    <pageSetUpPr fitToPage="1"/>
  </sheetPr>
  <dimension ref="A1:G46"/>
  <sheetViews>
    <sheetView topLeftCell="A7" zoomScaleNormal="100" workbookViewId="0">
      <selection activeCell="C23" sqref="C23"/>
    </sheetView>
  </sheetViews>
  <sheetFormatPr baseColWidth="10" defaultColWidth="11.44140625" defaultRowHeight="13.2" x14ac:dyDescent="0.25"/>
  <cols>
    <col min="1" max="1" width="6" style="222" customWidth="1"/>
    <col min="2" max="2" width="74.5546875" style="222" customWidth="1"/>
    <col min="3" max="3" width="12.6640625" style="53" bestFit="1" customWidth="1"/>
    <col min="4" max="4" width="13" style="53" customWidth="1"/>
    <col min="5" max="16384" width="11.44140625" style="222"/>
  </cols>
  <sheetData>
    <row r="1" spans="1:7" ht="81" customHeight="1" x14ac:dyDescent="0.25">
      <c r="A1" s="222" t="s">
        <v>0</v>
      </c>
      <c r="C1" s="223"/>
    </row>
    <row r="2" spans="1:7" ht="9" customHeight="1" x14ac:dyDescent="0.25">
      <c r="C2" s="223"/>
    </row>
    <row r="3" spans="1:7" ht="9" customHeight="1" x14ac:dyDescent="0.25">
      <c r="C3" s="223"/>
    </row>
    <row r="4" spans="1:7" s="224" customFormat="1" ht="16.8" x14ac:dyDescent="0.4">
      <c r="A4" s="765"/>
      <c r="B4" s="765"/>
      <c r="C4" s="765"/>
      <c r="D4" s="765"/>
    </row>
    <row r="5" spans="1:7" s="224" customFormat="1" ht="16.8" x14ac:dyDescent="0.4">
      <c r="A5" s="225"/>
      <c r="C5" s="226"/>
      <c r="D5" s="226"/>
    </row>
    <row r="6" spans="1:7" s="224" customFormat="1" ht="16.8" x14ac:dyDescent="0.4">
      <c r="A6" s="225"/>
      <c r="C6" s="226"/>
      <c r="D6" s="226"/>
    </row>
    <row r="7" spans="1:7" s="224" customFormat="1" ht="19.2" x14ac:dyDescent="0.45">
      <c r="A7" s="67" t="s">
        <v>668</v>
      </c>
      <c r="B7" s="68"/>
      <c r="C7" s="69"/>
      <c r="D7" s="69"/>
      <c r="E7" s="4"/>
      <c r="F7" s="4"/>
      <c r="G7" s="4"/>
    </row>
    <row r="8" spans="1:7" s="224" customFormat="1" ht="19.2" x14ac:dyDescent="0.45">
      <c r="A8" s="67" t="s">
        <v>669</v>
      </c>
      <c r="B8" s="68"/>
      <c r="C8" s="69"/>
      <c r="D8" s="69"/>
      <c r="E8" s="4"/>
      <c r="F8" s="4"/>
      <c r="G8" s="4"/>
    </row>
    <row r="9" spans="1:7" s="224" customFormat="1" ht="19.2" x14ac:dyDescent="0.45">
      <c r="A9" s="67" t="s">
        <v>670</v>
      </c>
      <c r="B9" s="68"/>
      <c r="C9" s="69"/>
      <c r="D9" s="69"/>
      <c r="E9" s="4"/>
      <c r="F9" s="4"/>
      <c r="G9" s="4"/>
    </row>
    <row r="10" spans="1:7" s="224" customFormat="1" ht="19.2" x14ac:dyDescent="0.45">
      <c r="A10" s="67" t="s">
        <v>671</v>
      </c>
      <c r="B10" s="68"/>
      <c r="C10" s="70"/>
      <c r="D10" s="69"/>
      <c r="E10" s="4"/>
      <c r="F10" s="4"/>
      <c r="G10" s="4"/>
    </row>
    <row r="11" spans="1:7" s="224" customFormat="1" ht="19.2" x14ac:dyDescent="0.45">
      <c r="A11" s="67" t="s">
        <v>672</v>
      </c>
      <c r="B11" s="68"/>
      <c r="C11" s="70"/>
      <c r="D11" s="69"/>
      <c r="E11" s="4"/>
      <c r="F11" s="4"/>
      <c r="G11" s="4"/>
    </row>
    <row r="12" spans="1:7" s="224" customFormat="1" ht="15" customHeight="1" x14ac:dyDescent="0.45">
      <c r="A12" s="67" t="s">
        <v>38</v>
      </c>
      <c r="B12" s="72"/>
      <c r="C12" s="73"/>
      <c r="D12" s="74"/>
      <c r="G12" s="4"/>
    </row>
    <row r="13" spans="1:7" s="224" customFormat="1" ht="19.2" x14ac:dyDescent="0.45">
      <c r="A13" s="592" t="s">
        <v>757</v>
      </c>
      <c r="B13" s="593"/>
      <c r="C13" s="73"/>
      <c r="D13" s="594"/>
      <c r="E13" s="235"/>
      <c r="F13" s="235"/>
    </row>
    <row r="14" spans="1:7" s="224" customFormat="1" ht="16.8" x14ac:dyDescent="0.4">
      <c r="A14" s="595"/>
      <c r="B14" s="596"/>
      <c r="C14" s="597"/>
      <c r="D14" s="597"/>
      <c r="E14" s="233"/>
      <c r="F14" s="222"/>
    </row>
    <row r="15" spans="1:7" s="235" customFormat="1" ht="15.6" x14ac:dyDescent="0.25">
      <c r="A15" s="106">
        <v>2</v>
      </c>
      <c r="B15" s="107" t="s">
        <v>480</v>
      </c>
      <c r="C15" s="108">
        <f>2500*1.43</f>
        <v>3575</v>
      </c>
      <c r="D15" s="109">
        <f t="shared" ref="D15:D26" si="0">A15*C15</f>
        <v>7150</v>
      </c>
      <c r="E15" s="234"/>
      <c r="F15" s="242"/>
    </row>
    <row r="16" spans="1:7" ht="15.6" x14ac:dyDescent="0.25">
      <c r="A16" s="106">
        <v>1</v>
      </c>
      <c r="B16" s="107" t="s">
        <v>161</v>
      </c>
      <c r="C16" s="108">
        <v>1543</v>
      </c>
      <c r="D16" s="109">
        <f t="shared" si="0"/>
        <v>1543</v>
      </c>
      <c r="E16" s="233"/>
      <c r="F16" s="242"/>
    </row>
    <row r="17" spans="1:6" s="242" customFormat="1" ht="15.6" x14ac:dyDescent="0.25">
      <c r="A17" s="106">
        <v>1</v>
      </c>
      <c r="B17" s="107" t="s">
        <v>481</v>
      </c>
      <c r="C17" s="108">
        <f>6354*1.43</f>
        <v>9086.2199999999993</v>
      </c>
      <c r="D17" s="109">
        <f t="shared" si="0"/>
        <v>9086.2199999999993</v>
      </c>
      <c r="E17" s="233"/>
    </row>
    <row r="18" spans="1:6" ht="15.6" x14ac:dyDescent="0.25">
      <c r="A18" s="106">
        <v>1</v>
      </c>
      <c r="B18" s="107" t="s">
        <v>752</v>
      </c>
      <c r="C18" s="108">
        <f>5400*1.3</f>
        <v>7020</v>
      </c>
      <c r="D18" s="109">
        <f t="shared" si="0"/>
        <v>7020</v>
      </c>
      <c r="E18" s="233"/>
      <c r="F18" s="242"/>
    </row>
    <row r="19" spans="1:6" ht="15.6" x14ac:dyDescent="0.25">
      <c r="A19" s="106">
        <v>1</v>
      </c>
      <c r="B19" s="107" t="s">
        <v>483</v>
      </c>
      <c r="C19" s="108">
        <f>6300*1.3</f>
        <v>8190</v>
      </c>
      <c r="D19" s="109">
        <f t="shared" si="0"/>
        <v>8190</v>
      </c>
      <c r="E19" s="233"/>
      <c r="F19" s="242"/>
    </row>
    <row r="20" spans="1:6" ht="15.6" x14ac:dyDescent="0.25">
      <c r="A20" s="106">
        <v>1</v>
      </c>
      <c r="B20" s="107" t="s">
        <v>484</v>
      </c>
      <c r="C20" s="108">
        <f>5400*1.3</f>
        <v>7020</v>
      </c>
      <c r="D20" s="109">
        <f t="shared" si="0"/>
        <v>7020</v>
      </c>
    </row>
    <row r="21" spans="1:6" ht="15.6" x14ac:dyDescent="0.25">
      <c r="A21" s="106">
        <v>1</v>
      </c>
      <c r="B21" s="107" t="s">
        <v>758</v>
      </c>
      <c r="C21" s="108">
        <v>1780</v>
      </c>
      <c r="D21" s="109">
        <f t="shared" si="0"/>
        <v>1780</v>
      </c>
    </row>
    <row r="22" spans="1:6" ht="15.6" x14ac:dyDescent="0.25">
      <c r="A22" s="106">
        <v>8</v>
      </c>
      <c r="B22" s="107" t="s">
        <v>485</v>
      </c>
      <c r="C22" s="108">
        <f>22*1.4</f>
        <v>30.799999999999997</v>
      </c>
      <c r="D22" s="109">
        <f t="shared" si="0"/>
        <v>246.39999999999998</v>
      </c>
    </row>
    <row r="23" spans="1:6" ht="15.6" x14ac:dyDescent="0.25">
      <c r="A23" s="106">
        <v>1</v>
      </c>
      <c r="B23" s="107" t="s">
        <v>486</v>
      </c>
      <c r="C23" s="108">
        <f>19*1.39</f>
        <v>26.409999999999997</v>
      </c>
      <c r="D23" s="109">
        <f t="shared" si="0"/>
        <v>26.409999999999997</v>
      </c>
    </row>
    <row r="24" spans="1:6" ht="15.6" x14ac:dyDescent="0.25">
      <c r="A24" s="106">
        <v>56</v>
      </c>
      <c r="B24" s="107" t="s">
        <v>488</v>
      </c>
      <c r="C24" s="108">
        <f>35*1.6</f>
        <v>56</v>
      </c>
      <c r="D24" s="109">
        <f t="shared" si="0"/>
        <v>3136</v>
      </c>
    </row>
    <row r="25" spans="1:6" ht="15.6" x14ac:dyDescent="0.25">
      <c r="A25" s="106">
        <v>6</v>
      </c>
      <c r="B25" s="107" t="s">
        <v>753</v>
      </c>
      <c r="C25" s="108">
        <f>33*1.5</f>
        <v>49.5</v>
      </c>
      <c r="D25" s="109">
        <f t="shared" si="0"/>
        <v>297</v>
      </c>
    </row>
    <row r="26" spans="1:6" ht="15.6" x14ac:dyDescent="0.25">
      <c r="A26" s="637">
        <v>1</v>
      </c>
      <c r="B26" s="107" t="s">
        <v>756</v>
      </c>
      <c r="C26" s="108">
        <v>2380</v>
      </c>
      <c r="D26" s="109">
        <f t="shared" si="0"/>
        <v>2380</v>
      </c>
    </row>
    <row r="27" spans="1:6" ht="15.6" x14ac:dyDescent="0.25">
      <c r="A27" s="370"/>
      <c r="B27" s="636" t="s">
        <v>754</v>
      </c>
      <c r="C27" s="476" t="s">
        <v>170</v>
      </c>
      <c r="D27" s="21">
        <f>SUM(D15:D26)</f>
        <v>47875.030000000006</v>
      </c>
    </row>
    <row r="28" spans="1:6" ht="15.6" x14ac:dyDescent="0.3">
      <c r="A28" s="373"/>
      <c r="B28" s="636" t="s">
        <v>755</v>
      </c>
      <c r="C28" s="477" t="s">
        <v>319</v>
      </c>
      <c r="D28" s="21">
        <f>D27*0.16</f>
        <v>7660.0048000000015</v>
      </c>
    </row>
    <row r="29" spans="1:6" ht="16.2" thickBot="1" x14ac:dyDescent="0.35">
      <c r="A29" s="373"/>
      <c r="B29" s="636"/>
      <c r="C29" s="478" t="s">
        <v>14</v>
      </c>
      <c r="D29" s="479">
        <f>D27+D28</f>
        <v>55535.034800000009</v>
      </c>
    </row>
    <row r="30" spans="1:6" ht="16.2" thickBot="1" x14ac:dyDescent="0.3">
      <c r="A30" s="373"/>
      <c r="B30" s="797" t="s">
        <v>759</v>
      </c>
      <c r="C30" s="786"/>
      <c r="D30" s="787"/>
    </row>
    <row r="31" spans="1:6" ht="15" x14ac:dyDescent="0.25">
      <c r="A31" s="480"/>
      <c r="B31" s="47" t="s">
        <v>17</v>
      </c>
      <c r="C31" s="222"/>
      <c r="D31" s="222"/>
    </row>
    <row r="32" spans="1:6" ht="15" x14ac:dyDescent="0.25">
      <c r="A32" s="480"/>
      <c r="B32" s="47" t="s">
        <v>23</v>
      </c>
      <c r="C32" s="483"/>
      <c r="D32" s="222"/>
    </row>
    <row r="33" spans="1:4" ht="27.6" x14ac:dyDescent="0.25">
      <c r="A33" s="480"/>
      <c r="B33" s="55" t="s">
        <v>62</v>
      </c>
      <c r="C33" s="57"/>
      <c r="D33" s="222"/>
    </row>
    <row r="34" spans="1:4" ht="15" x14ac:dyDescent="0.25">
      <c r="A34" s="480"/>
      <c r="B34" s="52" t="s">
        <v>26</v>
      </c>
      <c r="C34" s="57"/>
      <c r="D34" s="483"/>
    </row>
    <row r="35" spans="1:4" ht="15" x14ac:dyDescent="0.25">
      <c r="A35" s="480"/>
      <c r="B35" s="59" t="s">
        <v>436</v>
      </c>
      <c r="C35" s="57"/>
      <c r="D35" s="262"/>
    </row>
    <row r="36" spans="1:4" ht="13.8" x14ac:dyDescent="0.25">
      <c r="B36" s="60" t="s">
        <v>28</v>
      </c>
      <c r="D36" s="57"/>
    </row>
    <row r="37" spans="1:4" ht="15" x14ac:dyDescent="0.25">
      <c r="A37" s="480"/>
      <c r="B37" s="52" t="s">
        <v>29</v>
      </c>
      <c r="C37" s="57"/>
      <c r="D37" s="57"/>
    </row>
    <row r="38" spans="1:4" ht="15" x14ac:dyDescent="0.25">
      <c r="A38" s="480"/>
      <c r="B38" s="61" t="s">
        <v>674</v>
      </c>
      <c r="C38" s="57"/>
      <c r="D38" s="260"/>
    </row>
    <row r="39" spans="1:4" ht="13.8" x14ac:dyDescent="0.25">
      <c r="A39" s="484" t="s">
        <v>0</v>
      </c>
      <c r="B39" s="50" t="s">
        <v>438</v>
      </c>
      <c r="C39" s="57"/>
      <c r="D39" s="262"/>
    </row>
    <row r="40" spans="1:4" ht="50.4" x14ac:dyDescent="0.25">
      <c r="A40" s="263"/>
      <c r="B40" s="66" t="s">
        <v>33</v>
      </c>
      <c r="C40" s="265"/>
      <c r="D40" s="262"/>
    </row>
    <row r="41" spans="1:4" ht="16.8" x14ac:dyDescent="0.4">
      <c r="A41" s="266"/>
      <c r="B41" s="264"/>
      <c r="C41" s="267"/>
      <c r="D41" s="57"/>
    </row>
    <row r="42" spans="1:4" ht="13.8" x14ac:dyDescent="0.25">
      <c r="A42" s="266"/>
      <c r="B42" s="267"/>
      <c r="C42" s="267"/>
      <c r="D42" s="265"/>
    </row>
    <row r="43" spans="1:4" x14ac:dyDescent="0.25">
      <c r="A43" s="268"/>
      <c r="B43" s="267"/>
      <c r="C43" s="267"/>
      <c r="D43" s="222"/>
    </row>
    <row r="44" spans="1:4" x14ac:dyDescent="0.25">
      <c r="A44" s="270" t="s">
        <v>0</v>
      </c>
      <c r="B44" s="269"/>
      <c r="C44" s="267"/>
      <c r="D44" s="222"/>
    </row>
    <row r="45" spans="1:4" ht="15" x14ac:dyDescent="0.35">
      <c r="A45" s="222" t="s">
        <v>0</v>
      </c>
      <c r="B45" s="271"/>
      <c r="D45" s="222"/>
    </row>
    <row r="46" spans="1:4" x14ac:dyDescent="0.25">
      <c r="D46" s="267"/>
    </row>
  </sheetData>
  <mergeCells count="2">
    <mergeCell ref="A4:D4"/>
    <mergeCell ref="B30:D30"/>
  </mergeCells>
  <printOptions horizontalCentered="1"/>
  <pageMargins left="0.25" right="0.25" top="0.75" bottom="0.75" header="0.3" footer="0.3"/>
  <pageSetup scale="78" fitToWidth="0" orientation="portrait" r:id="rId1"/>
  <headerFooter alignWithMargins="0">
    <oddFooter>Página &amp;P de &amp;N</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BBEF3-86C3-4BD6-AF10-9FD1F19F448F}">
  <sheetPr>
    <tabColor theme="4" tint="-0.249977111117893"/>
    <pageSetUpPr fitToPage="1"/>
  </sheetPr>
  <dimension ref="A1:G41"/>
  <sheetViews>
    <sheetView topLeftCell="A10" zoomScaleNormal="100" workbookViewId="0">
      <selection activeCell="A28" sqref="A28:B28"/>
    </sheetView>
  </sheetViews>
  <sheetFormatPr baseColWidth="10" defaultColWidth="11.44140625" defaultRowHeight="13.2" x14ac:dyDescent="0.25"/>
  <cols>
    <col min="1" max="1" width="6" style="222" customWidth="1"/>
    <col min="2" max="2" width="74.5546875" style="222" customWidth="1"/>
    <col min="3" max="3" width="12.6640625" style="53" bestFit="1" customWidth="1"/>
    <col min="4" max="4" width="13" style="53" customWidth="1"/>
    <col min="5" max="16384" width="11.44140625" style="222"/>
  </cols>
  <sheetData>
    <row r="1" spans="1:7" ht="81" customHeight="1" x14ac:dyDescent="0.25">
      <c r="A1" s="222" t="s">
        <v>0</v>
      </c>
      <c r="C1" s="223"/>
    </row>
    <row r="2" spans="1:7" ht="9" customHeight="1" x14ac:dyDescent="0.25">
      <c r="C2" s="223"/>
    </row>
    <row r="3" spans="1:7" ht="9" customHeight="1" x14ac:dyDescent="0.25">
      <c r="C3" s="223"/>
    </row>
    <row r="4" spans="1:7" s="224" customFormat="1" ht="16.8" x14ac:dyDescent="0.4">
      <c r="A4" s="765"/>
      <c r="B4" s="765"/>
      <c r="C4" s="765"/>
      <c r="D4" s="765"/>
    </row>
    <row r="5" spans="1:7" s="224" customFormat="1" ht="16.8" x14ac:dyDescent="0.4">
      <c r="A5" s="225"/>
      <c r="C5" s="226"/>
      <c r="D5" s="226"/>
    </row>
    <row r="6" spans="1:7" s="224" customFormat="1" ht="16.8" x14ac:dyDescent="0.4">
      <c r="A6" s="225"/>
      <c r="C6" s="226"/>
      <c r="D6" s="226"/>
    </row>
    <row r="7" spans="1:7" s="224" customFormat="1" ht="19.2" x14ac:dyDescent="0.45">
      <c r="A7" s="67" t="s">
        <v>668</v>
      </c>
      <c r="B7" s="68"/>
      <c r="C7" s="69"/>
      <c r="D7" s="69"/>
      <c r="E7" s="4"/>
      <c r="F7" s="4"/>
      <c r="G7" s="4"/>
    </row>
    <row r="8" spans="1:7" s="224" customFormat="1" ht="19.2" x14ac:dyDescent="0.45">
      <c r="A8" s="67" t="s">
        <v>669</v>
      </c>
      <c r="B8" s="68"/>
      <c r="C8" s="69"/>
      <c r="D8" s="69"/>
      <c r="E8" s="4"/>
      <c r="F8" s="4"/>
      <c r="G8" s="4"/>
    </row>
    <row r="9" spans="1:7" s="224" customFormat="1" ht="19.2" x14ac:dyDescent="0.45">
      <c r="A9" s="67" t="s">
        <v>670</v>
      </c>
      <c r="B9" s="68"/>
      <c r="C9" s="69"/>
      <c r="D9" s="69"/>
      <c r="E9" s="4"/>
      <c r="F9" s="4"/>
      <c r="G9" s="4"/>
    </row>
    <row r="10" spans="1:7" s="224" customFormat="1" ht="19.2" x14ac:dyDescent="0.45">
      <c r="A10" s="67" t="s">
        <v>671</v>
      </c>
      <c r="B10" s="68"/>
      <c r="C10" s="70"/>
      <c r="D10" s="69"/>
      <c r="E10" s="4"/>
      <c r="F10" s="4"/>
      <c r="G10" s="4"/>
    </row>
    <row r="11" spans="1:7" s="224" customFormat="1" ht="19.2" x14ac:dyDescent="0.45">
      <c r="A11" s="67" t="s">
        <v>672</v>
      </c>
      <c r="B11" s="68"/>
      <c r="C11" s="70"/>
      <c r="D11" s="69"/>
      <c r="E11" s="4"/>
      <c r="F11" s="4"/>
      <c r="G11" s="4"/>
    </row>
    <row r="12" spans="1:7" s="224" customFormat="1" ht="15" customHeight="1" x14ac:dyDescent="0.45">
      <c r="A12" s="67" t="s">
        <v>38</v>
      </c>
      <c r="B12" s="72"/>
      <c r="C12" s="73"/>
      <c r="D12" s="74"/>
      <c r="G12" s="4"/>
    </row>
    <row r="13" spans="1:7" s="224" customFormat="1" ht="19.2" x14ac:dyDescent="0.45">
      <c r="A13" s="71" t="s">
        <v>673</v>
      </c>
      <c r="B13" s="72"/>
      <c r="C13" s="73"/>
      <c r="D13" s="74"/>
      <c r="E13" s="235"/>
      <c r="F13" s="235"/>
    </row>
    <row r="14" spans="1:7" s="224" customFormat="1" ht="16.8" x14ac:dyDescent="0.4">
      <c r="A14" s="588"/>
      <c r="B14" s="603" t="s">
        <v>698</v>
      </c>
      <c r="C14" s="590"/>
      <c r="D14" s="590"/>
      <c r="E14" s="222"/>
      <c r="F14" s="222"/>
    </row>
    <row r="15" spans="1:7" s="235" customFormat="1" ht="15.6" x14ac:dyDescent="0.25">
      <c r="A15" s="103">
        <v>2</v>
      </c>
      <c r="B15" s="104" t="s">
        <v>693</v>
      </c>
      <c r="C15" s="105">
        <v>12502</v>
      </c>
      <c r="D15" s="79">
        <f t="shared" ref="D15:D16" si="0">A15*C15</f>
        <v>25004</v>
      </c>
      <c r="E15" s="234"/>
      <c r="F15" s="242"/>
    </row>
    <row r="16" spans="1:7" ht="15.6" x14ac:dyDescent="0.25">
      <c r="A16" s="103">
        <v>1</v>
      </c>
      <c r="B16" s="104" t="s">
        <v>694</v>
      </c>
      <c r="C16" s="105">
        <v>2750</v>
      </c>
      <c r="D16" s="79">
        <f t="shared" si="0"/>
        <v>2750</v>
      </c>
      <c r="F16" s="242"/>
    </row>
    <row r="17" spans="1:6" s="242" customFormat="1" ht="15.6" x14ac:dyDescent="0.25">
      <c r="A17" s="103"/>
      <c r="B17" s="104"/>
      <c r="C17" s="476" t="s">
        <v>170</v>
      </c>
      <c r="D17" s="79">
        <f>SUM(D15:D16)</f>
        <v>27754</v>
      </c>
      <c r="E17" s="222"/>
    </row>
    <row r="18" spans="1:6" ht="15.6" x14ac:dyDescent="0.3">
      <c r="A18" s="103"/>
      <c r="B18" s="104"/>
      <c r="C18" s="477" t="s">
        <v>319</v>
      </c>
      <c r="D18" s="79">
        <f>D17*0.16</f>
        <v>4440.6400000000003</v>
      </c>
      <c r="F18" s="242"/>
    </row>
    <row r="19" spans="1:6" ht="15.6" x14ac:dyDescent="0.3">
      <c r="A19" s="103"/>
      <c r="B19" s="104"/>
      <c r="C19" s="478" t="s">
        <v>14</v>
      </c>
      <c r="D19" s="98">
        <f>D17+D18</f>
        <v>32194.639999999999</v>
      </c>
      <c r="F19" s="242"/>
    </row>
    <row r="20" spans="1:6" ht="15.6" x14ac:dyDescent="0.25">
      <c r="A20" s="103"/>
      <c r="B20" s="603" t="s">
        <v>55</v>
      </c>
      <c r="C20" s="105"/>
      <c r="D20" s="98"/>
    </row>
    <row r="21" spans="1:6" ht="45" x14ac:dyDescent="0.25">
      <c r="A21" s="103">
        <v>1</v>
      </c>
      <c r="B21" s="104" t="s">
        <v>697</v>
      </c>
      <c r="C21" s="105">
        <v>19000</v>
      </c>
      <c r="D21" s="21">
        <f>A21*C21</f>
        <v>19000</v>
      </c>
    </row>
    <row r="22" spans="1:6" ht="15.6" x14ac:dyDescent="0.25">
      <c r="A22" s="95">
        <v>150</v>
      </c>
      <c r="B22" s="96" t="s">
        <v>695</v>
      </c>
      <c r="C22" s="583">
        <v>24.5</v>
      </c>
      <c r="D22" s="21">
        <f>A22*C22</f>
        <v>3675</v>
      </c>
    </row>
    <row r="23" spans="1:6" ht="16.2" thickBot="1" x14ac:dyDescent="0.3">
      <c r="A23" s="18">
        <v>1</v>
      </c>
      <c r="B23" s="591" t="s">
        <v>696</v>
      </c>
      <c r="C23" s="552">
        <v>3180</v>
      </c>
      <c r="D23" s="21">
        <f t="shared" ref="D23" si="1">A23*C23</f>
        <v>3180</v>
      </c>
    </row>
    <row r="24" spans="1:6" ht="16.2" thickBot="1" x14ac:dyDescent="0.35">
      <c r="A24" s="373"/>
      <c r="B24" s="475"/>
      <c r="C24" s="478" t="s">
        <v>14</v>
      </c>
      <c r="D24" s="600">
        <f>SUM(D21:D23)</f>
        <v>25855</v>
      </c>
    </row>
    <row r="25" spans="1:6" ht="16.2" thickBot="1" x14ac:dyDescent="0.3">
      <c r="A25" s="373"/>
      <c r="B25" s="598"/>
      <c r="C25" s="599"/>
      <c r="D25" s="222"/>
    </row>
    <row r="26" spans="1:6" ht="15" x14ac:dyDescent="0.25">
      <c r="A26" s="480"/>
      <c r="B26" s="47" t="s">
        <v>17</v>
      </c>
      <c r="C26" s="222"/>
      <c r="D26" s="222"/>
    </row>
    <row r="27" spans="1:6" ht="15" x14ac:dyDescent="0.25">
      <c r="A27" s="480"/>
      <c r="B27" s="481"/>
      <c r="C27" s="601"/>
      <c r="D27" s="601"/>
    </row>
    <row r="28" spans="1:6" ht="15.6" x14ac:dyDescent="0.25">
      <c r="A28" s="480"/>
      <c r="B28" s="47" t="s">
        <v>23</v>
      </c>
      <c r="C28" s="604" t="s">
        <v>18</v>
      </c>
      <c r="D28" s="605">
        <f>SUM(D19+D24)</f>
        <v>58049.64</v>
      </c>
      <c r="E28" s="233"/>
    </row>
    <row r="29" spans="1:6" ht="27.6" x14ac:dyDescent="0.25">
      <c r="A29" s="480"/>
      <c r="B29" s="55" t="s">
        <v>62</v>
      </c>
      <c r="C29" s="483"/>
      <c r="D29" s="602"/>
    </row>
    <row r="30" spans="1:6" ht="15" x14ac:dyDescent="0.25">
      <c r="A30" s="480"/>
      <c r="B30" s="52" t="s">
        <v>26</v>
      </c>
      <c r="C30" s="57"/>
      <c r="D30" s="57"/>
    </row>
    <row r="31" spans="1:6" ht="15" x14ac:dyDescent="0.25">
      <c r="A31" s="480"/>
      <c r="B31" s="59" t="s">
        <v>436</v>
      </c>
      <c r="C31" s="57"/>
      <c r="D31" s="57"/>
    </row>
    <row r="32" spans="1:6" ht="13.8" x14ac:dyDescent="0.25">
      <c r="B32" s="60" t="s">
        <v>28</v>
      </c>
      <c r="C32" s="57"/>
      <c r="D32" s="260"/>
    </row>
    <row r="33" spans="1:4" ht="15" x14ac:dyDescent="0.25">
      <c r="A33" s="480"/>
      <c r="B33" s="52" t="s">
        <v>29</v>
      </c>
      <c r="D33" s="262"/>
    </row>
    <row r="34" spans="1:4" ht="15" x14ac:dyDescent="0.25">
      <c r="A34" s="480"/>
      <c r="B34" s="61" t="s">
        <v>674</v>
      </c>
      <c r="C34" s="57"/>
      <c r="D34" s="262"/>
    </row>
    <row r="35" spans="1:4" ht="13.8" x14ac:dyDescent="0.25">
      <c r="A35" s="484" t="s">
        <v>0</v>
      </c>
      <c r="B35" s="50" t="s">
        <v>438</v>
      </c>
      <c r="C35" s="57"/>
      <c r="D35" s="57"/>
    </row>
    <row r="36" spans="1:4" ht="50.4" x14ac:dyDescent="0.25">
      <c r="A36" s="263"/>
      <c r="B36" s="66" t="s">
        <v>33</v>
      </c>
      <c r="C36" s="57"/>
      <c r="D36" s="265"/>
    </row>
    <row r="37" spans="1:4" ht="16.8" x14ac:dyDescent="0.4">
      <c r="A37" s="266"/>
      <c r="B37" s="264"/>
      <c r="C37" s="265"/>
      <c r="D37" s="222"/>
    </row>
    <row r="38" spans="1:4" x14ac:dyDescent="0.25">
      <c r="A38" s="266"/>
      <c r="B38" s="267"/>
      <c r="C38" s="267"/>
      <c r="D38" s="222"/>
    </row>
    <row r="39" spans="1:4" x14ac:dyDescent="0.25">
      <c r="A39" s="268"/>
      <c r="B39" s="267"/>
      <c r="C39" s="267"/>
      <c r="D39" s="222"/>
    </row>
    <row r="40" spans="1:4" x14ac:dyDescent="0.25">
      <c r="A40" s="270" t="s">
        <v>0</v>
      </c>
      <c r="B40" s="269"/>
      <c r="C40" s="267"/>
      <c r="D40" s="267"/>
    </row>
    <row r="41" spans="1:4" ht="15" x14ac:dyDescent="0.35">
      <c r="A41" s="222" t="s">
        <v>0</v>
      </c>
      <c r="B41" s="271"/>
      <c r="C41" s="267"/>
    </row>
  </sheetData>
  <mergeCells count="1">
    <mergeCell ref="A4:D4"/>
  </mergeCells>
  <printOptions horizontalCentered="1"/>
  <pageMargins left="0.25" right="0.25" top="0.75" bottom="0.75" header="0.3" footer="0.3"/>
  <pageSetup scale="81" fitToWidth="0" orientation="portrait" r:id="rId1"/>
  <headerFooter alignWithMargins="0">
    <oddFooter>Página &amp;P de &amp;N</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6136-D4E8-467B-BE3E-560FBEF3B952}">
  <sheetPr>
    <tabColor theme="4" tint="-0.249977111117893"/>
    <pageSetUpPr fitToPage="1"/>
  </sheetPr>
  <dimension ref="A1:P59"/>
  <sheetViews>
    <sheetView topLeftCell="A6" zoomScale="85" zoomScaleNormal="85" workbookViewId="0">
      <selection activeCell="B34" sqref="B34"/>
    </sheetView>
  </sheetViews>
  <sheetFormatPr baseColWidth="10" defaultColWidth="11.44140625" defaultRowHeight="13.2" x14ac:dyDescent="0.25"/>
  <cols>
    <col min="1" max="1" width="6" style="1" customWidth="1"/>
    <col min="2" max="2" width="77.10937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700</v>
      </c>
      <c r="B8" s="68"/>
      <c r="C8" s="69"/>
      <c r="D8" s="69"/>
    </row>
    <row r="9" spans="1:16" s="4" customFormat="1" ht="19.2" x14ac:dyDescent="0.45">
      <c r="A9" s="67" t="s">
        <v>701</v>
      </c>
      <c r="B9" s="68"/>
      <c r="C9" s="69"/>
      <c r="D9" s="69"/>
    </row>
    <row r="10" spans="1:16" s="4" customFormat="1" ht="19.2" x14ac:dyDescent="0.45">
      <c r="A10" s="67" t="s">
        <v>702</v>
      </c>
      <c r="B10" s="68"/>
      <c r="C10" s="69"/>
      <c r="D10" s="69"/>
    </row>
    <row r="11" spans="1:16" s="4" customFormat="1" ht="19.2" x14ac:dyDescent="0.45">
      <c r="A11" s="67" t="s">
        <v>703</v>
      </c>
      <c r="B11" s="68"/>
      <c r="C11" s="70"/>
      <c r="D11" s="69"/>
    </row>
    <row r="12" spans="1:16" s="4" customFormat="1" ht="15" customHeight="1" x14ac:dyDescent="0.45">
      <c r="A12" s="67" t="s">
        <v>38</v>
      </c>
      <c r="B12" s="68"/>
      <c r="C12" s="70"/>
      <c r="D12" s="69"/>
    </row>
    <row r="13" spans="1:16" s="4" customFormat="1" ht="15" customHeight="1" x14ac:dyDescent="0.45">
      <c r="A13" s="71" t="s">
        <v>704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103">
        <v>1</v>
      </c>
      <c r="B16" s="104" t="s">
        <v>116</v>
      </c>
      <c r="C16" s="105">
        <v>7300</v>
      </c>
      <c r="D16" s="79">
        <f>A16*C16</f>
        <v>7300</v>
      </c>
      <c r="E16" s="13"/>
      <c r="N16" s="23"/>
      <c r="O16" s="23"/>
      <c r="P16" s="23"/>
    </row>
    <row r="17" spans="1:16" s="23" customFormat="1" ht="15.6" x14ac:dyDescent="0.3">
      <c r="A17" s="99"/>
      <c r="B17" s="85" t="s">
        <v>48</v>
      </c>
      <c r="C17" s="86" t="s">
        <v>49</v>
      </c>
      <c r="D17" s="87">
        <f>SUM(D16:D16)</f>
        <v>7300</v>
      </c>
      <c r="E17" s="1"/>
      <c r="F17" s="1"/>
      <c r="G17" s="1"/>
      <c r="H17" s="1"/>
      <c r="I17" s="1"/>
      <c r="J17" s="1"/>
      <c r="K17" s="1"/>
      <c r="L17" s="1"/>
      <c r="M17" s="1"/>
      <c r="N17" s="1"/>
    </row>
    <row r="18" spans="1:16" s="23" customFormat="1" ht="15.6" x14ac:dyDescent="0.3">
      <c r="A18" s="99"/>
      <c r="B18" s="85" t="s">
        <v>50</v>
      </c>
      <c r="C18" s="90" t="s">
        <v>51</v>
      </c>
      <c r="D18" s="87">
        <f>D17*0.16</f>
        <v>1168</v>
      </c>
      <c r="E18" s="13"/>
      <c r="F18" s="1"/>
      <c r="G18" s="1"/>
      <c r="H18" s="1"/>
      <c r="I18" s="1"/>
      <c r="J18" s="1"/>
      <c r="K18" s="1"/>
      <c r="L18" s="1"/>
      <c r="M18" s="1"/>
      <c r="N18" s="1"/>
    </row>
    <row r="19" spans="1:16" s="23" customFormat="1" ht="16.2" thickBot="1" x14ac:dyDescent="0.3">
      <c r="A19" s="99"/>
      <c r="B19" s="100"/>
      <c r="C19" s="90" t="s">
        <v>52</v>
      </c>
      <c r="D19" s="87">
        <f>SUM(D17:D18)</f>
        <v>8468</v>
      </c>
      <c r="E19" s="1"/>
      <c r="F19" s="1"/>
      <c r="G19" s="1"/>
      <c r="H19" s="1"/>
      <c r="I19" s="1"/>
      <c r="J19" s="1"/>
      <c r="K19" s="1"/>
      <c r="L19" s="1"/>
      <c r="M19" s="1"/>
      <c r="N19" s="1"/>
    </row>
    <row r="20" spans="1:16" s="23" customFormat="1" ht="19.95" customHeight="1" thickBot="1" x14ac:dyDescent="0.3">
      <c r="A20" s="116"/>
      <c r="B20" s="186" t="s">
        <v>705</v>
      </c>
      <c r="C20" s="36"/>
      <c r="D20" s="37"/>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3"/>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27.6" x14ac:dyDescent="0.25">
      <c r="A30" s="62"/>
      <c r="B30" s="333" t="s">
        <v>366</v>
      </c>
      <c r="C30" s="13"/>
      <c r="D30" s="1"/>
    </row>
    <row r="31" spans="1:16" ht="15" x14ac:dyDescent="0.25">
      <c r="A31" s="62"/>
      <c r="B31" s="334" t="s">
        <v>28</v>
      </c>
      <c r="C31" s="1"/>
      <c r="D31" s="1"/>
    </row>
    <row r="32" spans="1:16" ht="15" x14ac:dyDescent="0.25">
      <c r="A32" s="62"/>
      <c r="B32" s="130" t="s">
        <v>29</v>
      </c>
      <c r="C32" s="1"/>
      <c r="D32" s="1"/>
    </row>
    <row r="33" spans="1:4" ht="13.8" x14ac:dyDescent="0.25">
      <c r="B33" s="138" t="s">
        <v>706</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90" fitToWidth="0" orientation="portrait" r:id="rId1"/>
  <headerFooter alignWithMargins="0">
    <oddFooter>Página &amp;P de &amp;N</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BB644-073A-4F79-92DE-FE72F6D54374}">
  <sheetPr>
    <pageSetUpPr fitToPage="1"/>
  </sheetPr>
  <dimension ref="A1:E68"/>
  <sheetViews>
    <sheetView topLeftCell="A3" zoomScaleNormal="100" workbookViewId="0">
      <selection activeCell="B24" sqref="B24"/>
    </sheetView>
  </sheetViews>
  <sheetFormatPr baseColWidth="10" defaultColWidth="11.44140625" defaultRowHeight="13.2" x14ac:dyDescent="0.25"/>
  <cols>
    <col min="1" max="1" width="6" style="345" customWidth="1"/>
    <col min="2" max="2" width="109.109375" style="345" customWidth="1"/>
    <col min="3" max="3" width="15.88671875" style="347" customWidth="1"/>
    <col min="4" max="4" width="15.44140625" style="347" customWidth="1"/>
    <col min="5" max="16384" width="11.44140625" style="345"/>
  </cols>
  <sheetData>
    <row r="1" spans="1:5" ht="81" customHeight="1" x14ac:dyDescent="0.25">
      <c r="A1" s="345" t="s">
        <v>0</v>
      </c>
      <c r="C1" s="346"/>
    </row>
    <row r="2" spans="1:5" ht="9" customHeight="1" x14ac:dyDescent="0.25">
      <c r="C2" s="346"/>
    </row>
    <row r="3" spans="1:5" ht="9" customHeight="1" x14ac:dyDescent="0.25">
      <c r="C3" s="346"/>
    </row>
    <row r="4" spans="1:5" s="348" customFormat="1" ht="16.8" x14ac:dyDescent="0.4">
      <c r="A4" s="777"/>
      <c r="B4" s="777"/>
      <c r="C4" s="777"/>
      <c r="D4" s="777"/>
    </row>
    <row r="5" spans="1:5" s="348" customFormat="1" ht="16.8" x14ac:dyDescent="0.4">
      <c r="A5" s="349"/>
      <c r="C5" s="350"/>
      <c r="D5" s="350"/>
    </row>
    <row r="6" spans="1:5" s="348" customFormat="1" ht="16.8" x14ac:dyDescent="0.4">
      <c r="A6" s="349"/>
      <c r="C6" s="350"/>
      <c r="D6" s="350"/>
    </row>
    <row r="7" spans="1:5" s="348" customFormat="1" ht="16.8" x14ac:dyDescent="0.4">
      <c r="A7" s="349"/>
      <c r="C7" s="350"/>
      <c r="D7" s="350"/>
    </row>
    <row r="8" spans="1:5" s="348" customFormat="1" ht="16.8" x14ac:dyDescent="0.4">
      <c r="A8" s="5" t="s">
        <v>707</v>
      </c>
      <c r="B8" s="4"/>
      <c r="C8" s="6"/>
      <c r="D8" s="6"/>
    </row>
    <row r="9" spans="1:5" s="348" customFormat="1" ht="16.8" x14ac:dyDescent="0.4">
      <c r="A9" s="5" t="s">
        <v>708</v>
      </c>
      <c r="B9" s="4"/>
      <c r="C9" s="6"/>
      <c r="D9" s="6"/>
    </row>
    <row r="10" spans="1:5" s="348" customFormat="1" ht="16.8" x14ac:dyDescent="0.4">
      <c r="A10" s="5" t="s">
        <v>709</v>
      </c>
      <c r="B10" s="4"/>
      <c r="C10" s="6"/>
      <c r="D10" s="6"/>
    </row>
    <row r="11" spans="1:5" s="348" customFormat="1" ht="16.8" x14ac:dyDescent="0.4">
      <c r="A11" s="5" t="s">
        <v>461</v>
      </c>
      <c r="B11" s="4"/>
      <c r="C11" s="7"/>
      <c r="D11" s="6"/>
    </row>
    <row r="12" spans="1:5" s="348" customFormat="1" ht="15" customHeight="1" x14ac:dyDescent="0.4">
      <c r="A12" s="8" t="s">
        <v>710</v>
      </c>
      <c r="B12" s="9"/>
      <c r="C12" s="351"/>
      <c r="D12" s="352"/>
    </row>
    <row r="13" spans="1:5" s="348" customFormat="1" ht="16.8" x14ac:dyDescent="0.4">
      <c r="A13" s="778" t="s">
        <v>315</v>
      </c>
      <c r="B13" s="779"/>
      <c r="C13" s="780"/>
      <c r="D13" s="781"/>
    </row>
    <row r="14" spans="1:5" s="348" customFormat="1" ht="16.8" x14ac:dyDescent="0.4">
      <c r="A14" s="353" t="s">
        <v>7</v>
      </c>
      <c r="B14" s="353" t="s">
        <v>8</v>
      </c>
      <c r="C14" s="354" t="s">
        <v>9</v>
      </c>
      <c r="D14" s="354" t="s">
        <v>10</v>
      </c>
    </row>
    <row r="15" spans="1:5" s="358" customFormat="1" ht="13.8" x14ac:dyDescent="0.25">
      <c r="A15" s="355"/>
      <c r="B15" s="356"/>
      <c r="C15" s="357"/>
      <c r="D15" s="357"/>
    </row>
    <row r="16" spans="1:5" s="610" customFormat="1" ht="74.25" customHeight="1" x14ac:dyDescent="0.3">
      <c r="A16" s="359">
        <v>1</v>
      </c>
      <c r="B16" s="617" t="s">
        <v>711</v>
      </c>
      <c r="C16" s="607">
        <f>(55988*1.3)+3500</f>
        <v>76284.400000000009</v>
      </c>
      <c r="D16" s="608">
        <f>A16*C16</f>
        <v>76284.400000000009</v>
      </c>
      <c r="E16" s="609"/>
    </row>
    <row r="17" spans="1:5" s="610" customFormat="1" ht="74.25" customHeight="1" x14ac:dyDescent="0.3">
      <c r="A17" s="359">
        <v>1</v>
      </c>
      <c r="B17" s="617" t="s">
        <v>712</v>
      </c>
      <c r="C17" s="607">
        <f>(11894+1000+6200+6500+1100)*1.3</f>
        <v>34702.200000000004</v>
      </c>
      <c r="D17" s="611">
        <f>A17*C17</f>
        <v>34702.200000000004</v>
      </c>
      <c r="E17" s="609"/>
    </row>
    <row r="18" spans="1:5" s="610" customFormat="1" ht="74.25" customHeight="1" x14ac:dyDescent="0.3">
      <c r="A18" s="359">
        <v>1</v>
      </c>
      <c r="B18" s="617" t="s">
        <v>713</v>
      </c>
      <c r="C18" s="607">
        <f>(44502*1.26)+3500+2800</f>
        <v>62372.52</v>
      </c>
      <c r="D18" s="611">
        <f>A18*C18</f>
        <v>62372.52</v>
      </c>
      <c r="E18" s="609"/>
    </row>
    <row r="19" spans="1:5" s="610" customFormat="1" ht="74.25" customHeight="1" x14ac:dyDescent="0.3">
      <c r="A19" s="359">
        <v>1</v>
      </c>
      <c r="B19" s="617" t="s">
        <v>714</v>
      </c>
      <c r="C19" s="607">
        <f>14248</f>
        <v>14248</v>
      </c>
      <c r="D19" s="611">
        <f>A19*C19</f>
        <v>14248</v>
      </c>
      <c r="E19" s="609"/>
    </row>
    <row r="20" spans="1:5" s="610" customFormat="1" ht="74.25" customHeight="1" x14ac:dyDescent="0.3">
      <c r="A20" s="359">
        <v>1</v>
      </c>
      <c r="B20" s="617" t="s">
        <v>715</v>
      </c>
      <c r="C20" s="607">
        <f>2500</f>
        <v>2500</v>
      </c>
      <c r="D20" s="611">
        <f>A20*C20</f>
        <v>2500</v>
      </c>
      <c r="E20" s="609"/>
    </row>
    <row r="21" spans="1:5" ht="19.5" customHeight="1" x14ac:dyDescent="0.25">
      <c r="A21" s="359"/>
      <c r="B21" s="367"/>
      <c r="C21" s="367"/>
      <c r="D21" s="367"/>
      <c r="E21" s="363"/>
    </row>
    <row r="22" spans="1:5" ht="18.75" customHeight="1" x14ac:dyDescent="0.25">
      <c r="A22" s="370"/>
      <c r="B22" s="612"/>
      <c r="C22" s="613" t="s">
        <v>170</v>
      </c>
      <c r="D22" s="608">
        <f>SUM(D16:D20)</f>
        <v>190107.12</v>
      </c>
    </row>
    <row r="23" spans="1:5" ht="18.75" customHeight="1" x14ac:dyDescent="0.3">
      <c r="A23" s="373"/>
      <c r="B23" s="614"/>
      <c r="C23" s="615" t="s">
        <v>319</v>
      </c>
      <c r="D23" s="608">
        <f>D22*0.16</f>
        <v>30417.139200000001</v>
      </c>
    </row>
    <row r="24" spans="1:5" ht="18.75" customHeight="1" x14ac:dyDescent="0.3">
      <c r="A24" s="373"/>
      <c r="B24" s="614"/>
      <c r="C24" s="615" t="s">
        <v>14</v>
      </c>
      <c r="D24" s="611">
        <f>D22+D23</f>
        <v>220524.2592</v>
      </c>
    </row>
    <row r="25" spans="1:5" ht="18.75" customHeight="1" x14ac:dyDescent="0.25">
      <c r="A25" s="373"/>
      <c r="B25" s="798" t="s">
        <v>716</v>
      </c>
      <c r="C25" s="799"/>
      <c r="D25" s="800"/>
      <c r="E25" s="363"/>
    </row>
    <row r="26" spans="1:5" ht="18.75" customHeight="1" x14ac:dyDescent="0.25">
      <c r="A26" s="373"/>
      <c r="B26" s="363"/>
      <c r="C26" s="363"/>
      <c r="D26" s="363"/>
      <c r="E26" s="363"/>
    </row>
    <row r="27" spans="1:5" ht="15.75" customHeight="1" x14ac:dyDescent="0.25">
      <c r="B27" s="376" t="s">
        <v>15</v>
      </c>
      <c r="C27" s="377"/>
      <c r="D27" s="378"/>
    </row>
    <row r="28" spans="1:5" s="380" customFormat="1" ht="33.75" customHeight="1" x14ac:dyDescent="0.25">
      <c r="A28" s="345"/>
      <c r="B28" s="616" t="s">
        <v>717</v>
      </c>
      <c r="C28" s="363"/>
    </row>
    <row r="29" spans="1:5" s="380" customFormat="1" ht="15.75" customHeight="1" x14ac:dyDescent="0.25">
      <c r="B29" s="126" t="s">
        <v>17</v>
      </c>
    </row>
    <row r="30" spans="1:5" ht="13.5" customHeight="1" x14ac:dyDescent="0.25">
      <c r="A30" s="381"/>
      <c r="B30" s="213" t="s">
        <v>304</v>
      </c>
      <c r="C30" s="345"/>
      <c r="D30" s="345"/>
    </row>
    <row r="31" spans="1:5" ht="13.5" customHeight="1" x14ac:dyDescent="0.25">
      <c r="A31" s="381"/>
      <c r="B31" s="213" t="s">
        <v>21</v>
      </c>
      <c r="C31" s="345"/>
      <c r="D31" s="345"/>
    </row>
    <row r="32" spans="1:5" ht="13.5" customHeight="1" x14ac:dyDescent="0.25">
      <c r="A32" s="381"/>
      <c r="B32" s="213" t="s">
        <v>60</v>
      </c>
      <c r="C32" s="345"/>
      <c r="D32" s="345"/>
    </row>
    <row r="33" spans="1:4" ht="13.8" x14ac:dyDescent="0.25">
      <c r="A33" s="34"/>
      <c r="B33" s="135" t="s">
        <v>23</v>
      </c>
      <c r="C33" s="345"/>
      <c r="D33" s="345"/>
    </row>
    <row r="34" spans="1:4" ht="13.8" x14ac:dyDescent="0.25">
      <c r="A34" s="34"/>
      <c r="B34" s="214" t="s">
        <v>24</v>
      </c>
      <c r="C34" s="165"/>
      <c r="D34" s="56"/>
    </row>
    <row r="35" spans="1:4" ht="13.5" customHeight="1" x14ac:dyDescent="0.25">
      <c r="A35" s="62"/>
      <c r="B35" s="214" t="s">
        <v>25</v>
      </c>
      <c r="C35" s="165"/>
      <c r="D35" s="56"/>
    </row>
    <row r="36" spans="1:4" ht="13.5" customHeight="1" x14ac:dyDescent="0.25">
      <c r="A36" s="62"/>
      <c r="B36" s="135" t="s">
        <v>26</v>
      </c>
      <c r="C36" s="3"/>
      <c r="D36" s="56"/>
    </row>
    <row r="37" spans="1:4" ht="13.5" customHeight="1" x14ac:dyDescent="0.25">
      <c r="A37" s="62"/>
      <c r="B37" s="10" t="s">
        <v>718</v>
      </c>
      <c r="C37" s="3"/>
      <c r="D37" s="56"/>
    </row>
    <row r="38" spans="1:4" ht="13.5" customHeight="1" x14ac:dyDescent="0.25">
      <c r="A38" s="62"/>
      <c r="B38" s="215" t="s">
        <v>719</v>
      </c>
      <c r="C38" s="3"/>
      <c r="D38" s="56"/>
    </row>
    <row r="39" spans="1:4" ht="13.5" customHeight="1" x14ac:dyDescent="0.25">
      <c r="A39" s="1"/>
      <c r="B39" s="135" t="s">
        <v>29</v>
      </c>
      <c r="C39" s="3"/>
      <c r="D39" s="56"/>
    </row>
    <row r="40" spans="1:4" ht="15" x14ac:dyDescent="0.25">
      <c r="A40" s="62"/>
      <c r="B40" s="216" t="s">
        <v>321</v>
      </c>
      <c r="C40" s="3"/>
      <c r="D40" s="3"/>
    </row>
    <row r="41" spans="1:4" ht="15" x14ac:dyDescent="0.25">
      <c r="A41" s="62"/>
      <c r="B41" s="63" t="s">
        <v>31</v>
      </c>
      <c r="C41" s="3"/>
      <c r="D41" s="3"/>
    </row>
    <row r="42" spans="1:4" ht="15" x14ac:dyDescent="0.25">
      <c r="A42" s="62"/>
      <c r="B42" s="63" t="s">
        <v>32</v>
      </c>
      <c r="C42" s="54"/>
      <c r="D42" s="58"/>
    </row>
    <row r="43" spans="1:4" ht="33.6" x14ac:dyDescent="0.4">
      <c r="A43" s="62"/>
      <c r="B43" s="217" t="s">
        <v>33</v>
      </c>
      <c r="C43" s="54"/>
      <c r="D43" s="58"/>
    </row>
    <row r="44" spans="1:4" ht="16.8" x14ac:dyDescent="0.4">
      <c r="A44" s="62"/>
      <c r="B44" s="382"/>
      <c r="C44" s="54"/>
      <c r="D44" s="54"/>
    </row>
    <row r="45" spans="1:4" ht="13.8" x14ac:dyDescent="0.25">
      <c r="A45" s="1"/>
      <c r="B45" s="383"/>
      <c r="C45" s="54"/>
      <c r="D45" s="54"/>
    </row>
    <row r="46" spans="1:4" ht="15" x14ac:dyDescent="0.25">
      <c r="A46" s="62"/>
      <c r="B46" s="383"/>
      <c r="C46" s="3"/>
      <c r="D46" s="56"/>
    </row>
    <row r="47" spans="1:4" ht="15" x14ac:dyDescent="0.25">
      <c r="A47" s="62"/>
      <c r="B47" s="384"/>
      <c r="C47" s="54"/>
      <c r="D47" s="58"/>
    </row>
    <row r="48" spans="1:4" ht="16.2" x14ac:dyDescent="0.35">
      <c r="A48" s="62"/>
      <c r="B48" s="385"/>
      <c r="C48" s="54"/>
      <c r="D48" s="58"/>
    </row>
    <row r="49" spans="1:4" ht="13.8" x14ac:dyDescent="0.25">
      <c r="A49" s="139" t="s">
        <v>0</v>
      </c>
      <c r="C49" s="54"/>
      <c r="D49" s="58"/>
    </row>
    <row r="50" spans="1:4" ht="13.8" x14ac:dyDescent="0.25">
      <c r="A50" s="386"/>
      <c r="C50" s="54"/>
      <c r="D50" s="54"/>
    </row>
    <row r="51" spans="1:4" ht="13.8" x14ac:dyDescent="0.25">
      <c r="A51" s="387"/>
      <c r="C51" s="388"/>
      <c r="D51" s="388"/>
    </row>
    <row r="52" spans="1:4" x14ac:dyDescent="0.25">
      <c r="A52" s="387"/>
      <c r="C52" s="383"/>
      <c r="D52" s="345"/>
    </row>
    <row r="53" spans="1:4" x14ac:dyDescent="0.25">
      <c r="A53" s="389"/>
      <c r="C53" s="383"/>
      <c r="D53" s="345"/>
    </row>
    <row r="54" spans="1:4" x14ac:dyDescent="0.25">
      <c r="A54" s="390" t="s">
        <v>0</v>
      </c>
      <c r="C54" s="383"/>
      <c r="D54" s="345"/>
    </row>
    <row r="55" spans="1:4" x14ac:dyDescent="0.25">
      <c r="A55" s="345" t="s">
        <v>0</v>
      </c>
      <c r="C55" s="383"/>
      <c r="D55" s="383"/>
    </row>
    <row r="59" spans="1:4" ht="15.75" customHeight="1" x14ac:dyDescent="0.25"/>
    <row r="63" spans="1:4" ht="16.5" customHeight="1" x14ac:dyDescent="0.25"/>
    <row r="67" ht="24" customHeight="1" x14ac:dyDescent="0.25"/>
    <row r="68" ht="24" customHeight="1" x14ac:dyDescent="0.25"/>
  </sheetData>
  <mergeCells count="3">
    <mergeCell ref="A4:D4"/>
    <mergeCell ref="A13:D13"/>
    <mergeCell ref="B25:D25"/>
  </mergeCells>
  <pageMargins left="0" right="0" top="0" bottom="0" header="0" footer="0"/>
  <pageSetup scale="56"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7F51B-D501-4D64-8185-2CCECADF6B2D}">
  <sheetPr>
    <tabColor theme="4" tint="-0.249977111117893"/>
    <pageSetUpPr fitToPage="1"/>
  </sheetPr>
  <dimension ref="A1:P59"/>
  <sheetViews>
    <sheetView zoomScale="85" zoomScaleNormal="85" workbookViewId="0">
      <selection activeCell="A8" sqref="A8:D14"/>
    </sheetView>
  </sheetViews>
  <sheetFormatPr baseColWidth="10" defaultColWidth="11.44140625" defaultRowHeight="13.2" x14ac:dyDescent="0.25"/>
  <cols>
    <col min="1" max="1" width="6" style="1" customWidth="1"/>
    <col min="2" max="2" width="77.10937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720</v>
      </c>
      <c r="B8" s="68"/>
      <c r="C8" s="69"/>
      <c r="D8" s="69"/>
    </row>
    <row r="9" spans="1:16" s="4" customFormat="1" ht="19.2" x14ac:dyDescent="0.45">
      <c r="A9" s="67" t="s">
        <v>721</v>
      </c>
      <c r="B9" s="68"/>
      <c r="C9" s="69"/>
      <c r="D9" s="69"/>
    </row>
    <row r="10" spans="1:16" s="4" customFormat="1" ht="19.2" x14ac:dyDescent="0.45">
      <c r="A10" s="67" t="s">
        <v>722</v>
      </c>
      <c r="B10" s="68"/>
      <c r="C10" s="69"/>
      <c r="D10" s="69"/>
    </row>
    <row r="11" spans="1:16" s="4" customFormat="1" ht="19.2" x14ac:dyDescent="0.45">
      <c r="A11" s="67" t="s">
        <v>723</v>
      </c>
      <c r="B11" s="68"/>
      <c r="C11" s="70"/>
      <c r="D11" s="69"/>
    </row>
    <row r="12" spans="1:16" s="4" customFormat="1" ht="15" customHeight="1" x14ac:dyDescent="0.45">
      <c r="A12" s="67" t="s">
        <v>38</v>
      </c>
      <c r="B12" s="68"/>
      <c r="C12" s="70"/>
      <c r="D12" s="69"/>
    </row>
    <row r="13" spans="1:16" s="4" customFormat="1" ht="15" customHeight="1" x14ac:dyDescent="0.45">
      <c r="A13" s="71" t="s">
        <v>724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80">
        <v>1</v>
      </c>
      <c r="B16" s="104" t="s">
        <v>116</v>
      </c>
      <c r="C16" s="105">
        <v>7300</v>
      </c>
      <c r="D16" s="79">
        <f>A16*C16</f>
        <v>7300</v>
      </c>
      <c r="E16" s="13"/>
      <c r="N16" s="23"/>
      <c r="O16" s="23"/>
      <c r="P16" s="23"/>
    </row>
    <row r="17" spans="1:16" s="23" customFormat="1" ht="15.6" x14ac:dyDescent="0.3">
      <c r="A17" s="620"/>
      <c r="B17" s="85"/>
      <c r="C17" s="86" t="s">
        <v>49</v>
      </c>
      <c r="D17" s="87">
        <f>SUM(D16:D16)</f>
        <v>7300</v>
      </c>
      <c r="E17" s="1"/>
      <c r="F17" s="1"/>
      <c r="G17" s="1"/>
      <c r="H17" s="1"/>
      <c r="I17" s="1"/>
      <c r="J17" s="1"/>
      <c r="K17" s="1"/>
      <c r="L17" s="1"/>
      <c r="M17" s="1"/>
      <c r="N17" s="1"/>
    </row>
    <row r="18" spans="1:16" s="23" customFormat="1" ht="15.6" x14ac:dyDescent="0.3">
      <c r="A18" s="620"/>
      <c r="B18" s="85"/>
      <c r="C18" s="90" t="s">
        <v>51</v>
      </c>
      <c r="D18" s="87">
        <f>D17*0.16</f>
        <v>1168</v>
      </c>
      <c r="E18" s="13"/>
      <c r="F18" s="1"/>
      <c r="G18" s="1"/>
      <c r="H18" s="1"/>
      <c r="I18" s="1"/>
      <c r="J18" s="1"/>
      <c r="K18" s="1"/>
      <c r="L18" s="1"/>
      <c r="M18" s="1"/>
      <c r="N18" s="1"/>
    </row>
    <row r="19" spans="1:16" s="23" customFormat="1" ht="16.2" thickBot="1" x14ac:dyDescent="0.3">
      <c r="A19" s="620"/>
      <c r="B19" s="618"/>
      <c r="C19" s="90" t="s">
        <v>52</v>
      </c>
      <c r="D19" s="87">
        <f>SUM(D17:D18)</f>
        <v>8468</v>
      </c>
      <c r="E19" s="1"/>
      <c r="F19" s="1"/>
      <c r="G19" s="1"/>
      <c r="H19" s="1"/>
      <c r="I19" s="1"/>
      <c r="J19" s="1"/>
      <c r="K19" s="1"/>
      <c r="L19" s="1"/>
      <c r="M19" s="1"/>
      <c r="N19" s="1"/>
    </row>
    <row r="20" spans="1:16" s="23" customFormat="1" ht="19.95" customHeight="1" thickBot="1" x14ac:dyDescent="0.3">
      <c r="A20" s="619"/>
      <c r="B20" s="186" t="s">
        <v>705</v>
      </c>
      <c r="C20" s="36"/>
      <c r="D20" s="37"/>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3"/>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27.6" x14ac:dyDescent="0.25">
      <c r="A30" s="62"/>
      <c r="B30" s="333" t="s">
        <v>215</v>
      </c>
      <c r="C30" s="13"/>
      <c r="D30" s="1"/>
    </row>
    <row r="31" spans="1:16" ht="15" x14ac:dyDescent="0.25">
      <c r="A31" s="62"/>
      <c r="B31" s="334" t="s">
        <v>28</v>
      </c>
      <c r="C31" s="1"/>
      <c r="D31" s="1"/>
    </row>
    <row r="32" spans="1:16" ht="15" x14ac:dyDescent="0.25">
      <c r="A32" s="62"/>
      <c r="B32" s="130" t="s">
        <v>29</v>
      </c>
      <c r="C32" s="1"/>
      <c r="D32" s="1"/>
    </row>
    <row r="33" spans="1:4" ht="13.8" x14ac:dyDescent="0.25">
      <c r="B33" s="138" t="s">
        <v>706</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8" fitToWidth="0" orientation="portrait" r:id="rId1"/>
  <headerFooter alignWithMargins="0">
    <oddFooter>Página &amp;P de &amp;N</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1900-94A9-448A-AB55-E2592E983E79}">
  <sheetPr>
    <tabColor theme="4" tint="-0.249977111117893"/>
    <pageSetUpPr fitToPage="1"/>
  </sheetPr>
  <dimension ref="A1:P59"/>
  <sheetViews>
    <sheetView topLeftCell="A3" zoomScale="95" zoomScaleNormal="85" workbookViewId="0">
      <selection activeCell="B19" sqref="B19"/>
    </sheetView>
  </sheetViews>
  <sheetFormatPr baseColWidth="10" defaultColWidth="11.44140625" defaultRowHeight="13.2" x14ac:dyDescent="0.25"/>
  <cols>
    <col min="1" max="1" width="6" style="1" customWidth="1"/>
    <col min="2" max="2" width="72.44140625" style="1" customWidth="1"/>
    <col min="3" max="3" width="15.33203125" style="3" bestFit="1"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730</v>
      </c>
      <c r="B8" s="68"/>
      <c r="C8" s="69"/>
      <c r="D8" s="69"/>
    </row>
    <row r="9" spans="1:16" s="4" customFormat="1" ht="19.2" x14ac:dyDescent="0.45">
      <c r="A9" s="67" t="s">
        <v>731</v>
      </c>
      <c r="B9" s="68"/>
      <c r="C9" s="69"/>
      <c r="D9" s="69"/>
    </row>
    <row r="10" spans="1:16" s="4" customFormat="1" ht="19.2" x14ac:dyDescent="0.45">
      <c r="A10" s="67" t="s">
        <v>732</v>
      </c>
      <c r="B10" s="68"/>
      <c r="C10" s="69"/>
      <c r="D10" s="69"/>
    </row>
    <row r="11" spans="1:16" s="4" customFormat="1" ht="19.2" x14ac:dyDescent="0.45">
      <c r="A11" s="67" t="s">
        <v>733</v>
      </c>
      <c r="B11" s="68"/>
      <c r="C11" s="70"/>
      <c r="D11" s="69"/>
    </row>
    <row r="12" spans="1:16" s="4" customFormat="1" ht="15" customHeight="1" x14ac:dyDescent="0.45">
      <c r="A12" s="71" t="s">
        <v>724</v>
      </c>
      <c r="B12" s="72"/>
      <c r="C12" s="70"/>
      <c r="D12" s="69"/>
    </row>
    <row r="13" spans="1:16" s="4" customFormat="1" ht="15" customHeight="1" x14ac:dyDescent="0.45">
      <c r="A13" s="67" t="s">
        <v>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2</v>
      </c>
      <c r="B16" s="104" t="s">
        <v>725</v>
      </c>
      <c r="C16" s="105">
        <f>(1600*5)+10000</f>
        <v>18000</v>
      </c>
      <c r="D16" s="79">
        <f t="shared" ref="D16" si="0">A16*C16</f>
        <v>36000</v>
      </c>
      <c r="N16" s="23"/>
      <c r="O16" s="23"/>
      <c r="P16" s="23"/>
    </row>
    <row r="17" spans="1:16" s="23" customFormat="1" ht="15.6" x14ac:dyDescent="0.3">
      <c r="A17" s="99"/>
      <c r="B17" s="85" t="s">
        <v>734</v>
      </c>
      <c r="C17" s="86" t="s">
        <v>49</v>
      </c>
      <c r="D17" s="87">
        <f>SUM(D16:D16)</f>
        <v>36000</v>
      </c>
      <c r="E17" s="1"/>
      <c r="F17" s="1"/>
      <c r="G17" s="1"/>
      <c r="H17" s="1"/>
      <c r="I17" s="1"/>
      <c r="J17" s="1"/>
      <c r="K17" s="1"/>
      <c r="L17" s="1"/>
      <c r="M17" s="1"/>
    </row>
    <row r="18" spans="1:16" s="23" customFormat="1" ht="15.6" x14ac:dyDescent="0.3">
      <c r="A18" s="99"/>
      <c r="B18" s="85" t="s">
        <v>735</v>
      </c>
      <c r="C18" s="90" t="s">
        <v>51</v>
      </c>
      <c r="D18" s="87">
        <f>D17*0.16</f>
        <v>5760</v>
      </c>
      <c r="E18" s="1"/>
      <c r="F18" s="1"/>
      <c r="G18" s="1"/>
      <c r="H18" s="1"/>
      <c r="I18" s="1"/>
      <c r="J18" s="1"/>
      <c r="K18" s="1"/>
      <c r="L18" s="1"/>
      <c r="M18" s="1"/>
    </row>
    <row r="19" spans="1:16" s="23" customFormat="1" ht="16.2" thickBot="1" x14ac:dyDescent="0.3">
      <c r="A19" s="99"/>
      <c r="B19" s="621" t="s">
        <v>726</v>
      </c>
      <c r="C19" s="90" t="s">
        <v>52</v>
      </c>
      <c r="D19" s="87">
        <f>SUM(D17:D18)</f>
        <v>41760</v>
      </c>
      <c r="E19" s="1"/>
      <c r="F19" s="1"/>
      <c r="G19" s="1"/>
      <c r="H19" s="1"/>
      <c r="I19" s="1"/>
      <c r="J19" s="1"/>
      <c r="K19" s="1"/>
      <c r="L19" s="1"/>
      <c r="M19" s="1"/>
    </row>
    <row r="20" spans="1:16" s="23" customFormat="1" ht="16.2" thickBot="1" x14ac:dyDescent="0.3">
      <c r="A20" s="116"/>
      <c r="B20" s="186" t="s">
        <v>727</v>
      </c>
      <c r="C20" s="36"/>
      <c r="D20" s="37"/>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286"/>
      <c r="B23" s="135" t="s">
        <v>17</v>
      </c>
      <c r="C23" s="1"/>
      <c r="D23" s="1"/>
      <c r="O23" s="88"/>
      <c r="P23" s="88"/>
    </row>
    <row r="24" spans="1:16" s="88" customFormat="1" ht="15" x14ac:dyDescent="0.25">
      <c r="A24" s="288"/>
      <c r="B24" s="191" t="s">
        <v>729</v>
      </c>
      <c r="C24" s="1"/>
      <c r="D24" s="1"/>
      <c r="E24" s="1"/>
      <c r="F24" s="1"/>
      <c r="G24" s="1"/>
      <c r="H24" s="1"/>
      <c r="I24" s="1"/>
      <c r="J24" s="1"/>
      <c r="K24" s="1"/>
      <c r="L24" s="1"/>
      <c r="M24" s="1"/>
      <c r="N24" s="1"/>
      <c r="O24" s="1"/>
      <c r="P24" s="1"/>
    </row>
    <row r="25" spans="1:16" ht="15" x14ac:dyDescent="0.25">
      <c r="A25" s="288"/>
      <c r="B25" s="290" t="s">
        <v>60</v>
      </c>
      <c r="C25" s="1"/>
      <c r="D25" s="1"/>
    </row>
    <row r="26" spans="1:16" ht="15" x14ac:dyDescent="0.25">
      <c r="A26" s="288"/>
      <c r="B26" s="130" t="s">
        <v>23</v>
      </c>
      <c r="C26" s="13"/>
      <c r="D26" s="1"/>
    </row>
    <row r="27" spans="1:16" ht="27.6" x14ac:dyDescent="0.25">
      <c r="A27" s="288"/>
      <c r="B27" s="187" t="s">
        <v>62</v>
      </c>
      <c r="C27" s="13"/>
      <c r="D27" s="1"/>
    </row>
    <row r="28" spans="1:16" ht="15" x14ac:dyDescent="0.25">
      <c r="A28" s="288"/>
      <c r="B28" s="130" t="s">
        <v>26</v>
      </c>
      <c r="C28" s="13"/>
      <c r="D28" s="1"/>
    </row>
    <row r="29" spans="1:16" ht="15.6" customHeight="1" x14ac:dyDescent="0.25">
      <c r="A29" s="288"/>
      <c r="B29" s="512" t="s">
        <v>728</v>
      </c>
      <c r="C29" s="13"/>
      <c r="D29" s="1"/>
    </row>
    <row r="30" spans="1:16" ht="15" x14ac:dyDescent="0.25">
      <c r="A30" s="288"/>
      <c r="B30" s="512" t="s">
        <v>28</v>
      </c>
      <c r="C30" s="1"/>
      <c r="D30" s="1"/>
    </row>
    <row r="31" spans="1:16" ht="15" x14ac:dyDescent="0.25">
      <c r="A31" s="288"/>
      <c r="B31" s="130" t="s">
        <v>29</v>
      </c>
      <c r="C31" s="1"/>
      <c r="D31" s="1"/>
    </row>
    <row r="32" spans="1:16" ht="13.8" x14ac:dyDescent="0.25">
      <c r="A32" s="88"/>
      <c r="B32" s="190" t="s">
        <v>64</v>
      </c>
      <c r="C32" s="133"/>
      <c r="D32" s="134"/>
    </row>
    <row r="33" spans="1:4" ht="18" customHeight="1" x14ac:dyDescent="0.25">
      <c r="A33" s="288"/>
      <c r="B33" s="191" t="s">
        <v>31</v>
      </c>
      <c r="C33" s="54"/>
      <c r="D33" s="58"/>
    </row>
    <row r="34" spans="1:4" ht="15" x14ac:dyDescent="0.25">
      <c r="A34" s="288"/>
      <c r="B34" s="191" t="s">
        <v>32</v>
      </c>
      <c r="C34" s="54"/>
    </row>
    <row r="35" spans="1:4" ht="50.4" x14ac:dyDescent="0.25">
      <c r="A35" s="293" t="s">
        <v>0</v>
      </c>
      <c r="B35" s="193" t="s">
        <v>65</v>
      </c>
      <c r="C35" s="141"/>
      <c r="D35" s="1"/>
    </row>
    <row r="36" spans="1:4" x14ac:dyDescent="0.25">
      <c r="A36" s="142"/>
      <c r="B36" s="64"/>
      <c r="C36" s="64"/>
      <c r="D36" s="1"/>
    </row>
    <row r="37" spans="1:4" ht="17.399999999999999" customHeight="1" x14ac:dyDescent="0.25">
      <c r="A37" s="142"/>
      <c r="B37" s="64"/>
      <c r="C37" s="64"/>
      <c r="D37" s="1"/>
    </row>
    <row r="38" spans="1:4" x14ac:dyDescent="0.25">
      <c r="A38" s="142"/>
      <c r="B38" s="143"/>
      <c r="C38" s="64"/>
      <c r="D38" s="1"/>
    </row>
    <row r="39" spans="1:4" ht="15" x14ac:dyDescent="0.35">
      <c r="A39" s="144"/>
      <c r="B39" s="145"/>
      <c r="C39" s="64"/>
      <c r="D39" s="64"/>
    </row>
    <row r="40" spans="1:4" x14ac:dyDescent="0.25">
      <c r="A40" s="146" t="s">
        <v>0</v>
      </c>
    </row>
    <row r="41" spans="1:4" x14ac:dyDescent="0.25">
      <c r="A41"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9" fitToWidth="0" orientation="portrait" r:id="rId1"/>
  <headerFooter alignWithMargins="0">
    <oddFooter>Página &amp;P de &amp;N</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4B43-FE9E-4560-A847-EF23022B3A6D}">
  <sheetPr>
    <tabColor theme="4" tint="-0.249977111117893"/>
  </sheetPr>
  <dimension ref="A1:P59"/>
  <sheetViews>
    <sheetView zoomScale="85" zoomScaleNormal="85" workbookViewId="0">
      <selection activeCell="B32" sqref="B32"/>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742</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95">
        <v>200</v>
      </c>
      <c r="B16" s="96" t="s">
        <v>736</v>
      </c>
      <c r="C16" s="97">
        <v>1100</v>
      </c>
      <c r="D16" s="98">
        <f>A16*C16</f>
        <v>220000</v>
      </c>
      <c r="N16" s="23"/>
      <c r="O16" s="23"/>
      <c r="P16" s="23"/>
    </row>
    <row r="17" spans="1:16" s="23" customFormat="1" ht="15.6" x14ac:dyDescent="0.3">
      <c r="A17" s="620"/>
      <c r="B17" s="91"/>
      <c r="C17" s="90" t="s">
        <v>49</v>
      </c>
      <c r="D17" s="87">
        <f>SUM(D16:K16)</f>
        <v>220000</v>
      </c>
      <c r="E17" s="1"/>
      <c r="F17" s="1"/>
      <c r="G17" s="1"/>
      <c r="H17" s="1"/>
      <c r="I17" s="1"/>
      <c r="J17" s="1"/>
      <c r="K17" s="1"/>
      <c r="L17" s="1"/>
      <c r="M17" s="1"/>
    </row>
    <row r="18" spans="1:16" s="23" customFormat="1" ht="15.6" x14ac:dyDescent="0.3">
      <c r="A18" s="620"/>
      <c r="B18" s="91"/>
      <c r="C18" s="90" t="s">
        <v>51</v>
      </c>
      <c r="D18" s="87">
        <f>D17*0.16</f>
        <v>35200</v>
      </c>
      <c r="E18" s="1"/>
      <c r="F18" s="1"/>
      <c r="G18" s="1"/>
      <c r="H18" s="1"/>
      <c r="I18" s="1"/>
      <c r="J18" s="1"/>
      <c r="K18" s="1"/>
      <c r="L18" s="1"/>
      <c r="M18"/>
    </row>
    <row r="19" spans="1:16" s="23" customFormat="1" ht="16.2" thickBot="1" x14ac:dyDescent="0.3">
      <c r="A19" s="620"/>
      <c r="B19" s="628"/>
      <c r="C19" s="629" t="s">
        <v>52</v>
      </c>
      <c r="D19" s="87">
        <f>SUM(D17:D18)</f>
        <v>255200</v>
      </c>
      <c r="E19" s="1"/>
      <c r="F19" s="1"/>
      <c r="G19" s="1"/>
      <c r="H19" s="1"/>
      <c r="I19" s="1"/>
      <c r="J19" s="1"/>
      <c r="K19" s="1"/>
      <c r="L19" s="1"/>
      <c r="M19" s="1"/>
    </row>
    <row r="20" spans="1:16" s="23" customFormat="1" ht="16.2" thickBot="1" x14ac:dyDescent="0.3">
      <c r="A20" s="619"/>
      <c r="B20" s="186" t="s">
        <v>741</v>
      </c>
      <c r="C20" s="36"/>
      <c r="D20" s="37"/>
      <c r="E20" s="1"/>
      <c r="F20" s="1"/>
      <c r="G20" s="1"/>
      <c r="H20" s="1"/>
      <c r="I20" s="1"/>
      <c r="J20" s="1"/>
      <c r="K20" s="1"/>
      <c r="L20" s="1"/>
      <c r="M20" s="1"/>
      <c r="N20" s="1"/>
      <c r="O20" s="1"/>
      <c r="P20" s="1"/>
    </row>
    <row r="21" spans="1:16" ht="13.8" x14ac:dyDescent="0.25">
      <c r="A21" s="34"/>
      <c r="B21" s="126" t="s">
        <v>17</v>
      </c>
      <c r="C21" s="1"/>
      <c r="D21" s="1"/>
    </row>
    <row r="22" spans="1:16" ht="15" x14ac:dyDescent="0.25">
      <c r="A22" s="62"/>
      <c r="B22" s="127" t="s">
        <v>19</v>
      </c>
      <c r="C22" s="1"/>
      <c r="D22" s="1"/>
    </row>
    <row r="23" spans="1:16" ht="15" x14ac:dyDescent="0.25">
      <c r="A23" s="62"/>
      <c r="B23" s="129" t="s">
        <v>60</v>
      </c>
      <c r="C23" s="13"/>
      <c r="D23" s="1"/>
      <c r="O23" s="88"/>
      <c r="P23" s="88"/>
    </row>
    <row r="24" spans="1:16" s="88" customFormat="1" ht="15" x14ac:dyDescent="0.25">
      <c r="A24" s="62"/>
      <c r="B24" s="130" t="s">
        <v>23</v>
      </c>
      <c r="C24" s="1"/>
      <c r="D24" s="1"/>
      <c r="E24" s="1"/>
      <c r="F24" s="1"/>
      <c r="G24" s="1"/>
      <c r="H24" s="1"/>
      <c r="I24" s="1"/>
      <c r="J24" s="1"/>
      <c r="K24" s="1"/>
      <c r="L24" s="1"/>
      <c r="M24" s="1"/>
      <c r="N24" s="1"/>
      <c r="O24" s="1"/>
      <c r="P24" s="1"/>
    </row>
    <row r="25" spans="1:16" ht="41.4" x14ac:dyDescent="0.25">
      <c r="A25" s="62"/>
      <c r="B25" s="132" t="s">
        <v>62</v>
      </c>
      <c r="C25" s="13"/>
      <c r="D25" s="1"/>
    </row>
    <row r="26" spans="1:16" ht="15" x14ac:dyDescent="0.25">
      <c r="A26" s="62"/>
      <c r="B26" s="130" t="s">
        <v>26</v>
      </c>
      <c r="C26" s="13"/>
      <c r="D26" s="1"/>
    </row>
    <row r="27" spans="1:16" ht="15" x14ac:dyDescent="0.25">
      <c r="A27" s="62"/>
      <c r="B27" s="627" t="s">
        <v>740</v>
      </c>
      <c r="C27" s="13"/>
      <c r="D27" s="1"/>
    </row>
    <row r="28" spans="1:16" ht="15" x14ac:dyDescent="0.25">
      <c r="A28" s="62"/>
      <c r="B28" s="130" t="s">
        <v>29</v>
      </c>
      <c r="C28" s="1"/>
      <c r="D28" s="1"/>
    </row>
    <row r="29" spans="1:16" ht="13.8" x14ac:dyDescent="0.25">
      <c r="B29" s="138" t="s">
        <v>64</v>
      </c>
      <c r="C29" s="1"/>
      <c r="D29" s="1"/>
    </row>
    <row r="30" spans="1:16" ht="15" x14ac:dyDescent="0.25">
      <c r="A30" s="62"/>
      <c r="B30" s="127" t="s">
        <v>31</v>
      </c>
      <c r="C30" s="54"/>
      <c r="D30" s="58"/>
    </row>
    <row r="31" spans="1:16" ht="15" x14ac:dyDescent="0.25">
      <c r="A31" s="62"/>
      <c r="B31" s="127" t="s">
        <v>743</v>
      </c>
      <c r="C31" s="54"/>
    </row>
    <row r="32" spans="1:16" ht="67.2" x14ac:dyDescent="0.4">
      <c r="A32" s="139" t="s">
        <v>0</v>
      </c>
      <c r="B32" s="140" t="s">
        <v>65</v>
      </c>
      <c r="C32" s="141"/>
      <c r="D32" s="1"/>
    </row>
    <row r="33" spans="1:4" x14ac:dyDescent="0.25">
      <c r="A33" s="142"/>
      <c r="B33" s="64"/>
      <c r="C33" s="64"/>
      <c r="D33" s="1"/>
    </row>
    <row r="34" spans="1:4" x14ac:dyDescent="0.25">
      <c r="A34" s="142"/>
      <c r="B34" s="64"/>
      <c r="C34" s="64"/>
      <c r="D34" s="1"/>
    </row>
    <row r="35" spans="1:4" x14ac:dyDescent="0.25">
      <c r="A35" s="142"/>
      <c r="B35" s="143"/>
      <c r="C35" s="64"/>
      <c r="D35" s="1"/>
    </row>
    <row r="36" spans="1:4" ht="15" x14ac:dyDescent="0.35">
      <c r="A36" s="144"/>
      <c r="B36" s="145"/>
      <c r="C36" s="64"/>
      <c r="D36" s="64"/>
    </row>
    <row r="37" spans="1:4" x14ac:dyDescent="0.25">
      <c r="A37" s="146" t="s">
        <v>0</v>
      </c>
    </row>
    <row r="38" spans="1:4" x14ac:dyDescent="0.25">
      <c r="A38"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fitToHeight="0" orientation="portrait" r:id="rId1"/>
  <headerFooter alignWithMargins="0">
    <oddFooter>Página &amp;P de &amp;N</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16EB4-66AD-40F5-AC30-338BD85AB85A}">
  <sheetPr>
    <tabColor theme="4" tint="-0.249977111117893"/>
    <pageSetUpPr fitToPage="1"/>
  </sheetPr>
  <dimension ref="A1:P59"/>
  <sheetViews>
    <sheetView topLeftCell="A6" zoomScale="85" zoomScaleNormal="85" workbookViewId="0">
      <selection activeCell="A10" sqref="A10"/>
    </sheetView>
  </sheetViews>
  <sheetFormatPr baseColWidth="10" defaultColWidth="11.44140625" defaultRowHeight="13.2" x14ac:dyDescent="0.25"/>
  <cols>
    <col min="1" max="1" width="6" style="1" customWidth="1"/>
    <col min="2" max="2" width="85.5546875" style="1" customWidth="1"/>
    <col min="3" max="3" width="14.88671875" style="3" bestFit="1"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720</v>
      </c>
      <c r="B8" s="68"/>
      <c r="C8" s="69"/>
      <c r="D8" s="69"/>
    </row>
    <row r="9" spans="1:16" s="4" customFormat="1" ht="19.2" x14ac:dyDescent="0.45">
      <c r="A9" s="67" t="s">
        <v>739</v>
      </c>
      <c r="B9" s="68"/>
      <c r="C9" s="69"/>
      <c r="D9" s="69"/>
    </row>
    <row r="10" spans="1:16" s="4" customFormat="1" ht="19.2" x14ac:dyDescent="0.45">
      <c r="A10" s="67" t="s">
        <v>722</v>
      </c>
      <c r="B10" s="68"/>
      <c r="C10" s="69"/>
      <c r="D10" s="69"/>
    </row>
    <row r="11" spans="1:16" s="4" customFormat="1" ht="19.2" x14ac:dyDescent="0.45">
      <c r="A11" s="67" t="s">
        <v>737</v>
      </c>
      <c r="B11" s="68"/>
      <c r="C11" s="70"/>
      <c r="D11" s="69"/>
    </row>
    <row r="12" spans="1:16" s="4" customFormat="1" ht="15" customHeight="1" x14ac:dyDescent="0.45">
      <c r="A12" s="67" t="s">
        <v>38</v>
      </c>
      <c r="B12" s="68"/>
      <c r="C12" s="70"/>
      <c r="D12" s="69"/>
    </row>
    <row r="13" spans="1:16" s="4" customFormat="1" ht="15" customHeight="1" x14ac:dyDescent="0.45">
      <c r="A13" s="71" t="s">
        <v>738</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622"/>
      <c r="B15" s="75"/>
      <c r="C15" s="515"/>
      <c r="D15" s="515"/>
      <c r="E15" s="13"/>
      <c r="F15" s="1"/>
      <c r="G15" s="1"/>
      <c r="H15" s="1"/>
      <c r="I15" s="1"/>
      <c r="J15" s="1"/>
      <c r="K15" s="1"/>
      <c r="L15" s="1"/>
      <c r="M15" s="1"/>
      <c r="N15" s="1"/>
      <c r="O15" s="1"/>
      <c r="P15" s="1"/>
    </row>
    <row r="16" spans="1:16" ht="15.6" x14ac:dyDescent="0.25">
      <c r="A16" s="95">
        <v>8</v>
      </c>
      <c r="B16" s="96" t="s">
        <v>115</v>
      </c>
      <c r="C16" s="97">
        <f>(226*19*1.4)</f>
        <v>6011.5999999999995</v>
      </c>
      <c r="D16" s="98">
        <f>A16*C16</f>
        <v>48092.799999999996</v>
      </c>
      <c r="E16" s="13"/>
      <c r="N16" s="23"/>
      <c r="O16" s="23"/>
      <c r="P16" s="23"/>
    </row>
    <row r="17" spans="1:16" s="23" customFormat="1" ht="45" x14ac:dyDescent="0.25">
      <c r="A17" s="106">
        <v>1</v>
      </c>
      <c r="B17" s="107" t="s">
        <v>117</v>
      </c>
      <c r="C17" s="108">
        <v>84000</v>
      </c>
      <c r="D17" s="109">
        <f>A17*C17</f>
        <v>84000</v>
      </c>
      <c r="E17" s="13"/>
      <c r="F17" s="1"/>
      <c r="G17" s="1"/>
      <c r="H17" s="1"/>
      <c r="I17" s="1"/>
      <c r="J17" s="1"/>
      <c r="K17" s="1"/>
      <c r="L17" s="1"/>
      <c r="M17" s="1"/>
    </row>
    <row r="18" spans="1:16" s="23" customFormat="1" ht="15.6" x14ac:dyDescent="0.25">
      <c r="A18" s="106">
        <v>8</v>
      </c>
      <c r="B18" s="107" t="s">
        <v>118</v>
      </c>
      <c r="C18" s="108">
        <v>2350</v>
      </c>
      <c r="D18" s="109">
        <f>A18*C18</f>
        <v>18800</v>
      </c>
      <c r="E18" s="13"/>
      <c r="F18" s="1"/>
      <c r="G18" s="1"/>
      <c r="H18" s="1"/>
      <c r="I18" s="1"/>
      <c r="J18" s="1"/>
      <c r="K18" s="1"/>
      <c r="L18" s="1"/>
      <c r="M18" s="1"/>
    </row>
    <row r="19" spans="1:16" s="23" customFormat="1" ht="15.6" x14ac:dyDescent="0.25">
      <c r="A19" s="106">
        <v>10</v>
      </c>
      <c r="B19" s="107" t="s">
        <v>119</v>
      </c>
      <c r="C19" s="108">
        <v>320</v>
      </c>
      <c r="D19" s="109">
        <f>A19*C19</f>
        <v>3200</v>
      </c>
      <c r="E19" s="13"/>
      <c r="F19" s="1"/>
      <c r="G19" s="1"/>
      <c r="H19" s="1"/>
      <c r="I19" s="1"/>
      <c r="J19" s="1"/>
      <c r="K19" s="1"/>
      <c r="L19" s="1"/>
      <c r="M19" s="1"/>
    </row>
    <row r="20" spans="1:16" s="23" customFormat="1" ht="15.6" x14ac:dyDescent="0.25">
      <c r="A20" s="80"/>
      <c r="B20" s="623"/>
      <c r="C20" s="90" t="s">
        <v>49</v>
      </c>
      <c r="D20" s="87">
        <f>SUM(D16:D19)</f>
        <v>154092.79999999999</v>
      </c>
      <c r="E20" s="13"/>
      <c r="F20" s="1"/>
      <c r="G20" s="1"/>
      <c r="H20" s="1"/>
      <c r="I20" s="1"/>
      <c r="J20" s="1"/>
      <c r="K20" s="1"/>
      <c r="L20" s="1"/>
      <c r="M20" s="1"/>
      <c r="N20" s="1"/>
      <c r="O20" s="1"/>
      <c r="P20" s="1"/>
    </row>
    <row r="21" spans="1:16" ht="15.6" x14ac:dyDescent="0.25">
      <c r="A21" s="110"/>
      <c r="B21" s="111"/>
      <c r="C21" s="90" t="s">
        <v>51</v>
      </c>
      <c r="D21" s="87">
        <f>D20*0.16</f>
        <v>24654.847999999998</v>
      </c>
    </row>
    <row r="22" spans="1:16" ht="15.6" x14ac:dyDescent="0.25">
      <c r="A22" s="116"/>
      <c r="B22" s="117"/>
      <c r="C22" s="90" t="s">
        <v>52</v>
      </c>
      <c r="D22" s="87">
        <f>SUM(D20:D21)</f>
        <v>178747.64799999999</v>
      </c>
    </row>
    <row r="23" spans="1:16" ht="15.6" x14ac:dyDescent="0.25">
      <c r="A23" s="624"/>
      <c r="B23" s="623"/>
      <c r="C23" s="625"/>
      <c r="D23" s="626"/>
      <c r="E23" s="17"/>
      <c r="F23" s="23"/>
      <c r="G23" s="23"/>
      <c r="H23" s="23"/>
      <c r="I23" s="23"/>
      <c r="J23" s="23"/>
      <c r="K23" s="23"/>
      <c r="L23" s="23"/>
      <c r="O23" s="88"/>
      <c r="P23" s="88"/>
    </row>
    <row r="24" spans="1:16" s="88" customFormat="1" ht="13.8" x14ac:dyDescent="0.25">
      <c r="A24" s="34"/>
      <c r="B24" s="120" t="s">
        <v>15</v>
      </c>
      <c r="C24" s="13"/>
      <c r="D24" s="1"/>
      <c r="E24" s="13"/>
      <c r="F24" s="1"/>
      <c r="G24" s="1"/>
      <c r="H24" s="1"/>
      <c r="I24" s="1"/>
      <c r="J24" s="1"/>
      <c r="K24" s="1"/>
      <c r="L24" s="1"/>
      <c r="M24" s="1"/>
      <c r="N24" s="1"/>
    </row>
    <row r="25" spans="1:16" ht="15.6" x14ac:dyDescent="0.25">
      <c r="A25" s="34"/>
      <c r="B25" s="123"/>
      <c r="C25" s="1"/>
      <c r="D25" s="1"/>
    </row>
    <row r="26" spans="1:16" ht="13.8" x14ac:dyDescent="0.25">
      <c r="A26" s="34"/>
      <c r="B26" s="126" t="s">
        <v>17</v>
      </c>
      <c r="C26" s="1"/>
      <c r="D26" s="1"/>
    </row>
    <row r="27" spans="1:16" ht="15" x14ac:dyDescent="0.25">
      <c r="A27" s="62"/>
      <c r="B27" s="127" t="s">
        <v>19</v>
      </c>
      <c r="C27" s="1"/>
      <c r="D27" s="1"/>
    </row>
    <row r="28" spans="1:16" ht="15" x14ac:dyDescent="0.25">
      <c r="A28" s="62"/>
      <c r="B28" s="129" t="s">
        <v>60</v>
      </c>
      <c r="C28" s="13"/>
      <c r="D28" s="1"/>
    </row>
    <row r="29" spans="1:16" ht="15" x14ac:dyDescent="0.25">
      <c r="A29" s="62"/>
      <c r="B29" s="130" t="s">
        <v>23</v>
      </c>
      <c r="C29" s="1"/>
      <c r="D29" s="1"/>
      <c r="N29" s="88"/>
    </row>
    <row r="30" spans="1:16" ht="27.6" x14ac:dyDescent="0.25">
      <c r="A30" s="62"/>
      <c r="B30" s="132" t="s">
        <v>62</v>
      </c>
      <c r="C30" s="1"/>
      <c r="D30" s="1"/>
    </row>
    <row r="31" spans="1:16" ht="15" x14ac:dyDescent="0.25">
      <c r="A31" s="62"/>
      <c r="B31" s="135" t="s">
        <v>26</v>
      </c>
      <c r="C31" s="1"/>
      <c r="D31" s="1"/>
    </row>
    <row r="32" spans="1:16" ht="27.6" x14ac:dyDescent="0.25">
      <c r="A32" s="62"/>
      <c r="B32" s="136" t="s">
        <v>121</v>
      </c>
      <c r="C32" s="13"/>
      <c r="D32" s="1"/>
    </row>
    <row r="33" spans="1:4" ht="15" x14ac:dyDescent="0.25">
      <c r="A33" s="62"/>
      <c r="B33" s="137" t="s">
        <v>28</v>
      </c>
      <c r="C33" s="133"/>
      <c r="D33" s="134"/>
    </row>
    <row r="34" spans="1:4" ht="15" x14ac:dyDescent="0.25">
      <c r="A34" s="62"/>
      <c r="B34" s="135" t="s">
        <v>29</v>
      </c>
      <c r="C34" s="54"/>
      <c r="D34" s="58"/>
    </row>
    <row r="35" spans="1:4" ht="13.8" x14ac:dyDescent="0.25">
      <c r="B35" s="138" t="s">
        <v>64</v>
      </c>
      <c r="C35" s="54"/>
      <c r="D35" s="54"/>
    </row>
    <row r="36" spans="1:4" ht="15" x14ac:dyDescent="0.25">
      <c r="A36" s="62"/>
      <c r="B36" s="127" t="s">
        <v>31</v>
      </c>
      <c r="C36" s="54"/>
      <c r="D36" s="54"/>
    </row>
    <row r="37" spans="1:4" ht="15" x14ac:dyDescent="0.25">
      <c r="A37" s="62"/>
      <c r="B37" s="127" t="s">
        <v>32</v>
      </c>
      <c r="D37" s="56"/>
    </row>
    <row r="38" spans="1:4" ht="50.4" x14ac:dyDescent="0.4">
      <c r="A38" s="139" t="s">
        <v>0</v>
      </c>
      <c r="B38" s="140" t="s">
        <v>65</v>
      </c>
      <c r="C38" s="54"/>
      <c r="D38" s="58"/>
    </row>
    <row r="39" spans="1:4" ht="13.8" x14ac:dyDescent="0.25">
      <c r="A39" s="142"/>
      <c r="B39" s="64"/>
      <c r="C39" s="54"/>
      <c r="D39" s="58"/>
    </row>
    <row r="40" spans="1:4" ht="13.8" x14ac:dyDescent="0.25">
      <c r="A40" s="142"/>
      <c r="B40" s="64"/>
      <c r="C40" s="54"/>
    </row>
    <row r="41" spans="1:4" ht="13.8" x14ac:dyDescent="0.25">
      <c r="A41" s="142"/>
      <c r="B41" s="143"/>
      <c r="C41" s="141"/>
      <c r="D41" s="1"/>
    </row>
    <row r="42" spans="1:4" ht="15" x14ac:dyDescent="0.35">
      <c r="A42" s="144"/>
      <c r="B42" s="145"/>
      <c r="C42" s="64"/>
      <c r="D42" s="1"/>
    </row>
    <row r="43" spans="1:4" x14ac:dyDescent="0.25">
      <c r="A43" s="146" t="s">
        <v>0</v>
      </c>
      <c r="C43" s="64"/>
      <c r="D43" s="1"/>
    </row>
    <row r="44" spans="1:4" x14ac:dyDescent="0.25">
      <c r="A44" s="1" t="s">
        <v>0</v>
      </c>
      <c r="C44" s="64"/>
      <c r="D44" s="1"/>
    </row>
    <row r="45" spans="1:4" x14ac:dyDescent="0.25">
      <c r="C45" s="64"/>
      <c r="D45" s="64"/>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9" fitToWidth="0" orientation="portrait" r:id="rId1"/>
  <headerFooter alignWithMargins="0">
    <oddFooter>Página &amp;P de &amp;N</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829-E04F-4491-AE3B-20BE5CD618C6}">
  <sheetPr>
    <tabColor theme="4" tint="-0.249977111117893"/>
  </sheetPr>
  <dimension ref="A1:P59"/>
  <sheetViews>
    <sheetView zoomScale="85" zoomScaleNormal="85" workbookViewId="0">
      <selection activeCell="A37" sqref="A37"/>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748</v>
      </c>
      <c r="B8" s="68"/>
      <c r="C8" s="69"/>
      <c r="D8" s="69"/>
    </row>
    <row r="9" spans="1:16" s="4" customFormat="1" ht="19.2" x14ac:dyDescent="0.45">
      <c r="A9" s="67" t="s">
        <v>749</v>
      </c>
      <c r="B9" s="68"/>
      <c r="C9" s="69"/>
      <c r="D9" s="69"/>
    </row>
    <row r="10" spans="1:16" s="4" customFormat="1" ht="19.2" x14ac:dyDescent="0.45">
      <c r="A10" s="67" t="s">
        <v>750</v>
      </c>
      <c r="B10" s="68"/>
      <c r="C10" s="69"/>
      <c r="D10" s="69"/>
    </row>
    <row r="11" spans="1:16" s="4" customFormat="1" ht="19.2" x14ac:dyDescent="0.45">
      <c r="A11" s="67" t="s">
        <v>38</v>
      </c>
      <c r="B11" s="68"/>
      <c r="C11" s="70"/>
      <c r="D11" s="69"/>
    </row>
    <row r="12" spans="1:16" s="4" customFormat="1" ht="15" customHeight="1" x14ac:dyDescent="0.45">
      <c r="A12" s="71" t="s">
        <v>751</v>
      </c>
      <c r="B12" s="72"/>
      <c r="C12" s="73"/>
      <c r="D12" s="74"/>
    </row>
    <row r="13" spans="1:16" s="4" customFormat="1" ht="15" customHeight="1" x14ac:dyDescent="0.4">
      <c r="A13" s="744" t="s">
        <v>40</v>
      </c>
      <c r="B13" s="745"/>
      <c r="C13" s="746"/>
      <c r="D13" s="747"/>
      <c r="E13" s="10"/>
      <c r="F13" s="10"/>
      <c r="G13" s="10"/>
    </row>
    <row r="14" spans="1:16" s="4" customFormat="1" ht="15" customHeight="1" x14ac:dyDescent="0.4">
      <c r="A14" s="14"/>
      <c r="B14" s="75"/>
      <c r="C14" s="16"/>
      <c r="D14" s="16"/>
      <c r="E14" s="1"/>
      <c r="F14" s="1"/>
      <c r="G14" s="1"/>
      <c r="H14" s="10"/>
      <c r="I14" s="10"/>
      <c r="J14" s="10"/>
      <c r="K14" s="10"/>
      <c r="L14" s="10"/>
      <c r="M14" s="10"/>
      <c r="N14" s="10"/>
      <c r="O14" s="10"/>
      <c r="P14" s="10"/>
    </row>
    <row r="15" spans="1:16" s="10" customFormat="1" ht="30" x14ac:dyDescent="0.25">
      <c r="A15" s="630">
        <v>1</v>
      </c>
      <c r="B15" s="631" t="s">
        <v>744</v>
      </c>
      <c r="C15" s="632">
        <v>7250</v>
      </c>
      <c r="D15" s="98">
        <f>A15*C15</f>
        <v>7250</v>
      </c>
      <c r="E15" s="17"/>
      <c r="F15" s="23"/>
      <c r="G15" s="23"/>
      <c r="H15" s="1"/>
      <c r="I15" s="1"/>
      <c r="J15" s="1"/>
      <c r="K15" s="1"/>
      <c r="L15" s="1"/>
      <c r="M15" s="1"/>
      <c r="N15" s="1"/>
      <c r="O15" s="1"/>
      <c r="P15" s="1"/>
    </row>
    <row r="16" spans="1:16" ht="45" x14ac:dyDescent="0.25">
      <c r="A16" s="95">
        <v>1</v>
      </c>
      <c r="B16" s="96" t="s">
        <v>745</v>
      </c>
      <c r="C16" s="97">
        <v>62400</v>
      </c>
      <c r="D16" s="98">
        <f>A16*C16</f>
        <v>62400</v>
      </c>
      <c r="N16" s="23"/>
      <c r="O16" s="23"/>
      <c r="P16" s="23"/>
    </row>
    <row r="17" spans="1:16" s="23" customFormat="1" ht="30" x14ac:dyDescent="0.25">
      <c r="A17" s="95">
        <v>1</v>
      </c>
      <c r="B17" s="96" t="s">
        <v>744</v>
      </c>
      <c r="C17" s="97">
        <v>7250</v>
      </c>
      <c r="D17" s="98">
        <f>A17*C17</f>
        <v>7250</v>
      </c>
      <c r="E17" s="1"/>
      <c r="F17" s="1"/>
      <c r="G17" s="1"/>
      <c r="H17" s="1"/>
      <c r="I17" s="1"/>
      <c r="J17" s="1"/>
      <c r="K17" s="1"/>
      <c r="L17" s="1"/>
      <c r="M17" s="1"/>
    </row>
    <row r="18" spans="1:16" s="23" customFormat="1" ht="15.6" x14ac:dyDescent="0.3">
      <c r="A18" s="620"/>
      <c r="B18" s="635" t="s">
        <v>747</v>
      </c>
      <c r="C18" s="633" t="s">
        <v>49</v>
      </c>
      <c r="D18" s="87">
        <f>SUM(D15:D17)</f>
        <v>76900</v>
      </c>
      <c r="E18" s="1"/>
      <c r="F18" s="1"/>
      <c r="G18" s="1"/>
      <c r="H18" s="1"/>
      <c r="I18" s="1"/>
      <c r="J18" s="1"/>
      <c r="K18" s="1"/>
      <c r="L18" s="1"/>
      <c r="M18"/>
    </row>
    <row r="19" spans="1:16" s="23" customFormat="1" ht="15.6" x14ac:dyDescent="0.3">
      <c r="A19" s="620"/>
      <c r="B19" s="91"/>
      <c r="C19" s="90" t="s">
        <v>51</v>
      </c>
      <c r="D19" s="87">
        <f>D18*0.16</f>
        <v>12304</v>
      </c>
      <c r="E19" s="1"/>
      <c r="F19" s="1"/>
      <c r="G19" s="1"/>
      <c r="H19" s="1"/>
      <c r="I19" s="1"/>
      <c r="J19" s="1"/>
      <c r="K19" s="1"/>
      <c r="L19" s="1"/>
      <c r="M19" s="1"/>
    </row>
    <row r="20" spans="1:16" s="23" customFormat="1" ht="16.2" thickBot="1" x14ac:dyDescent="0.3">
      <c r="A20" s="620"/>
      <c r="B20" s="628"/>
      <c r="C20" s="629" t="s">
        <v>52</v>
      </c>
      <c r="D20" s="87">
        <f>SUM(D18:D19)</f>
        <v>89204</v>
      </c>
      <c r="E20" s="1"/>
      <c r="F20" s="1"/>
      <c r="G20" s="1"/>
      <c r="H20" s="1"/>
      <c r="I20" s="1"/>
      <c r="J20" s="1"/>
      <c r="K20" s="1"/>
      <c r="L20" s="1"/>
      <c r="M20" s="1"/>
      <c r="N20" s="1"/>
      <c r="O20" s="1"/>
      <c r="P20" s="1"/>
    </row>
    <row r="21" spans="1:16" ht="18" thickBot="1" x14ac:dyDescent="0.3">
      <c r="A21" s="619"/>
      <c r="B21" s="634" t="s">
        <v>746</v>
      </c>
      <c r="C21" s="36"/>
      <c r="D21" s="37"/>
    </row>
    <row r="22" spans="1:16" ht="13.8" x14ac:dyDescent="0.25">
      <c r="A22" s="34"/>
      <c r="B22" s="126" t="s">
        <v>17</v>
      </c>
      <c r="C22" s="1"/>
      <c r="D22" s="1"/>
    </row>
    <row r="23" spans="1:16" ht="15" x14ac:dyDescent="0.25">
      <c r="A23" s="62"/>
      <c r="B23" s="127" t="s">
        <v>79</v>
      </c>
      <c r="C23" s="1"/>
      <c r="D23" s="1"/>
      <c r="O23" s="88"/>
      <c r="P23" s="88"/>
    </row>
    <row r="24" spans="1:16" s="88" customFormat="1" ht="15" x14ac:dyDescent="0.25">
      <c r="A24" s="62"/>
      <c r="B24" s="129" t="s">
        <v>60</v>
      </c>
      <c r="C24" s="13"/>
      <c r="D24" s="1"/>
      <c r="E24" s="1"/>
      <c r="F24" s="1"/>
      <c r="G24" s="1"/>
      <c r="H24" s="1"/>
      <c r="I24" s="1"/>
      <c r="J24" s="1"/>
      <c r="K24" s="1"/>
      <c r="L24" s="1"/>
      <c r="M24" s="1"/>
      <c r="N24" s="1"/>
      <c r="O24" s="1"/>
      <c r="P24" s="1"/>
    </row>
    <row r="25" spans="1:16" ht="15" x14ac:dyDescent="0.25">
      <c r="A25" s="62"/>
      <c r="B25" s="130" t="s">
        <v>23</v>
      </c>
      <c r="C25" s="1"/>
      <c r="D25" s="1"/>
    </row>
    <row r="26" spans="1:16" ht="41.4" x14ac:dyDescent="0.25">
      <c r="A26" s="62"/>
      <c r="B26" s="132" t="s">
        <v>62</v>
      </c>
      <c r="C26" s="13"/>
      <c r="D26" s="1"/>
    </row>
    <row r="27" spans="1:16" ht="15" x14ac:dyDescent="0.25">
      <c r="A27" s="62"/>
      <c r="B27" s="130" t="s">
        <v>29</v>
      </c>
      <c r="C27" s="1"/>
      <c r="D27" s="1"/>
    </row>
    <row r="28" spans="1:16" ht="13.8" x14ac:dyDescent="0.25">
      <c r="B28" s="138" t="s">
        <v>64</v>
      </c>
      <c r="C28" s="1"/>
      <c r="D28" s="1"/>
    </row>
    <row r="29" spans="1:16" ht="15" x14ac:dyDescent="0.25">
      <c r="A29" s="62"/>
      <c r="B29" s="127" t="s">
        <v>31</v>
      </c>
      <c r="C29" s="54"/>
      <c r="D29" s="58"/>
    </row>
    <row r="30" spans="1:16" ht="15" x14ac:dyDescent="0.25">
      <c r="A30" s="62"/>
      <c r="B30" s="127" t="s">
        <v>743</v>
      </c>
      <c r="C30" s="54"/>
    </row>
    <row r="31" spans="1:16" ht="67.2" x14ac:dyDescent="0.4">
      <c r="A31" s="139" t="s">
        <v>0</v>
      </c>
      <c r="B31" s="140" t="s">
        <v>65</v>
      </c>
      <c r="C31" s="141"/>
      <c r="D31" s="1"/>
    </row>
    <row r="32" spans="1:16" x14ac:dyDescent="0.25">
      <c r="A32" s="142"/>
      <c r="B32" s="64"/>
      <c r="C32" s="64"/>
      <c r="D32" s="1"/>
    </row>
    <row r="33" spans="1:4" x14ac:dyDescent="0.25">
      <c r="A33" s="142"/>
      <c r="B33" s="64"/>
      <c r="C33" s="64"/>
      <c r="D33" s="1"/>
    </row>
    <row r="34" spans="1:4" x14ac:dyDescent="0.25">
      <c r="A34" s="142"/>
      <c r="B34" s="143"/>
      <c r="C34" s="64"/>
      <c r="D34" s="1"/>
    </row>
    <row r="35" spans="1:4" ht="15" x14ac:dyDescent="0.35">
      <c r="A35" s="144"/>
      <c r="B35" s="145"/>
      <c r="C35" s="64"/>
      <c r="D35" s="64"/>
    </row>
    <row r="36" spans="1:4" x14ac:dyDescent="0.25">
      <c r="A36" s="146"/>
    </row>
    <row r="37" spans="1:4" x14ac:dyDescent="0.25">
      <c r="A37" s="1" t="s">
        <v>0</v>
      </c>
    </row>
    <row r="50" ht="12.75" customHeight="1" x14ac:dyDescent="0.25"/>
    <row r="58" ht="15.75" customHeight="1" x14ac:dyDescent="0.25"/>
    <row r="59" ht="15" customHeight="1" x14ac:dyDescent="0.25"/>
  </sheetData>
  <mergeCells count="2">
    <mergeCell ref="A4:D4"/>
    <mergeCell ref="A13:D13"/>
  </mergeCells>
  <printOptions horizontalCentered="1"/>
  <pageMargins left="0.25" right="0.25" top="0.75" bottom="0.75" header="0.3" footer="0.3"/>
  <pageSetup paperSize="9" fitToHeight="0" orientation="portrait" r:id="rId1"/>
  <headerFooter alignWithMargins="0">
    <oddFooter>Página &amp;P de &amp;N</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3A64-310C-42B3-A7BA-79580D8454D8}">
  <sheetPr>
    <tabColor theme="4" tint="-0.249977111117893"/>
    <pageSetUpPr fitToPage="1"/>
  </sheetPr>
  <dimension ref="A1:G40"/>
  <sheetViews>
    <sheetView topLeftCell="A14" zoomScaleNormal="100" workbookViewId="0">
      <selection activeCell="A15" sqref="A15"/>
    </sheetView>
  </sheetViews>
  <sheetFormatPr baseColWidth="10" defaultColWidth="11.44140625" defaultRowHeight="13.2" x14ac:dyDescent="0.25"/>
  <cols>
    <col min="1" max="1" width="6" style="222" customWidth="1"/>
    <col min="2" max="2" width="74.5546875" style="222" customWidth="1"/>
    <col min="3" max="3" width="12.6640625" style="53" bestFit="1" customWidth="1"/>
    <col min="4" max="4" width="13" style="53" customWidth="1"/>
    <col min="5" max="16384" width="11.44140625" style="222"/>
  </cols>
  <sheetData>
    <row r="1" spans="1:7" ht="81" customHeight="1" x14ac:dyDescent="0.25">
      <c r="A1" s="222" t="s">
        <v>0</v>
      </c>
      <c r="C1" s="223"/>
    </row>
    <row r="2" spans="1:7" ht="9" customHeight="1" x14ac:dyDescent="0.25">
      <c r="C2" s="223"/>
    </row>
    <row r="3" spans="1:7" ht="9" customHeight="1" x14ac:dyDescent="0.25">
      <c r="C3" s="223"/>
    </row>
    <row r="4" spans="1:7" s="224" customFormat="1" ht="16.8" x14ac:dyDescent="0.4">
      <c r="A4" s="765"/>
      <c r="B4" s="765"/>
      <c r="C4" s="765"/>
      <c r="D4" s="765"/>
    </row>
    <row r="5" spans="1:7" s="224" customFormat="1" ht="16.8" x14ac:dyDescent="0.4">
      <c r="A5" s="225"/>
      <c r="C5" s="226"/>
      <c r="D5" s="226"/>
    </row>
    <row r="6" spans="1:7" s="224" customFormat="1" ht="16.8" x14ac:dyDescent="0.4">
      <c r="A6" s="225"/>
      <c r="C6" s="226"/>
      <c r="D6" s="226"/>
    </row>
    <row r="7" spans="1:7" s="224" customFormat="1" ht="19.2" x14ac:dyDescent="0.45">
      <c r="A7" s="67" t="s">
        <v>668</v>
      </c>
      <c r="B7" s="68"/>
      <c r="C7" s="69"/>
      <c r="D7" s="69"/>
      <c r="E7" s="4"/>
      <c r="F7" s="4"/>
      <c r="G7" s="4"/>
    </row>
    <row r="8" spans="1:7" s="224" customFormat="1" ht="19.2" x14ac:dyDescent="0.45">
      <c r="A8" s="67" t="s">
        <v>669</v>
      </c>
      <c r="B8" s="68"/>
      <c r="C8" s="69"/>
      <c r="D8" s="69"/>
      <c r="E8" s="4"/>
      <c r="F8" s="4"/>
      <c r="G8" s="4"/>
    </row>
    <row r="9" spans="1:7" s="224" customFormat="1" ht="19.2" x14ac:dyDescent="0.45">
      <c r="A9" s="67" t="s">
        <v>670</v>
      </c>
      <c r="B9" s="68"/>
      <c r="C9" s="69"/>
      <c r="D9" s="69"/>
      <c r="E9" s="4"/>
      <c r="F9" s="4"/>
      <c r="G9" s="4"/>
    </row>
    <row r="10" spans="1:7" s="224" customFormat="1" ht="19.2" x14ac:dyDescent="0.45">
      <c r="A10" s="67" t="s">
        <v>671</v>
      </c>
      <c r="B10" s="68"/>
      <c r="C10" s="70"/>
      <c r="D10" s="69"/>
      <c r="E10" s="4"/>
      <c r="F10" s="4"/>
      <c r="G10" s="4"/>
    </row>
    <row r="11" spans="1:7" s="224" customFormat="1" ht="19.2" x14ac:dyDescent="0.45">
      <c r="A11" s="67" t="s">
        <v>672</v>
      </c>
      <c r="B11" s="68"/>
      <c r="C11" s="70"/>
      <c r="D11" s="69"/>
      <c r="E11" s="4"/>
      <c r="F11" s="4"/>
      <c r="G11" s="4"/>
    </row>
    <row r="12" spans="1:7" s="224" customFormat="1" ht="15" customHeight="1" x14ac:dyDescent="0.45">
      <c r="A12" s="67" t="s">
        <v>38</v>
      </c>
      <c r="B12" s="72"/>
      <c r="C12" s="73"/>
      <c r="D12" s="74"/>
      <c r="G12" s="4"/>
    </row>
    <row r="13" spans="1:7" s="224" customFormat="1" ht="19.2" x14ac:dyDescent="0.45">
      <c r="A13" s="592" t="s">
        <v>673</v>
      </c>
      <c r="B13" s="593"/>
      <c r="C13" s="73"/>
      <c r="D13" s="594"/>
      <c r="E13" s="235"/>
      <c r="F13" s="235"/>
    </row>
    <row r="14" spans="1:7" s="224" customFormat="1" ht="16.8" x14ac:dyDescent="0.4">
      <c r="A14" s="595"/>
      <c r="B14" s="596"/>
      <c r="C14" s="597"/>
      <c r="D14" s="597"/>
      <c r="E14" s="233"/>
      <c r="F14" s="222"/>
    </row>
    <row r="15" spans="1:7" s="235" customFormat="1" ht="30" x14ac:dyDescent="0.25">
      <c r="A15" s="80">
        <v>1</v>
      </c>
      <c r="B15" s="167" t="s">
        <v>675</v>
      </c>
      <c r="C15" s="168">
        <f>140*105</f>
        <v>14700</v>
      </c>
      <c r="D15" s="79">
        <f t="shared" ref="D15:D19" si="0">A15*C15</f>
        <v>14700</v>
      </c>
      <c r="E15" s="234"/>
      <c r="F15" s="242"/>
    </row>
    <row r="16" spans="1:7" ht="15.6" x14ac:dyDescent="0.25">
      <c r="A16" s="80">
        <v>1</v>
      </c>
      <c r="B16" s="167" t="s">
        <v>676</v>
      </c>
      <c r="C16" s="168">
        <v>5380</v>
      </c>
      <c r="D16" s="79">
        <f t="shared" si="0"/>
        <v>5380</v>
      </c>
      <c r="E16" s="233"/>
      <c r="F16" s="242"/>
    </row>
    <row r="17" spans="1:6" s="242" customFormat="1" ht="30" x14ac:dyDescent="0.25">
      <c r="A17" s="95">
        <v>2</v>
      </c>
      <c r="B17" s="96" t="s">
        <v>667</v>
      </c>
      <c r="C17" s="583">
        <v>2100</v>
      </c>
      <c r="D17" s="98">
        <f t="shared" si="0"/>
        <v>4200</v>
      </c>
      <c r="E17" s="233"/>
    </row>
    <row r="18" spans="1:6" ht="30" x14ac:dyDescent="0.25">
      <c r="A18" s="18">
        <v>1</v>
      </c>
      <c r="B18" s="591" t="s">
        <v>431</v>
      </c>
      <c r="C18" s="552">
        <v>1300</v>
      </c>
      <c r="D18" s="21">
        <f t="shared" si="0"/>
        <v>1300</v>
      </c>
      <c r="E18" s="233"/>
      <c r="F18" s="242"/>
    </row>
    <row r="19" spans="1:6" ht="15.6" x14ac:dyDescent="0.25">
      <c r="A19" s="18">
        <v>1</v>
      </c>
      <c r="B19" s="591" t="s">
        <v>684</v>
      </c>
      <c r="C19" s="552">
        <f>6200*1.4+2000</f>
        <v>10680</v>
      </c>
      <c r="D19" s="21">
        <f t="shared" si="0"/>
        <v>10680</v>
      </c>
      <c r="E19" s="233"/>
      <c r="F19" s="242"/>
    </row>
    <row r="20" spans="1:6" ht="15.6" x14ac:dyDescent="0.25">
      <c r="A20" s="370"/>
      <c r="B20" s="475"/>
      <c r="C20" s="476" t="s">
        <v>170</v>
      </c>
      <c r="D20" s="21">
        <f>SUM(D15:D19)</f>
        <v>36260</v>
      </c>
    </row>
    <row r="21" spans="1:6" ht="15.6" x14ac:dyDescent="0.3">
      <c r="A21" s="373"/>
      <c r="B21" s="475"/>
      <c r="C21" s="477" t="s">
        <v>319</v>
      </c>
      <c r="D21" s="21">
        <v>0</v>
      </c>
    </row>
    <row r="22" spans="1:6" ht="16.2" thickBot="1" x14ac:dyDescent="0.35">
      <c r="A22" s="373"/>
      <c r="B22" s="475"/>
      <c r="C22" s="478" t="s">
        <v>14</v>
      </c>
      <c r="D22" s="479">
        <f>D20+D21</f>
        <v>36260</v>
      </c>
    </row>
    <row r="23" spans="1:6" ht="16.2" thickBot="1" x14ac:dyDescent="0.3">
      <c r="A23" s="373"/>
      <c r="B23" s="785" t="s">
        <v>692</v>
      </c>
      <c r="C23" s="786"/>
      <c r="D23" s="787"/>
    </row>
    <row r="24" spans="1:6" ht="15" x14ac:dyDescent="0.25">
      <c r="A24" s="480"/>
      <c r="B24" s="47" t="s">
        <v>17</v>
      </c>
      <c r="C24" s="222"/>
      <c r="D24" s="222"/>
    </row>
    <row r="25" spans="1:6" ht="15" x14ac:dyDescent="0.25">
      <c r="A25" s="480"/>
      <c r="B25" s="481" t="s">
        <v>432</v>
      </c>
      <c r="C25" s="222"/>
      <c r="D25" s="222"/>
    </row>
    <row r="26" spans="1:6" ht="15" x14ac:dyDescent="0.25">
      <c r="A26" s="480"/>
      <c r="B26" s="50" t="s">
        <v>433</v>
      </c>
      <c r="C26" s="222"/>
      <c r="D26" s="222"/>
    </row>
    <row r="27" spans="1:6" ht="15" x14ac:dyDescent="0.25">
      <c r="A27" s="480"/>
      <c r="B27" s="47" t="s">
        <v>23</v>
      </c>
      <c r="C27" s="483"/>
      <c r="D27" s="483"/>
    </row>
    <row r="28" spans="1:6" ht="27.6" x14ac:dyDescent="0.25">
      <c r="A28" s="480"/>
      <c r="B28" s="55" t="s">
        <v>62</v>
      </c>
      <c r="C28" s="57"/>
      <c r="D28" s="262"/>
    </row>
    <row r="29" spans="1:6" ht="15" x14ac:dyDescent="0.25">
      <c r="A29" s="480"/>
      <c r="B29" s="52" t="s">
        <v>26</v>
      </c>
      <c r="C29" s="57"/>
      <c r="D29" s="57"/>
    </row>
    <row r="30" spans="1:6" ht="15" x14ac:dyDescent="0.25">
      <c r="A30" s="480"/>
      <c r="B30" s="59" t="s">
        <v>436</v>
      </c>
      <c r="C30" s="57"/>
      <c r="D30" s="57"/>
    </row>
    <row r="31" spans="1:6" ht="13.8" x14ac:dyDescent="0.25">
      <c r="B31" s="60" t="s">
        <v>28</v>
      </c>
      <c r="D31" s="260"/>
    </row>
    <row r="32" spans="1:6" ht="15" x14ac:dyDescent="0.25">
      <c r="A32" s="480"/>
      <c r="B32" s="52" t="s">
        <v>29</v>
      </c>
      <c r="C32" s="57"/>
      <c r="D32" s="262"/>
    </row>
    <row r="33" spans="1:4" ht="15" x14ac:dyDescent="0.25">
      <c r="A33" s="480"/>
      <c r="B33" s="61" t="s">
        <v>674</v>
      </c>
      <c r="C33" s="57"/>
      <c r="D33" s="262"/>
    </row>
    <row r="34" spans="1:4" ht="13.8" x14ac:dyDescent="0.25">
      <c r="A34" s="484" t="s">
        <v>0</v>
      </c>
      <c r="B34" s="50" t="s">
        <v>438</v>
      </c>
      <c r="C34" s="57"/>
      <c r="D34" s="57"/>
    </row>
    <row r="35" spans="1:4" ht="50.4" x14ac:dyDescent="0.25">
      <c r="A35" s="263"/>
      <c r="B35" s="66" t="s">
        <v>33</v>
      </c>
      <c r="C35" s="265"/>
      <c r="D35" s="265"/>
    </row>
    <row r="36" spans="1:4" ht="16.8" x14ac:dyDescent="0.4">
      <c r="A36" s="266"/>
      <c r="B36" s="264"/>
      <c r="C36" s="267"/>
      <c r="D36" s="222"/>
    </row>
    <row r="37" spans="1:4" x14ac:dyDescent="0.25">
      <c r="A37" s="266"/>
      <c r="B37" s="267"/>
      <c r="C37" s="267"/>
      <c r="D37" s="222"/>
    </row>
    <row r="38" spans="1:4" x14ac:dyDescent="0.25">
      <c r="A38" s="268"/>
      <c r="B38" s="267"/>
      <c r="C38" s="267"/>
      <c r="D38" s="222"/>
    </row>
    <row r="39" spans="1:4" x14ac:dyDescent="0.25">
      <c r="A39" s="270" t="s">
        <v>0</v>
      </c>
      <c r="B39" s="269"/>
      <c r="C39" s="267"/>
      <c r="D39" s="267"/>
    </row>
    <row r="40" spans="1:4" ht="15" x14ac:dyDescent="0.35">
      <c r="A40" s="222" t="s">
        <v>0</v>
      </c>
      <c r="B40" s="271"/>
    </row>
  </sheetData>
  <mergeCells count="2">
    <mergeCell ref="A4:D4"/>
    <mergeCell ref="B23:D23"/>
  </mergeCells>
  <printOptions horizontalCentered="1"/>
  <pageMargins left="0.25" right="0.25" top="0.75" bottom="0.75" header="0.3" footer="0.3"/>
  <pageSetup scale="83" fitToWidth="0" orientation="portrait" r:id="rId1"/>
  <headerFooter alignWithMargins="0">
    <oddFooter>Página &amp;P de &amp;N</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56E5F-3367-4386-A200-9EC486897892}">
  <sheetPr>
    <tabColor theme="4" tint="-0.249977111117893"/>
    <pageSetUpPr fitToPage="1"/>
  </sheetPr>
  <dimension ref="A1:F73"/>
  <sheetViews>
    <sheetView topLeftCell="A29" zoomScaleNormal="100" workbookViewId="0">
      <selection activeCell="A22" activeCellId="1" sqref="A15:D17 A22:D22"/>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760</v>
      </c>
      <c r="B7" s="4"/>
      <c r="C7" s="227"/>
      <c r="D7" s="227"/>
    </row>
    <row r="8" spans="1:6" s="224" customFormat="1" ht="16.8" x14ac:dyDescent="0.4">
      <c r="A8" s="5" t="s">
        <v>761</v>
      </c>
      <c r="B8" s="4"/>
      <c r="C8" s="227"/>
      <c r="D8" s="227"/>
    </row>
    <row r="9" spans="1:6" s="224" customFormat="1" ht="16.8" x14ac:dyDescent="0.4">
      <c r="A9" s="5" t="s">
        <v>762</v>
      </c>
      <c r="B9" s="4"/>
      <c r="C9" s="227"/>
      <c r="D9" s="227"/>
    </row>
    <row r="10" spans="1:6" s="224" customFormat="1" ht="16.8" x14ac:dyDescent="0.4">
      <c r="A10" s="5" t="s">
        <v>293</v>
      </c>
      <c r="B10" s="4"/>
      <c r="C10" s="228"/>
      <c r="D10" s="227"/>
    </row>
    <row r="11" spans="1:6" s="224" customFormat="1" ht="16.8" x14ac:dyDescent="0.4">
      <c r="A11" s="8" t="s">
        <v>583</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3.8" x14ac:dyDescent="0.25">
      <c r="A15" s="236">
        <v>1</v>
      </c>
      <c r="B15" s="237" t="s">
        <v>763</v>
      </c>
      <c r="C15" s="238">
        <f>(87965)*(1.35)</f>
        <v>118752.75000000001</v>
      </c>
      <c r="D15" s="239">
        <f t="shared" ref="D15:D41" si="0">A15*C15</f>
        <v>118752.75000000001</v>
      </c>
      <c r="E15" s="234"/>
      <c r="F15" s="222"/>
    </row>
    <row r="16" spans="1:6" x14ac:dyDescent="0.25">
      <c r="A16" s="240"/>
      <c r="B16" s="241" t="s">
        <v>765</v>
      </c>
      <c r="C16" s="238"/>
      <c r="D16" s="239"/>
      <c r="E16" s="233"/>
      <c r="F16" s="242"/>
    </row>
    <row r="17" spans="1:5" s="242" customFormat="1" ht="16.5" customHeight="1" x14ac:dyDescent="0.25">
      <c r="A17" s="240">
        <v>1</v>
      </c>
      <c r="B17" s="241" t="s">
        <v>764</v>
      </c>
      <c r="C17" s="238">
        <f>(39921)*(1.35)</f>
        <v>53893.350000000006</v>
      </c>
      <c r="D17" s="239">
        <f t="shared" si="0"/>
        <v>53893.350000000006</v>
      </c>
      <c r="E17" s="233"/>
    </row>
    <row r="18" spans="1:5" ht="13.5" customHeight="1" x14ac:dyDescent="0.25">
      <c r="A18" s="243">
        <v>1</v>
      </c>
      <c r="B18" s="244" t="s">
        <v>766</v>
      </c>
      <c r="C18" s="238">
        <f>(9627)*(1.35)</f>
        <v>12996.45</v>
      </c>
      <c r="D18" s="239">
        <f t="shared" si="0"/>
        <v>12996.45</v>
      </c>
      <c r="E18" s="13"/>
    </row>
    <row r="19" spans="1:5" ht="13.5" customHeight="1" x14ac:dyDescent="0.25">
      <c r="A19" s="243">
        <v>2</v>
      </c>
      <c r="B19" s="244" t="s">
        <v>767</v>
      </c>
      <c r="C19" s="238">
        <f>(6200)*(1.35)</f>
        <v>8370</v>
      </c>
      <c r="D19" s="239">
        <f t="shared" si="0"/>
        <v>16740</v>
      </c>
      <c r="E19" s="233"/>
    </row>
    <row r="20" spans="1:5" ht="13.5" customHeight="1" x14ac:dyDescent="0.25">
      <c r="A20" s="243">
        <v>33</v>
      </c>
      <c r="B20" s="244" t="s">
        <v>771</v>
      </c>
      <c r="C20" s="245">
        <f>5230*1.32</f>
        <v>6903.6</v>
      </c>
      <c r="D20" s="246">
        <f t="shared" si="0"/>
        <v>227818.80000000002</v>
      </c>
      <c r="E20" s="233"/>
    </row>
    <row r="21" spans="1:5" ht="13.5" customHeight="1" x14ac:dyDescent="0.25">
      <c r="A21" s="247">
        <v>210</v>
      </c>
      <c r="B21" s="248" t="s">
        <v>772</v>
      </c>
      <c r="C21" s="249">
        <f>915*1.33</f>
        <v>1216.95</v>
      </c>
      <c r="D21" s="250">
        <f>A21*C21</f>
        <v>255559.5</v>
      </c>
      <c r="E21" s="233"/>
    </row>
    <row r="22" spans="1:5" ht="26.4" x14ac:dyDescent="0.25">
      <c r="A22" s="243">
        <v>200</v>
      </c>
      <c r="B22" s="244" t="s">
        <v>774</v>
      </c>
      <c r="C22" s="245">
        <f>95</f>
        <v>95</v>
      </c>
      <c r="D22" s="246">
        <f t="shared" si="0"/>
        <v>19000</v>
      </c>
      <c r="E22" s="233"/>
    </row>
    <row r="23" spans="1:5" x14ac:dyDescent="0.25">
      <c r="A23" s="243"/>
      <c r="B23" s="244" t="s">
        <v>151</v>
      </c>
      <c r="C23" s="245"/>
      <c r="D23" s="246"/>
      <c r="E23" s="233"/>
    </row>
    <row r="24" spans="1:5" x14ac:dyDescent="0.25">
      <c r="A24" s="243">
        <v>1</v>
      </c>
      <c r="B24" s="244" t="s">
        <v>472</v>
      </c>
      <c r="C24" s="245">
        <v>4230</v>
      </c>
      <c r="D24" s="246">
        <f t="shared" si="0"/>
        <v>4230</v>
      </c>
      <c r="E24" s="233"/>
    </row>
    <row r="25" spans="1:5" ht="26.4" x14ac:dyDescent="0.25">
      <c r="A25" s="243"/>
      <c r="B25" s="244" t="s">
        <v>153</v>
      </c>
      <c r="C25" s="245"/>
      <c r="D25" s="246"/>
      <c r="E25" s="233"/>
    </row>
    <row r="26" spans="1:5" x14ac:dyDescent="0.25">
      <c r="A26" s="243">
        <v>2</v>
      </c>
      <c r="B26" s="244" t="s">
        <v>154</v>
      </c>
      <c r="C26" s="245">
        <v>2680</v>
      </c>
      <c r="D26" s="246">
        <f t="shared" si="0"/>
        <v>5360</v>
      </c>
      <c r="E26" s="233"/>
    </row>
    <row r="27" spans="1:5" x14ac:dyDescent="0.25">
      <c r="A27" s="243">
        <v>200</v>
      </c>
      <c r="B27" s="244" t="s">
        <v>155</v>
      </c>
      <c r="C27" s="245">
        <v>25.6</v>
      </c>
      <c r="D27" s="246">
        <f t="shared" si="0"/>
        <v>5120</v>
      </c>
      <c r="E27" s="233"/>
    </row>
    <row r="28" spans="1:5" ht="26.4" x14ac:dyDescent="0.25">
      <c r="A28" s="243">
        <v>1</v>
      </c>
      <c r="B28" s="244" t="s">
        <v>775</v>
      </c>
      <c r="C28" s="238">
        <f>6392*18*1.3</f>
        <v>149572.80000000002</v>
      </c>
      <c r="D28" s="246">
        <f t="shared" si="0"/>
        <v>149572.80000000002</v>
      </c>
      <c r="E28" s="233"/>
    </row>
    <row r="29" spans="1:5" x14ac:dyDescent="0.25">
      <c r="A29" s="243">
        <v>1</v>
      </c>
      <c r="B29" s="244" t="s">
        <v>776</v>
      </c>
      <c r="C29" s="238">
        <f>(9965)*1.3</f>
        <v>12954.5</v>
      </c>
      <c r="D29" s="246">
        <f t="shared" si="0"/>
        <v>12954.5</v>
      </c>
      <c r="E29" s="233"/>
    </row>
    <row r="30" spans="1:5" ht="52.8" x14ac:dyDescent="0.25">
      <c r="A30" s="243">
        <v>1</v>
      </c>
      <c r="B30" s="244" t="s">
        <v>158</v>
      </c>
      <c r="C30" s="238">
        <v>6340</v>
      </c>
      <c r="D30" s="246">
        <f t="shared" si="0"/>
        <v>6340</v>
      </c>
      <c r="E30" s="233"/>
    </row>
    <row r="31" spans="1:5" x14ac:dyDescent="0.25">
      <c r="A31" s="243">
        <v>1</v>
      </c>
      <c r="B31" s="244" t="s">
        <v>777</v>
      </c>
      <c r="C31" s="245">
        <f>6200*1.4</f>
        <v>8680</v>
      </c>
      <c r="D31" s="246">
        <f t="shared" si="0"/>
        <v>8680</v>
      </c>
      <c r="E31" s="233"/>
    </row>
    <row r="32" spans="1:5" x14ac:dyDescent="0.25">
      <c r="A32" s="243">
        <v>2</v>
      </c>
      <c r="B32" s="244" t="s">
        <v>480</v>
      </c>
      <c r="C32" s="245">
        <f>2500*1.4</f>
        <v>3500</v>
      </c>
      <c r="D32" s="246">
        <f t="shared" si="0"/>
        <v>7000</v>
      </c>
      <c r="E32" s="233"/>
    </row>
    <row r="33" spans="1:5" x14ac:dyDescent="0.25">
      <c r="A33" s="243">
        <v>1</v>
      </c>
      <c r="B33" s="244" t="s">
        <v>161</v>
      </c>
      <c r="C33" s="245">
        <v>1543</v>
      </c>
      <c r="D33" s="246">
        <f t="shared" si="0"/>
        <v>1543</v>
      </c>
      <c r="E33" s="233"/>
    </row>
    <row r="34" spans="1:5" x14ac:dyDescent="0.25">
      <c r="A34" s="243">
        <v>1</v>
      </c>
      <c r="B34" s="244" t="s">
        <v>481</v>
      </c>
      <c r="C34" s="245">
        <f>6354*1.3</f>
        <v>8260.2000000000007</v>
      </c>
      <c r="D34" s="246">
        <f t="shared" si="0"/>
        <v>8260.2000000000007</v>
      </c>
      <c r="E34" s="233"/>
    </row>
    <row r="35" spans="1:5" x14ac:dyDescent="0.25">
      <c r="A35" s="243">
        <v>1</v>
      </c>
      <c r="B35" s="244" t="s">
        <v>752</v>
      </c>
      <c r="C35" s="245">
        <f>2957*1.3</f>
        <v>3844.1</v>
      </c>
      <c r="D35" s="246">
        <f t="shared" si="0"/>
        <v>3844.1</v>
      </c>
      <c r="E35" s="233"/>
    </row>
    <row r="36" spans="1:5" x14ac:dyDescent="0.25">
      <c r="A36" s="243">
        <v>1</v>
      </c>
      <c r="B36" s="244" t="s">
        <v>483</v>
      </c>
      <c r="C36" s="245">
        <f>4057.81*1.3</f>
        <v>5275.1530000000002</v>
      </c>
      <c r="D36" s="246">
        <f t="shared" si="0"/>
        <v>5275.1530000000002</v>
      </c>
      <c r="E36" s="233"/>
    </row>
    <row r="37" spans="1:5" x14ac:dyDescent="0.25">
      <c r="A37" s="243">
        <v>1</v>
      </c>
      <c r="B37" s="244" t="s">
        <v>484</v>
      </c>
      <c r="C37" s="245">
        <f>2495.54*1.3</f>
        <v>3244.2020000000002</v>
      </c>
      <c r="D37" s="246">
        <f t="shared" si="0"/>
        <v>3244.2020000000002</v>
      </c>
      <c r="E37" s="233"/>
    </row>
    <row r="38" spans="1:5" x14ac:dyDescent="0.25">
      <c r="A38" s="243">
        <v>8</v>
      </c>
      <c r="B38" s="244" t="s">
        <v>485</v>
      </c>
      <c r="C38" s="245">
        <f>27*1.4</f>
        <v>37.799999999999997</v>
      </c>
      <c r="D38" s="246">
        <f t="shared" si="0"/>
        <v>302.39999999999998</v>
      </c>
      <c r="E38" s="233"/>
    </row>
    <row r="39" spans="1:5" x14ac:dyDescent="0.25">
      <c r="A39" s="243">
        <v>1</v>
      </c>
      <c r="B39" s="244" t="s">
        <v>486</v>
      </c>
      <c r="C39" s="245">
        <f>24*1.4</f>
        <v>33.599999999999994</v>
      </c>
      <c r="D39" s="246">
        <f t="shared" si="0"/>
        <v>33.599999999999994</v>
      </c>
      <c r="E39" s="233"/>
    </row>
    <row r="40" spans="1:5" x14ac:dyDescent="0.25">
      <c r="A40" s="243">
        <v>56</v>
      </c>
      <c r="B40" s="244" t="s">
        <v>488</v>
      </c>
      <c r="C40" s="245">
        <v>28</v>
      </c>
      <c r="D40" s="246">
        <f t="shared" si="0"/>
        <v>1568</v>
      </c>
      <c r="E40" s="233"/>
    </row>
    <row r="41" spans="1:5" x14ac:dyDescent="0.25">
      <c r="A41" s="243">
        <v>6</v>
      </c>
      <c r="B41" s="244" t="s">
        <v>778</v>
      </c>
      <c r="C41" s="245">
        <v>14</v>
      </c>
      <c r="D41" s="246">
        <f t="shared" si="0"/>
        <v>84</v>
      </c>
      <c r="E41" s="233"/>
    </row>
    <row r="42" spans="1:5" x14ac:dyDescent="0.25">
      <c r="A42" s="243"/>
      <c r="B42" s="243"/>
      <c r="C42" s="243"/>
      <c r="D42" s="246"/>
      <c r="E42" s="233"/>
    </row>
    <row r="43" spans="1:5" x14ac:dyDescent="0.25">
      <c r="A43" s="251"/>
      <c r="B43" s="252"/>
      <c r="C43" s="253" t="s">
        <v>170</v>
      </c>
      <c r="D43" s="254">
        <f>SUM(D15:D42)</f>
        <v>928172.80500000017</v>
      </c>
      <c r="E43" s="255"/>
    </row>
    <row r="44" spans="1:5" x14ac:dyDescent="0.25">
      <c r="A44" s="38"/>
      <c r="B44" s="38"/>
      <c r="C44" s="253" t="s">
        <v>13</v>
      </c>
      <c r="D44" s="254">
        <f>D43*0.16</f>
        <v>148507.64880000002</v>
      </c>
    </row>
    <row r="45" spans="1:5" ht="13.8" thickBot="1" x14ac:dyDescent="0.3">
      <c r="A45" s="38"/>
      <c r="B45" s="256"/>
      <c r="C45" s="257" t="s">
        <v>14</v>
      </c>
      <c r="D45" s="258">
        <f>D43+D44</f>
        <v>1076680.4538000003</v>
      </c>
    </row>
    <row r="46" spans="1:5" ht="13.8" thickBot="1" x14ac:dyDescent="0.3">
      <c r="A46" s="38"/>
      <c r="B46" s="766" t="s">
        <v>786</v>
      </c>
      <c r="C46" s="767"/>
      <c r="D46" s="768"/>
    </row>
    <row r="47" spans="1:5" ht="13.8" x14ac:dyDescent="0.25">
      <c r="A47" s="38"/>
      <c r="B47" s="39" t="s">
        <v>15</v>
      </c>
      <c r="C47" s="40"/>
      <c r="D47" s="259"/>
    </row>
    <row r="48" spans="1:5" ht="17.399999999999999" x14ac:dyDescent="0.25">
      <c r="A48" s="42"/>
      <c r="B48" s="43" t="s">
        <v>16</v>
      </c>
      <c r="C48" s="255"/>
      <c r="D48" s="260"/>
    </row>
    <row r="49" spans="1:4" ht="15" x14ac:dyDescent="0.25">
      <c r="A49" s="46"/>
      <c r="B49" s="52" t="s">
        <v>17</v>
      </c>
      <c r="D49" s="260"/>
    </row>
    <row r="50" spans="1:4" ht="15.75" customHeight="1" x14ac:dyDescent="0.25">
      <c r="A50" s="46"/>
      <c r="B50" s="50" t="s">
        <v>19</v>
      </c>
      <c r="D50" s="260"/>
    </row>
    <row r="51" spans="1:4" ht="15" x14ac:dyDescent="0.25">
      <c r="A51" s="46"/>
      <c r="B51" s="50" t="s">
        <v>21</v>
      </c>
      <c r="D51" s="260"/>
    </row>
    <row r="52" spans="1:4" ht="15" x14ac:dyDescent="0.25">
      <c r="A52" s="46"/>
      <c r="B52" s="261" t="s">
        <v>172</v>
      </c>
      <c r="D52" s="260"/>
    </row>
    <row r="53" spans="1:4" ht="13.8" x14ac:dyDescent="0.25">
      <c r="A53" s="51"/>
      <c r="B53" s="52" t="s">
        <v>23</v>
      </c>
    </row>
    <row r="54" spans="1:4" ht="27.6" x14ac:dyDescent="0.25">
      <c r="A54" s="51"/>
      <c r="B54" s="643" t="s">
        <v>779</v>
      </c>
    </row>
    <row r="55" spans="1:4" ht="41.4" x14ac:dyDescent="0.25">
      <c r="A55" s="51"/>
      <c r="B55" s="641" t="s">
        <v>780</v>
      </c>
    </row>
    <row r="56" spans="1:4" ht="41.4" x14ac:dyDescent="0.25">
      <c r="A56" s="51"/>
      <c r="B56" s="642" t="s">
        <v>781</v>
      </c>
    </row>
    <row r="57" spans="1:4" ht="15" x14ac:dyDescent="0.25">
      <c r="A57" s="46"/>
      <c r="B57" s="55" t="s">
        <v>24</v>
      </c>
    </row>
    <row r="58" spans="1:4" ht="41.4" x14ac:dyDescent="0.25">
      <c r="A58" s="46"/>
      <c r="B58" s="55" t="s">
        <v>25</v>
      </c>
      <c r="C58" s="57"/>
      <c r="D58" s="262"/>
    </row>
    <row r="59" spans="1:4" ht="15" x14ac:dyDescent="0.25">
      <c r="A59" s="46"/>
      <c r="B59" s="52" t="s">
        <v>26</v>
      </c>
      <c r="C59" s="57"/>
      <c r="D59" s="262"/>
    </row>
    <row r="60" spans="1:4" ht="15" customHeight="1" x14ac:dyDescent="0.25">
      <c r="A60" s="46"/>
      <c r="B60" s="59" t="s">
        <v>173</v>
      </c>
      <c r="C60" s="57"/>
      <c r="D60" s="57"/>
    </row>
    <row r="61" spans="1:4" ht="15" x14ac:dyDescent="0.25">
      <c r="A61" s="46"/>
      <c r="B61" s="60" t="s">
        <v>28</v>
      </c>
      <c r="C61" s="57"/>
      <c r="D61" s="57"/>
    </row>
    <row r="62" spans="1:4" ht="13.8" x14ac:dyDescent="0.25">
      <c r="A62" s="51"/>
      <c r="B62" s="52" t="s">
        <v>29</v>
      </c>
      <c r="D62" s="260"/>
    </row>
    <row r="63" spans="1:4" ht="27.6" x14ac:dyDescent="0.25">
      <c r="A63" s="644"/>
      <c r="B63" s="643" t="s">
        <v>784</v>
      </c>
      <c r="C63" s="645"/>
      <c r="D63" s="262"/>
    </row>
    <row r="64" spans="1:4" ht="15" x14ac:dyDescent="0.25">
      <c r="A64" s="46"/>
      <c r="B64" s="61" t="s">
        <v>30</v>
      </c>
      <c r="C64" s="57"/>
      <c r="D64" s="262"/>
    </row>
    <row r="65" spans="1:4" ht="15" x14ac:dyDescent="0.25">
      <c r="A65" s="46"/>
      <c r="B65" s="50" t="s">
        <v>31</v>
      </c>
      <c r="C65" s="57"/>
      <c r="D65" s="64"/>
    </row>
    <row r="66" spans="1:4" ht="15" x14ac:dyDescent="0.25">
      <c r="A66" s="62"/>
      <c r="B66" s="63" t="s">
        <v>32</v>
      </c>
      <c r="C66" s="3"/>
      <c r="D66" s="57"/>
    </row>
    <row r="67" spans="1:4" ht="33.6" x14ac:dyDescent="0.25">
      <c r="A67" s="65" t="s">
        <v>0</v>
      </c>
      <c r="B67" s="66" t="s">
        <v>33</v>
      </c>
      <c r="C67" s="57"/>
      <c r="D67" s="265"/>
    </row>
    <row r="68" spans="1:4" ht="16.8" x14ac:dyDescent="0.4">
      <c r="A68" s="263"/>
      <c r="B68" s="264"/>
      <c r="C68" s="265"/>
      <c r="D68" s="222"/>
    </row>
    <row r="69" spans="1:4" x14ac:dyDescent="0.25">
      <c r="A69" s="266"/>
      <c r="B69" s="267"/>
      <c r="C69" s="267"/>
      <c r="D69" s="222"/>
    </row>
    <row r="70" spans="1:4" x14ac:dyDescent="0.25">
      <c r="A70" s="266"/>
      <c r="B70" s="267"/>
      <c r="C70" s="267"/>
      <c r="D70" s="222"/>
    </row>
    <row r="71" spans="1:4" x14ac:dyDescent="0.25">
      <c r="A71" s="268"/>
      <c r="B71" s="269"/>
      <c r="C71" s="267"/>
      <c r="D71" s="267"/>
    </row>
    <row r="72" spans="1:4" ht="15" x14ac:dyDescent="0.35">
      <c r="A72" s="270" t="s">
        <v>0</v>
      </c>
      <c r="B72" s="271"/>
      <c r="C72" s="267"/>
    </row>
    <row r="73" spans="1:4" x14ac:dyDescent="0.25">
      <c r="A73" s="222" t="s">
        <v>0</v>
      </c>
    </row>
  </sheetData>
  <mergeCells count="2">
    <mergeCell ref="A4:D4"/>
    <mergeCell ref="B46:D46"/>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9F23D-5369-4ED6-B52F-4D99AC19D278}">
  <sheetPr>
    <tabColor theme="4" tint="-0.249977111117893"/>
    <pageSetUpPr fitToPage="1"/>
  </sheetPr>
  <dimension ref="A1:F75"/>
  <sheetViews>
    <sheetView topLeftCell="A10" zoomScaleNormal="100" workbookViewId="0">
      <selection activeCell="A22" activeCellId="1" sqref="A15:D17 A22:D22"/>
    </sheetView>
  </sheetViews>
  <sheetFormatPr baseColWidth="10" defaultColWidth="11.44140625" defaultRowHeight="13.2" x14ac:dyDescent="0.25"/>
  <cols>
    <col min="1" max="1" width="6" style="1" customWidth="1"/>
    <col min="2" max="2" width="100.33203125" style="1" customWidth="1"/>
    <col min="3" max="3" width="12.6640625" style="3" customWidth="1"/>
    <col min="4" max="4" width="14.554687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748"/>
      <c r="B4" s="748"/>
      <c r="C4" s="748"/>
      <c r="D4" s="748"/>
    </row>
    <row r="5" spans="1:6" s="4" customFormat="1" ht="16.8" x14ac:dyDescent="0.4">
      <c r="A5" s="5"/>
      <c r="C5" s="6"/>
      <c r="D5" s="6"/>
    </row>
    <row r="6" spans="1:6" s="4" customFormat="1" ht="16.8" x14ac:dyDescent="0.4">
      <c r="A6" s="5"/>
      <c r="C6" s="6"/>
      <c r="D6" s="6"/>
    </row>
    <row r="7" spans="1:6" s="4" customFormat="1" ht="16.8" x14ac:dyDescent="0.4">
      <c r="A7" s="5"/>
      <c r="C7" s="6"/>
      <c r="D7" s="6"/>
    </row>
    <row r="8" spans="1:6" s="4" customFormat="1" ht="16.8" x14ac:dyDescent="0.4">
      <c r="A8" s="5" t="s">
        <v>760</v>
      </c>
      <c r="C8" s="6"/>
      <c r="D8" s="6"/>
    </row>
    <row r="9" spans="1:6" s="4" customFormat="1" ht="16.8" x14ac:dyDescent="0.4">
      <c r="A9" s="5" t="s">
        <v>761</v>
      </c>
      <c r="C9" s="6"/>
      <c r="D9" s="6"/>
    </row>
    <row r="10" spans="1:6" s="4" customFormat="1" ht="16.8" x14ac:dyDescent="0.4">
      <c r="A10" s="5" t="s">
        <v>762</v>
      </c>
      <c r="C10" s="6"/>
      <c r="D10" s="6"/>
    </row>
    <row r="11" spans="1:6" s="4" customFormat="1" ht="16.8" x14ac:dyDescent="0.4">
      <c r="A11" s="5" t="s">
        <v>293</v>
      </c>
      <c r="C11" s="7"/>
      <c r="D11" s="6"/>
    </row>
    <row r="12" spans="1:6" s="4" customFormat="1" ht="15" customHeight="1" x14ac:dyDescent="0.4">
      <c r="A12" s="8" t="s">
        <v>583</v>
      </c>
      <c r="B12" s="9"/>
      <c r="C12" s="351"/>
      <c r="D12" s="352"/>
    </row>
    <row r="13" spans="1:6" s="4" customFormat="1" ht="15" customHeight="1" x14ac:dyDescent="0.4">
      <c r="A13" s="229" t="s">
        <v>38</v>
      </c>
      <c r="B13" s="230"/>
      <c r="C13" s="231"/>
      <c r="D13" s="232"/>
    </row>
    <row r="14" spans="1:6" s="4" customFormat="1" ht="16.8" x14ac:dyDescent="0.4">
      <c r="A14" s="14"/>
      <c r="B14" s="15"/>
      <c r="C14" s="16"/>
      <c r="D14" s="16"/>
      <c r="E14" s="543"/>
      <c r="F14" s="10"/>
    </row>
    <row r="15" spans="1:6" s="10" customFormat="1" ht="13.8" x14ac:dyDescent="0.25">
      <c r="A15" s="236">
        <v>1</v>
      </c>
      <c r="B15" s="237" t="s">
        <v>769</v>
      </c>
      <c r="C15" s="238">
        <f>(112832)*(1.35)</f>
        <v>152323.20000000001</v>
      </c>
      <c r="D15" s="239">
        <f t="shared" ref="D15" si="0">A15*C15</f>
        <v>152323.20000000001</v>
      </c>
      <c r="E15" s="13"/>
      <c r="F15" s="1"/>
    </row>
    <row r="16" spans="1:6" x14ac:dyDescent="0.25">
      <c r="A16" s="240"/>
      <c r="B16" s="241" t="s">
        <v>787</v>
      </c>
      <c r="C16" s="238"/>
      <c r="D16" s="239"/>
      <c r="E16" s="17"/>
      <c r="F16" s="23"/>
    </row>
    <row r="17" spans="1:6" s="23" customFormat="1" ht="15.75" customHeight="1" x14ac:dyDescent="0.25">
      <c r="A17" s="240">
        <v>1</v>
      </c>
      <c r="B17" s="241" t="s">
        <v>791</v>
      </c>
      <c r="C17" s="509">
        <f>(4658*18*1.33)</f>
        <v>111512.52</v>
      </c>
      <c r="D17" s="397">
        <f>A17*C17</f>
        <v>111512.52</v>
      </c>
      <c r="E17" s="13"/>
      <c r="F17" s="1"/>
    </row>
    <row r="18" spans="1:6" ht="13.5" customHeight="1" x14ac:dyDescent="0.25">
      <c r="A18" s="236">
        <v>1</v>
      </c>
      <c r="B18" s="237" t="s">
        <v>554</v>
      </c>
      <c r="C18" s="509">
        <f>(6927*18*1.33)</f>
        <v>165832.38</v>
      </c>
      <c r="D18" s="397">
        <f>A18*C18</f>
        <v>165832.38</v>
      </c>
      <c r="E18" s="17"/>
    </row>
    <row r="19" spans="1:6" ht="13.5" customHeight="1" x14ac:dyDescent="0.25">
      <c r="A19" s="240"/>
      <c r="B19" s="241" t="s">
        <v>790</v>
      </c>
      <c r="C19" s="509"/>
      <c r="D19" s="397"/>
      <c r="E19" s="13"/>
    </row>
    <row r="20" spans="1:6" ht="13.5" customHeight="1" x14ac:dyDescent="0.25">
      <c r="A20" s="236">
        <v>1</v>
      </c>
      <c r="B20" s="237" t="s">
        <v>555</v>
      </c>
      <c r="C20" s="509">
        <f>(92848)*(1.3)</f>
        <v>120702.40000000001</v>
      </c>
      <c r="D20" s="239">
        <f>A20*C20</f>
        <v>120702.40000000001</v>
      </c>
      <c r="E20" s="13"/>
      <c r="F20" s="122"/>
    </row>
    <row r="21" spans="1:6" ht="13.5" customHeight="1" x14ac:dyDescent="0.25">
      <c r="A21" s="240"/>
      <c r="B21" s="241" t="s">
        <v>789</v>
      </c>
      <c r="C21" s="509"/>
      <c r="D21" s="239"/>
    </row>
    <row r="22" spans="1:6" ht="13.5" customHeight="1" x14ac:dyDescent="0.25">
      <c r="A22" s="236">
        <v>1</v>
      </c>
      <c r="B22" s="237" t="s">
        <v>555</v>
      </c>
      <c r="C22" s="238">
        <f>(87965)*(1.35)</f>
        <v>118752.75000000001</v>
      </c>
      <c r="D22" s="239">
        <f>A22*C22</f>
        <v>118752.75000000001</v>
      </c>
      <c r="E22" s="13"/>
    </row>
    <row r="23" spans="1:6" ht="13.5" customHeight="1" x14ac:dyDescent="0.25">
      <c r="A23" s="240"/>
      <c r="B23" s="241" t="s">
        <v>788</v>
      </c>
      <c r="C23" s="509"/>
      <c r="D23" s="239"/>
      <c r="E23" s="13"/>
    </row>
    <row r="24" spans="1:6" ht="13.5" customHeight="1" x14ac:dyDescent="0.25">
      <c r="A24" s="537"/>
      <c r="B24" s="540"/>
      <c r="C24" s="539"/>
      <c r="D24" s="538"/>
      <c r="E24" s="13"/>
    </row>
    <row r="25" spans="1:6" ht="18" customHeight="1" x14ac:dyDescent="0.25">
      <c r="A25" s="11" t="s">
        <v>7</v>
      </c>
      <c r="B25" s="11" t="s">
        <v>8</v>
      </c>
      <c r="C25" s="12" t="s">
        <v>9</v>
      </c>
      <c r="D25" s="12" t="s">
        <v>10</v>
      </c>
      <c r="E25" s="13"/>
    </row>
    <row r="26" spans="1:6" x14ac:dyDescent="0.25">
      <c r="A26" s="14"/>
      <c r="B26" s="15"/>
      <c r="C26" s="16"/>
      <c r="D26" s="16"/>
      <c r="E26" s="13"/>
    </row>
    <row r="27" spans="1:6" ht="13.5" customHeight="1" x14ac:dyDescent="0.25">
      <c r="A27" s="240">
        <v>1</v>
      </c>
      <c r="B27" s="241" t="s">
        <v>574</v>
      </c>
      <c r="C27" s="509">
        <f>(2450*18*1.2)</f>
        <v>52920</v>
      </c>
      <c r="D27" s="239">
        <f>A27*C27</f>
        <v>52920</v>
      </c>
      <c r="E27" s="13"/>
    </row>
    <row r="28" spans="1:6" x14ac:dyDescent="0.25">
      <c r="A28" s="240">
        <v>1</v>
      </c>
      <c r="B28" s="241" t="s">
        <v>764</v>
      </c>
      <c r="C28" s="238">
        <f>(39921)*(1.35)</f>
        <v>53893.350000000006</v>
      </c>
      <c r="D28" s="239">
        <f t="shared" ref="D28" si="1">A28*C28</f>
        <v>53893.350000000006</v>
      </c>
      <c r="E28" s="13"/>
    </row>
    <row r="29" spans="1:6" x14ac:dyDescent="0.25">
      <c r="A29" s="240">
        <v>1</v>
      </c>
      <c r="B29" s="241" t="s">
        <v>770</v>
      </c>
      <c r="C29" s="238">
        <f>(84922)*(1.35)</f>
        <v>114644.70000000001</v>
      </c>
      <c r="D29" s="239">
        <f t="shared" ref="D29" si="2">A29*C29</f>
        <v>114644.70000000001</v>
      </c>
      <c r="E29" s="13"/>
    </row>
    <row r="30" spans="1:6" x14ac:dyDescent="0.25">
      <c r="A30" s="537"/>
      <c r="B30" s="537"/>
      <c r="C30" s="117"/>
      <c r="D30" s="536"/>
    </row>
    <row r="31" spans="1:6" ht="26.4" x14ac:dyDescent="0.25">
      <c r="A31" s="11" t="s">
        <v>7</v>
      </c>
      <c r="B31" s="11" t="s">
        <v>8</v>
      </c>
      <c r="C31" s="12" t="s">
        <v>9</v>
      </c>
      <c r="D31" s="12" t="s">
        <v>10</v>
      </c>
      <c r="E31" s="13"/>
    </row>
    <row r="32" spans="1:6" x14ac:dyDescent="0.25">
      <c r="A32" s="14"/>
      <c r="B32" s="15"/>
      <c r="C32" s="16"/>
      <c r="D32" s="16"/>
      <c r="E32" s="13"/>
    </row>
    <row r="33" spans="1:5" x14ac:dyDescent="0.25">
      <c r="A33" s="243">
        <v>200</v>
      </c>
      <c r="B33" s="244" t="s">
        <v>155</v>
      </c>
      <c r="C33" s="245">
        <v>25.6</v>
      </c>
      <c r="D33" s="246">
        <f t="shared" ref="D33" si="3">A33*C33</f>
        <v>5120</v>
      </c>
      <c r="E33" s="13"/>
    </row>
    <row r="34" spans="1:5" ht="13.8" thickBot="1" x14ac:dyDescent="0.3">
      <c r="A34" s="544">
        <v>200</v>
      </c>
      <c r="B34" s="545" t="s">
        <v>57</v>
      </c>
      <c r="C34" s="546">
        <v>43.8</v>
      </c>
      <c r="D34" s="547">
        <f>A34*C34</f>
        <v>8760</v>
      </c>
      <c r="E34" s="13"/>
    </row>
    <row r="35" spans="1:5" ht="13.8" thickBot="1" x14ac:dyDescent="0.3">
      <c r="A35" s="548">
        <v>1</v>
      </c>
      <c r="B35" s="549" t="s">
        <v>569</v>
      </c>
      <c r="C35" s="550">
        <f>2900*1.45</f>
        <v>4205</v>
      </c>
      <c r="D35" s="547">
        <f>A35*C35</f>
        <v>4205</v>
      </c>
    </row>
    <row r="36" spans="1:5" x14ac:dyDescent="0.25">
      <c r="A36" s="527"/>
      <c r="B36" s="527"/>
      <c r="C36" s="533"/>
      <c r="D36" s="533"/>
      <c r="E36" s="13"/>
    </row>
    <row r="37" spans="1:5" ht="26.4" x14ac:dyDescent="0.25">
      <c r="A37" s="11" t="s">
        <v>7</v>
      </c>
      <c r="B37" s="11" t="s">
        <v>8</v>
      </c>
      <c r="C37" s="12" t="s">
        <v>9</v>
      </c>
      <c r="D37" s="12" t="s">
        <v>10</v>
      </c>
      <c r="E37" s="13"/>
    </row>
    <row r="38" spans="1:5" x14ac:dyDescent="0.25">
      <c r="A38" s="14"/>
      <c r="B38" s="15"/>
      <c r="C38" s="16"/>
      <c r="D38" s="16"/>
    </row>
    <row r="39" spans="1:5" x14ac:dyDescent="0.25">
      <c r="A39" s="247">
        <v>210</v>
      </c>
      <c r="B39" s="248" t="s">
        <v>552</v>
      </c>
      <c r="C39" s="249">
        <f>(632)*(1.33)</f>
        <v>840.56000000000006</v>
      </c>
      <c r="D39" s="250">
        <f>A39*C39</f>
        <v>176517.6</v>
      </c>
    </row>
    <row r="40" spans="1:5" x14ac:dyDescent="0.25">
      <c r="A40" s="247">
        <v>210</v>
      </c>
      <c r="B40" s="248" t="s">
        <v>551</v>
      </c>
      <c r="C40" s="249">
        <f>(730)*(1.33)</f>
        <v>970.90000000000009</v>
      </c>
      <c r="D40" s="250">
        <f>A40*C40</f>
        <v>203889.00000000003</v>
      </c>
    </row>
    <row r="41" spans="1:5" x14ac:dyDescent="0.25">
      <c r="A41" s="247">
        <v>210</v>
      </c>
      <c r="B41" s="248" t="s">
        <v>772</v>
      </c>
      <c r="C41" s="249">
        <f>915*1.33</f>
        <v>1216.95</v>
      </c>
      <c r="D41" s="250">
        <f>A41*C41</f>
        <v>255559.5</v>
      </c>
    </row>
    <row r="42" spans="1:5" x14ac:dyDescent="0.25">
      <c r="A42" s="247">
        <v>210</v>
      </c>
      <c r="B42" s="248" t="s">
        <v>773</v>
      </c>
      <c r="C42" s="249">
        <f>1140*1.34</f>
        <v>1527.6000000000001</v>
      </c>
      <c r="D42" s="250">
        <f>A42*C42</f>
        <v>320796</v>
      </c>
    </row>
    <row r="43" spans="1:5" x14ac:dyDescent="0.25">
      <c r="A43" s="527"/>
      <c r="B43" s="526"/>
      <c r="C43" s="535"/>
      <c r="D43" s="533"/>
    </row>
    <row r="44" spans="1:5" ht="26.4" x14ac:dyDescent="0.25">
      <c r="A44" s="11" t="s">
        <v>7</v>
      </c>
      <c r="B44" s="11" t="s">
        <v>8</v>
      </c>
      <c r="C44" s="12" t="s">
        <v>9</v>
      </c>
      <c r="D44" s="12" t="s">
        <v>10</v>
      </c>
    </row>
    <row r="45" spans="1:5" x14ac:dyDescent="0.25">
      <c r="A45" s="14"/>
      <c r="B45" s="15"/>
      <c r="C45" s="16"/>
      <c r="D45" s="16"/>
    </row>
    <row r="46" spans="1:5" x14ac:dyDescent="0.25">
      <c r="A46" s="243">
        <v>1</v>
      </c>
      <c r="B46" s="244" t="s">
        <v>766</v>
      </c>
      <c r="C46" s="238">
        <f>(9627)*(1.35)</f>
        <v>12996.45</v>
      </c>
      <c r="D46" s="239">
        <f>A46*C46</f>
        <v>12996.45</v>
      </c>
    </row>
    <row r="47" spans="1:5" x14ac:dyDescent="0.25">
      <c r="A47" s="243">
        <v>1</v>
      </c>
      <c r="B47" s="244" t="s">
        <v>767</v>
      </c>
      <c r="C47" s="238">
        <f>(6200)*(1.35)</f>
        <v>8370</v>
      </c>
      <c r="D47" s="239">
        <f>A47*C47</f>
        <v>8370</v>
      </c>
    </row>
    <row r="48" spans="1:5" x14ac:dyDescent="0.25">
      <c r="A48" s="247">
        <v>1</v>
      </c>
      <c r="B48" s="248" t="s">
        <v>793</v>
      </c>
      <c r="C48" s="510">
        <f>(1787*18)*1.3</f>
        <v>41815.800000000003</v>
      </c>
      <c r="D48" s="250">
        <f>A48*C48</f>
        <v>41815.800000000003</v>
      </c>
    </row>
    <row r="49" spans="1:4" x14ac:dyDescent="0.25">
      <c r="A49" s="646">
        <v>1</v>
      </c>
      <c r="B49" s="526" t="s">
        <v>795</v>
      </c>
      <c r="C49" s="647">
        <v>53987</v>
      </c>
      <c r="D49" s="250">
        <f>A49*C49</f>
        <v>53987</v>
      </c>
    </row>
    <row r="50" spans="1:4" x14ac:dyDescent="0.25">
      <c r="A50" s="534"/>
      <c r="B50" s="527"/>
      <c r="C50" s="533"/>
      <c r="D50" s="532"/>
    </row>
    <row r="51" spans="1:4" ht="26.4" x14ac:dyDescent="0.25">
      <c r="A51" s="247">
        <v>1</v>
      </c>
      <c r="B51" s="248" t="s">
        <v>547</v>
      </c>
      <c r="C51" s="529">
        <v>35627</v>
      </c>
      <c r="D51" s="250">
        <f>A51*C51</f>
        <v>35627</v>
      </c>
    </row>
    <row r="52" spans="1:4" ht="26.4" x14ac:dyDescent="0.25">
      <c r="A52" s="247">
        <v>1</v>
      </c>
      <c r="B52" s="248" t="s">
        <v>546</v>
      </c>
      <c r="C52" s="529">
        <v>37861</v>
      </c>
      <c r="D52" s="250">
        <f>A52*C52</f>
        <v>37861</v>
      </c>
    </row>
    <row r="53" spans="1:4" x14ac:dyDescent="0.25">
      <c r="A53" s="247">
        <v>1</v>
      </c>
      <c r="B53" s="248" t="s">
        <v>545</v>
      </c>
      <c r="C53" s="510">
        <f>(2576.78*21)*(1.3)</f>
        <v>70346.094000000012</v>
      </c>
      <c r="D53" s="250">
        <f>A53*C53</f>
        <v>70346.094000000012</v>
      </c>
    </row>
    <row r="54" spans="1:4" x14ac:dyDescent="0.25">
      <c r="A54" s="531">
        <v>1</v>
      </c>
      <c r="B54" s="530" t="s">
        <v>544</v>
      </c>
      <c r="C54" s="529">
        <v>7300</v>
      </c>
      <c r="D54" s="528">
        <f>A54*C54</f>
        <v>7300</v>
      </c>
    </row>
    <row r="55" spans="1:4" ht="26.4" x14ac:dyDescent="0.25">
      <c r="A55" s="531"/>
      <c r="B55" s="530" t="s">
        <v>543</v>
      </c>
      <c r="C55" s="529"/>
      <c r="D55" s="528"/>
    </row>
    <row r="56" spans="1:4" x14ac:dyDescent="0.25">
      <c r="A56" s="527"/>
      <c r="B56" s="526"/>
      <c r="C56" s="525"/>
      <c r="D56" s="524"/>
    </row>
    <row r="57" spans="1:4" ht="13.8" x14ac:dyDescent="0.25">
      <c r="B57" s="135" t="s">
        <v>23</v>
      </c>
    </row>
    <row r="58" spans="1:4" ht="15" x14ac:dyDescent="0.25">
      <c r="A58" s="62"/>
      <c r="B58" s="187" t="s">
        <v>24</v>
      </c>
    </row>
    <row r="59" spans="1:4" ht="41.4" x14ac:dyDescent="0.25">
      <c r="A59" s="62"/>
      <c r="B59" s="187" t="s">
        <v>542</v>
      </c>
      <c r="C59" s="54"/>
      <c r="D59" s="58"/>
    </row>
    <row r="60" spans="1:4" ht="15" x14ac:dyDescent="0.25">
      <c r="A60" s="62"/>
      <c r="B60" s="135" t="s">
        <v>26</v>
      </c>
      <c r="C60" s="54"/>
      <c r="D60" s="58"/>
    </row>
    <row r="61" spans="1:4" ht="15" x14ac:dyDescent="0.25">
      <c r="A61" s="62"/>
      <c r="B61" s="293" t="s">
        <v>792</v>
      </c>
      <c r="C61" s="54"/>
      <c r="D61" s="54"/>
    </row>
    <row r="62" spans="1:4" ht="15" x14ac:dyDescent="0.25">
      <c r="A62" s="62"/>
      <c r="B62" s="189" t="s">
        <v>28</v>
      </c>
      <c r="C62" s="54"/>
      <c r="D62" s="54"/>
    </row>
    <row r="63" spans="1:4" ht="13.8" x14ac:dyDescent="0.25">
      <c r="B63" s="135" t="s">
        <v>29</v>
      </c>
      <c r="D63" s="56"/>
    </row>
    <row r="64" spans="1:4" ht="15" x14ac:dyDescent="0.25">
      <c r="A64" s="62"/>
      <c r="B64" s="191" t="s">
        <v>540</v>
      </c>
      <c r="C64" s="54"/>
      <c r="D64" s="58"/>
    </row>
    <row r="65" spans="1:4" ht="15" x14ac:dyDescent="0.25">
      <c r="A65" s="62"/>
      <c r="B65" s="191" t="s">
        <v>31</v>
      </c>
      <c r="C65" s="54"/>
      <c r="D65" s="58"/>
    </row>
    <row r="66" spans="1:4" ht="15" x14ac:dyDescent="0.25">
      <c r="A66" s="62"/>
      <c r="B66" s="191" t="s">
        <v>32</v>
      </c>
      <c r="D66" s="64"/>
    </row>
    <row r="67" spans="1:4" ht="33.6" x14ac:dyDescent="0.4">
      <c r="A67" s="62"/>
      <c r="B67" s="217" t="s">
        <v>33</v>
      </c>
      <c r="C67" s="54"/>
      <c r="D67" s="54"/>
    </row>
    <row r="68" spans="1:4" ht="16.8" x14ac:dyDescent="0.4">
      <c r="A68" s="62"/>
      <c r="B68" s="522"/>
      <c r="C68" s="141"/>
      <c r="D68" s="141"/>
    </row>
    <row r="69" spans="1:4" ht="13.8" x14ac:dyDescent="0.25">
      <c r="A69" s="139" t="s">
        <v>0</v>
      </c>
      <c r="B69" s="64"/>
      <c r="C69" s="64"/>
      <c r="D69" s="1"/>
    </row>
    <row r="70" spans="1:4" ht="13.8" x14ac:dyDescent="0.25">
      <c r="A70" s="521"/>
      <c r="B70" s="64"/>
      <c r="C70" s="64"/>
      <c r="D70" s="1"/>
    </row>
    <row r="71" spans="1:4" x14ac:dyDescent="0.25">
      <c r="A71" s="142"/>
      <c r="B71" s="143"/>
      <c r="C71" s="64"/>
      <c r="D71" s="1"/>
    </row>
    <row r="72" spans="1:4" ht="15" x14ac:dyDescent="0.35">
      <c r="A72" s="142"/>
      <c r="B72" s="145"/>
      <c r="C72" s="64"/>
      <c r="D72" s="64"/>
    </row>
    <row r="73" spans="1:4" x14ac:dyDescent="0.25">
      <c r="A73" s="144"/>
    </row>
    <row r="74" spans="1:4" x14ac:dyDescent="0.25">
      <c r="A74" s="146" t="s">
        <v>0</v>
      </c>
    </row>
    <row r="75" spans="1:4" x14ac:dyDescent="0.25">
      <c r="A75" s="1" t="s">
        <v>0</v>
      </c>
    </row>
  </sheetData>
  <mergeCells count="1">
    <mergeCell ref="A4:D4"/>
  </mergeCells>
  <printOptions horizontalCentered="1"/>
  <pageMargins left="0.59055118110236227" right="0.59055118110236227" top="0.19685039370078741" bottom="0.19685039370078741" header="0.19685039370078741" footer="0.19685039370078741"/>
  <pageSetup paperSize="9" scale="61" fitToWidth="0" orientation="portrait" r:id="rId1"/>
  <headerFooter alignWithMargins="0">
    <oddFooter>Página &amp;P de &amp;N</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1567A-F907-4280-AE38-A2F7751FF432}">
  <sheetPr>
    <tabColor theme="4" tint="-0.249977111117893"/>
    <pageSetUpPr fitToPage="1"/>
  </sheetPr>
  <dimension ref="A1:F98"/>
  <sheetViews>
    <sheetView topLeftCell="A41" zoomScaleNormal="100" workbookViewId="0">
      <selection activeCell="C56" sqref="C56"/>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818</v>
      </c>
      <c r="B7" s="4"/>
      <c r="C7" s="227"/>
      <c r="D7" s="227"/>
    </row>
    <row r="8" spans="1:6" s="224" customFormat="1" ht="16.8" x14ac:dyDescent="0.4">
      <c r="A8" s="5" t="s">
        <v>843</v>
      </c>
      <c r="B8" s="4"/>
      <c r="C8" s="227"/>
      <c r="D8" s="227"/>
    </row>
    <row r="9" spans="1:6" s="224" customFormat="1" ht="16.8" x14ac:dyDescent="0.4">
      <c r="A9" s="5" t="s">
        <v>844</v>
      </c>
      <c r="B9" s="4"/>
      <c r="C9" s="227"/>
      <c r="D9" s="227"/>
    </row>
    <row r="10" spans="1:6" s="224" customFormat="1" ht="16.8" x14ac:dyDescent="0.4">
      <c r="A10" s="5" t="s">
        <v>845</v>
      </c>
      <c r="B10" s="4"/>
      <c r="C10" s="228"/>
      <c r="D10" s="227"/>
    </row>
    <row r="11" spans="1:6" s="224" customFormat="1" ht="16.8" x14ac:dyDescent="0.4">
      <c r="A11" s="8" t="s">
        <v>846</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4.4" x14ac:dyDescent="0.25">
      <c r="A15" s="648">
        <v>1</v>
      </c>
      <c r="B15" s="307" t="s">
        <v>796</v>
      </c>
      <c r="C15" s="238">
        <f>(530.23*18)*1.28</f>
        <v>12216.4992</v>
      </c>
      <c r="D15" s="239">
        <f t="shared" ref="D15:D27" si="0">A15*C15</f>
        <v>12216.4992</v>
      </c>
      <c r="E15" s="234"/>
      <c r="F15" s="222"/>
    </row>
    <row r="16" spans="1:6" ht="14.4" x14ac:dyDescent="0.25">
      <c r="A16" s="240">
        <v>1</v>
      </c>
      <c r="B16" s="307" t="s">
        <v>797</v>
      </c>
      <c r="C16" s="238">
        <f>(757.25*18)*1.28</f>
        <v>17447.04</v>
      </c>
      <c r="D16" s="239">
        <f t="shared" si="0"/>
        <v>17447.04</v>
      </c>
      <c r="E16" s="233"/>
      <c r="F16" s="242"/>
    </row>
    <row r="17" spans="1:5" s="242" customFormat="1" ht="16.5" customHeight="1" x14ac:dyDescent="0.25">
      <c r="A17" s="240">
        <v>24</v>
      </c>
      <c r="B17" s="307" t="s">
        <v>798</v>
      </c>
      <c r="C17" s="238">
        <f>(99.06*18)*1.28</f>
        <v>2282.3424</v>
      </c>
      <c r="D17" s="239">
        <f t="shared" si="0"/>
        <v>54776.217600000004</v>
      </c>
      <c r="E17" s="233"/>
    </row>
    <row r="18" spans="1:5" ht="13.5" customHeight="1" x14ac:dyDescent="0.25">
      <c r="A18" s="243">
        <v>1</v>
      </c>
      <c r="B18" s="307" t="s">
        <v>799</v>
      </c>
      <c r="C18" s="238">
        <f>(1120.37*18)*1.28</f>
        <v>25813.324799999995</v>
      </c>
      <c r="D18" s="239">
        <f t="shared" si="0"/>
        <v>25813.324799999995</v>
      </c>
      <c r="E18" s="13"/>
    </row>
    <row r="19" spans="1:5" ht="13.5" customHeight="1" x14ac:dyDescent="0.25">
      <c r="A19" s="243">
        <v>6</v>
      </c>
      <c r="B19" s="307" t="s">
        <v>800</v>
      </c>
      <c r="C19" s="238">
        <f>(114*18)*1.28</f>
        <v>2626.56</v>
      </c>
      <c r="D19" s="239">
        <f t="shared" si="0"/>
        <v>15759.36</v>
      </c>
      <c r="E19" s="233"/>
    </row>
    <row r="20" spans="1:5" ht="13.5" customHeight="1" x14ac:dyDescent="0.3">
      <c r="A20" s="243">
        <v>3</v>
      </c>
      <c r="B20" s="316" t="s">
        <v>807</v>
      </c>
      <c r="C20" s="238">
        <f>(88.37*18)*1.28</f>
        <v>2036.0448000000001</v>
      </c>
      <c r="D20" s="239">
        <f t="shared" si="0"/>
        <v>6108.1344000000008</v>
      </c>
      <c r="E20" s="233"/>
    </row>
    <row r="21" spans="1:5" ht="13.5" customHeight="1" x14ac:dyDescent="0.25">
      <c r="A21" s="247">
        <v>80</v>
      </c>
      <c r="B21" s="307" t="s">
        <v>801</v>
      </c>
      <c r="C21" s="238">
        <f>(1.64*18)*1.28</f>
        <v>37.785600000000002</v>
      </c>
      <c r="D21" s="239">
        <f t="shared" si="0"/>
        <v>3022.848</v>
      </c>
      <c r="E21" s="233"/>
    </row>
    <row r="22" spans="1:5" ht="14.4" x14ac:dyDescent="0.25">
      <c r="A22" s="243">
        <v>3</v>
      </c>
      <c r="B22" s="307" t="s">
        <v>802</v>
      </c>
      <c r="C22" s="238">
        <f>(1*18)*1.28</f>
        <v>23.04</v>
      </c>
      <c r="D22" s="239">
        <f t="shared" si="0"/>
        <v>69.12</v>
      </c>
      <c r="E22" s="233"/>
    </row>
    <row r="23" spans="1:5" ht="14.4" x14ac:dyDescent="0.25">
      <c r="A23" s="243">
        <v>3</v>
      </c>
      <c r="B23" s="307" t="s">
        <v>803</v>
      </c>
      <c r="C23" s="238">
        <f>(1*18)*1.28</f>
        <v>23.04</v>
      </c>
      <c r="D23" s="239">
        <f t="shared" si="0"/>
        <v>69.12</v>
      </c>
      <c r="E23" s="233"/>
    </row>
    <row r="24" spans="1:5" ht="14.4" x14ac:dyDescent="0.25">
      <c r="A24" s="243">
        <v>26</v>
      </c>
      <c r="B24" s="307" t="s">
        <v>804</v>
      </c>
      <c r="C24" s="238">
        <f>(20.52*18)*1.28</f>
        <v>472.7808</v>
      </c>
      <c r="D24" s="239">
        <f t="shared" si="0"/>
        <v>12292.300800000001</v>
      </c>
      <c r="E24" s="233"/>
    </row>
    <row r="25" spans="1:5" ht="14.4" x14ac:dyDescent="0.25">
      <c r="A25" s="243">
        <v>2</v>
      </c>
      <c r="B25" s="307" t="s">
        <v>805</v>
      </c>
      <c r="C25" s="238">
        <f>(30.78*18)*1.28</f>
        <v>709.1712</v>
      </c>
      <c r="D25" s="239">
        <f t="shared" si="0"/>
        <v>1418.3424</v>
      </c>
      <c r="E25" s="233"/>
    </row>
    <row r="26" spans="1:5" ht="14.4" x14ac:dyDescent="0.25">
      <c r="A26" s="243">
        <v>1</v>
      </c>
      <c r="B26" s="307" t="s">
        <v>806</v>
      </c>
      <c r="C26" s="238">
        <f>(103.97*18)*1.28</f>
        <v>2395.4688000000001</v>
      </c>
      <c r="D26" s="239">
        <f t="shared" si="0"/>
        <v>2395.4688000000001</v>
      </c>
      <c r="E26" s="233"/>
    </row>
    <row r="27" spans="1:5" ht="14.4" x14ac:dyDescent="0.25">
      <c r="A27" s="243">
        <v>1</v>
      </c>
      <c r="B27" s="650" t="s">
        <v>819</v>
      </c>
      <c r="C27" s="238">
        <f>36200+7500</f>
        <v>43700</v>
      </c>
      <c r="D27" s="239">
        <f t="shared" si="0"/>
        <v>43700</v>
      </c>
      <c r="E27" s="233"/>
    </row>
    <row r="28" spans="1:5" ht="14.4" x14ac:dyDescent="0.25">
      <c r="A28" s="243"/>
      <c r="B28" s="307" t="s">
        <v>820</v>
      </c>
      <c r="C28" s="238"/>
      <c r="D28" s="239"/>
      <c r="E28" s="233"/>
    </row>
    <row r="29" spans="1:5" ht="14.4" x14ac:dyDescent="0.25">
      <c r="A29" s="243"/>
      <c r="B29" s="307" t="s">
        <v>821</v>
      </c>
      <c r="C29" s="238"/>
      <c r="D29" s="239"/>
      <c r="E29" s="233"/>
    </row>
    <row r="30" spans="1:5" ht="14.4" x14ac:dyDescent="0.25">
      <c r="A30" s="243"/>
      <c r="B30" s="307" t="s">
        <v>822</v>
      </c>
      <c r="C30" s="238"/>
      <c r="D30" s="239"/>
      <c r="E30" s="233"/>
    </row>
    <row r="31" spans="1:5" ht="14.4" x14ac:dyDescent="0.25">
      <c r="A31" s="243"/>
      <c r="B31" s="307" t="s">
        <v>823</v>
      </c>
      <c r="C31" s="238"/>
      <c r="D31" s="239"/>
      <c r="E31" s="233"/>
    </row>
    <row r="32" spans="1:5" ht="14.4" x14ac:dyDescent="0.25">
      <c r="A32" s="243"/>
      <c r="B32" s="307" t="s">
        <v>824</v>
      </c>
      <c r="C32" s="238"/>
      <c r="D32" s="239"/>
      <c r="E32" s="233"/>
    </row>
    <row r="33" spans="1:5" ht="14.4" x14ac:dyDescent="0.25">
      <c r="A33" s="243"/>
      <c r="B33" s="307" t="s">
        <v>825</v>
      </c>
      <c r="C33" s="238"/>
      <c r="D33" s="239"/>
      <c r="E33" s="233"/>
    </row>
    <row r="34" spans="1:5" ht="14.4" x14ac:dyDescent="0.25">
      <c r="A34" s="243"/>
      <c r="B34" s="307" t="s">
        <v>826</v>
      </c>
      <c r="C34" s="238"/>
      <c r="D34" s="239"/>
      <c r="E34" s="233"/>
    </row>
    <row r="35" spans="1:5" ht="14.4" x14ac:dyDescent="0.25">
      <c r="A35" s="243"/>
      <c r="B35" s="307" t="s">
        <v>827</v>
      </c>
      <c r="C35" s="238"/>
      <c r="D35" s="239"/>
      <c r="E35" s="233"/>
    </row>
    <row r="36" spans="1:5" ht="14.4" x14ac:dyDescent="0.25">
      <c r="A36" s="243"/>
      <c r="B36" s="307" t="s">
        <v>828</v>
      </c>
      <c r="C36" s="238"/>
      <c r="D36" s="239"/>
      <c r="E36" s="233"/>
    </row>
    <row r="37" spans="1:5" ht="14.4" x14ac:dyDescent="0.25">
      <c r="A37" s="243"/>
      <c r="B37" s="307" t="s">
        <v>829</v>
      </c>
      <c r="C37" s="238"/>
      <c r="D37" s="239"/>
      <c r="E37" s="233"/>
    </row>
    <row r="38" spans="1:5" ht="14.4" x14ac:dyDescent="0.25">
      <c r="A38" s="243"/>
      <c r="B38" s="307" t="s">
        <v>830</v>
      </c>
      <c r="C38" s="238"/>
      <c r="D38" s="239"/>
      <c r="E38" s="233"/>
    </row>
    <row r="39" spans="1:5" ht="14.4" x14ac:dyDescent="0.25">
      <c r="A39" s="243"/>
      <c r="B39" s="307" t="s">
        <v>831</v>
      </c>
      <c r="C39" s="238"/>
      <c r="D39" s="239"/>
      <c r="E39" s="233"/>
    </row>
    <row r="40" spans="1:5" ht="14.4" x14ac:dyDescent="0.25">
      <c r="A40" s="243"/>
      <c r="B40" s="307"/>
      <c r="C40" s="238"/>
      <c r="D40" s="239"/>
      <c r="E40" s="233"/>
    </row>
    <row r="41" spans="1:5" ht="14.4" x14ac:dyDescent="0.25">
      <c r="A41" s="243">
        <v>1</v>
      </c>
      <c r="B41" s="650" t="s">
        <v>832</v>
      </c>
      <c r="C41" s="238">
        <f>23400+6000</f>
        <v>29400</v>
      </c>
      <c r="D41" s="239">
        <f t="shared" ref="D41" si="1">A41*C41</f>
        <v>29400</v>
      </c>
      <c r="E41" s="233"/>
    </row>
    <row r="42" spans="1:5" ht="14.4" x14ac:dyDescent="0.25">
      <c r="A42" s="243"/>
      <c r="B42" s="307" t="s">
        <v>820</v>
      </c>
      <c r="C42" s="238"/>
      <c r="D42" s="239"/>
      <c r="E42" s="233"/>
    </row>
    <row r="43" spans="1:5" ht="14.4" x14ac:dyDescent="0.25">
      <c r="A43" s="243"/>
      <c r="B43" s="307" t="s">
        <v>833</v>
      </c>
      <c r="C43" s="238"/>
      <c r="D43" s="239"/>
      <c r="E43" s="233"/>
    </row>
    <row r="44" spans="1:5" ht="14.4" x14ac:dyDescent="0.25">
      <c r="A44" s="243"/>
      <c r="B44" s="307" t="s">
        <v>834</v>
      </c>
      <c r="C44" s="238"/>
      <c r="D44" s="239"/>
      <c r="E44" s="233"/>
    </row>
    <row r="45" spans="1:5" ht="14.4" x14ac:dyDescent="0.25">
      <c r="A45" s="243"/>
      <c r="B45" s="307" t="s">
        <v>835</v>
      </c>
      <c r="C45" s="238"/>
      <c r="D45" s="239"/>
      <c r="E45" s="233"/>
    </row>
    <row r="46" spans="1:5" ht="14.4" x14ac:dyDescent="0.25">
      <c r="A46" s="243"/>
      <c r="B46" s="307" t="s">
        <v>836</v>
      </c>
      <c r="C46" s="238"/>
      <c r="D46" s="239"/>
      <c r="E46" s="233"/>
    </row>
    <row r="47" spans="1:5" ht="14.4" x14ac:dyDescent="0.25">
      <c r="A47" s="243"/>
      <c r="B47" s="307" t="s">
        <v>837</v>
      </c>
      <c r="C47" s="238"/>
      <c r="D47" s="239"/>
      <c r="E47" s="233"/>
    </row>
    <row r="48" spans="1:5" ht="14.4" x14ac:dyDescent="0.25">
      <c r="A48" s="243"/>
      <c r="B48" s="307" t="s">
        <v>838</v>
      </c>
      <c r="C48" s="238"/>
      <c r="D48" s="239"/>
      <c r="E48" s="233"/>
    </row>
    <row r="49" spans="1:5" ht="14.4" x14ac:dyDescent="0.25">
      <c r="A49" s="243"/>
      <c r="B49" s="307" t="s">
        <v>839</v>
      </c>
      <c r="C49" s="238"/>
      <c r="D49" s="239"/>
      <c r="E49" s="233"/>
    </row>
    <row r="50" spans="1:5" ht="15.75" customHeight="1" x14ac:dyDescent="0.25">
      <c r="A50" s="243"/>
      <c r="B50" s="307" t="s">
        <v>840</v>
      </c>
      <c r="C50" s="238"/>
      <c r="D50" s="239"/>
      <c r="E50" s="233"/>
    </row>
    <row r="51" spans="1:5" ht="14.4" x14ac:dyDescent="0.25">
      <c r="A51" s="243"/>
      <c r="B51" s="307" t="s">
        <v>841</v>
      </c>
      <c r="C51" s="238"/>
      <c r="D51" s="239"/>
      <c r="E51" s="233"/>
    </row>
    <row r="52" spans="1:5" ht="14.4" x14ac:dyDescent="0.25">
      <c r="A52" s="243"/>
      <c r="B52" s="307" t="s">
        <v>831</v>
      </c>
      <c r="C52" s="238"/>
      <c r="D52" s="239"/>
      <c r="E52" s="233"/>
    </row>
    <row r="53" spans="1:5" ht="14.4" x14ac:dyDescent="0.25">
      <c r="A53" s="243">
        <v>1</v>
      </c>
      <c r="B53" s="307" t="s">
        <v>815</v>
      </c>
      <c r="C53" s="245">
        <f>80*65+5000</f>
        <v>10200</v>
      </c>
      <c r="D53" s="246">
        <f>A53*C53</f>
        <v>10200</v>
      </c>
      <c r="E53" s="233"/>
    </row>
    <row r="54" spans="1:5" x14ac:dyDescent="0.25">
      <c r="A54" s="243">
        <v>1</v>
      </c>
      <c r="B54" s="244" t="s">
        <v>783</v>
      </c>
      <c r="C54" s="245"/>
      <c r="D54" s="246"/>
      <c r="E54" s="233"/>
    </row>
    <row r="55" spans="1:5" ht="26.4" x14ac:dyDescent="0.25">
      <c r="A55" s="243"/>
      <c r="B55" s="244" t="s">
        <v>153</v>
      </c>
      <c r="C55" s="245">
        <v>2587</v>
      </c>
      <c r="D55" s="246">
        <f t="shared" ref="D55:D69" si="2">A55*C55</f>
        <v>0</v>
      </c>
      <c r="E55" s="233"/>
    </row>
    <row r="56" spans="1:5" x14ac:dyDescent="0.25">
      <c r="A56" s="243">
        <v>0.5</v>
      </c>
      <c r="B56" s="244" t="s">
        <v>154</v>
      </c>
      <c r="C56" s="245">
        <v>25.6</v>
      </c>
      <c r="D56" s="246">
        <f t="shared" si="2"/>
        <v>12.8</v>
      </c>
      <c r="E56" s="233"/>
    </row>
    <row r="57" spans="1:5" x14ac:dyDescent="0.25">
      <c r="A57" s="243">
        <v>80</v>
      </c>
      <c r="B57" s="244" t="s">
        <v>155</v>
      </c>
      <c r="C57" s="238"/>
      <c r="D57" s="246">
        <f t="shared" si="2"/>
        <v>0</v>
      </c>
      <c r="E57" s="233"/>
    </row>
    <row r="58" spans="1:5" x14ac:dyDescent="0.25">
      <c r="A58" s="243">
        <v>1</v>
      </c>
      <c r="B58" s="244" t="s">
        <v>817</v>
      </c>
      <c r="C58" s="238">
        <f>4760*1.38</f>
        <v>6568.7999999999993</v>
      </c>
      <c r="D58" s="246">
        <f t="shared" si="2"/>
        <v>6568.7999999999993</v>
      </c>
      <c r="E58" s="233"/>
    </row>
    <row r="59" spans="1:5" ht="52.8" x14ac:dyDescent="0.25">
      <c r="A59" s="243">
        <v>1</v>
      </c>
      <c r="B59" s="244" t="s">
        <v>158</v>
      </c>
      <c r="C59" s="245">
        <f>1900*1.8</f>
        <v>3420</v>
      </c>
      <c r="D59" s="246">
        <f t="shared" si="2"/>
        <v>3420</v>
      </c>
      <c r="E59" s="233"/>
    </row>
    <row r="60" spans="1:5" x14ac:dyDescent="0.25">
      <c r="A60" s="243">
        <v>1</v>
      </c>
      <c r="B60" s="244" t="s">
        <v>808</v>
      </c>
      <c r="C60" s="245"/>
      <c r="D60" s="246">
        <f t="shared" si="2"/>
        <v>0</v>
      </c>
      <c r="E60" s="233"/>
    </row>
    <row r="61" spans="1:5" x14ac:dyDescent="0.25">
      <c r="A61" s="243">
        <v>2</v>
      </c>
      <c r="B61" s="244" t="s">
        <v>809</v>
      </c>
      <c r="C61" s="245"/>
      <c r="D61" s="246">
        <f t="shared" si="2"/>
        <v>0</v>
      </c>
      <c r="E61" s="233"/>
    </row>
    <row r="62" spans="1:5" x14ac:dyDescent="0.25">
      <c r="A62" s="243">
        <v>1</v>
      </c>
      <c r="B62" s="244" t="s">
        <v>161</v>
      </c>
      <c r="C62" s="245"/>
      <c r="D62" s="246">
        <f t="shared" si="2"/>
        <v>0</v>
      </c>
      <c r="E62" s="233"/>
    </row>
    <row r="63" spans="1:5" x14ac:dyDescent="0.25">
      <c r="A63" s="243">
        <v>1</v>
      </c>
      <c r="B63" s="244" t="s">
        <v>810</v>
      </c>
      <c r="C63" s="245"/>
      <c r="D63" s="246">
        <f t="shared" si="2"/>
        <v>0</v>
      </c>
      <c r="E63" s="233"/>
    </row>
    <row r="64" spans="1:5" x14ac:dyDescent="0.25">
      <c r="A64" s="243">
        <v>1</v>
      </c>
      <c r="B64" s="244" t="s">
        <v>811</v>
      </c>
      <c r="C64" s="245"/>
      <c r="D64" s="246">
        <f t="shared" si="2"/>
        <v>0</v>
      </c>
      <c r="E64" s="233"/>
    </row>
    <row r="65" spans="1:5" x14ac:dyDescent="0.25">
      <c r="A65" s="243">
        <v>1</v>
      </c>
      <c r="B65" s="244" t="s">
        <v>165</v>
      </c>
      <c r="C65" s="245"/>
      <c r="D65" s="246">
        <f t="shared" si="2"/>
        <v>0</v>
      </c>
      <c r="E65" s="255"/>
    </row>
    <row r="66" spans="1:5" x14ac:dyDescent="0.25">
      <c r="A66" s="243">
        <v>1</v>
      </c>
      <c r="B66" s="244" t="s">
        <v>812</v>
      </c>
      <c r="C66" s="245"/>
      <c r="D66" s="246">
        <f t="shared" si="2"/>
        <v>0</v>
      </c>
    </row>
    <row r="67" spans="1:5" x14ac:dyDescent="0.25">
      <c r="A67" s="243">
        <v>8</v>
      </c>
      <c r="B67" s="244" t="s">
        <v>813</v>
      </c>
      <c r="C67" s="245"/>
      <c r="D67" s="246">
        <f t="shared" si="2"/>
        <v>0</v>
      </c>
    </row>
    <row r="68" spans="1:5" x14ac:dyDescent="0.25">
      <c r="A68" s="243">
        <v>1</v>
      </c>
      <c r="B68" s="244" t="s">
        <v>814</v>
      </c>
      <c r="C68" s="245"/>
      <c r="D68" s="246">
        <f t="shared" si="2"/>
        <v>0</v>
      </c>
    </row>
    <row r="69" spans="1:5" x14ac:dyDescent="0.25">
      <c r="A69" s="243">
        <v>1</v>
      </c>
      <c r="B69" s="244" t="s">
        <v>816</v>
      </c>
      <c r="C69" s="245"/>
      <c r="D69" s="246">
        <f t="shared" si="2"/>
        <v>0</v>
      </c>
    </row>
    <row r="70" spans="1:5" x14ac:dyDescent="0.25">
      <c r="A70" s="649">
        <v>56</v>
      </c>
      <c r="B70" s="244" t="s">
        <v>488</v>
      </c>
      <c r="C70" s="253" t="s">
        <v>170</v>
      </c>
      <c r="D70" s="254">
        <f>SUM(D15:D69)</f>
        <v>244689.37599999996</v>
      </c>
    </row>
    <row r="71" spans="1:5" x14ac:dyDescent="0.25">
      <c r="A71" s="38"/>
      <c r="B71" s="243"/>
      <c r="C71" s="253" t="s">
        <v>13</v>
      </c>
      <c r="D71" s="254">
        <f>D70*0.16</f>
        <v>39150.300159999992</v>
      </c>
    </row>
    <row r="72" spans="1:5" ht="13.8" thickBot="1" x14ac:dyDescent="0.3">
      <c r="A72" s="38"/>
      <c r="B72" s="252"/>
      <c r="C72" s="257" t="s">
        <v>14</v>
      </c>
      <c r="D72" s="258">
        <f>D70+D71</f>
        <v>283839.67615999997</v>
      </c>
    </row>
    <row r="73" spans="1:5" ht="13.8" thickBot="1" x14ac:dyDescent="0.3">
      <c r="A73" s="38"/>
      <c r="B73" s="638" t="s">
        <v>842</v>
      </c>
      <c r="C73" s="639"/>
      <c r="D73" s="640"/>
    </row>
    <row r="74" spans="1:5" ht="13.8" x14ac:dyDescent="0.25">
      <c r="A74" s="42"/>
      <c r="B74" s="39" t="s">
        <v>15</v>
      </c>
      <c r="C74" s="40"/>
      <c r="D74" s="259"/>
    </row>
    <row r="75" spans="1:5" ht="17.399999999999999" x14ac:dyDescent="0.25">
      <c r="A75" s="46"/>
      <c r="B75" s="43" t="s">
        <v>16</v>
      </c>
      <c r="C75" s="255"/>
      <c r="D75" s="260"/>
    </row>
    <row r="76" spans="1:5" ht="15" x14ac:dyDescent="0.25">
      <c r="A76" s="46"/>
      <c r="B76" s="52" t="s">
        <v>17</v>
      </c>
      <c r="D76" s="260"/>
    </row>
    <row r="77" spans="1:5" ht="15" x14ac:dyDescent="0.25">
      <c r="A77" s="46"/>
      <c r="B77" s="50" t="s">
        <v>19</v>
      </c>
      <c r="D77" s="260"/>
    </row>
    <row r="78" spans="1:5" ht="15" x14ac:dyDescent="0.25">
      <c r="A78" s="46"/>
      <c r="B78" s="50" t="s">
        <v>21</v>
      </c>
      <c r="D78" s="260"/>
    </row>
    <row r="79" spans="1:5" ht="13.8" x14ac:dyDescent="0.25">
      <c r="A79" s="51"/>
      <c r="B79" s="261" t="s">
        <v>172</v>
      </c>
      <c r="D79" s="260"/>
    </row>
    <row r="80" spans="1:5" ht="13.8" x14ac:dyDescent="0.25">
      <c r="A80" s="51"/>
      <c r="B80" s="52" t="s">
        <v>23</v>
      </c>
    </row>
    <row r="81" spans="1:4" ht="27.6" x14ac:dyDescent="0.25">
      <c r="A81" s="51"/>
      <c r="B81" s="643" t="s">
        <v>779</v>
      </c>
    </row>
    <row r="82" spans="1:4" ht="41.4" x14ac:dyDescent="0.25">
      <c r="A82" s="51"/>
      <c r="B82" s="641" t="s">
        <v>780</v>
      </c>
    </row>
    <row r="83" spans="1:4" ht="41.4" x14ac:dyDescent="0.25">
      <c r="A83" s="46"/>
      <c r="B83" s="642" t="s">
        <v>781</v>
      </c>
    </row>
    <row r="84" spans="1:4" ht="15" x14ac:dyDescent="0.25">
      <c r="A84" s="46"/>
      <c r="B84" s="55" t="s">
        <v>24</v>
      </c>
    </row>
    <row r="85" spans="1:4" ht="41.4" x14ac:dyDescent="0.25">
      <c r="A85" s="46"/>
      <c r="B85" s="55" t="s">
        <v>25</v>
      </c>
      <c r="C85" s="57"/>
      <c r="D85" s="262"/>
    </row>
    <row r="86" spans="1:4" ht="15" x14ac:dyDescent="0.25">
      <c r="A86" s="46"/>
      <c r="B86" s="52" t="s">
        <v>26</v>
      </c>
      <c r="C86" s="57"/>
      <c r="D86" s="262"/>
    </row>
    <row r="87" spans="1:4" ht="15" x14ac:dyDescent="0.25">
      <c r="A87" s="46"/>
      <c r="B87" s="59" t="s">
        <v>847</v>
      </c>
      <c r="C87" s="57"/>
      <c r="D87" s="57"/>
    </row>
    <row r="88" spans="1:4" ht="13.8" x14ac:dyDescent="0.25">
      <c r="A88" s="51"/>
      <c r="B88" s="60" t="s">
        <v>28</v>
      </c>
      <c r="C88" s="57"/>
      <c r="D88" s="57"/>
    </row>
    <row r="89" spans="1:4" ht="13.8" x14ac:dyDescent="0.25">
      <c r="A89" s="644"/>
      <c r="B89" s="52" t="s">
        <v>29</v>
      </c>
      <c r="D89" s="260"/>
    </row>
    <row r="90" spans="1:4" ht="15" x14ac:dyDescent="0.25">
      <c r="A90" s="46"/>
      <c r="B90" s="61" t="s">
        <v>30</v>
      </c>
      <c r="C90" s="645"/>
      <c r="D90" s="262"/>
    </row>
    <row r="91" spans="1:4" ht="15" x14ac:dyDescent="0.25">
      <c r="A91" s="62"/>
      <c r="B91" s="50" t="s">
        <v>31</v>
      </c>
      <c r="C91" s="57"/>
      <c r="D91" s="262"/>
    </row>
    <row r="92" spans="1:4" ht="13.8" x14ac:dyDescent="0.25">
      <c r="A92" s="65" t="s">
        <v>0</v>
      </c>
      <c r="B92" s="63" t="s">
        <v>32</v>
      </c>
      <c r="C92" s="3"/>
      <c r="D92" s="64"/>
    </row>
    <row r="93" spans="1:4" ht="33.6" x14ac:dyDescent="0.25">
      <c r="A93" s="263"/>
      <c r="B93" s="66" t="s">
        <v>33</v>
      </c>
      <c r="C93" s="57"/>
      <c r="D93" s="57"/>
    </row>
    <row r="94" spans="1:4" ht="16.8" x14ac:dyDescent="0.4">
      <c r="A94" s="266"/>
      <c r="B94" s="264"/>
      <c r="C94" s="265"/>
      <c r="D94" s="265"/>
    </row>
    <row r="95" spans="1:4" x14ac:dyDescent="0.25">
      <c r="A95" s="266"/>
      <c r="B95" s="267"/>
      <c r="C95" s="267"/>
      <c r="D95" s="222"/>
    </row>
    <row r="96" spans="1:4" x14ac:dyDescent="0.25">
      <c r="A96" s="268"/>
      <c r="B96" s="267"/>
      <c r="C96" s="267"/>
      <c r="D96" s="222"/>
    </row>
    <row r="97" spans="1:4" x14ac:dyDescent="0.25">
      <c r="A97" s="270" t="s">
        <v>0</v>
      </c>
      <c r="B97" s="269"/>
      <c r="C97" s="267"/>
      <c r="D97" s="222"/>
    </row>
    <row r="98" spans="1:4" ht="15" x14ac:dyDescent="0.35">
      <c r="A98" s="222" t="s">
        <v>0</v>
      </c>
      <c r="B98" s="271"/>
      <c r="C98" s="267"/>
      <c r="D98" s="267"/>
    </row>
  </sheetData>
  <mergeCells count="1">
    <mergeCell ref="A4:D4"/>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1145-0059-4A30-9C50-971EDB8561DB}">
  <dimension ref="A1:L388"/>
  <sheetViews>
    <sheetView zoomScaleNormal="100" workbookViewId="0">
      <selection activeCell="E23" sqref="E23"/>
    </sheetView>
  </sheetViews>
  <sheetFormatPr baseColWidth="10" defaultRowHeight="14.4" x14ac:dyDescent="0.3"/>
  <cols>
    <col min="1" max="1" width="32.44140625" bestFit="1" customWidth="1"/>
    <col min="2" max="2" width="19" customWidth="1"/>
    <col min="3" max="3" width="16.6640625" bestFit="1" customWidth="1"/>
    <col min="4" max="5" width="16.6640625" customWidth="1"/>
    <col min="6" max="6" width="14.109375" bestFit="1" customWidth="1"/>
    <col min="7" max="7" width="17.33203125" bestFit="1" customWidth="1"/>
    <col min="8" max="9" width="17.44140625" bestFit="1" customWidth="1"/>
    <col min="10" max="10" width="17.33203125" bestFit="1" customWidth="1"/>
    <col min="11" max="11" width="24.44140625" bestFit="1" customWidth="1"/>
    <col min="12" max="12" width="14.109375" bestFit="1" customWidth="1"/>
    <col min="13" max="13" width="15" bestFit="1" customWidth="1"/>
    <col min="14" max="14" width="14.109375" bestFit="1" customWidth="1"/>
    <col min="15" max="15" width="17.33203125" bestFit="1" customWidth="1"/>
  </cols>
  <sheetData>
    <row r="1" spans="1:7" x14ac:dyDescent="0.3">
      <c r="C1" s="557" t="s">
        <v>613</v>
      </c>
      <c r="D1" s="558"/>
      <c r="E1" s="558"/>
    </row>
    <row r="2" spans="1:7" x14ac:dyDescent="0.3">
      <c r="A2" s="559" t="s">
        <v>614</v>
      </c>
      <c r="B2" s="559" t="s">
        <v>615</v>
      </c>
      <c r="C2" s="559" t="s">
        <v>616</v>
      </c>
      <c r="D2" s="559" t="s">
        <v>617</v>
      </c>
      <c r="E2" s="559" t="s">
        <v>618</v>
      </c>
      <c r="F2" s="559" t="s">
        <v>619</v>
      </c>
      <c r="G2" s="559" t="s">
        <v>620</v>
      </c>
    </row>
    <row r="3" spans="1:7" x14ac:dyDescent="0.3">
      <c r="A3" s="560" t="s">
        <v>621</v>
      </c>
      <c r="B3" s="561">
        <v>38762</v>
      </c>
      <c r="C3" s="562">
        <f>B3*0.03</f>
        <v>1162.8599999999999</v>
      </c>
      <c r="D3" s="562"/>
      <c r="E3" s="562">
        <f>C3+D3</f>
        <v>1162.8599999999999</v>
      </c>
      <c r="F3" s="562"/>
      <c r="G3" s="562"/>
    </row>
    <row r="4" spans="1:7" x14ac:dyDescent="0.3">
      <c r="A4" s="560" t="s">
        <v>622</v>
      </c>
      <c r="B4" s="561">
        <v>10000</v>
      </c>
      <c r="C4" s="562">
        <v>500</v>
      </c>
      <c r="D4" s="562"/>
      <c r="E4" s="562">
        <f t="shared" ref="E4:E14" si="0">C4+D4</f>
        <v>500</v>
      </c>
      <c r="F4" s="562"/>
      <c r="G4" s="562"/>
    </row>
    <row r="5" spans="1:7" x14ac:dyDescent="0.3">
      <c r="A5" s="560" t="s">
        <v>623</v>
      </c>
      <c r="B5" s="561">
        <v>100000</v>
      </c>
      <c r="C5" s="562">
        <f t="shared" ref="C5:C14" si="1">B5*0.02</f>
        <v>2000</v>
      </c>
      <c r="D5" s="562"/>
      <c r="E5" s="562">
        <f t="shared" si="0"/>
        <v>2000</v>
      </c>
      <c r="F5" s="562"/>
      <c r="G5" s="562"/>
    </row>
    <row r="6" spans="1:7" x14ac:dyDescent="0.3">
      <c r="A6" s="560" t="s">
        <v>624</v>
      </c>
      <c r="B6" s="561">
        <v>158152</v>
      </c>
      <c r="C6" s="562">
        <f t="shared" si="1"/>
        <v>3163.04</v>
      </c>
      <c r="D6" s="562"/>
      <c r="E6" s="562">
        <f t="shared" si="0"/>
        <v>3163.04</v>
      </c>
      <c r="F6" s="562"/>
      <c r="G6" s="562"/>
    </row>
    <row r="7" spans="1:7" x14ac:dyDescent="0.3">
      <c r="A7" s="560" t="s">
        <v>625</v>
      </c>
      <c r="B7" s="561"/>
      <c r="C7" s="562">
        <f t="shared" si="1"/>
        <v>0</v>
      </c>
      <c r="D7" s="562"/>
      <c r="E7" s="562">
        <f t="shared" si="0"/>
        <v>0</v>
      </c>
      <c r="F7" s="562"/>
      <c r="G7" s="562"/>
    </row>
    <row r="8" spans="1:7" x14ac:dyDescent="0.3">
      <c r="A8" s="560" t="s">
        <v>626</v>
      </c>
      <c r="B8" s="561"/>
      <c r="C8" s="562">
        <v>1000</v>
      </c>
      <c r="D8" s="562"/>
      <c r="E8" s="562">
        <f t="shared" si="0"/>
        <v>1000</v>
      </c>
      <c r="F8" s="562"/>
      <c r="G8" s="562"/>
    </row>
    <row r="9" spans="1:7" x14ac:dyDescent="0.3">
      <c r="A9" s="560" t="s">
        <v>627</v>
      </c>
      <c r="B9" s="561"/>
      <c r="C9" s="562">
        <v>600</v>
      </c>
      <c r="D9" s="562"/>
      <c r="E9" s="562">
        <f t="shared" si="0"/>
        <v>600</v>
      </c>
      <c r="F9" s="562"/>
      <c r="G9" s="562"/>
    </row>
    <row r="10" spans="1:7" x14ac:dyDescent="0.3">
      <c r="A10" s="560" t="s">
        <v>628</v>
      </c>
      <c r="B10" s="561"/>
      <c r="C10" s="562">
        <v>5725</v>
      </c>
      <c r="D10" s="562"/>
      <c r="E10" s="562">
        <f t="shared" si="0"/>
        <v>5725</v>
      </c>
      <c r="F10" s="562"/>
      <c r="G10" s="562"/>
    </row>
    <row r="11" spans="1:7" x14ac:dyDescent="0.3">
      <c r="A11" s="560"/>
      <c r="B11" s="561"/>
      <c r="C11" s="562">
        <f t="shared" si="1"/>
        <v>0</v>
      </c>
      <c r="D11" s="562"/>
      <c r="E11" s="562">
        <f t="shared" si="0"/>
        <v>0</v>
      </c>
      <c r="F11" s="562"/>
      <c r="G11" s="562"/>
    </row>
    <row r="12" spans="1:7" x14ac:dyDescent="0.3">
      <c r="A12" s="560"/>
      <c r="B12" s="561"/>
      <c r="C12" s="562">
        <f t="shared" si="1"/>
        <v>0</v>
      </c>
      <c r="D12" s="562"/>
      <c r="E12" s="562">
        <f t="shared" si="0"/>
        <v>0</v>
      </c>
      <c r="F12" s="562"/>
      <c r="G12" s="562"/>
    </row>
    <row r="13" spans="1:7" x14ac:dyDescent="0.3">
      <c r="A13" s="560"/>
      <c r="B13" s="561"/>
      <c r="C13" s="562">
        <f t="shared" si="1"/>
        <v>0</v>
      </c>
      <c r="D13" s="562"/>
      <c r="E13" s="562">
        <f t="shared" si="0"/>
        <v>0</v>
      </c>
      <c r="F13" s="562"/>
      <c r="G13" s="562"/>
    </row>
    <row r="14" spans="1:7" x14ac:dyDescent="0.3">
      <c r="A14" s="560"/>
      <c r="B14" s="561"/>
      <c r="C14" s="562">
        <f t="shared" si="1"/>
        <v>0</v>
      </c>
      <c r="D14" s="562"/>
      <c r="E14" s="562">
        <f t="shared" si="0"/>
        <v>0</v>
      </c>
      <c r="F14" s="562"/>
      <c r="G14" s="562"/>
    </row>
    <row r="15" spans="1:7" x14ac:dyDescent="0.3">
      <c r="A15" s="563"/>
      <c r="B15" s="564">
        <f>SUM(B3:B14)</f>
        <v>306914</v>
      </c>
      <c r="C15" s="564">
        <f t="shared" ref="C15:G15" si="2">SUM(C3:C14)</f>
        <v>14150.9</v>
      </c>
      <c r="D15" s="564">
        <f t="shared" si="2"/>
        <v>0</v>
      </c>
      <c r="E15" s="564">
        <f t="shared" si="2"/>
        <v>14150.9</v>
      </c>
      <c r="F15" s="564">
        <f t="shared" si="2"/>
        <v>0</v>
      </c>
      <c r="G15" s="564">
        <f t="shared" si="2"/>
        <v>0</v>
      </c>
    </row>
    <row r="16" spans="1:7" x14ac:dyDescent="0.3">
      <c r="D16" s="606" t="s">
        <v>699</v>
      </c>
    </row>
    <row r="17" spans="1:12" x14ac:dyDescent="0.3">
      <c r="A17" s="565" t="s">
        <v>629</v>
      </c>
      <c r="B17" s="565"/>
      <c r="D17" s="566" t="s">
        <v>630</v>
      </c>
      <c r="E17" s="567">
        <v>20351.3</v>
      </c>
    </row>
    <row r="18" spans="1:12" x14ac:dyDescent="0.3">
      <c r="A18" s="568" t="s">
        <v>631</v>
      </c>
      <c r="B18" s="569" t="s">
        <v>632</v>
      </c>
      <c r="D18" s="566" t="s">
        <v>277</v>
      </c>
      <c r="E18" s="567">
        <f>E17-E15</f>
        <v>6200.4</v>
      </c>
    </row>
    <row r="19" spans="1:12" x14ac:dyDescent="0.3">
      <c r="A19" s="568" t="s">
        <v>633</v>
      </c>
      <c r="B19" s="570" t="s">
        <v>634</v>
      </c>
    </row>
    <row r="20" spans="1:12" x14ac:dyDescent="0.3">
      <c r="A20" s="568" t="s">
        <v>635</v>
      </c>
      <c r="B20" s="568" t="s">
        <v>636</v>
      </c>
    </row>
    <row r="21" spans="1:12" x14ac:dyDescent="0.3">
      <c r="A21" s="568" t="s">
        <v>637</v>
      </c>
      <c r="B21" s="568" t="s">
        <v>638</v>
      </c>
    </row>
    <row r="22" spans="1:12" x14ac:dyDescent="0.3">
      <c r="A22" s="565" t="s">
        <v>639</v>
      </c>
      <c r="B22" s="571"/>
    </row>
    <row r="23" spans="1:12" ht="17.399999999999999" customHeight="1" x14ac:dyDescent="0.3">
      <c r="A23" s="568" t="s">
        <v>640</v>
      </c>
      <c r="B23" s="568"/>
    </row>
    <row r="24" spans="1:12" x14ac:dyDescent="0.3">
      <c r="A24" s="568" t="s">
        <v>641</v>
      </c>
      <c r="B24" s="568"/>
    </row>
    <row r="25" spans="1:12" x14ac:dyDescent="0.3">
      <c r="A25" s="568" t="s">
        <v>642</v>
      </c>
      <c r="B25" s="568"/>
    </row>
    <row r="26" spans="1:12" x14ac:dyDescent="0.3">
      <c r="A26" s="568" t="s">
        <v>643</v>
      </c>
      <c r="B26" s="568"/>
    </row>
    <row r="27" spans="1:12" x14ac:dyDescent="0.3">
      <c r="A27" s="568" t="s">
        <v>644</v>
      </c>
      <c r="B27" s="568"/>
      <c r="L27" s="307"/>
    </row>
    <row r="28" spans="1:12" x14ac:dyDescent="0.3">
      <c r="A28" s="568" t="s">
        <v>645</v>
      </c>
      <c r="B28" s="568"/>
      <c r="L28" s="572"/>
    </row>
    <row r="29" spans="1:12" x14ac:dyDescent="0.3">
      <c r="A29" s="307"/>
      <c r="B29" s="307"/>
    </row>
    <row r="34" ht="20.399999999999999" customHeight="1" x14ac:dyDescent="0.3"/>
    <row r="38" ht="21" customHeight="1" x14ac:dyDescent="0.3"/>
    <row r="388" spans="1:2" x14ac:dyDescent="0.3">
      <c r="A388" s="573"/>
      <c r="B388" s="573"/>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4024-D241-4C2F-B772-CDD8AE30CEF4}">
  <sheetPr>
    <tabColor theme="4" tint="-0.249977111117893"/>
    <pageSetUpPr fitToPage="1"/>
  </sheetPr>
  <dimension ref="A1:M70"/>
  <sheetViews>
    <sheetView topLeftCell="A4" zoomScale="85" zoomScaleNormal="85" workbookViewId="0">
      <selection activeCell="B9" sqref="B9"/>
    </sheetView>
  </sheetViews>
  <sheetFormatPr baseColWidth="10" defaultColWidth="11.44140625" defaultRowHeight="13.2" x14ac:dyDescent="0.25"/>
  <cols>
    <col min="1" max="1" width="6" style="1" customWidth="1"/>
    <col min="2" max="2" width="96.88671875" style="1" customWidth="1"/>
    <col min="3" max="3" width="13.33203125" style="3" bestFit="1"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848</v>
      </c>
      <c r="B8" s="68"/>
      <c r="C8" s="69"/>
      <c r="D8" s="69"/>
    </row>
    <row r="9" spans="1:12" s="4" customFormat="1" ht="19.2" x14ac:dyDescent="0.45">
      <c r="A9" s="67" t="s">
        <v>849</v>
      </c>
      <c r="B9" s="68"/>
      <c r="C9" s="69"/>
      <c r="D9" s="69"/>
    </row>
    <row r="10" spans="1:12" s="4" customFormat="1" ht="19.2" x14ac:dyDescent="0.45">
      <c r="A10" s="67" t="s">
        <v>850</v>
      </c>
      <c r="B10" s="68"/>
      <c r="C10" s="69"/>
      <c r="D10" s="69"/>
    </row>
    <row r="11" spans="1:12" s="4" customFormat="1" ht="19.2" x14ac:dyDescent="0.45">
      <c r="A11" s="67" t="s">
        <v>851</v>
      </c>
      <c r="B11" s="68"/>
      <c r="C11" s="70"/>
      <c r="D11" s="69"/>
    </row>
    <row r="12" spans="1:12" s="4" customFormat="1" ht="15" customHeight="1" x14ac:dyDescent="0.45">
      <c r="A12" s="67" t="s">
        <v>38</v>
      </c>
      <c r="B12" s="68"/>
      <c r="C12" s="70"/>
      <c r="D12" s="69"/>
    </row>
    <row r="13" spans="1:12" s="4" customFormat="1" ht="19.2" x14ac:dyDescent="0.45">
      <c r="A13" s="71" t="s">
        <v>852</v>
      </c>
      <c r="B13" s="72"/>
      <c r="C13" s="73"/>
      <c r="D13" s="74"/>
      <c r="E13" s="10"/>
      <c r="F13" s="10"/>
      <c r="G13" s="10"/>
    </row>
    <row r="14" spans="1:12" s="4" customFormat="1" ht="19.2" x14ac:dyDescent="0.4">
      <c r="A14" s="744" t="s">
        <v>40</v>
      </c>
      <c r="B14" s="745"/>
      <c r="C14" s="746"/>
      <c r="D14" s="747"/>
      <c r="E14" s="1"/>
      <c r="F14" s="1"/>
      <c r="G14" s="1"/>
      <c r="H14" s="10"/>
      <c r="I14" s="10"/>
      <c r="J14" s="10"/>
      <c r="K14" s="10"/>
      <c r="L14" s="10"/>
    </row>
    <row r="15" spans="1:12" s="10" customFormat="1" ht="13.8" x14ac:dyDescent="0.25">
      <c r="A15" s="14"/>
      <c r="B15" s="15"/>
      <c r="C15" s="16"/>
      <c r="D15" s="16"/>
      <c r="E15" s="17"/>
      <c r="F15" s="23"/>
      <c r="G15" s="23"/>
      <c r="H15" s="1"/>
      <c r="I15" s="1"/>
      <c r="J15" s="1"/>
      <c r="K15" s="1"/>
      <c r="L15" s="1"/>
    </row>
    <row r="16" spans="1:12" ht="45" x14ac:dyDescent="0.25">
      <c r="A16" s="106">
        <v>300</v>
      </c>
      <c r="B16" s="107" t="s">
        <v>774</v>
      </c>
      <c r="C16" s="108">
        <v>95</v>
      </c>
      <c r="D16" s="83">
        <f>A16*C16</f>
        <v>28500</v>
      </c>
      <c r="E16" s="17"/>
      <c r="H16" s="23"/>
      <c r="I16" s="23"/>
      <c r="J16" s="23"/>
      <c r="K16" s="23"/>
      <c r="L16" s="23"/>
    </row>
    <row r="17" spans="1:13" s="23" customFormat="1" ht="75.599999999999994" x14ac:dyDescent="0.25">
      <c r="A17" s="80">
        <v>1</v>
      </c>
      <c r="B17" s="167" t="s">
        <v>853</v>
      </c>
      <c r="C17" s="653">
        <v>32000</v>
      </c>
      <c r="D17" s="83">
        <f t="shared" ref="D17:D22" si="0">A17*C17</f>
        <v>32000</v>
      </c>
      <c r="E17" s="17"/>
      <c r="F17" s="1"/>
      <c r="G17" s="1"/>
    </row>
    <row r="18" spans="1:13" s="23" customFormat="1" ht="15.6" x14ac:dyDescent="0.3">
      <c r="A18" s="151">
        <v>1</v>
      </c>
      <c r="B18" s="305" t="s">
        <v>763</v>
      </c>
      <c r="C18" s="169">
        <v>118752.75000000001</v>
      </c>
      <c r="D18" s="83">
        <f t="shared" si="0"/>
        <v>118752.75000000001</v>
      </c>
      <c r="E18" s="17"/>
      <c r="F18" s="1"/>
      <c r="G18" s="1"/>
    </row>
    <row r="19" spans="1:13" s="23" customFormat="1" ht="15.6" x14ac:dyDescent="0.25">
      <c r="A19" s="80"/>
      <c r="B19" s="167" t="s">
        <v>765</v>
      </c>
      <c r="C19" s="169"/>
      <c r="D19" s="83"/>
      <c r="E19" s="17"/>
      <c r="F19" s="1"/>
      <c r="G19" s="1"/>
    </row>
    <row r="20" spans="1:13" s="23" customFormat="1" ht="15.6" x14ac:dyDescent="0.25">
      <c r="A20" s="80">
        <v>1</v>
      </c>
      <c r="B20" s="167" t="s">
        <v>854</v>
      </c>
      <c r="C20" s="169">
        <v>53893.350000000006</v>
      </c>
      <c r="D20" s="83">
        <f t="shared" si="0"/>
        <v>53893.350000000006</v>
      </c>
      <c r="E20" s="17"/>
      <c r="F20" s="1"/>
      <c r="G20" s="1"/>
    </row>
    <row r="21" spans="1:13" s="23" customFormat="1" ht="45" x14ac:dyDescent="0.25">
      <c r="A21" s="106">
        <v>300</v>
      </c>
      <c r="B21" s="107" t="s">
        <v>774</v>
      </c>
      <c r="C21" s="108">
        <v>95</v>
      </c>
      <c r="D21" s="83">
        <f t="shared" si="0"/>
        <v>28500</v>
      </c>
      <c r="E21" s="17"/>
      <c r="F21" s="1"/>
      <c r="G21" s="1"/>
      <c r="M21" s="1"/>
    </row>
    <row r="22" spans="1:13" s="23" customFormat="1" ht="15.6" x14ac:dyDescent="0.25">
      <c r="A22" s="80">
        <v>1</v>
      </c>
      <c r="B22" s="167" t="s">
        <v>855</v>
      </c>
      <c r="C22" s="653">
        <v>5300</v>
      </c>
      <c r="D22" s="83">
        <f t="shared" si="0"/>
        <v>5300</v>
      </c>
      <c r="E22" s="13"/>
      <c r="F22" s="1"/>
      <c r="G22" s="1"/>
      <c r="H22" s="1"/>
      <c r="I22" s="1"/>
      <c r="J22" s="1"/>
      <c r="K22" s="1"/>
      <c r="L22" s="1"/>
      <c r="M22" s="1"/>
    </row>
    <row r="23" spans="1:13" s="23" customFormat="1" ht="15.6" x14ac:dyDescent="0.3">
      <c r="A23" s="159"/>
      <c r="B23" s="158"/>
      <c r="C23" s="82"/>
      <c r="D23" s="87"/>
      <c r="E23" s="13"/>
      <c r="F23" s="1"/>
      <c r="G23" s="1"/>
      <c r="H23" s="1"/>
      <c r="I23" s="1"/>
      <c r="J23" s="1"/>
      <c r="K23" s="1"/>
      <c r="L23" s="1"/>
      <c r="M23" s="1"/>
    </row>
    <row r="24" spans="1:13" s="23" customFormat="1" ht="15.6" x14ac:dyDescent="0.3">
      <c r="A24" s="161"/>
      <c r="B24" s="652"/>
      <c r="C24" s="90" t="s">
        <v>49</v>
      </c>
      <c r="D24" s="87">
        <f>SUM(D15:D23)</f>
        <v>266946.09999999998</v>
      </c>
      <c r="E24" s="13"/>
      <c r="F24" s="1"/>
      <c r="G24" s="1"/>
      <c r="H24" s="1"/>
      <c r="I24" s="1"/>
      <c r="J24" s="1"/>
      <c r="K24" s="1"/>
      <c r="L24" s="1"/>
      <c r="M24" s="1"/>
    </row>
    <row r="25" spans="1:13" s="23" customFormat="1" ht="15.6" x14ac:dyDescent="0.3">
      <c r="A25" s="161"/>
      <c r="B25" s="651"/>
      <c r="C25" s="90" t="s">
        <v>51</v>
      </c>
      <c r="D25" s="87">
        <f>D24*0.16</f>
        <v>42711.375999999997</v>
      </c>
      <c r="E25" s="13"/>
      <c r="F25" s="1"/>
      <c r="G25" s="1"/>
      <c r="H25" s="1"/>
      <c r="I25" s="1"/>
      <c r="J25" s="1"/>
      <c r="K25" s="1"/>
      <c r="L25" s="1"/>
      <c r="M25" s="1"/>
    </row>
    <row r="26" spans="1:13" s="23" customFormat="1" ht="15.6" x14ac:dyDescent="0.3">
      <c r="A26" s="161"/>
      <c r="B26" s="651"/>
      <c r="C26" s="90" t="s">
        <v>77</v>
      </c>
      <c r="D26" s="87">
        <f>D24+D25</f>
        <v>309657.47599999997</v>
      </c>
      <c r="E26" s="13"/>
      <c r="F26" s="1"/>
      <c r="G26" s="1"/>
      <c r="H26" s="1"/>
      <c r="I26" s="1"/>
      <c r="J26" s="1"/>
      <c r="K26" s="1"/>
      <c r="L26" s="1"/>
      <c r="M26" s="1"/>
    </row>
    <row r="27" spans="1:13" s="23" customFormat="1" ht="15.6" x14ac:dyDescent="0.25">
      <c r="A27" s="116"/>
      <c r="B27" s="801"/>
      <c r="C27" s="801"/>
      <c r="D27" s="801"/>
      <c r="E27" s="1"/>
      <c r="F27" s="1"/>
      <c r="G27" s="1"/>
      <c r="H27" s="1"/>
      <c r="I27" s="1"/>
      <c r="J27" s="1"/>
      <c r="K27" s="1"/>
      <c r="L27" s="1"/>
      <c r="M27" s="1"/>
    </row>
    <row r="28" spans="1:13" s="23" customFormat="1" x14ac:dyDescent="0.25">
      <c r="A28" s="34"/>
      <c r="B28" s="117"/>
      <c r="C28" s="163"/>
      <c r="D28" s="164"/>
      <c r="E28" s="1"/>
      <c r="F28" s="1"/>
      <c r="G28" s="1"/>
      <c r="H28" s="1"/>
      <c r="I28" s="1"/>
      <c r="J28" s="1"/>
      <c r="K28" s="1"/>
      <c r="L28" s="1"/>
      <c r="M28" s="1"/>
    </row>
    <row r="29" spans="1:13" s="23" customFormat="1" ht="13.8" x14ac:dyDescent="0.25">
      <c r="A29" s="34"/>
      <c r="B29" s="135" t="s">
        <v>15</v>
      </c>
      <c r="C29" s="165"/>
      <c r="D29" s="56"/>
      <c r="E29" s="1"/>
      <c r="F29" s="1"/>
      <c r="G29" s="1"/>
      <c r="H29" s="1"/>
      <c r="I29" s="1"/>
      <c r="J29" s="1"/>
      <c r="K29" s="1"/>
      <c r="L29" s="1"/>
      <c r="M29" s="1"/>
    </row>
    <row r="30" spans="1:13" s="23" customFormat="1" ht="15" x14ac:dyDescent="0.25">
      <c r="A30" s="62"/>
      <c r="B30" s="135" t="s">
        <v>17</v>
      </c>
      <c r="C30" s="3"/>
      <c r="D30" s="56"/>
      <c r="E30" s="1"/>
      <c r="F30" s="1"/>
      <c r="G30" s="1"/>
      <c r="H30" s="1"/>
      <c r="I30" s="1"/>
      <c r="J30" s="1"/>
      <c r="K30" s="1"/>
      <c r="L30" s="1"/>
      <c r="M30" s="1"/>
    </row>
    <row r="31" spans="1:13" ht="15" x14ac:dyDescent="0.25">
      <c r="A31" s="62"/>
      <c r="B31" s="191" t="s">
        <v>289</v>
      </c>
      <c r="D31" s="56"/>
    </row>
    <row r="32" spans="1:13" ht="15" x14ac:dyDescent="0.25">
      <c r="A32" s="62"/>
      <c r="B32" s="191" t="s">
        <v>21</v>
      </c>
      <c r="D32" s="56"/>
    </row>
    <row r="33" spans="1:5" ht="15" x14ac:dyDescent="0.25">
      <c r="A33" s="62"/>
      <c r="B33" s="191" t="s">
        <v>60</v>
      </c>
      <c r="D33" s="56"/>
    </row>
    <row r="34" spans="1:5" ht="13.8" x14ac:dyDescent="0.25">
      <c r="B34" s="135" t="s">
        <v>23</v>
      </c>
      <c r="E34" s="13"/>
    </row>
    <row r="35" spans="1:5" ht="15" x14ac:dyDescent="0.25">
      <c r="A35" s="62"/>
      <c r="B35" s="187" t="s">
        <v>450</v>
      </c>
      <c r="E35" s="13"/>
    </row>
    <row r="36" spans="1:5" ht="27.6" x14ac:dyDescent="0.25">
      <c r="A36" s="62"/>
      <c r="B36" s="187" t="s">
        <v>62</v>
      </c>
      <c r="C36" s="54"/>
      <c r="D36" s="58"/>
    </row>
    <row r="37" spans="1:5" ht="15" x14ac:dyDescent="0.25">
      <c r="A37" s="62"/>
      <c r="B37" s="135" t="s">
        <v>26</v>
      </c>
      <c r="C37" s="54"/>
      <c r="D37" s="58"/>
    </row>
    <row r="38" spans="1:5" ht="15" x14ac:dyDescent="0.25">
      <c r="A38" s="62"/>
      <c r="B38" s="189" t="s">
        <v>567</v>
      </c>
      <c r="C38" s="54"/>
      <c r="D38" s="54"/>
    </row>
    <row r="39" spans="1:5" ht="15" x14ac:dyDescent="0.25">
      <c r="A39" s="62"/>
      <c r="B39" s="189" t="s">
        <v>28</v>
      </c>
      <c r="C39" s="54"/>
      <c r="D39" s="54"/>
    </row>
    <row r="40" spans="1:5" ht="17.25" customHeight="1" x14ac:dyDescent="0.25">
      <c r="B40" s="135" t="s">
        <v>29</v>
      </c>
      <c r="D40" s="56"/>
    </row>
    <row r="41" spans="1:5" ht="15" x14ac:dyDescent="0.25">
      <c r="A41" s="62"/>
      <c r="B41" s="190" t="s">
        <v>81</v>
      </c>
      <c r="C41" s="54"/>
      <c r="D41" s="58"/>
    </row>
    <row r="42" spans="1:5" ht="13.5" customHeight="1" x14ac:dyDescent="0.25">
      <c r="A42" s="62"/>
      <c r="B42" s="191" t="s">
        <v>31</v>
      </c>
      <c r="C42" s="54"/>
      <c r="D42" s="58"/>
    </row>
    <row r="43" spans="1:5" ht="13.8" x14ac:dyDescent="0.25">
      <c r="A43" s="139" t="s">
        <v>0</v>
      </c>
      <c r="B43" s="191" t="s">
        <v>32</v>
      </c>
      <c r="C43" s="54"/>
    </row>
    <row r="44" spans="1:5" ht="50.4" x14ac:dyDescent="0.25">
      <c r="A44" s="142"/>
      <c r="B44" s="193" t="s">
        <v>65</v>
      </c>
      <c r="C44" s="141"/>
      <c r="D44" s="1"/>
    </row>
    <row r="45" spans="1:5" x14ac:dyDescent="0.25">
      <c r="A45" s="142"/>
      <c r="B45" s="64"/>
      <c r="C45" s="64"/>
      <c r="D45" s="1"/>
    </row>
    <row r="46" spans="1:5" x14ac:dyDescent="0.25">
      <c r="A46" s="142"/>
      <c r="B46" s="64"/>
      <c r="C46" s="64"/>
      <c r="D46" s="1"/>
    </row>
    <row r="47" spans="1:5" x14ac:dyDescent="0.25">
      <c r="A47" s="144"/>
      <c r="B47" s="143"/>
      <c r="C47" s="64"/>
      <c r="D47" s="1"/>
    </row>
    <row r="48" spans="1:5" ht="18" customHeight="1" x14ac:dyDescent="0.35">
      <c r="A48" s="146" t="s">
        <v>0</v>
      </c>
      <c r="B48" s="145"/>
      <c r="C48" s="64"/>
      <c r="D48" s="64"/>
    </row>
    <row r="49" spans="1:1" x14ac:dyDescent="0.25">
      <c r="A49" s="1" t="s">
        <v>0</v>
      </c>
    </row>
    <row r="61" spans="1:1" ht="12.75" customHeight="1" x14ac:dyDescent="0.25"/>
    <row r="65" ht="16.5" customHeight="1" x14ac:dyDescent="0.25"/>
    <row r="69" ht="15.75" customHeight="1" x14ac:dyDescent="0.25"/>
    <row r="70" ht="15" customHeight="1" x14ac:dyDescent="0.25"/>
  </sheetData>
  <mergeCells count="3">
    <mergeCell ref="A4:D4"/>
    <mergeCell ref="A14:D14"/>
    <mergeCell ref="B27:D27"/>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9B9E-6E6E-45CA-B02C-76FBB2C6CC84}">
  <sheetPr>
    <tabColor theme="4" tint="-0.249977111117893"/>
    <pageSetUpPr fitToPage="1"/>
  </sheetPr>
  <dimension ref="A1:F50"/>
  <sheetViews>
    <sheetView zoomScaleNormal="100" workbookViewId="0">
      <selection activeCell="B38" sqref="B38"/>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856</v>
      </c>
      <c r="B7" s="4"/>
      <c r="C7" s="227"/>
      <c r="D7" s="227"/>
    </row>
    <row r="8" spans="1:6" s="224" customFormat="1" ht="16.8" x14ac:dyDescent="0.4">
      <c r="A8" s="5" t="s">
        <v>857</v>
      </c>
      <c r="B8" s="4"/>
      <c r="C8" s="227"/>
      <c r="D8" s="227"/>
    </row>
    <row r="9" spans="1:6" s="224" customFormat="1" ht="16.8" x14ac:dyDescent="0.4">
      <c r="A9" s="5" t="s">
        <v>858</v>
      </c>
      <c r="B9" s="4"/>
      <c r="C9" s="227"/>
      <c r="D9" s="227"/>
    </row>
    <row r="10" spans="1:6" s="224" customFormat="1" ht="16.8" x14ac:dyDescent="0.4">
      <c r="A10" s="5" t="s">
        <v>293</v>
      </c>
      <c r="B10" s="4"/>
      <c r="C10" s="228"/>
      <c r="D10" s="227"/>
    </row>
    <row r="11" spans="1:6" s="224" customFormat="1" ht="16.8" x14ac:dyDescent="0.4">
      <c r="A11" s="8" t="s">
        <v>859</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4.4" x14ac:dyDescent="0.25">
      <c r="A15" s="243">
        <v>1</v>
      </c>
      <c r="B15" s="307" t="s">
        <v>860</v>
      </c>
      <c r="C15" s="245">
        <v>11200</v>
      </c>
      <c r="D15" s="246">
        <f>A15*C15</f>
        <v>11200</v>
      </c>
      <c r="E15" s="233"/>
      <c r="F15" s="222"/>
    </row>
    <row r="16" spans="1:6" x14ac:dyDescent="0.25">
      <c r="A16" s="243">
        <v>1</v>
      </c>
      <c r="B16" s="244" t="s">
        <v>783</v>
      </c>
      <c r="C16" s="245">
        <v>0</v>
      </c>
      <c r="D16" s="246">
        <f>A16*C16</f>
        <v>0</v>
      </c>
      <c r="E16" s="233"/>
    </row>
    <row r="17" spans="1:6" s="242" customFormat="1" ht="26.4" x14ac:dyDescent="0.25">
      <c r="A17" s="243"/>
      <c r="B17" s="244" t="s">
        <v>153</v>
      </c>
      <c r="C17" s="245"/>
      <c r="D17" s="246"/>
      <c r="E17" s="233"/>
      <c r="F17" s="222"/>
    </row>
    <row r="18" spans="1:6" ht="13.5" customHeight="1" x14ac:dyDescent="0.25">
      <c r="A18" s="243">
        <v>0</v>
      </c>
      <c r="B18" s="244" t="s">
        <v>154</v>
      </c>
      <c r="C18" s="245">
        <v>2560</v>
      </c>
      <c r="D18" s="246">
        <f t="shared" ref="D18" si="0">A18*C18</f>
        <v>0</v>
      </c>
      <c r="E18" s="233"/>
    </row>
    <row r="19" spans="1:6" ht="13.5" customHeight="1" x14ac:dyDescent="0.25">
      <c r="A19" s="243">
        <v>1</v>
      </c>
      <c r="B19" s="307" t="s">
        <v>815</v>
      </c>
      <c r="C19" s="245">
        <v>11200</v>
      </c>
      <c r="D19" s="246">
        <f>A19*C19</f>
        <v>11200</v>
      </c>
      <c r="E19" s="233"/>
    </row>
    <row r="20" spans="1:6" ht="13.5" customHeight="1" x14ac:dyDescent="0.25">
      <c r="A20" s="574"/>
      <c r="B20" s="307"/>
      <c r="C20" s="245" t="s">
        <v>18</v>
      </c>
      <c r="D20" s="246">
        <f>SUM(D15:D19)</f>
        <v>22400</v>
      </c>
      <c r="E20" s="233"/>
    </row>
    <row r="21" spans="1:6" ht="13.5" customHeight="1" x14ac:dyDescent="0.25">
      <c r="A21" s="38"/>
      <c r="B21" s="243"/>
      <c r="C21" s="253" t="s">
        <v>13</v>
      </c>
      <c r="D21" s="254">
        <f>D20*0.16</f>
        <v>3584</v>
      </c>
    </row>
    <row r="22" spans="1:6" ht="13.8" thickBot="1" x14ac:dyDescent="0.3">
      <c r="A22" s="38"/>
      <c r="B22" s="252"/>
      <c r="C22" s="257" t="s">
        <v>14</v>
      </c>
      <c r="D22" s="258">
        <f>D20+D21</f>
        <v>25984</v>
      </c>
    </row>
    <row r="23" spans="1:6" ht="13.8" thickBot="1" x14ac:dyDescent="0.3">
      <c r="A23" s="38"/>
      <c r="B23" s="638" t="s">
        <v>864</v>
      </c>
      <c r="C23" s="639"/>
      <c r="D23" s="640"/>
    </row>
    <row r="24" spans="1:6" ht="13.8" x14ac:dyDescent="0.25">
      <c r="A24" s="42"/>
      <c r="B24" s="39" t="s">
        <v>15</v>
      </c>
      <c r="C24" s="40"/>
      <c r="D24" s="259"/>
    </row>
    <row r="25" spans="1:6" ht="17.399999999999999" x14ac:dyDescent="0.25">
      <c r="A25" s="46"/>
      <c r="B25" s="43" t="s">
        <v>16</v>
      </c>
      <c r="C25" s="255"/>
      <c r="D25" s="260"/>
    </row>
    <row r="26" spans="1:6" ht="15" x14ac:dyDescent="0.25">
      <c r="A26" s="46"/>
      <c r="B26" s="52" t="s">
        <v>17</v>
      </c>
      <c r="D26" s="260"/>
    </row>
    <row r="27" spans="1:6" ht="15" x14ac:dyDescent="0.25">
      <c r="A27" s="46"/>
      <c r="B27" s="50" t="s">
        <v>19</v>
      </c>
      <c r="D27" s="260"/>
    </row>
    <row r="28" spans="1:6" ht="15" x14ac:dyDescent="0.25">
      <c r="A28" s="46"/>
      <c r="B28" s="50" t="s">
        <v>21</v>
      </c>
      <c r="D28" s="260"/>
    </row>
    <row r="29" spans="1:6" ht="13.8" x14ac:dyDescent="0.25">
      <c r="A29" s="51"/>
      <c r="B29" s="261" t="s">
        <v>172</v>
      </c>
      <c r="D29" s="260"/>
    </row>
    <row r="30" spans="1:6" ht="13.8" x14ac:dyDescent="0.25">
      <c r="A30" s="51"/>
      <c r="B30" s="52" t="s">
        <v>23</v>
      </c>
    </row>
    <row r="31" spans="1:6" ht="27.6" x14ac:dyDescent="0.25">
      <c r="A31" s="51"/>
      <c r="B31" s="643" t="s">
        <v>779</v>
      </c>
    </row>
    <row r="32" spans="1:6" ht="41.4" x14ac:dyDescent="0.25">
      <c r="A32" s="51"/>
      <c r="B32" s="641" t="s">
        <v>863</v>
      </c>
    </row>
    <row r="33" spans="1:4" ht="41.4" x14ac:dyDescent="0.25">
      <c r="A33" s="46"/>
      <c r="B33" s="642" t="s">
        <v>781</v>
      </c>
    </row>
    <row r="34" spans="1:4" ht="15" x14ac:dyDescent="0.25">
      <c r="A34" s="46"/>
      <c r="B34" s="55" t="s">
        <v>24</v>
      </c>
    </row>
    <row r="35" spans="1:4" ht="41.4" x14ac:dyDescent="0.25">
      <c r="A35" s="46"/>
      <c r="B35" s="55" t="s">
        <v>25</v>
      </c>
      <c r="C35" s="57"/>
      <c r="D35" s="262"/>
    </row>
    <row r="36" spans="1:4" ht="15" x14ac:dyDescent="0.25">
      <c r="A36" s="46"/>
      <c r="B36" s="52" t="s">
        <v>26</v>
      </c>
      <c r="C36" s="57"/>
      <c r="D36" s="262"/>
    </row>
    <row r="37" spans="1:4" ht="15" x14ac:dyDescent="0.25">
      <c r="A37" s="46"/>
      <c r="B37" s="59" t="s">
        <v>865</v>
      </c>
      <c r="C37" s="57"/>
      <c r="D37" s="57"/>
    </row>
    <row r="38" spans="1:4" ht="13.8" x14ac:dyDescent="0.25">
      <c r="A38" s="51"/>
      <c r="B38" s="60" t="s">
        <v>28</v>
      </c>
      <c r="C38" s="57"/>
      <c r="D38" s="57"/>
    </row>
    <row r="39" spans="1:4" ht="13.8" x14ac:dyDescent="0.25">
      <c r="A39" s="644"/>
      <c r="B39" s="52" t="s">
        <v>29</v>
      </c>
      <c r="D39" s="260"/>
    </row>
    <row r="40" spans="1:4" ht="15" x14ac:dyDescent="0.25">
      <c r="A40" s="46"/>
      <c r="B40" s="61" t="s">
        <v>30</v>
      </c>
      <c r="C40" s="645"/>
      <c r="D40" s="262"/>
    </row>
    <row r="41" spans="1:4" ht="15" x14ac:dyDescent="0.25">
      <c r="A41" s="62"/>
      <c r="B41" s="50" t="s">
        <v>31</v>
      </c>
      <c r="C41" s="57"/>
      <c r="D41" s="262"/>
    </row>
    <row r="42" spans="1:4" ht="13.8" x14ac:dyDescent="0.25">
      <c r="A42" s="65" t="s">
        <v>0</v>
      </c>
      <c r="B42" s="63" t="s">
        <v>32</v>
      </c>
      <c r="C42" s="3"/>
      <c r="D42" s="64"/>
    </row>
    <row r="43" spans="1:4" ht="33.6" x14ac:dyDescent="0.25">
      <c r="A43" s="263"/>
      <c r="B43" s="66" t="s">
        <v>33</v>
      </c>
      <c r="C43" s="57"/>
      <c r="D43" s="57"/>
    </row>
    <row r="44" spans="1:4" ht="16.8" x14ac:dyDescent="0.4">
      <c r="A44" s="266"/>
      <c r="B44" s="264"/>
      <c r="C44" s="265"/>
      <c r="D44" s="265"/>
    </row>
    <row r="45" spans="1:4" x14ac:dyDescent="0.25">
      <c r="A45" s="266"/>
      <c r="B45" s="267"/>
      <c r="C45" s="267"/>
      <c r="D45" s="222"/>
    </row>
    <row r="46" spans="1:4" x14ac:dyDescent="0.25">
      <c r="A46" s="268"/>
      <c r="B46" s="267"/>
      <c r="C46" s="267"/>
      <c r="D46" s="222"/>
    </row>
    <row r="47" spans="1:4" x14ac:dyDescent="0.25">
      <c r="A47" s="270" t="s">
        <v>0</v>
      </c>
      <c r="B47" s="269"/>
      <c r="C47" s="267"/>
      <c r="D47" s="222"/>
    </row>
    <row r="48" spans="1:4" ht="15" x14ac:dyDescent="0.35">
      <c r="A48" s="222" t="s">
        <v>0</v>
      </c>
      <c r="B48" s="271"/>
      <c r="C48" s="267"/>
      <c r="D48" s="267"/>
    </row>
    <row r="50" ht="15.75" customHeight="1" x14ac:dyDescent="0.25"/>
  </sheetData>
  <mergeCells count="1">
    <mergeCell ref="A4:D4"/>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85506-10F9-419A-8794-3656FB0E0CEE}">
  <sheetPr>
    <tabColor theme="4" tint="-0.249977111117893"/>
    <pageSetUpPr fitToPage="1"/>
  </sheetPr>
  <dimension ref="A1:P59"/>
  <sheetViews>
    <sheetView topLeftCell="A12" zoomScale="85" zoomScaleNormal="85" workbookViewId="0">
      <selection activeCell="B31" sqref="B31"/>
    </sheetView>
  </sheetViews>
  <sheetFormatPr baseColWidth="10" defaultColWidth="11.44140625" defaultRowHeight="13.2" x14ac:dyDescent="0.25"/>
  <cols>
    <col min="1" max="1" width="6" style="1" customWidth="1"/>
    <col min="2" max="2" width="79.332031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443</v>
      </c>
      <c r="B8" s="68"/>
      <c r="C8" s="69"/>
      <c r="D8" s="69"/>
    </row>
    <row r="9" spans="1:16" s="4" customFormat="1" ht="19.2" x14ac:dyDescent="0.45">
      <c r="A9" s="67" t="s">
        <v>444</v>
      </c>
      <c r="B9" s="68"/>
      <c r="C9" s="69"/>
      <c r="D9" s="69"/>
    </row>
    <row r="10" spans="1:16" s="4" customFormat="1" ht="19.2" x14ac:dyDescent="0.45">
      <c r="A10" s="67" t="s">
        <v>445</v>
      </c>
      <c r="B10" s="68"/>
      <c r="C10" s="69"/>
      <c r="D10" s="69"/>
    </row>
    <row r="11" spans="1:16" s="4" customFormat="1" ht="19.2" x14ac:dyDescent="0.45">
      <c r="A11" s="67" t="s">
        <v>452</v>
      </c>
      <c r="B11" s="68"/>
      <c r="C11" s="70"/>
      <c r="D11" s="69"/>
    </row>
    <row r="12" spans="1:16" s="4" customFormat="1" ht="15" customHeight="1" x14ac:dyDescent="0.45">
      <c r="A12" s="67" t="s">
        <v>38</v>
      </c>
      <c r="B12" s="68"/>
      <c r="C12" s="70"/>
      <c r="D12" s="69"/>
    </row>
    <row r="13" spans="1:16" s="4" customFormat="1" ht="15" customHeight="1" x14ac:dyDescent="0.45">
      <c r="A13" s="71" t="s">
        <v>883</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103">
        <v>1</v>
      </c>
      <c r="B16" s="104" t="s">
        <v>866</v>
      </c>
      <c r="C16" s="105">
        <f>44922*1.4</f>
        <v>62890.799999999996</v>
      </c>
      <c r="D16" s="79">
        <f t="shared" ref="D16:D17" si="0">A16*C16</f>
        <v>62890.799999999996</v>
      </c>
      <c r="N16" s="23"/>
      <c r="O16" s="23"/>
      <c r="P16" s="23"/>
    </row>
    <row r="17" spans="1:16" s="23" customFormat="1" ht="15.6" x14ac:dyDescent="0.25">
      <c r="A17" s="103">
        <v>1</v>
      </c>
      <c r="B17" s="104" t="s">
        <v>879</v>
      </c>
      <c r="C17" s="105">
        <f>15045*1.35+4300</f>
        <v>24610.75</v>
      </c>
      <c r="D17" s="79">
        <f t="shared" si="0"/>
        <v>24610.75</v>
      </c>
      <c r="E17" s="13"/>
      <c r="F17" s="1"/>
      <c r="G17" s="1"/>
      <c r="H17" s="1"/>
      <c r="I17" s="1"/>
      <c r="J17" s="1"/>
      <c r="K17" s="1"/>
      <c r="L17" s="1"/>
      <c r="M17" s="1"/>
    </row>
    <row r="18" spans="1:16" s="23" customFormat="1" ht="15.6" x14ac:dyDescent="0.25">
      <c r="A18" s="516"/>
      <c r="B18" s="656" t="s">
        <v>880</v>
      </c>
      <c r="C18" s="86" t="s">
        <v>49</v>
      </c>
      <c r="D18" s="87">
        <f>SUM(D16:D17)</f>
        <v>87501.549999999988</v>
      </c>
      <c r="E18" s="1"/>
      <c r="F18" s="1"/>
      <c r="G18" s="1"/>
      <c r="H18" s="1"/>
      <c r="I18" s="1"/>
      <c r="J18" s="1"/>
      <c r="K18" s="1"/>
      <c r="L18" s="1"/>
      <c r="M18" s="1"/>
    </row>
    <row r="19" spans="1:16" s="23" customFormat="1" ht="15.6" x14ac:dyDescent="0.25">
      <c r="A19" s="516"/>
      <c r="B19" s="656" t="s">
        <v>881</v>
      </c>
      <c r="C19" s="90" t="s">
        <v>51</v>
      </c>
      <c r="D19" s="87">
        <f>D18*0.16</f>
        <v>14000.247999999998</v>
      </c>
      <c r="E19" s="1"/>
      <c r="F19" s="1"/>
      <c r="G19" s="1"/>
      <c r="H19" s="1"/>
      <c r="I19" s="1"/>
      <c r="J19" s="1"/>
      <c r="K19" s="1"/>
      <c r="L19" s="1"/>
      <c r="M19" s="1"/>
    </row>
    <row r="20" spans="1:16" s="23" customFormat="1" ht="16.2" thickBot="1" x14ac:dyDescent="0.3">
      <c r="A20" s="516"/>
      <c r="B20" s="100"/>
      <c r="C20" s="90" t="s">
        <v>52</v>
      </c>
      <c r="D20" s="87">
        <f>SUM(D18:D19)</f>
        <v>101501.79799999998</v>
      </c>
      <c r="E20" s="1"/>
      <c r="F20" s="1"/>
      <c r="G20" s="1"/>
      <c r="H20" s="1"/>
      <c r="I20" s="1"/>
      <c r="J20" s="1"/>
      <c r="K20" s="1"/>
      <c r="L20" s="1"/>
      <c r="M20" s="1"/>
      <c r="N20" s="1"/>
      <c r="O20" s="1"/>
      <c r="P20" s="1"/>
    </row>
    <row r="21" spans="1:16" ht="16.2" thickBot="1" x14ac:dyDescent="0.3">
      <c r="A21" s="116"/>
      <c r="B21" s="186" t="s">
        <v>882</v>
      </c>
      <c r="C21" s="36"/>
      <c r="D21" s="37"/>
    </row>
    <row r="22" spans="1:16" ht="13.8" x14ac:dyDescent="0.25">
      <c r="A22" s="34"/>
      <c r="B22" s="120" t="s">
        <v>15</v>
      </c>
      <c r="C22" s="121"/>
      <c r="D22" s="122"/>
    </row>
    <row r="23" spans="1:16" ht="15.6" x14ac:dyDescent="0.25">
      <c r="A23" s="34"/>
      <c r="B23" s="123"/>
      <c r="C23" s="1"/>
      <c r="D23" s="1"/>
      <c r="O23" s="88"/>
      <c r="P23" s="88"/>
    </row>
    <row r="24" spans="1:16" s="88" customFormat="1" ht="13.8" x14ac:dyDescent="0.25">
      <c r="A24" s="286"/>
      <c r="B24" s="135" t="s">
        <v>17</v>
      </c>
      <c r="C24" s="1"/>
      <c r="D24" s="1"/>
      <c r="E24" s="1"/>
      <c r="F24" s="1"/>
      <c r="G24" s="1"/>
      <c r="H24" s="1"/>
      <c r="I24" s="1"/>
      <c r="J24" s="1"/>
      <c r="K24" s="1"/>
      <c r="L24" s="1"/>
      <c r="M24" s="1"/>
      <c r="N24" s="1"/>
      <c r="O24" s="1"/>
      <c r="P24" s="1"/>
    </row>
    <row r="25" spans="1:16" ht="15" x14ac:dyDescent="0.25">
      <c r="A25" s="288"/>
      <c r="B25" s="191" t="s">
        <v>19</v>
      </c>
      <c r="C25" s="1"/>
      <c r="D25" s="1"/>
    </row>
    <row r="26" spans="1:16" ht="15" x14ac:dyDescent="0.25">
      <c r="A26" s="288"/>
      <c r="B26" s="290" t="s">
        <v>60</v>
      </c>
      <c r="C26" s="1"/>
      <c r="D26" s="1"/>
    </row>
    <row r="27" spans="1:16" ht="15" x14ac:dyDescent="0.25">
      <c r="A27" s="288"/>
      <c r="B27" s="130" t="s">
        <v>23</v>
      </c>
      <c r="C27" s="13"/>
      <c r="D27" s="1"/>
    </row>
    <row r="28" spans="1:16" ht="27.6" x14ac:dyDescent="0.25">
      <c r="A28" s="288"/>
      <c r="B28" s="187" t="s">
        <v>62</v>
      </c>
      <c r="C28" s="13"/>
      <c r="D28" s="1"/>
    </row>
    <row r="29" spans="1:16" ht="15" x14ac:dyDescent="0.25">
      <c r="A29" s="288"/>
      <c r="B29" s="130" t="s">
        <v>26</v>
      </c>
      <c r="C29" s="13"/>
      <c r="D29" s="1"/>
    </row>
    <row r="30" spans="1:16" ht="27.6" x14ac:dyDescent="0.25">
      <c r="A30" s="288"/>
      <c r="B30" s="512" t="s">
        <v>884</v>
      </c>
      <c r="C30" s="13"/>
      <c r="D30" s="1"/>
    </row>
    <row r="31" spans="1:16" ht="15" x14ac:dyDescent="0.25">
      <c r="A31" s="288"/>
      <c r="B31" s="512" t="s">
        <v>28</v>
      </c>
      <c r="C31" s="1"/>
      <c r="D31" s="1"/>
    </row>
    <row r="32" spans="1:16" ht="31.2" customHeight="1" x14ac:dyDescent="0.25">
      <c r="A32" s="288"/>
      <c r="B32" s="130" t="s">
        <v>29</v>
      </c>
      <c r="C32" s="1"/>
      <c r="D32" s="1"/>
    </row>
    <row r="33" spans="1:4" ht="18" customHeight="1" x14ac:dyDescent="0.25">
      <c r="A33" s="88"/>
      <c r="B33" s="190" t="s">
        <v>64</v>
      </c>
      <c r="C33" s="133"/>
      <c r="D33" s="134"/>
    </row>
    <row r="34" spans="1:4" ht="15" x14ac:dyDescent="0.25">
      <c r="A34" s="288"/>
      <c r="B34" s="191" t="s">
        <v>31</v>
      </c>
      <c r="C34" s="54"/>
      <c r="D34" s="58"/>
    </row>
    <row r="35" spans="1:4" ht="15" x14ac:dyDescent="0.25">
      <c r="A35" s="288"/>
      <c r="B35" s="191" t="s">
        <v>32</v>
      </c>
      <c r="C35" s="54"/>
    </row>
    <row r="36" spans="1:4" ht="50.4" x14ac:dyDescent="0.25">
      <c r="A36" s="293" t="s">
        <v>0</v>
      </c>
      <c r="B36" s="193"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6" fitToWidth="0" orientation="portrait" r:id="rId1"/>
  <headerFooter alignWithMargins="0">
    <oddFooter>Página &amp;P de &amp;N</oddFoot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A5FF-A9A7-46D7-A3C6-B82C8591E0C6}">
  <sheetPr>
    <tabColor theme="4" tint="-0.249977111117893"/>
    <pageSetUpPr fitToPage="1"/>
  </sheetPr>
  <dimension ref="A1:F52"/>
  <sheetViews>
    <sheetView topLeftCell="A4" zoomScaleNormal="100" workbookViewId="0">
      <selection activeCell="C19" sqref="C19"/>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856</v>
      </c>
      <c r="B7" s="4"/>
      <c r="C7" s="227"/>
      <c r="D7" s="227"/>
    </row>
    <row r="8" spans="1:6" s="224" customFormat="1" ht="16.8" x14ac:dyDescent="0.4">
      <c r="A8" s="5" t="s">
        <v>857</v>
      </c>
      <c r="B8" s="4"/>
      <c r="C8" s="227"/>
      <c r="D8" s="227"/>
    </row>
    <row r="9" spans="1:6" s="224" customFormat="1" ht="16.8" x14ac:dyDescent="0.4">
      <c r="A9" s="5" t="s">
        <v>858</v>
      </c>
      <c r="B9" s="4"/>
      <c r="C9" s="227"/>
      <c r="D9" s="227"/>
    </row>
    <row r="10" spans="1:6" s="224" customFormat="1" ht="16.8" x14ac:dyDescent="0.4">
      <c r="A10" s="5" t="s">
        <v>293</v>
      </c>
      <c r="B10" s="4"/>
      <c r="C10" s="228"/>
      <c r="D10" s="227"/>
    </row>
    <row r="11" spans="1:6" s="224" customFormat="1" ht="16.8" x14ac:dyDescent="0.4">
      <c r="A11" s="8" t="s">
        <v>859</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4.4" x14ac:dyDescent="0.25">
      <c r="A15" s="243">
        <v>1</v>
      </c>
      <c r="B15" s="307" t="s">
        <v>860</v>
      </c>
      <c r="C15" s="245">
        <v>11200</v>
      </c>
      <c r="D15" s="246">
        <f>A15*C15</f>
        <v>11200</v>
      </c>
      <c r="E15" s="233"/>
      <c r="F15" s="222"/>
    </row>
    <row r="16" spans="1:6" x14ac:dyDescent="0.25">
      <c r="A16" s="243">
        <v>1</v>
      </c>
      <c r="B16" s="244" t="s">
        <v>783</v>
      </c>
      <c r="C16" s="245">
        <v>3150</v>
      </c>
      <c r="D16" s="246">
        <f>A16*C16</f>
        <v>3150</v>
      </c>
      <c r="E16" s="233"/>
    </row>
    <row r="17" spans="1:6" s="242" customFormat="1" ht="26.4" x14ac:dyDescent="0.25">
      <c r="A17" s="243"/>
      <c r="B17" s="244" t="s">
        <v>153</v>
      </c>
      <c r="C17" s="245"/>
      <c r="D17" s="246"/>
      <c r="E17" s="233"/>
      <c r="F17" s="222"/>
    </row>
    <row r="18" spans="1:6" ht="13.5" customHeight="1" x14ac:dyDescent="0.25">
      <c r="A18" s="243">
        <v>0.5</v>
      </c>
      <c r="B18" s="244" t="s">
        <v>154</v>
      </c>
      <c r="C18" s="245">
        <v>2560</v>
      </c>
      <c r="D18" s="246">
        <f t="shared" ref="D18" si="0">A18*C18</f>
        <v>1280</v>
      </c>
      <c r="E18" s="233"/>
    </row>
    <row r="19" spans="1:6" ht="13.5" customHeight="1" x14ac:dyDescent="0.25">
      <c r="A19" s="243">
        <v>1</v>
      </c>
      <c r="B19" s="307" t="s">
        <v>815</v>
      </c>
      <c r="C19" s="245">
        <v>11200</v>
      </c>
      <c r="D19" s="246">
        <f>A19*C19</f>
        <v>11200</v>
      </c>
      <c r="E19" s="233"/>
    </row>
    <row r="20" spans="1:6" ht="13.5" customHeight="1" x14ac:dyDescent="0.25">
      <c r="A20" s="574">
        <v>1</v>
      </c>
      <c r="B20" s="307" t="s">
        <v>861</v>
      </c>
      <c r="C20" s="245">
        <f>(2086.5*18)*1.17</f>
        <v>43941.689999999995</v>
      </c>
      <c r="D20" s="246">
        <f t="shared" ref="D20:D23" si="1">A20*C20</f>
        <v>43941.689999999995</v>
      </c>
      <c r="E20" s="233"/>
    </row>
    <row r="21" spans="1:6" ht="13.5" customHeight="1" x14ac:dyDescent="0.25">
      <c r="A21" s="574">
        <v>1</v>
      </c>
      <c r="B21" s="307" t="s">
        <v>862</v>
      </c>
      <c r="C21" s="245">
        <f>(1576.5*18)*1.15</f>
        <v>32633.55</v>
      </c>
      <c r="D21" s="246">
        <f t="shared" si="1"/>
        <v>32633.55</v>
      </c>
      <c r="E21" s="233"/>
    </row>
    <row r="22" spans="1:6" ht="14.4" x14ac:dyDescent="0.25">
      <c r="A22" s="574">
        <v>3</v>
      </c>
      <c r="B22" s="307"/>
      <c r="C22" s="245"/>
      <c r="D22" s="246"/>
      <c r="E22" s="233"/>
    </row>
    <row r="23" spans="1:6" ht="14.4" x14ac:dyDescent="0.25">
      <c r="A23" s="574">
        <v>1</v>
      </c>
      <c r="B23" s="307" t="s">
        <v>886</v>
      </c>
      <c r="C23" s="245">
        <v>1130</v>
      </c>
      <c r="D23" s="246">
        <f t="shared" si="1"/>
        <v>1130</v>
      </c>
      <c r="E23" s="233"/>
    </row>
    <row r="24" spans="1:6" x14ac:dyDescent="0.25">
      <c r="A24" s="38"/>
      <c r="B24" s="657"/>
      <c r="C24" s="245" t="s">
        <v>18</v>
      </c>
      <c r="D24" s="246">
        <f>SUM(D15:D23)</f>
        <v>104535.24</v>
      </c>
    </row>
    <row r="25" spans="1:6" x14ac:dyDescent="0.25">
      <c r="A25" s="38"/>
      <c r="B25" s="658"/>
      <c r="C25" s="253" t="s">
        <v>13</v>
      </c>
      <c r="D25" s="254">
        <f>D24*0.16</f>
        <v>16725.6384</v>
      </c>
    </row>
    <row r="26" spans="1:6" ht="13.8" thickBot="1" x14ac:dyDescent="0.3">
      <c r="A26" s="38"/>
      <c r="B26" s="252"/>
      <c r="C26" s="257" t="s">
        <v>14</v>
      </c>
      <c r="D26" s="258">
        <f>D24+D25</f>
        <v>121260.8784</v>
      </c>
    </row>
    <row r="27" spans="1:6" ht="13.8" thickBot="1" x14ac:dyDescent="0.3">
      <c r="A27" s="38"/>
      <c r="B27" s="638" t="s">
        <v>887</v>
      </c>
      <c r="C27" s="639"/>
      <c r="D27" s="640"/>
    </row>
    <row r="28" spans="1:6" ht="13.8" x14ac:dyDescent="0.25">
      <c r="A28" s="42"/>
      <c r="B28" s="39" t="s">
        <v>15</v>
      </c>
      <c r="C28" s="40"/>
      <c r="D28" s="259"/>
    </row>
    <row r="29" spans="1:6" ht="17.399999999999999" x14ac:dyDescent="0.25">
      <c r="A29" s="46"/>
      <c r="B29" s="43" t="s">
        <v>16</v>
      </c>
      <c r="C29" s="255"/>
      <c r="D29" s="260"/>
    </row>
    <row r="30" spans="1:6" ht="15" x14ac:dyDescent="0.25">
      <c r="A30" s="46"/>
      <c r="B30" s="52" t="s">
        <v>17</v>
      </c>
      <c r="D30" s="260"/>
    </row>
    <row r="31" spans="1:6" ht="15" x14ac:dyDescent="0.25">
      <c r="A31" s="46"/>
      <c r="B31" s="50" t="s">
        <v>19</v>
      </c>
      <c r="D31" s="260"/>
    </row>
    <row r="32" spans="1:6" ht="15" x14ac:dyDescent="0.25">
      <c r="A32" s="46"/>
      <c r="B32" s="50" t="s">
        <v>21</v>
      </c>
      <c r="D32" s="260"/>
    </row>
    <row r="33" spans="1:4" ht="13.8" x14ac:dyDescent="0.25">
      <c r="A33" s="51"/>
      <c r="B33" s="261" t="s">
        <v>172</v>
      </c>
      <c r="D33" s="260"/>
    </row>
    <row r="34" spans="1:4" ht="13.8" x14ac:dyDescent="0.25">
      <c r="A34" s="51"/>
      <c r="B34" s="52" t="s">
        <v>23</v>
      </c>
    </row>
    <row r="35" spans="1:4" ht="27.6" x14ac:dyDescent="0.25">
      <c r="A35" s="51"/>
      <c r="B35" s="643" t="s">
        <v>779</v>
      </c>
    </row>
    <row r="36" spans="1:4" ht="41.4" x14ac:dyDescent="0.25">
      <c r="A36" s="51"/>
      <c r="B36" s="641" t="s">
        <v>863</v>
      </c>
    </row>
    <row r="37" spans="1:4" ht="41.4" x14ac:dyDescent="0.25">
      <c r="A37" s="46"/>
      <c r="B37" s="642" t="s">
        <v>781</v>
      </c>
    </row>
    <row r="38" spans="1:4" ht="15" x14ac:dyDescent="0.25">
      <c r="A38" s="46"/>
      <c r="B38" s="55" t="s">
        <v>24</v>
      </c>
    </row>
    <row r="39" spans="1:4" ht="41.4" x14ac:dyDescent="0.25">
      <c r="A39" s="46"/>
      <c r="B39" s="55" t="s">
        <v>25</v>
      </c>
      <c r="C39" s="57"/>
      <c r="D39" s="262"/>
    </row>
    <row r="40" spans="1:4" ht="15" x14ac:dyDescent="0.25">
      <c r="A40" s="46"/>
      <c r="B40" s="52" t="s">
        <v>26</v>
      </c>
      <c r="C40" s="57"/>
      <c r="D40" s="262"/>
    </row>
    <row r="41" spans="1:4" ht="15" x14ac:dyDescent="0.25">
      <c r="A41" s="46"/>
      <c r="B41" s="59" t="s">
        <v>889</v>
      </c>
      <c r="C41" s="57"/>
      <c r="D41" s="57"/>
    </row>
    <row r="42" spans="1:4" ht="13.8" x14ac:dyDescent="0.25">
      <c r="A42" s="51"/>
      <c r="B42" s="60" t="s">
        <v>28</v>
      </c>
      <c r="C42" s="57"/>
      <c r="D42" s="57"/>
    </row>
    <row r="43" spans="1:4" ht="13.8" x14ac:dyDescent="0.25">
      <c r="A43" s="644"/>
      <c r="B43" s="52" t="s">
        <v>29</v>
      </c>
      <c r="D43" s="260"/>
    </row>
    <row r="44" spans="1:4" ht="15" x14ac:dyDescent="0.25">
      <c r="A44" s="46"/>
      <c r="B44" s="61" t="s">
        <v>888</v>
      </c>
      <c r="C44" s="645"/>
      <c r="D44" s="262"/>
    </row>
    <row r="45" spans="1:4" ht="15" x14ac:dyDescent="0.25">
      <c r="A45" s="62"/>
      <c r="B45" s="50" t="s">
        <v>31</v>
      </c>
      <c r="C45" s="57"/>
      <c r="D45" s="262"/>
    </row>
    <row r="46" spans="1:4" ht="13.8" x14ac:dyDescent="0.25">
      <c r="A46" s="65" t="s">
        <v>0</v>
      </c>
      <c r="B46" s="63" t="s">
        <v>32</v>
      </c>
      <c r="C46" s="3"/>
      <c r="D46" s="64"/>
    </row>
    <row r="47" spans="1:4" ht="33.6" x14ac:dyDescent="0.25">
      <c r="A47" s="263"/>
      <c r="B47" s="66" t="s">
        <v>33</v>
      </c>
      <c r="C47" s="57"/>
      <c r="D47" s="57"/>
    </row>
    <row r="48" spans="1:4" ht="16.8" x14ac:dyDescent="0.4">
      <c r="A48" s="266"/>
      <c r="B48" s="264"/>
      <c r="C48" s="265"/>
      <c r="D48" s="265"/>
    </row>
    <row r="49" spans="1:4" x14ac:dyDescent="0.25">
      <c r="A49" s="266"/>
      <c r="B49" s="267"/>
      <c r="C49" s="267"/>
      <c r="D49" s="222"/>
    </row>
    <row r="50" spans="1:4" ht="15.75" customHeight="1" x14ac:dyDescent="0.25">
      <c r="A50" s="268"/>
      <c r="B50" s="267"/>
      <c r="C50" s="267"/>
      <c r="D50" s="222"/>
    </row>
    <row r="51" spans="1:4" x14ac:dyDescent="0.25">
      <c r="A51" s="270" t="s">
        <v>0</v>
      </c>
      <c r="B51" s="269"/>
      <c r="C51" s="267"/>
      <c r="D51" s="222"/>
    </row>
    <row r="52" spans="1:4" ht="15" x14ac:dyDescent="0.35">
      <c r="A52" s="222" t="s">
        <v>0</v>
      </c>
      <c r="B52" s="271"/>
      <c r="C52" s="267"/>
      <c r="D52" s="267"/>
    </row>
  </sheetData>
  <mergeCells count="1">
    <mergeCell ref="A4:D4"/>
  </mergeCells>
  <printOptions horizontalCentered="1"/>
  <pageMargins left="0.25" right="0.25" top="0.75" bottom="0.75" header="0.3" footer="0.3"/>
  <pageSetup paperSize="9" scale="73" fitToWidth="0" orientation="portrait" r:id="rId1"/>
  <headerFooter alignWithMargins="0">
    <oddFooter>Página &amp;P de &amp;N</oddFooter>
  </headerFooter>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9F365-88D0-4D28-A7D9-46B90EB2B8FC}">
  <sheetPr>
    <tabColor theme="4" tint="-0.249977111117893"/>
    <pageSetUpPr fitToPage="1"/>
  </sheetPr>
  <dimension ref="A1:P59"/>
  <sheetViews>
    <sheetView zoomScale="85" zoomScaleNormal="85" workbookViewId="0">
      <selection activeCell="A14" sqref="A14:D14"/>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892</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60" x14ac:dyDescent="0.25">
      <c r="A16" s="103">
        <v>1</v>
      </c>
      <c r="B16" s="104" t="s">
        <v>390</v>
      </c>
      <c r="C16" s="105">
        <f>130*195</f>
        <v>25350</v>
      </c>
      <c r="D16" s="79">
        <f t="shared" ref="D16:D19" si="0">A16*C16</f>
        <v>25350</v>
      </c>
      <c r="N16" s="23"/>
      <c r="O16" s="23"/>
      <c r="P16" s="23"/>
    </row>
    <row r="17" spans="1:16" s="23" customFormat="1" ht="30" x14ac:dyDescent="0.25">
      <c r="A17" s="106">
        <v>1</v>
      </c>
      <c r="B17" s="107" t="s">
        <v>890</v>
      </c>
      <c r="C17" s="108"/>
      <c r="D17" s="109">
        <f t="shared" si="0"/>
        <v>0</v>
      </c>
      <c r="E17" s="1"/>
      <c r="F17" s="1"/>
      <c r="G17" s="1"/>
      <c r="H17" s="1"/>
      <c r="I17" s="1"/>
      <c r="J17" s="1"/>
      <c r="K17" s="1"/>
      <c r="L17" s="1"/>
      <c r="M17" s="1"/>
    </row>
    <row r="18" spans="1:16" s="23" customFormat="1" ht="22.2" customHeight="1" x14ac:dyDescent="0.3">
      <c r="A18" s="103">
        <v>1</v>
      </c>
      <c r="B18" s="104" t="s">
        <v>891</v>
      </c>
      <c r="C18" s="105"/>
      <c r="D18" s="79">
        <f t="shared" si="0"/>
        <v>0</v>
      </c>
      <c r="E18" s="1"/>
      <c r="F18" s="1"/>
      <c r="G18" s="1"/>
      <c r="H18" s="1"/>
      <c r="I18" s="1"/>
      <c r="J18" s="1"/>
      <c r="K18" s="1"/>
      <c r="L18" s="1"/>
      <c r="M18"/>
    </row>
    <row r="19" spans="1:16" s="23" customFormat="1" ht="45" x14ac:dyDescent="0.25">
      <c r="A19" s="103">
        <v>1</v>
      </c>
      <c r="B19" s="104" t="s">
        <v>391</v>
      </c>
      <c r="C19" s="105">
        <f>200*175</f>
        <v>35000</v>
      </c>
      <c r="D19" s="79">
        <f t="shared" si="0"/>
        <v>35000</v>
      </c>
      <c r="E19" s="1"/>
      <c r="F19" s="1"/>
      <c r="G19" s="1"/>
      <c r="H19" s="1"/>
      <c r="I19" s="1"/>
      <c r="J19" s="1"/>
      <c r="K19" s="1"/>
      <c r="L19" s="1"/>
      <c r="M19" s="1"/>
    </row>
    <row r="20" spans="1:16" s="23" customFormat="1" ht="15.6" x14ac:dyDescent="0.25">
      <c r="A20" s="99">
        <v>1</v>
      </c>
      <c r="B20" s="100" t="s">
        <v>273</v>
      </c>
      <c r="C20" s="324">
        <v>5468</v>
      </c>
      <c r="D20" s="98">
        <f>A20*C20</f>
        <v>5468</v>
      </c>
      <c r="E20" s="13"/>
      <c r="F20" s="1"/>
      <c r="G20" s="1"/>
      <c r="H20" s="1"/>
      <c r="I20" s="1"/>
      <c r="J20" s="1"/>
      <c r="K20" s="1"/>
      <c r="L20" s="1"/>
      <c r="M20" s="1"/>
      <c r="N20" s="1"/>
      <c r="O20" s="1"/>
      <c r="P20" s="1"/>
    </row>
    <row r="21" spans="1:16" ht="15.6" x14ac:dyDescent="0.25">
      <c r="A21" s="99">
        <v>2</v>
      </c>
      <c r="B21" s="100" t="s">
        <v>154</v>
      </c>
      <c r="C21" s="431">
        <v>2435</v>
      </c>
      <c r="D21" s="98">
        <f>A21*C21</f>
        <v>4870</v>
      </c>
      <c r="E21" s="13"/>
    </row>
    <row r="22" spans="1:16" ht="15.6" x14ac:dyDescent="0.3">
      <c r="A22" s="516"/>
      <c r="B22" s="517"/>
      <c r="C22" s="86" t="s">
        <v>49</v>
      </c>
      <c r="D22" s="87">
        <f>SUM(D16:K21)</f>
        <v>70688</v>
      </c>
    </row>
    <row r="23" spans="1:16" ht="15.6" x14ac:dyDescent="0.3">
      <c r="A23" s="516"/>
      <c r="B23" s="517"/>
      <c r="C23" s="90" t="s">
        <v>51</v>
      </c>
      <c r="D23" s="87">
        <f>D22*0.16</f>
        <v>11310.08</v>
      </c>
      <c r="O23" s="88"/>
      <c r="P23" s="88"/>
    </row>
    <row r="24" spans="1:16" s="88" customFormat="1" ht="16.2" thickBot="1" x14ac:dyDescent="0.3">
      <c r="A24" s="516"/>
      <c r="B24" s="100"/>
      <c r="C24" s="90" t="s">
        <v>52</v>
      </c>
      <c r="D24" s="87">
        <f>SUM(D22:D23)</f>
        <v>81998.080000000002</v>
      </c>
      <c r="E24" s="1"/>
      <c r="F24" s="1"/>
      <c r="G24" s="1"/>
      <c r="H24" s="1"/>
      <c r="I24" s="1"/>
      <c r="J24" s="1"/>
      <c r="K24" s="1"/>
      <c r="L24" s="1"/>
      <c r="M24" s="1"/>
      <c r="N24" s="1"/>
      <c r="O24" s="1"/>
      <c r="P24" s="1"/>
    </row>
    <row r="25" spans="1:16" ht="16.2" thickBot="1" x14ac:dyDescent="0.3">
      <c r="A25" s="116"/>
      <c r="B25" s="186" t="s">
        <v>403</v>
      </c>
      <c r="C25" s="36"/>
      <c r="D25" s="37"/>
    </row>
    <row r="26" spans="1:16" ht="13.8" x14ac:dyDescent="0.25">
      <c r="A26" s="34"/>
      <c r="B26" s="120" t="s">
        <v>15</v>
      </c>
      <c r="C26" s="121"/>
      <c r="D26" s="122"/>
    </row>
    <row r="27" spans="1:16" ht="15.6" x14ac:dyDescent="0.25">
      <c r="A27" s="34"/>
      <c r="B27" s="123"/>
      <c r="C27" s="1"/>
      <c r="D27" s="1"/>
    </row>
    <row r="28" spans="1:16" ht="13.8" x14ac:dyDescent="0.25">
      <c r="A28" s="34"/>
      <c r="B28" s="126" t="s">
        <v>17</v>
      </c>
      <c r="C28" s="1"/>
      <c r="D28" s="1"/>
    </row>
    <row r="29" spans="1:16" ht="15" x14ac:dyDescent="0.25">
      <c r="A29" s="62"/>
      <c r="B29" s="127" t="s">
        <v>19</v>
      </c>
      <c r="C29" s="1"/>
      <c r="D29" s="1"/>
    </row>
    <row r="30" spans="1:16" ht="15" x14ac:dyDescent="0.25">
      <c r="A30" s="62"/>
      <c r="B30" s="128"/>
      <c r="C30" s="1"/>
      <c r="D30" s="1"/>
    </row>
    <row r="31" spans="1:16" ht="15" x14ac:dyDescent="0.25">
      <c r="A31" s="62"/>
      <c r="B31" s="129" t="s">
        <v>60</v>
      </c>
      <c r="C31" s="13"/>
      <c r="D31" s="1"/>
    </row>
    <row r="32" spans="1:16" ht="15" x14ac:dyDescent="0.25">
      <c r="A32" s="62"/>
      <c r="B32" s="130" t="s">
        <v>23</v>
      </c>
      <c r="C32" s="1"/>
      <c r="D32" s="1"/>
    </row>
    <row r="33" spans="1:4" ht="41.4" x14ac:dyDescent="0.25">
      <c r="A33" s="62"/>
      <c r="B33" s="132" t="s">
        <v>62</v>
      </c>
      <c r="C33" s="13"/>
      <c r="D33" s="1"/>
    </row>
    <row r="34" spans="1:4" ht="15" x14ac:dyDescent="0.25">
      <c r="A34" s="62"/>
      <c r="B34" s="130" t="s">
        <v>26</v>
      </c>
      <c r="C34" s="13"/>
      <c r="D34" s="1"/>
    </row>
    <row r="35" spans="1:4" ht="27.6" x14ac:dyDescent="0.25">
      <c r="A35" s="62"/>
      <c r="B35" s="333" t="s">
        <v>121</v>
      </c>
      <c r="C35" s="13"/>
      <c r="D35" s="1"/>
    </row>
    <row r="36" spans="1:4" ht="27.6" x14ac:dyDescent="0.25">
      <c r="A36" s="62"/>
      <c r="B36" s="334" t="s">
        <v>28</v>
      </c>
      <c r="C36" s="13"/>
      <c r="D36" s="1"/>
    </row>
    <row r="37" spans="1:4" ht="15" x14ac:dyDescent="0.25">
      <c r="A37" s="62"/>
      <c r="B37" s="130" t="s">
        <v>29</v>
      </c>
      <c r="C37" s="1"/>
      <c r="D37" s="1"/>
    </row>
    <row r="38" spans="1:4" ht="13.8" x14ac:dyDescent="0.25">
      <c r="B38" s="138" t="s">
        <v>64</v>
      </c>
      <c r="C38" s="1"/>
      <c r="D38" s="1"/>
    </row>
    <row r="39" spans="1:4" ht="15" x14ac:dyDescent="0.25">
      <c r="A39" s="62"/>
      <c r="B39" s="127" t="s">
        <v>31</v>
      </c>
      <c r="C39" s="54"/>
      <c r="D39" s="58"/>
    </row>
    <row r="40" spans="1:4" ht="15" x14ac:dyDescent="0.25">
      <c r="A40" s="62"/>
      <c r="B40" s="127" t="s">
        <v>32</v>
      </c>
      <c r="C40" s="54"/>
    </row>
    <row r="41" spans="1:4" ht="67.2" x14ac:dyDescent="0.4">
      <c r="A41" s="139" t="s">
        <v>0</v>
      </c>
      <c r="B41" s="140" t="s">
        <v>65</v>
      </c>
      <c r="C41" s="141"/>
      <c r="D41" s="1"/>
    </row>
    <row r="42" spans="1:4" x14ac:dyDescent="0.25">
      <c r="A42" s="142"/>
      <c r="B42" s="64"/>
      <c r="C42" s="64"/>
      <c r="D42" s="1"/>
    </row>
    <row r="43" spans="1:4" x14ac:dyDescent="0.25">
      <c r="A43" s="142"/>
      <c r="B43" s="64"/>
      <c r="C43" s="64"/>
      <c r="D43" s="1"/>
    </row>
    <row r="44" spans="1:4" x14ac:dyDescent="0.25">
      <c r="A44" s="142"/>
      <c r="B44" s="143"/>
      <c r="C44" s="64"/>
      <c r="D44" s="1"/>
    </row>
    <row r="45" spans="1:4" ht="15" x14ac:dyDescent="0.35">
      <c r="A45" s="144"/>
      <c r="B45" s="145"/>
      <c r="C45" s="64"/>
      <c r="D45" s="64"/>
    </row>
    <row r="46" spans="1:4" x14ac:dyDescent="0.25">
      <c r="A46" s="146" t="s">
        <v>0</v>
      </c>
    </row>
    <row r="47" spans="1:4" x14ac:dyDescent="0.25">
      <c r="A47"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2E30-4967-40E8-A417-C714C542A685}">
  <sheetPr>
    <tabColor theme="4" tint="-0.249977111117893"/>
  </sheetPr>
  <dimension ref="A1:P59"/>
  <sheetViews>
    <sheetView topLeftCell="A6" zoomScale="85" zoomScaleNormal="85" workbookViewId="0">
      <selection activeCell="C13" sqref="C13:C14"/>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5" t="s">
        <v>760</v>
      </c>
      <c r="C8" s="69"/>
      <c r="D8" s="69"/>
    </row>
    <row r="9" spans="1:16" s="4" customFormat="1" ht="19.2" x14ac:dyDescent="0.45">
      <c r="A9" s="5" t="s">
        <v>761</v>
      </c>
      <c r="C9" s="69"/>
      <c r="D9" s="69"/>
    </row>
    <row r="10" spans="1:16" s="4" customFormat="1" ht="19.2" x14ac:dyDescent="0.45">
      <c r="A10" s="5" t="s">
        <v>762</v>
      </c>
      <c r="C10" s="69"/>
      <c r="D10" s="69"/>
    </row>
    <row r="11" spans="1:16" s="4" customFormat="1" ht="17.399999999999999" x14ac:dyDescent="0.4">
      <c r="A11" s="14"/>
      <c r="B11" s="75"/>
      <c r="C11" s="16"/>
      <c r="D11" s="16"/>
      <c r="E11" s="17"/>
      <c r="F11" s="23"/>
      <c r="G11" s="23"/>
      <c r="H11" s="1"/>
      <c r="I11" s="1"/>
      <c r="J11" s="1"/>
      <c r="K11" s="1"/>
      <c r="L11" s="1"/>
      <c r="M11" s="1"/>
      <c r="N11" s="1"/>
    </row>
    <row r="12" spans="1:16" s="4" customFormat="1" ht="45" x14ac:dyDescent="0.4">
      <c r="A12" s="103">
        <v>1</v>
      </c>
      <c r="B12" s="104" t="s">
        <v>907</v>
      </c>
      <c r="C12" s="105">
        <v>7100</v>
      </c>
      <c r="D12" s="79">
        <f t="shared" ref="D12:D15" si="0">A12*C12</f>
        <v>7100</v>
      </c>
      <c r="E12" s="1"/>
      <c r="F12" s="1"/>
      <c r="G12" s="1"/>
      <c r="H12" s="1"/>
      <c r="I12" s="1"/>
      <c r="J12" s="1"/>
      <c r="K12" s="1"/>
      <c r="L12" s="1"/>
      <c r="M12" s="1"/>
      <c r="N12" s="23"/>
    </row>
    <row r="13" spans="1:16" s="4" customFormat="1" ht="30" x14ac:dyDescent="0.4">
      <c r="A13" s="106">
        <v>1</v>
      </c>
      <c r="B13" s="107" t="s">
        <v>894</v>
      </c>
      <c r="C13" s="108">
        <f>30300*1.33</f>
        <v>40299</v>
      </c>
      <c r="D13" s="109">
        <f t="shared" si="0"/>
        <v>40299</v>
      </c>
      <c r="E13" s="1"/>
      <c r="F13" s="1"/>
      <c r="G13" s="1"/>
      <c r="H13" s="1"/>
      <c r="I13" s="1"/>
      <c r="J13" s="1"/>
      <c r="K13" s="1"/>
      <c r="L13" s="1"/>
      <c r="M13" s="1"/>
      <c r="N13" s="23"/>
    </row>
    <row r="14" spans="1:16" s="4" customFormat="1" ht="37.950000000000003" customHeight="1" x14ac:dyDescent="0.4">
      <c r="A14" s="103">
        <v>1</v>
      </c>
      <c r="B14" s="104" t="s">
        <v>895</v>
      </c>
      <c r="C14" s="105">
        <f>15900*1.35</f>
        <v>21465</v>
      </c>
      <c r="D14" s="79">
        <f t="shared" si="0"/>
        <v>21465</v>
      </c>
      <c r="E14" s="1"/>
      <c r="F14" s="1"/>
      <c r="G14" s="1"/>
      <c r="H14" s="1"/>
      <c r="I14" s="1"/>
      <c r="J14" s="1"/>
      <c r="K14" s="1"/>
      <c r="L14" s="1"/>
      <c r="M14"/>
      <c r="N14" s="23"/>
      <c r="O14" s="10"/>
      <c r="P14" s="10"/>
    </row>
    <row r="15" spans="1:16" s="10" customFormat="1" ht="30" x14ac:dyDescent="0.25">
      <c r="A15" s="103">
        <v>1</v>
      </c>
      <c r="B15" s="104" t="s">
        <v>904</v>
      </c>
      <c r="C15" s="105">
        <v>6000</v>
      </c>
      <c r="D15" s="79">
        <f t="shared" si="0"/>
        <v>6000</v>
      </c>
      <c r="E15" s="1"/>
      <c r="F15" s="1"/>
      <c r="G15" s="1"/>
      <c r="H15" s="1"/>
      <c r="I15" s="1"/>
      <c r="J15" s="1"/>
      <c r="K15" s="1"/>
      <c r="L15" s="1"/>
      <c r="M15" s="1"/>
      <c r="N15" s="23"/>
      <c r="O15" s="1"/>
      <c r="P15" s="1"/>
    </row>
    <row r="16" spans="1:16" ht="15.6" x14ac:dyDescent="0.25">
      <c r="A16" s="99">
        <v>1</v>
      </c>
      <c r="B16" s="100" t="s">
        <v>273</v>
      </c>
      <c r="C16" s="324">
        <v>1450</v>
      </c>
      <c r="D16" s="98">
        <f>A16*C16</f>
        <v>1450</v>
      </c>
      <c r="E16" s="13"/>
      <c r="O16" s="23"/>
      <c r="P16" s="23"/>
    </row>
    <row r="17" spans="1:16" s="23" customFormat="1" ht="15.6" x14ac:dyDescent="0.25">
      <c r="A17" s="99">
        <v>0.5</v>
      </c>
      <c r="B17" s="100" t="s">
        <v>154</v>
      </c>
      <c r="C17" s="431">
        <v>2435</v>
      </c>
      <c r="D17" s="98">
        <f>A17*C17</f>
        <v>1217.5</v>
      </c>
      <c r="E17" s="13"/>
      <c r="F17" s="1"/>
      <c r="G17" s="1"/>
      <c r="H17" s="1"/>
      <c r="I17" s="1"/>
      <c r="J17" s="1"/>
      <c r="K17" s="1"/>
      <c r="L17" s="1"/>
      <c r="M17" s="1"/>
      <c r="N17" s="1"/>
    </row>
    <row r="18" spans="1:16" s="23" customFormat="1" ht="15.6" x14ac:dyDescent="0.3">
      <c r="A18" s="516"/>
      <c r="B18" s="517"/>
      <c r="C18" s="86" t="s">
        <v>49</v>
      </c>
      <c r="D18" s="87">
        <f>SUM(D12:K17)</f>
        <v>77531.5</v>
      </c>
      <c r="E18" s="1"/>
      <c r="F18" s="1"/>
      <c r="G18" s="1"/>
      <c r="H18" s="1"/>
      <c r="I18" s="1"/>
      <c r="J18" s="1"/>
      <c r="K18" s="1"/>
      <c r="L18" s="1"/>
      <c r="M18" s="1"/>
      <c r="N18" s="1"/>
    </row>
    <row r="19" spans="1:16" s="23" customFormat="1" ht="15.6" x14ac:dyDescent="0.3">
      <c r="A19" s="516"/>
      <c r="B19" s="517"/>
      <c r="C19" s="90" t="s">
        <v>51</v>
      </c>
      <c r="D19" s="87">
        <f>D18*0.16</f>
        <v>12405.04</v>
      </c>
      <c r="E19" s="1"/>
      <c r="F19" s="1"/>
      <c r="G19" s="1"/>
      <c r="H19" s="1"/>
      <c r="I19" s="1"/>
      <c r="J19" s="1"/>
      <c r="K19" s="1"/>
      <c r="L19" s="1"/>
      <c r="M19" s="1"/>
      <c r="N19" s="1"/>
    </row>
    <row r="20" spans="1:16" s="23" customFormat="1" ht="16.2" thickBot="1" x14ac:dyDescent="0.3">
      <c r="A20" s="516"/>
      <c r="B20" s="100"/>
      <c r="C20" s="90" t="s">
        <v>52</v>
      </c>
      <c r="D20" s="87">
        <f>SUM(D18:D19)</f>
        <v>89936.540000000008</v>
      </c>
      <c r="E20" s="1"/>
      <c r="F20" s="1"/>
      <c r="G20" s="1"/>
      <c r="H20" s="1"/>
      <c r="I20" s="1"/>
      <c r="J20" s="1"/>
      <c r="K20" s="1"/>
      <c r="L20" s="1"/>
      <c r="M20" s="1"/>
      <c r="N20" s="1"/>
      <c r="O20" s="1"/>
      <c r="P20" s="1"/>
    </row>
    <row r="21" spans="1:16" ht="16.2" thickBot="1" x14ac:dyDescent="0.3">
      <c r="A21" s="116"/>
      <c r="B21" s="186" t="s">
        <v>899</v>
      </c>
      <c r="C21" s="36"/>
      <c r="D21" s="37"/>
    </row>
    <row r="22" spans="1:16" ht="15" x14ac:dyDescent="0.25">
      <c r="A22" s="62"/>
      <c r="B22" s="130" t="s">
        <v>23</v>
      </c>
      <c r="C22" s="1"/>
      <c r="D22" s="1"/>
    </row>
    <row r="23" spans="1:16" ht="27.6" x14ac:dyDescent="0.25">
      <c r="A23" s="62"/>
      <c r="B23" s="132" t="s">
        <v>909</v>
      </c>
      <c r="C23" s="13"/>
      <c r="D23" s="1"/>
      <c r="O23" s="88"/>
      <c r="P23" s="88"/>
    </row>
    <row r="24" spans="1:16" s="88" customFormat="1" ht="15" x14ac:dyDescent="0.25">
      <c r="A24" s="62"/>
      <c r="B24" s="130" t="s">
        <v>26</v>
      </c>
      <c r="C24" s="13"/>
      <c r="D24" s="1"/>
      <c r="E24" s="1"/>
      <c r="F24" s="1"/>
      <c r="G24" s="1"/>
      <c r="H24" s="1"/>
      <c r="I24" s="1"/>
      <c r="J24" s="1"/>
      <c r="K24" s="1"/>
      <c r="L24" s="1"/>
      <c r="M24" s="1"/>
      <c r="N24" s="1"/>
      <c r="O24" s="1"/>
      <c r="P24" s="1"/>
    </row>
    <row r="25" spans="1:16" ht="15" x14ac:dyDescent="0.25">
      <c r="A25" s="62"/>
      <c r="B25" s="333" t="s">
        <v>910</v>
      </c>
      <c r="C25" s="13"/>
      <c r="D25" s="1"/>
    </row>
    <row r="26" spans="1:16" ht="15" x14ac:dyDescent="0.25">
      <c r="A26" s="62"/>
      <c r="B26" s="334" t="s">
        <v>908</v>
      </c>
      <c r="C26" s="13"/>
      <c r="D26" s="1"/>
    </row>
    <row r="27" spans="1:16" ht="15" x14ac:dyDescent="0.25">
      <c r="A27" s="62"/>
      <c r="B27" s="130" t="s">
        <v>29</v>
      </c>
      <c r="C27" s="1"/>
      <c r="D27" s="1"/>
    </row>
    <row r="28" spans="1:16" ht="13.8" x14ac:dyDescent="0.25">
      <c r="B28" s="138" t="s">
        <v>64</v>
      </c>
      <c r="C28" s="1"/>
      <c r="D28" s="1"/>
    </row>
    <row r="29" spans="1:16" ht="15" x14ac:dyDescent="0.25">
      <c r="A29" s="62"/>
      <c r="B29" s="127" t="s">
        <v>31</v>
      </c>
      <c r="C29" s="54"/>
      <c r="D29" s="58"/>
    </row>
    <row r="30" spans="1:16" ht="15" x14ac:dyDescent="0.25">
      <c r="A30" s="62"/>
      <c r="B30" s="127" t="s">
        <v>32</v>
      </c>
      <c r="C30" s="54"/>
    </row>
    <row r="31" spans="1:16" ht="67.2" x14ac:dyDescent="0.4">
      <c r="A31" s="139" t="s">
        <v>0</v>
      </c>
      <c r="B31" s="140" t="s">
        <v>65</v>
      </c>
      <c r="C31" s="141"/>
      <c r="D31" s="1"/>
    </row>
    <row r="32" spans="1:16" x14ac:dyDescent="0.25">
      <c r="A32" s="142"/>
      <c r="B32" s="64"/>
      <c r="C32" s="64"/>
      <c r="D32" s="1"/>
    </row>
    <row r="33" spans="1:4" x14ac:dyDescent="0.25">
      <c r="A33" s="142"/>
      <c r="B33" s="64"/>
      <c r="C33" s="64"/>
      <c r="D33" s="1"/>
    </row>
    <row r="34" spans="1:4" x14ac:dyDescent="0.25">
      <c r="A34" s="142"/>
      <c r="B34" s="143"/>
      <c r="C34" s="64"/>
      <c r="D34" s="1"/>
    </row>
    <row r="35" spans="1:4" ht="15" x14ac:dyDescent="0.35">
      <c r="A35" s="144"/>
      <c r="B35" s="145"/>
      <c r="C35" s="64"/>
      <c r="D35" s="64"/>
    </row>
    <row r="36" spans="1:4" x14ac:dyDescent="0.25">
      <c r="A36" s="146" t="s">
        <v>0</v>
      </c>
    </row>
    <row r="37" spans="1:4" x14ac:dyDescent="0.25">
      <c r="A37" s="1" t="s">
        <v>0</v>
      </c>
    </row>
    <row r="50" ht="12.75" customHeight="1" x14ac:dyDescent="0.25"/>
    <row r="58" ht="15.75" customHeight="1" x14ac:dyDescent="0.25"/>
    <row r="59" ht="15" customHeight="1" x14ac:dyDescent="0.25"/>
  </sheetData>
  <mergeCells count="1">
    <mergeCell ref="A4:D4"/>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7A20D-4A02-4A1B-B78E-0E5592A74741}">
  <sheetPr>
    <tabColor theme="4" tint="-0.249977111117893"/>
  </sheetPr>
  <dimension ref="A1:P59"/>
  <sheetViews>
    <sheetView topLeftCell="A10" zoomScale="85" zoomScaleNormal="85" workbookViewId="0">
      <selection activeCell="N23" sqref="N23"/>
    </sheetView>
  </sheetViews>
  <sheetFormatPr baseColWidth="10" defaultColWidth="11.44140625" defaultRowHeight="13.2" x14ac:dyDescent="0.25"/>
  <cols>
    <col min="1" max="1" width="6" style="1" customWidth="1"/>
    <col min="2" max="2" width="64"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9.2" x14ac:dyDescent="0.45">
      <c r="A6" s="5" t="s">
        <v>760</v>
      </c>
      <c r="C6" s="69"/>
      <c r="D6" s="69"/>
    </row>
    <row r="7" spans="1:16" s="4" customFormat="1" ht="19.2" x14ac:dyDescent="0.45">
      <c r="A7" s="5" t="s">
        <v>761</v>
      </c>
      <c r="C7" s="69"/>
      <c r="D7" s="69"/>
    </row>
    <row r="8" spans="1:16" s="4" customFormat="1" ht="19.2" x14ac:dyDescent="0.45">
      <c r="A8" s="5" t="s">
        <v>293</v>
      </c>
      <c r="C8" s="70"/>
      <c r="D8" s="69"/>
    </row>
    <row r="9" spans="1:16" s="4" customFormat="1" ht="19.2" x14ac:dyDescent="0.45">
      <c r="A9" s="8" t="s">
        <v>583</v>
      </c>
      <c r="B9" s="9"/>
      <c r="C9" s="70"/>
      <c r="D9" s="69"/>
    </row>
    <row r="10" spans="1:16" s="4" customFormat="1" ht="17.399999999999999" x14ac:dyDescent="0.4">
      <c r="A10" s="14"/>
      <c r="B10" s="75"/>
      <c r="C10" s="16"/>
      <c r="D10" s="16"/>
      <c r="E10" s="17"/>
      <c r="F10" s="23"/>
      <c r="G10" s="23"/>
      <c r="H10" s="1"/>
      <c r="I10" s="1"/>
      <c r="J10" s="1"/>
      <c r="K10" s="1"/>
      <c r="L10" s="1"/>
    </row>
    <row r="11" spans="1:16" s="4" customFormat="1" ht="45" x14ac:dyDescent="0.4">
      <c r="A11" s="103">
        <v>1</v>
      </c>
      <c r="B11" s="104" t="s">
        <v>905</v>
      </c>
      <c r="C11" s="105">
        <v>7100</v>
      </c>
      <c r="D11" s="79">
        <f t="shared" ref="D11:D14" si="0">A11*C11</f>
        <v>7100</v>
      </c>
      <c r="E11" s="1"/>
      <c r="F11" s="1"/>
      <c r="G11" s="1"/>
      <c r="H11" s="1"/>
      <c r="I11" s="1"/>
      <c r="J11" s="1"/>
      <c r="K11" s="1"/>
      <c r="L11" s="1"/>
      <c r="M11" s="1"/>
      <c r="N11" s="1"/>
    </row>
    <row r="12" spans="1:16" s="4" customFormat="1" ht="30" x14ac:dyDescent="0.4">
      <c r="A12" s="106">
        <v>1</v>
      </c>
      <c r="B12" s="107" t="s">
        <v>896</v>
      </c>
      <c r="C12" s="108">
        <f>(1014.5*18)*1.4</f>
        <v>25565.399999999998</v>
      </c>
      <c r="D12" s="109">
        <f t="shared" si="0"/>
        <v>25565.399999999998</v>
      </c>
      <c r="E12" s="1"/>
      <c r="F12" s="1"/>
      <c r="G12" s="1"/>
      <c r="H12" s="1"/>
      <c r="I12" s="1"/>
      <c r="J12" s="1"/>
      <c r="K12" s="1"/>
      <c r="L12" s="1"/>
      <c r="M12" s="1"/>
      <c r="N12" s="23"/>
    </row>
    <row r="13" spans="1:16" s="4" customFormat="1" ht="16.8" x14ac:dyDescent="0.4">
      <c r="A13" s="103">
        <v>1</v>
      </c>
      <c r="B13" s="104" t="s">
        <v>897</v>
      </c>
      <c r="C13" s="108">
        <f>(1290*18)*1.4</f>
        <v>32507.999999999996</v>
      </c>
      <c r="D13" s="79">
        <f t="shared" si="0"/>
        <v>32507.999999999996</v>
      </c>
      <c r="E13" s="1"/>
      <c r="F13" s="1"/>
      <c r="G13" s="1"/>
      <c r="H13" s="1"/>
      <c r="I13" s="1"/>
      <c r="J13" s="1"/>
      <c r="K13" s="1"/>
      <c r="L13" s="1"/>
      <c r="M13" s="1"/>
      <c r="N13" s="23"/>
    </row>
    <row r="14" spans="1:16" s="4" customFormat="1" ht="15" customHeight="1" x14ac:dyDescent="0.4">
      <c r="A14" s="103">
        <v>1</v>
      </c>
      <c r="B14" s="104" t="s">
        <v>904</v>
      </c>
      <c r="C14" s="105">
        <v>6000</v>
      </c>
      <c r="D14" s="79">
        <f t="shared" si="0"/>
        <v>6000</v>
      </c>
      <c r="E14" s="1"/>
      <c r="F14" s="1"/>
      <c r="G14" s="1"/>
      <c r="H14" s="1"/>
      <c r="I14" s="1"/>
      <c r="J14" s="1"/>
      <c r="K14" s="1"/>
      <c r="L14" s="1"/>
      <c r="M14"/>
      <c r="N14" s="23"/>
      <c r="O14" s="10"/>
      <c r="P14" s="10"/>
    </row>
    <row r="15" spans="1:16" s="10" customFormat="1" ht="15.6" x14ac:dyDescent="0.25">
      <c r="A15" s="99">
        <v>1</v>
      </c>
      <c r="B15" s="100" t="s">
        <v>273</v>
      </c>
      <c r="C15" s="324">
        <v>1450</v>
      </c>
      <c r="D15" s="98">
        <f>A15*C15</f>
        <v>1450</v>
      </c>
      <c r="E15" s="13"/>
      <c r="F15" s="1"/>
      <c r="G15" s="1"/>
      <c r="H15" s="1"/>
      <c r="I15" s="1"/>
      <c r="J15" s="1"/>
      <c r="K15" s="1"/>
      <c r="L15" s="1"/>
      <c r="M15" s="1"/>
      <c r="N15" s="23"/>
      <c r="O15" s="1"/>
      <c r="P15" s="1"/>
    </row>
    <row r="16" spans="1:16" ht="15.6" x14ac:dyDescent="0.25">
      <c r="A16" s="99">
        <v>0.5</v>
      </c>
      <c r="B16" s="100" t="s">
        <v>154</v>
      </c>
      <c r="C16" s="431">
        <v>2435</v>
      </c>
      <c r="D16" s="98">
        <f>A16*C16</f>
        <v>1217.5</v>
      </c>
      <c r="E16" s="13"/>
      <c r="O16" s="23"/>
      <c r="P16" s="23"/>
    </row>
    <row r="17" spans="1:16" s="23" customFormat="1" ht="15.6" x14ac:dyDescent="0.3">
      <c r="A17" s="516"/>
      <c r="B17" s="517"/>
      <c r="C17" s="86" t="s">
        <v>49</v>
      </c>
      <c r="D17" s="87">
        <f>SUM(D11:K16)</f>
        <v>73840.899999999994</v>
      </c>
      <c r="E17" s="1"/>
      <c r="F17" s="1"/>
      <c r="G17" s="1"/>
      <c r="H17" s="1"/>
      <c r="I17" s="1"/>
      <c r="J17" s="1"/>
      <c r="K17" s="1"/>
      <c r="L17" s="1"/>
      <c r="M17" s="1"/>
      <c r="N17" s="1"/>
    </row>
    <row r="18" spans="1:16" s="23" customFormat="1" ht="15.6" x14ac:dyDescent="0.3">
      <c r="A18" s="516"/>
      <c r="B18" s="517"/>
      <c r="C18" s="90" t="s">
        <v>51</v>
      </c>
      <c r="D18" s="87">
        <f>D17*0.16</f>
        <v>11814.544</v>
      </c>
      <c r="E18" s="1"/>
      <c r="F18" s="1"/>
      <c r="G18" s="1"/>
      <c r="H18" s="1"/>
      <c r="I18" s="1"/>
      <c r="J18" s="1"/>
      <c r="K18" s="1"/>
      <c r="L18" s="1"/>
      <c r="M18" s="1"/>
      <c r="N18" s="1"/>
    </row>
    <row r="19" spans="1:16" s="23" customFormat="1" ht="16.2" thickBot="1" x14ac:dyDescent="0.3">
      <c r="A19" s="516"/>
      <c r="B19" s="100"/>
      <c r="C19" s="90" t="s">
        <v>52</v>
      </c>
      <c r="D19" s="87">
        <f>SUM(D17:D18)</f>
        <v>85655.443999999989</v>
      </c>
      <c r="E19" s="1"/>
      <c r="F19" s="1"/>
      <c r="G19" s="1"/>
      <c r="H19" s="1"/>
      <c r="I19" s="1"/>
      <c r="J19" s="1"/>
      <c r="K19" s="1"/>
      <c r="L19" s="1"/>
      <c r="M19" s="1"/>
      <c r="N19" s="1"/>
    </row>
    <row r="20" spans="1:16" s="23" customFormat="1" ht="16.2" thickBot="1" x14ac:dyDescent="0.3">
      <c r="A20" s="116"/>
      <c r="B20" s="186" t="s">
        <v>900</v>
      </c>
      <c r="C20" s="36"/>
      <c r="D20" s="37"/>
      <c r="E20" s="1"/>
      <c r="F20" s="1"/>
      <c r="G20" s="1"/>
      <c r="H20" s="1"/>
      <c r="I20" s="1"/>
      <c r="J20" s="1"/>
      <c r="K20" s="1"/>
      <c r="L20" s="1"/>
      <c r="M20" s="1"/>
      <c r="N20" s="1"/>
      <c r="O20" s="1"/>
      <c r="P20" s="1"/>
    </row>
    <row r="21" spans="1:16" ht="13.8" x14ac:dyDescent="0.25">
      <c r="A21" s="34"/>
      <c r="B21" s="126" t="s">
        <v>17</v>
      </c>
      <c r="C21" s="1"/>
      <c r="D21" s="1"/>
    </row>
    <row r="22" spans="1:16" ht="15" x14ac:dyDescent="0.25">
      <c r="A22" s="62"/>
      <c r="B22" s="127" t="s">
        <v>19</v>
      </c>
      <c r="C22" s="1"/>
      <c r="D22" s="1"/>
    </row>
    <row r="23" spans="1:16" ht="15" x14ac:dyDescent="0.25">
      <c r="A23" s="62"/>
      <c r="B23" s="129" t="s">
        <v>60</v>
      </c>
      <c r="C23" s="13"/>
      <c r="D23" s="1"/>
      <c r="O23" s="88"/>
      <c r="P23" s="88"/>
    </row>
    <row r="24" spans="1:16" s="88" customFormat="1" ht="15" x14ac:dyDescent="0.25">
      <c r="A24" s="62"/>
      <c r="B24" s="130" t="s">
        <v>23</v>
      </c>
      <c r="C24" s="1"/>
      <c r="D24" s="1"/>
      <c r="E24" s="1"/>
      <c r="F24" s="1"/>
      <c r="G24" s="1"/>
      <c r="H24" s="1"/>
      <c r="I24" s="1"/>
      <c r="J24" s="1"/>
      <c r="K24" s="1"/>
      <c r="L24" s="1"/>
      <c r="M24" s="1"/>
      <c r="N24" s="1"/>
      <c r="O24" s="1"/>
      <c r="P24" s="1"/>
    </row>
    <row r="25" spans="1:16" ht="27.6" x14ac:dyDescent="0.25">
      <c r="A25" s="62"/>
      <c r="B25" s="132" t="s">
        <v>902</v>
      </c>
      <c r="C25" s="13"/>
      <c r="D25" s="1"/>
    </row>
    <row r="26" spans="1:16" ht="15" x14ac:dyDescent="0.25">
      <c r="A26" s="62"/>
      <c r="B26" s="130" t="s">
        <v>26</v>
      </c>
      <c r="C26" s="13"/>
      <c r="D26" s="1"/>
    </row>
    <row r="27" spans="1:16" ht="15" x14ac:dyDescent="0.25">
      <c r="A27" s="62"/>
      <c r="B27" s="333" t="s">
        <v>906</v>
      </c>
      <c r="C27" s="13"/>
      <c r="D27" s="1"/>
    </row>
    <row r="28" spans="1:16" ht="15" x14ac:dyDescent="0.25">
      <c r="A28" s="62"/>
      <c r="B28" s="334" t="s">
        <v>903</v>
      </c>
      <c r="C28" s="13"/>
      <c r="D28" s="1"/>
    </row>
    <row r="29" spans="1:16" ht="15" x14ac:dyDescent="0.25">
      <c r="A29" s="62"/>
      <c r="B29" s="130" t="s">
        <v>29</v>
      </c>
      <c r="C29" s="1"/>
      <c r="D29" s="1"/>
    </row>
    <row r="30" spans="1:16" ht="13.8" x14ac:dyDescent="0.25">
      <c r="B30" s="138" t="s">
        <v>64</v>
      </c>
      <c r="C30" s="1"/>
      <c r="D30" s="1"/>
    </row>
    <row r="31" spans="1:16" ht="15" x14ac:dyDescent="0.25">
      <c r="A31" s="62"/>
      <c r="B31" s="127" t="s">
        <v>31</v>
      </c>
      <c r="C31" s="54"/>
      <c r="D31" s="58"/>
    </row>
    <row r="32" spans="1:16" ht="15" x14ac:dyDescent="0.25">
      <c r="A32" s="62"/>
      <c r="B32" s="127" t="s">
        <v>32</v>
      </c>
      <c r="C32" s="54"/>
    </row>
    <row r="33" spans="1:4" ht="67.2" x14ac:dyDescent="0.4">
      <c r="A33" s="139" t="s">
        <v>0</v>
      </c>
      <c r="B33" s="140" t="s">
        <v>65</v>
      </c>
      <c r="C33" s="141"/>
      <c r="D33" s="1"/>
    </row>
    <row r="34" spans="1:4" x14ac:dyDescent="0.25">
      <c r="A34" s="142"/>
      <c r="B34" s="64"/>
      <c r="C34" s="64"/>
      <c r="D34" s="1"/>
    </row>
    <row r="35" spans="1:4" x14ac:dyDescent="0.25">
      <c r="A35" s="142"/>
      <c r="B35" s="64"/>
      <c r="C35" s="64"/>
      <c r="D35" s="1"/>
    </row>
    <row r="36" spans="1:4" x14ac:dyDescent="0.25">
      <c r="A36" s="142"/>
      <c r="B36" s="143"/>
      <c r="C36" s="64"/>
      <c r="D36" s="1"/>
    </row>
    <row r="37" spans="1:4" ht="15" x14ac:dyDescent="0.35">
      <c r="A37" s="144"/>
      <c r="B37" s="145"/>
      <c r="C37" s="64"/>
      <c r="D37" s="64"/>
    </row>
    <row r="38" spans="1:4" x14ac:dyDescent="0.25">
      <c r="A38" s="146" t="s">
        <v>0</v>
      </c>
    </row>
    <row r="39" spans="1:4" x14ac:dyDescent="0.25">
      <c r="A39" s="1" t="s">
        <v>0</v>
      </c>
    </row>
    <row r="50" ht="12.75" customHeight="1" x14ac:dyDescent="0.25"/>
    <row r="58" ht="15.75" customHeight="1" x14ac:dyDescent="0.25"/>
    <row r="59" ht="15" customHeight="1" x14ac:dyDescent="0.25"/>
  </sheetData>
  <mergeCells count="1">
    <mergeCell ref="A4:D4"/>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B2A9-2B26-4675-A273-1A714AB7AEA7}">
  <sheetPr>
    <tabColor theme="4" tint="-0.249977111117893"/>
    <pageSetUpPr fitToPage="1"/>
  </sheetPr>
  <dimension ref="A1:P59"/>
  <sheetViews>
    <sheetView topLeftCell="A9" zoomScale="85" zoomScaleNormal="85" workbookViewId="0">
      <selection activeCell="B16" sqref="B16"/>
    </sheetView>
  </sheetViews>
  <sheetFormatPr baseColWidth="10" defaultColWidth="11.44140625" defaultRowHeight="13.2" x14ac:dyDescent="0.25"/>
  <cols>
    <col min="1" max="1" width="6" style="1" customWidth="1"/>
    <col min="2" max="2" width="63.33203125" style="1" customWidth="1"/>
    <col min="3" max="3" width="13.5546875" style="3" customWidth="1"/>
    <col min="4" max="4" width="14.3320312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5" t="s">
        <v>760</v>
      </c>
      <c r="C8" s="69"/>
      <c r="D8" s="69"/>
    </row>
    <row r="9" spans="1:16" s="4" customFormat="1" ht="19.2" x14ac:dyDescent="0.45">
      <c r="A9" s="5" t="s">
        <v>761</v>
      </c>
      <c r="C9" s="69"/>
      <c r="D9" s="69"/>
    </row>
    <row r="10" spans="1:16" s="4" customFormat="1" ht="19.2" x14ac:dyDescent="0.45">
      <c r="A10" s="5" t="s">
        <v>762</v>
      </c>
      <c r="C10" s="69"/>
      <c r="D10" s="69"/>
    </row>
    <row r="11" spans="1:16" s="4" customFormat="1" ht="19.2" x14ac:dyDescent="0.45">
      <c r="A11" s="5" t="s">
        <v>293</v>
      </c>
      <c r="C11" s="70"/>
      <c r="D11" s="69"/>
    </row>
    <row r="12" spans="1:16" s="4" customFormat="1" ht="15" customHeight="1" x14ac:dyDescent="0.45">
      <c r="A12" s="8" t="s">
        <v>583</v>
      </c>
      <c r="B12" s="9"/>
      <c r="C12" s="70"/>
      <c r="D12" s="69"/>
    </row>
    <row r="13" spans="1:16" s="4" customFormat="1" ht="15" customHeight="1" x14ac:dyDescent="0.45">
      <c r="A13" s="229" t="s">
        <v>38</v>
      </c>
      <c r="B13" s="230"/>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893</v>
      </c>
      <c r="C16" s="105">
        <v>7100</v>
      </c>
      <c r="D16" s="79">
        <f t="shared" ref="D16:D19" si="0">A16*C16</f>
        <v>7100</v>
      </c>
      <c r="N16" s="23"/>
      <c r="O16" s="23"/>
      <c r="P16" s="23"/>
    </row>
    <row r="17" spans="1:16" s="23" customFormat="1" ht="30" x14ac:dyDescent="0.25">
      <c r="A17" s="106">
        <v>1</v>
      </c>
      <c r="B17" s="107" t="s">
        <v>898</v>
      </c>
      <c r="C17" s="108">
        <f>(1288*18)*1.4</f>
        <v>32457.599999999999</v>
      </c>
      <c r="D17" s="109">
        <f t="shared" si="0"/>
        <v>32457.599999999999</v>
      </c>
      <c r="E17" s="1"/>
      <c r="F17" s="1"/>
      <c r="G17" s="1"/>
      <c r="H17" s="1"/>
      <c r="I17" s="1"/>
      <c r="J17" s="1"/>
      <c r="K17" s="1"/>
      <c r="L17" s="1"/>
      <c r="M17" s="1"/>
    </row>
    <row r="18" spans="1:16" s="23" customFormat="1" ht="15.6" x14ac:dyDescent="0.3">
      <c r="A18" s="103">
        <v>1</v>
      </c>
      <c r="B18" s="104" t="s">
        <v>895</v>
      </c>
      <c r="C18" s="108">
        <f>(1290*18)*1.4</f>
        <v>32507.999999999996</v>
      </c>
      <c r="D18" s="79">
        <f t="shared" si="0"/>
        <v>32507.999999999996</v>
      </c>
      <c r="E18" s="1"/>
      <c r="F18" s="1"/>
      <c r="G18" s="1"/>
      <c r="H18" s="1"/>
      <c r="I18" s="1"/>
      <c r="J18" s="1"/>
      <c r="K18" s="1"/>
      <c r="L18" s="1"/>
      <c r="M18"/>
    </row>
    <row r="19" spans="1:16" s="23" customFormat="1" ht="22.95" customHeight="1" x14ac:dyDescent="0.25">
      <c r="A19" s="103">
        <v>1</v>
      </c>
      <c r="B19" s="104" t="s">
        <v>904</v>
      </c>
      <c r="C19" s="105">
        <v>6000</v>
      </c>
      <c r="D19" s="79">
        <f t="shared" si="0"/>
        <v>6000</v>
      </c>
      <c r="E19" s="1"/>
      <c r="F19" s="1"/>
      <c r="G19" s="1"/>
      <c r="H19" s="1"/>
      <c r="I19" s="1"/>
      <c r="J19" s="1"/>
      <c r="K19" s="1"/>
      <c r="L19" s="1"/>
      <c r="M19" s="1"/>
    </row>
    <row r="20" spans="1:16" s="23" customFormat="1" ht="15.6" x14ac:dyDescent="0.25">
      <c r="A20" s="99">
        <v>1</v>
      </c>
      <c r="B20" s="100" t="s">
        <v>273</v>
      </c>
      <c r="C20" s="324">
        <v>1450</v>
      </c>
      <c r="D20" s="98">
        <f>A20*C20</f>
        <v>1450</v>
      </c>
      <c r="E20" s="13"/>
      <c r="F20" s="1"/>
      <c r="G20" s="1"/>
      <c r="H20" s="1"/>
      <c r="I20" s="1"/>
      <c r="J20" s="1"/>
      <c r="K20" s="1"/>
      <c r="L20" s="1"/>
      <c r="M20" s="1"/>
      <c r="N20" s="1"/>
      <c r="O20" s="1"/>
      <c r="P20" s="1"/>
    </row>
    <row r="21" spans="1:16" ht="15.6" x14ac:dyDescent="0.25">
      <c r="A21" s="99">
        <v>0.5</v>
      </c>
      <c r="B21" s="100" t="s">
        <v>154</v>
      </c>
      <c r="C21" s="431">
        <v>2435</v>
      </c>
      <c r="D21" s="98">
        <f>A21*C21</f>
        <v>1217.5</v>
      </c>
      <c r="E21" s="13"/>
    </row>
    <row r="22" spans="1:16" ht="15.6" x14ac:dyDescent="0.3">
      <c r="A22" s="516"/>
      <c r="B22" s="517"/>
      <c r="C22" s="86" t="s">
        <v>49</v>
      </c>
      <c r="D22" s="87">
        <f>SUM(D16:K21)</f>
        <v>80733.099999999991</v>
      </c>
    </row>
    <row r="23" spans="1:16" ht="15.6" x14ac:dyDescent="0.3">
      <c r="A23" s="516"/>
      <c r="B23" s="517"/>
      <c r="C23" s="90" t="s">
        <v>51</v>
      </c>
      <c r="D23" s="87">
        <f>D22*0.16</f>
        <v>12917.295999999998</v>
      </c>
      <c r="O23" s="88"/>
      <c r="P23" s="88"/>
    </row>
    <row r="24" spans="1:16" s="88" customFormat="1" ht="16.2" thickBot="1" x14ac:dyDescent="0.3">
      <c r="A24" s="516"/>
      <c r="B24" s="100"/>
      <c r="C24" s="90" t="s">
        <v>52</v>
      </c>
      <c r="D24" s="87">
        <f>SUM(D22:D23)</f>
        <v>93650.395999999993</v>
      </c>
      <c r="E24" s="1"/>
      <c r="F24" s="1"/>
      <c r="G24" s="1"/>
      <c r="H24" s="1"/>
      <c r="I24" s="1"/>
      <c r="J24" s="1"/>
      <c r="K24" s="1"/>
      <c r="L24" s="1"/>
      <c r="M24" s="1"/>
      <c r="N24" s="1"/>
      <c r="O24" s="1"/>
      <c r="P24" s="1"/>
    </row>
    <row r="25" spans="1:16" ht="16.2" thickBot="1" x14ac:dyDescent="0.3">
      <c r="A25" s="116"/>
      <c r="B25" s="186" t="s">
        <v>901</v>
      </c>
      <c r="C25" s="36"/>
      <c r="D25" s="37"/>
    </row>
    <row r="26" spans="1:16" ht="13.8" x14ac:dyDescent="0.25">
      <c r="A26" s="34"/>
      <c r="B26" s="120" t="s">
        <v>15</v>
      </c>
      <c r="C26" s="121"/>
      <c r="D26" s="122"/>
    </row>
    <row r="27" spans="1:16" ht="15.6" x14ac:dyDescent="0.25">
      <c r="A27" s="34"/>
      <c r="B27" s="123"/>
      <c r="C27" s="1"/>
      <c r="D27" s="1"/>
    </row>
    <row r="28" spans="1:16" ht="13.8" x14ac:dyDescent="0.25">
      <c r="A28" s="34"/>
      <c r="B28" s="126" t="s">
        <v>17</v>
      </c>
      <c r="C28" s="1"/>
      <c r="D28" s="1"/>
    </row>
    <row r="29" spans="1:16" ht="15" x14ac:dyDescent="0.25">
      <c r="A29" s="62"/>
      <c r="B29" s="127" t="s">
        <v>19</v>
      </c>
      <c r="C29" s="1"/>
      <c r="D29" s="1"/>
    </row>
    <row r="30" spans="1:16" ht="15" x14ac:dyDescent="0.25">
      <c r="A30" s="62"/>
      <c r="B30" s="128"/>
      <c r="C30" s="1"/>
      <c r="D30" s="1"/>
    </row>
    <row r="31" spans="1:16" ht="15" x14ac:dyDescent="0.25">
      <c r="A31" s="62"/>
      <c r="B31" s="129" t="s">
        <v>60</v>
      </c>
      <c r="C31" s="13"/>
      <c r="D31" s="1"/>
    </row>
    <row r="32" spans="1:16" ht="15" x14ac:dyDescent="0.25">
      <c r="A32" s="62"/>
      <c r="B32" s="130" t="s">
        <v>23</v>
      </c>
      <c r="C32" s="1"/>
      <c r="D32" s="1"/>
    </row>
    <row r="33" spans="1:4" ht="41.4" x14ac:dyDescent="0.25">
      <c r="A33" s="62"/>
      <c r="B33" s="132" t="s">
        <v>62</v>
      </c>
      <c r="C33" s="13"/>
      <c r="D33" s="1"/>
    </row>
    <row r="34" spans="1:4" ht="15" x14ac:dyDescent="0.25">
      <c r="A34" s="62"/>
      <c r="B34" s="130" t="s">
        <v>26</v>
      </c>
      <c r="C34" s="13"/>
      <c r="D34" s="1"/>
    </row>
    <row r="35" spans="1:4" ht="27.6" x14ac:dyDescent="0.25">
      <c r="A35" s="62"/>
      <c r="B35" s="333" t="s">
        <v>121</v>
      </c>
      <c r="C35" s="13"/>
      <c r="D35" s="1"/>
    </row>
    <row r="36" spans="1:4" ht="27.6" x14ac:dyDescent="0.25">
      <c r="A36" s="62"/>
      <c r="B36" s="334" t="s">
        <v>28</v>
      </c>
      <c r="C36" s="13"/>
      <c r="D36" s="1"/>
    </row>
    <row r="37" spans="1:4" ht="15" x14ac:dyDescent="0.25">
      <c r="A37" s="62"/>
      <c r="B37" s="130" t="s">
        <v>29</v>
      </c>
      <c r="C37" s="1"/>
      <c r="D37" s="1"/>
    </row>
    <row r="38" spans="1:4" ht="13.8" x14ac:dyDescent="0.25">
      <c r="B38" s="138" t="s">
        <v>64</v>
      </c>
      <c r="C38" s="1"/>
      <c r="D38" s="1"/>
    </row>
    <row r="39" spans="1:4" ht="15" x14ac:dyDescent="0.25">
      <c r="A39" s="62"/>
      <c r="B39" s="127" t="s">
        <v>31</v>
      </c>
      <c r="C39" s="54"/>
      <c r="D39" s="58"/>
    </row>
    <row r="40" spans="1:4" ht="15" x14ac:dyDescent="0.25">
      <c r="A40" s="62"/>
      <c r="B40" s="127" t="s">
        <v>32</v>
      </c>
      <c r="C40" s="54"/>
    </row>
    <row r="41" spans="1:4" ht="67.2" x14ac:dyDescent="0.4">
      <c r="A41" s="139" t="s">
        <v>0</v>
      </c>
      <c r="B41" s="140" t="s">
        <v>65</v>
      </c>
      <c r="C41" s="141"/>
      <c r="D41" s="1"/>
    </row>
    <row r="42" spans="1:4" x14ac:dyDescent="0.25">
      <c r="A42" s="142"/>
      <c r="B42" s="64"/>
      <c r="C42" s="64"/>
      <c r="D42" s="1"/>
    </row>
    <row r="43" spans="1:4" x14ac:dyDescent="0.25">
      <c r="A43" s="142"/>
      <c r="B43" s="64"/>
      <c r="C43" s="64"/>
      <c r="D43" s="1"/>
    </row>
    <row r="44" spans="1:4" x14ac:dyDescent="0.25">
      <c r="A44" s="142"/>
      <c r="B44" s="143"/>
      <c r="C44" s="64"/>
      <c r="D44" s="1"/>
    </row>
    <row r="45" spans="1:4" ht="15" x14ac:dyDescent="0.35">
      <c r="A45" s="144"/>
      <c r="B45" s="145"/>
      <c r="C45" s="64"/>
      <c r="D45" s="64"/>
    </row>
    <row r="46" spans="1:4" x14ac:dyDescent="0.25">
      <c r="A46" s="146" t="s">
        <v>0</v>
      </c>
    </row>
    <row r="47" spans="1:4" x14ac:dyDescent="0.25">
      <c r="A47"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4" fitToWidth="0" orientation="portrait" r:id="rId1"/>
  <headerFooter alignWithMargins="0">
    <oddFooter>Página &amp;P de &amp;N</oddFoot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D3F12-53DB-4E3C-A5C5-8CF8F3EE92DF}">
  <sheetPr>
    <tabColor theme="4" tint="-0.249977111117893"/>
    <pageSetUpPr fitToPage="1"/>
  </sheetPr>
  <dimension ref="A1:P59"/>
  <sheetViews>
    <sheetView topLeftCell="A5" zoomScale="85" zoomScaleNormal="85" workbookViewId="0">
      <selection activeCell="A19" sqref="A19:D19"/>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924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390</v>
      </c>
      <c r="C16" s="105">
        <f>196*140</f>
        <v>27440</v>
      </c>
      <c r="D16" s="79">
        <f>A16*C16</f>
        <v>27440</v>
      </c>
      <c r="N16" s="23"/>
      <c r="O16" s="23"/>
      <c r="P16" s="23"/>
    </row>
    <row r="17" spans="1:16" s="23" customFormat="1" ht="15.6" x14ac:dyDescent="0.25">
      <c r="A17" s="103">
        <v>1</v>
      </c>
      <c r="B17" s="104" t="s">
        <v>913</v>
      </c>
      <c r="C17" s="105">
        <f>(5120*18)*1.33</f>
        <v>122572.8</v>
      </c>
      <c r="D17" s="79">
        <f t="shared" ref="D17:D18" si="0">A17*C17</f>
        <v>122572.8</v>
      </c>
      <c r="E17" s="13"/>
      <c r="F17" s="1"/>
      <c r="G17" s="1"/>
      <c r="H17" s="1"/>
      <c r="I17" s="1"/>
      <c r="J17" s="1"/>
      <c r="K17" s="1"/>
      <c r="L17" s="1"/>
      <c r="M17" s="1"/>
    </row>
    <row r="18" spans="1:16" s="23" customFormat="1" ht="15.6" x14ac:dyDescent="0.3">
      <c r="A18" s="103">
        <v>1</v>
      </c>
      <c r="B18" s="104" t="s">
        <v>915</v>
      </c>
      <c r="C18" s="105">
        <f>(3019*18)*1.33</f>
        <v>72274.86</v>
      </c>
      <c r="D18" s="150">
        <f t="shared" si="0"/>
        <v>72274.86</v>
      </c>
      <c r="E18" s="13"/>
      <c r="F18" s="1"/>
      <c r="G18" s="1"/>
      <c r="H18" s="1"/>
      <c r="I18" s="1"/>
      <c r="J18" s="1"/>
      <c r="K18" s="1"/>
      <c r="L18" s="1"/>
      <c r="M18"/>
    </row>
    <row r="19" spans="1:16" s="23" customFormat="1" ht="30" x14ac:dyDescent="0.25">
      <c r="A19" s="103">
        <v>1</v>
      </c>
      <c r="B19" s="104" t="s">
        <v>116</v>
      </c>
      <c r="C19" s="105">
        <v>7300</v>
      </c>
      <c r="D19" s="79">
        <f t="shared" ref="D19:D22" si="1">A19*C19</f>
        <v>7300</v>
      </c>
      <c r="E19" s="13"/>
      <c r="F19" s="1"/>
      <c r="G19" s="1"/>
      <c r="H19" s="1"/>
      <c r="I19" s="1"/>
      <c r="J19" s="1"/>
      <c r="K19" s="1"/>
      <c r="L19" s="1"/>
      <c r="M19" s="1"/>
    </row>
    <row r="20" spans="1:16" s="23" customFormat="1" ht="30" x14ac:dyDescent="0.25">
      <c r="A20" s="103">
        <v>1</v>
      </c>
      <c r="B20" s="104" t="s">
        <v>391</v>
      </c>
      <c r="C20" s="105">
        <f>196*140</f>
        <v>27440</v>
      </c>
      <c r="D20" s="79">
        <f t="shared" si="1"/>
        <v>27440</v>
      </c>
      <c r="E20" s="1"/>
      <c r="F20" s="1"/>
      <c r="G20" s="1"/>
      <c r="H20" s="1"/>
      <c r="I20" s="1"/>
      <c r="J20" s="1"/>
      <c r="K20" s="1"/>
      <c r="L20" s="1"/>
      <c r="M20" s="1"/>
      <c r="N20" s="1"/>
      <c r="O20" s="1"/>
      <c r="P20" s="1"/>
    </row>
    <row r="21" spans="1:16" ht="15.6" x14ac:dyDescent="0.25">
      <c r="A21" s="103">
        <v>1</v>
      </c>
      <c r="B21" s="104" t="s">
        <v>379</v>
      </c>
      <c r="C21" s="327">
        <v>5230</v>
      </c>
      <c r="D21" s="79">
        <f t="shared" si="1"/>
        <v>5230</v>
      </c>
    </row>
    <row r="22" spans="1:16" ht="15.6" x14ac:dyDescent="0.25">
      <c r="A22" s="80">
        <v>1</v>
      </c>
      <c r="B22" s="167" t="s">
        <v>340</v>
      </c>
      <c r="C22" s="327">
        <v>3875</v>
      </c>
      <c r="D22" s="109">
        <f t="shared" si="1"/>
        <v>3875</v>
      </c>
    </row>
    <row r="23" spans="1:16" ht="15.6" x14ac:dyDescent="0.3">
      <c r="A23" s="99"/>
      <c r="B23" s="85" t="s">
        <v>911</v>
      </c>
      <c r="C23" s="86" t="s">
        <v>49</v>
      </c>
      <c r="D23" s="87">
        <f>SUM(D16:D22)</f>
        <v>266132.65999999997</v>
      </c>
      <c r="O23" s="88"/>
      <c r="P23" s="88"/>
    </row>
    <row r="24" spans="1:16" s="88" customFormat="1" ht="15.6" x14ac:dyDescent="0.3">
      <c r="A24" s="99"/>
      <c r="B24" s="85" t="s">
        <v>388</v>
      </c>
      <c r="C24" s="90" t="s">
        <v>51</v>
      </c>
      <c r="D24" s="87">
        <f>D23*0.16</f>
        <v>42581.225599999998</v>
      </c>
      <c r="E24" s="1"/>
      <c r="F24" s="1"/>
      <c r="G24" s="1"/>
      <c r="H24" s="1"/>
      <c r="I24" s="1"/>
      <c r="J24" s="1"/>
      <c r="K24" s="1"/>
      <c r="L24" s="1"/>
      <c r="M24" s="1"/>
      <c r="N24" s="1"/>
      <c r="O24" s="1"/>
      <c r="P24" s="1"/>
    </row>
    <row r="25" spans="1:16" ht="16.2" thickBot="1" x14ac:dyDescent="0.3">
      <c r="A25" s="99"/>
      <c r="B25" s="100"/>
      <c r="C25" s="90" t="s">
        <v>52</v>
      </c>
      <c r="D25" s="87">
        <f>SUM(D23:D24)</f>
        <v>308713.88559999998</v>
      </c>
    </row>
    <row r="26" spans="1:16" ht="16.2" thickBot="1" x14ac:dyDescent="0.3">
      <c r="A26" s="116"/>
      <c r="B26" s="186" t="s">
        <v>923</v>
      </c>
      <c r="C26" s="36"/>
      <c r="D26" s="37"/>
    </row>
    <row r="27" spans="1:16" ht="13.8" x14ac:dyDescent="0.25">
      <c r="A27" s="34"/>
      <c r="B27" s="120" t="s">
        <v>15</v>
      </c>
      <c r="C27" s="121"/>
      <c r="D27" s="122"/>
    </row>
    <row r="28" spans="1:16" ht="15.6" x14ac:dyDescent="0.25">
      <c r="A28" s="34"/>
      <c r="B28" s="123"/>
      <c r="C28" s="1"/>
      <c r="D28" s="1"/>
    </row>
    <row r="29" spans="1:16" ht="13.8" x14ac:dyDescent="0.25">
      <c r="A29" s="34"/>
      <c r="B29" s="126" t="s">
        <v>17</v>
      </c>
      <c r="C29" s="1"/>
      <c r="D29" s="1"/>
    </row>
    <row r="30" spans="1:16" ht="15" x14ac:dyDescent="0.25">
      <c r="A30" s="62"/>
      <c r="B30" s="127" t="s">
        <v>19</v>
      </c>
      <c r="C30" s="1"/>
      <c r="D30" s="1"/>
    </row>
    <row r="31" spans="1:16" ht="15" x14ac:dyDescent="0.25">
      <c r="A31" s="62"/>
      <c r="B31" s="129" t="s">
        <v>60</v>
      </c>
      <c r="C31" s="1"/>
      <c r="D31" s="1"/>
    </row>
    <row r="32" spans="1:16" ht="15" x14ac:dyDescent="0.25">
      <c r="A32" s="62"/>
      <c r="B32" s="130" t="s">
        <v>23</v>
      </c>
      <c r="C32" s="13"/>
      <c r="D32" s="1"/>
    </row>
    <row r="33" spans="1:4" ht="27.6" x14ac:dyDescent="0.25">
      <c r="A33" s="62"/>
      <c r="B33" s="132" t="s">
        <v>62</v>
      </c>
      <c r="C33" s="13"/>
      <c r="D33" s="1"/>
    </row>
    <row r="34" spans="1:4" ht="15" x14ac:dyDescent="0.25">
      <c r="A34" s="62"/>
      <c r="B34" s="130" t="s">
        <v>26</v>
      </c>
      <c r="C34" s="13"/>
      <c r="D34" s="1"/>
    </row>
    <row r="35" spans="1:4" ht="41.4" x14ac:dyDescent="0.25">
      <c r="A35" s="62"/>
      <c r="B35" s="333" t="s">
        <v>920</v>
      </c>
      <c r="C35" s="13"/>
      <c r="D35" s="1"/>
    </row>
    <row r="36" spans="1:4" ht="15" x14ac:dyDescent="0.25">
      <c r="A36" s="62"/>
      <c r="B36" s="334" t="s">
        <v>28</v>
      </c>
      <c r="C36" s="1"/>
      <c r="D36" s="1"/>
    </row>
    <row r="37" spans="1:4" ht="15" x14ac:dyDescent="0.25">
      <c r="A37" s="62"/>
      <c r="B37" s="130" t="s">
        <v>29</v>
      </c>
      <c r="C37" s="1"/>
      <c r="D37" s="1"/>
    </row>
    <row r="38" spans="1:4" ht="13.8" x14ac:dyDescent="0.25">
      <c r="B38" s="138" t="s">
        <v>64</v>
      </c>
      <c r="C38" s="133"/>
      <c r="D38" s="134"/>
    </row>
    <row r="39" spans="1:4" ht="15" x14ac:dyDescent="0.25">
      <c r="A39" s="62"/>
      <c r="B39" s="127" t="s">
        <v>31</v>
      </c>
      <c r="C39" s="54"/>
      <c r="D39" s="58"/>
    </row>
    <row r="40" spans="1:4" ht="15" x14ac:dyDescent="0.25">
      <c r="A40" s="62"/>
      <c r="B40" s="127" t="s">
        <v>32</v>
      </c>
      <c r="C40" s="54"/>
    </row>
    <row r="41" spans="1:4" ht="50.4" x14ac:dyDescent="0.4">
      <c r="A41" s="139" t="s">
        <v>0</v>
      </c>
      <c r="B41" s="140" t="s">
        <v>65</v>
      </c>
      <c r="C41" s="141"/>
      <c r="D41" s="1"/>
    </row>
    <row r="42" spans="1:4" x14ac:dyDescent="0.25">
      <c r="A42" s="142"/>
      <c r="B42" s="64"/>
      <c r="C42" s="64"/>
      <c r="D42" s="1"/>
    </row>
    <row r="43" spans="1:4" x14ac:dyDescent="0.25">
      <c r="A43" s="142"/>
      <c r="B43" s="64"/>
      <c r="C43" s="64"/>
      <c r="D43" s="1"/>
    </row>
    <row r="44" spans="1:4" x14ac:dyDescent="0.25">
      <c r="A44" s="142"/>
      <c r="B44" s="143"/>
      <c r="C44" s="64"/>
      <c r="D44" s="1"/>
    </row>
    <row r="45" spans="1:4" ht="15" x14ac:dyDescent="0.35">
      <c r="A45" s="144"/>
      <c r="B45" s="145"/>
      <c r="C45" s="64"/>
      <c r="D45" s="64"/>
    </row>
    <row r="46" spans="1:4" x14ac:dyDescent="0.25">
      <c r="A46" s="146" t="s">
        <v>0</v>
      </c>
    </row>
    <row r="47" spans="1:4" x14ac:dyDescent="0.25">
      <c r="A47"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6" fitToWidth="0" orientation="portrait" r:id="rId1"/>
  <headerFooter alignWithMargins="0">
    <oddFooter>Página &amp;P de &amp;N</oddFooter>
  </headerFooter>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75C8-5067-45C8-B954-6352DEEAEC9B}">
  <sheetPr>
    <tabColor theme="4" tint="-0.249977111117893"/>
    <pageSetUpPr fitToPage="1"/>
  </sheetPr>
  <dimension ref="A1:P59"/>
  <sheetViews>
    <sheetView zoomScale="85" zoomScaleNormal="85" workbookViewId="0">
      <selection activeCell="A8" sqref="A8:B12"/>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919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25">
      <c r="A16" s="103">
        <v>1</v>
      </c>
      <c r="B16" s="104" t="s">
        <v>917</v>
      </c>
      <c r="C16" s="105">
        <f>177330*1.33</f>
        <v>235848.90000000002</v>
      </c>
      <c r="D16" s="79">
        <f t="shared" ref="D16:D17" si="0">A16*C16</f>
        <v>235848.90000000002</v>
      </c>
      <c r="E16" s="13"/>
      <c r="N16" s="23"/>
      <c r="O16" s="23"/>
      <c r="P16" s="23"/>
    </row>
    <row r="17" spans="1:16" s="23" customFormat="1" ht="15.6" x14ac:dyDescent="0.25">
      <c r="A17" s="103">
        <v>1</v>
      </c>
      <c r="B17" s="104" t="s">
        <v>914</v>
      </c>
      <c r="C17" s="554">
        <f>100330*1.33</f>
        <v>133438.9</v>
      </c>
      <c r="D17" s="150">
        <f t="shared" si="0"/>
        <v>133438.9</v>
      </c>
      <c r="E17" s="13"/>
      <c r="F17" s="1"/>
      <c r="G17" s="1"/>
      <c r="H17" s="1"/>
      <c r="I17" s="1"/>
      <c r="J17" s="1"/>
      <c r="K17" s="1"/>
      <c r="L17" s="1"/>
      <c r="M17" s="1"/>
    </row>
    <row r="18" spans="1:16" s="23" customFormat="1" ht="15.6" x14ac:dyDescent="0.3">
      <c r="A18" s="103"/>
      <c r="B18" s="659"/>
      <c r="C18" s="661" t="s">
        <v>18</v>
      </c>
      <c r="D18" s="660">
        <f>SUM(D16:D17)</f>
        <v>369287.80000000005</v>
      </c>
      <c r="E18" s="13"/>
      <c r="F18" s="1"/>
      <c r="G18" s="1"/>
      <c r="H18" s="1"/>
      <c r="I18" s="1"/>
      <c r="J18" s="1"/>
      <c r="K18" s="1"/>
      <c r="L18" s="1"/>
      <c r="M18"/>
    </row>
    <row r="19" spans="1:16" s="23" customFormat="1" ht="15.6" x14ac:dyDescent="0.25">
      <c r="A19" s="103"/>
      <c r="B19" s="104"/>
      <c r="C19" s="105"/>
      <c r="D19" s="555"/>
      <c r="E19" s="13"/>
      <c r="F19" s="1"/>
      <c r="G19" s="1"/>
      <c r="H19" s="1"/>
      <c r="I19" s="1"/>
      <c r="J19" s="1"/>
      <c r="K19" s="1"/>
      <c r="L19" s="1"/>
      <c r="M19" s="1"/>
    </row>
    <row r="20" spans="1:16" s="23" customFormat="1" ht="15.6" x14ac:dyDescent="0.25">
      <c r="A20" s="103">
        <v>1</v>
      </c>
      <c r="B20" s="104" t="s">
        <v>913</v>
      </c>
      <c r="C20" s="105">
        <f>(5120*18)*1.33</f>
        <v>122572.8</v>
      </c>
      <c r="D20" s="79">
        <f t="shared" ref="D20:D21" si="1">A20*C20</f>
        <v>122572.8</v>
      </c>
      <c r="E20" s="13"/>
      <c r="F20" s="1"/>
      <c r="G20" s="1"/>
      <c r="H20" s="1"/>
      <c r="I20" s="1"/>
      <c r="J20" s="1"/>
      <c r="K20" s="1"/>
      <c r="L20" s="122"/>
      <c r="M20" s="1"/>
      <c r="N20" s="1"/>
      <c r="O20" s="1"/>
      <c r="P20" s="1"/>
    </row>
    <row r="21" spans="1:16" ht="15.6" x14ac:dyDescent="0.25">
      <c r="A21" s="103">
        <v>1</v>
      </c>
      <c r="B21" s="104" t="s">
        <v>915</v>
      </c>
      <c r="C21" s="105">
        <f>(3019*18)*1.33</f>
        <v>72274.86</v>
      </c>
      <c r="D21" s="150">
        <f t="shared" si="1"/>
        <v>72274.86</v>
      </c>
      <c r="K21" s="34"/>
      <c r="L21" s="114"/>
      <c r="M21" s="13"/>
    </row>
    <row r="22" spans="1:16" ht="15.6" x14ac:dyDescent="0.25">
      <c r="A22" s="103"/>
      <c r="B22" s="659"/>
      <c r="C22" s="661" t="s">
        <v>18</v>
      </c>
      <c r="D22" s="660">
        <f>SUM(D20:D21)</f>
        <v>194847.66</v>
      </c>
      <c r="L22" s="664"/>
    </row>
    <row r="23" spans="1:16" ht="15.6" x14ac:dyDescent="0.25">
      <c r="A23" s="103"/>
      <c r="B23" s="104"/>
      <c r="C23" s="327"/>
      <c r="D23" s="79"/>
      <c r="O23" s="88"/>
      <c r="P23" s="88"/>
    </row>
    <row r="24" spans="1:16" s="88" customFormat="1" ht="15.6" x14ac:dyDescent="0.25">
      <c r="A24" s="103">
        <v>1</v>
      </c>
      <c r="B24" s="104" t="s">
        <v>912</v>
      </c>
      <c r="C24" s="105">
        <f>(4445*18)*1.33</f>
        <v>106413.3</v>
      </c>
      <c r="D24" s="79">
        <f t="shared" ref="D24:D25" si="2">A24*C24</f>
        <v>106413.3</v>
      </c>
      <c r="E24" s="1"/>
      <c r="F24" s="1"/>
      <c r="G24" s="1"/>
      <c r="H24" s="1"/>
      <c r="I24" s="1"/>
      <c r="J24" s="1"/>
      <c r="K24" s="1"/>
      <c r="L24" s="1"/>
      <c r="M24" s="1"/>
      <c r="N24" s="1"/>
      <c r="O24" s="1"/>
      <c r="P24" s="1"/>
    </row>
    <row r="25" spans="1:16" ht="15.6" x14ac:dyDescent="0.25">
      <c r="A25" s="103">
        <v>1</v>
      </c>
      <c r="B25" s="104" t="s">
        <v>916</v>
      </c>
      <c r="C25" s="105">
        <f>(2548.08*18)*1.33</f>
        <v>61001.035200000006</v>
      </c>
      <c r="D25" s="150">
        <f t="shared" si="2"/>
        <v>61001.035200000006</v>
      </c>
    </row>
    <row r="26" spans="1:16" ht="15.6" x14ac:dyDescent="0.25">
      <c r="A26" s="103"/>
      <c r="B26" s="659"/>
      <c r="C26" s="661" t="s">
        <v>18</v>
      </c>
      <c r="D26" s="660">
        <f>SUM(D24:D25)</f>
        <v>167414.3352</v>
      </c>
    </row>
    <row r="27" spans="1:16" x14ac:dyDescent="0.25">
      <c r="A27" s="122"/>
      <c r="B27" s="122"/>
      <c r="C27" s="122"/>
      <c r="D27" s="122"/>
    </row>
    <row r="28" spans="1:16" ht="15.6" x14ac:dyDescent="0.25">
      <c r="A28" s="80">
        <v>1</v>
      </c>
      <c r="B28" s="167" t="s">
        <v>912</v>
      </c>
      <c r="C28" s="168">
        <f>(4445*18)*1.33</f>
        <v>106413.3</v>
      </c>
      <c r="D28" s="79">
        <f t="shared" ref="D28:D29" si="3">A28*C28</f>
        <v>106413.3</v>
      </c>
    </row>
    <row r="29" spans="1:16" ht="15.6" x14ac:dyDescent="0.25">
      <c r="A29" s="80">
        <v>1</v>
      </c>
      <c r="B29" s="167" t="s">
        <v>918</v>
      </c>
      <c r="C29" s="168">
        <f>(5340*18)*1.33</f>
        <v>127839.6</v>
      </c>
      <c r="D29" s="79">
        <f t="shared" si="3"/>
        <v>127839.6</v>
      </c>
    </row>
    <row r="30" spans="1:16" ht="15.6" x14ac:dyDescent="0.25">
      <c r="A30" s="103"/>
      <c r="B30" s="659"/>
      <c r="C30" s="662" t="s">
        <v>18</v>
      </c>
      <c r="D30" s="663">
        <f>SUM(D28:D29)</f>
        <v>234252.90000000002</v>
      </c>
    </row>
    <row r="31" spans="1:16" ht="15.6" x14ac:dyDescent="0.25">
      <c r="A31" s="328"/>
      <c r="B31" s="111"/>
      <c r="C31" s="665"/>
      <c r="D31" s="666"/>
      <c r="E31" s="23"/>
      <c r="F31" s="23"/>
      <c r="G31" s="23"/>
      <c r="H31" s="23"/>
      <c r="I31" s="23"/>
      <c r="J31" s="23"/>
      <c r="K31" s="23"/>
      <c r="L31" s="23"/>
      <c r="M31" s="23"/>
    </row>
    <row r="32" spans="1:16" ht="15.6" x14ac:dyDescent="0.25">
      <c r="A32" s="80">
        <v>1</v>
      </c>
      <c r="B32" s="167" t="s">
        <v>912</v>
      </c>
      <c r="C32" s="667">
        <f>(4445*18)*1.33</f>
        <v>106413.3</v>
      </c>
      <c r="D32" s="79">
        <f t="shared" ref="D32:D33" si="4">A32*C32</f>
        <v>106413.3</v>
      </c>
    </row>
    <row r="33" spans="1:4" ht="15.6" x14ac:dyDescent="0.25">
      <c r="A33" s="103">
        <v>1</v>
      </c>
      <c r="B33" s="104" t="s">
        <v>921</v>
      </c>
      <c r="C33" s="105">
        <f>(2570*18)*1.33</f>
        <v>61525.8</v>
      </c>
      <c r="D33" s="150">
        <f t="shared" si="4"/>
        <v>61525.8</v>
      </c>
    </row>
    <row r="34" spans="1:4" ht="15.6" x14ac:dyDescent="0.25">
      <c r="A34" s="103"/>
      <c r="B34" s="659"/>
      <c r="C34" s="661" t="s">
        <v>18</v>
      </c>
      <c r="D34" s="660">
        <f>SUM(D32:D33)</f>
        <v>167939.1</v>
      </c>
    </row>
    <row r="35" spans="1:4" ht="13.8" x14ac:dyDescent="0.25">
      <c r="A35" s="34"/>
      <c r="B35" s="120" t="s">
        <v>15</v>
      </c>
      <c r="C35" s="121"/>
      <c r="D35" s="122"/>
    </row>
    <row r="36" spans="1:4" ht="15.6" x14ac:dyDescent="0.25">
      <c r="A36" s="34"/>
      <c r="B36" s="176" t="s">
        <v>922</v>
      </c>
      <c r="C36" s="1"/>
      <c r="D36" s="1"/>
    </row>
    <row r="37" spans="1:4" ht="13.8" x14ac:dyDescent="0.25">
      <c r="A37" s="34"/>
      <c r="B37" s="126" t="s">
        <v>17</v>
      </c>
      <c r="C37" s="1"/>
      <c r="D37" s="1"/>
    </row>
    <row r="38" spans="1:4" ht="15" x14ac:dyDescent="0.25">
      <c r="A38" s="62"/>
      <c r="B38" s="127" t="s">
        <v>79</v>
      </c>
      <c r="C38" s="1"/>
      <c r="D38" s="1"/>
    </row>
    <row r="39" spans="1:4" ht="15" x14ac:dyDescent="0.25">
      <c r="A39" s="62"/>
      <c r="B39" s="129" t="s">
        <v>60</v>
      </c>
      <c r="C39" s="1"/>
      <c r="D39" s="1"/>
    </row>
    <row r="40" spans="1:4" ht="15" x14ac:dyDescent="0.25">
      <c r="A40" s="62"/>
      <c r="B40" s="130" t="s">
        <v>23</v>
      </c>
      <c r="C40" s="13"/>
      <c r="D40" s="1"/>
    </row>
    <row r="41" spans="1:4" ht="27.6" x14ac:dyDescent="0.25">
      <c r="A41" s="62"/>
      <c r="B41" s="132" t="s">
        <v>62</v>
      </c>
      <c r="C41" s="13"/>
      <c r="D41" s="1"/>
    </row>
    <row r="42" spans="1:4" ht="15" x14ac:dyDescent="0.25">
      <c r="A42" s="62"/>
      <c r="B42" s="130" t="s">
        <v>26</v>
      </c>
      <c r="C42" s="13"/>
      <c r="D42" s="1"/>
    </row>
    <row r="43" spans="1:4" ht="41.4" x14ac:dyDescent="0.25">
      <c r="A43" s="62"/>
      <c r="B43" s="333" t="s">
        <v>920</v>
      </c>
      <c r="C43" s="13"/>
      <c r="D43" s="1"/>
    </row>
    <row r="44" spans="1:4" ht="15" x14ac:dyDescent="0.25">
      <c r="A44" s="62"/>
      <c r="B44" s="334" t="s">
        <v>28</v>
      </c>
      <c r="C44" s="1"/>
      <c r="D44" s="1"/>
    </row>
    <row r="45" spans="1:4" ht="15" x14ac:dyDescent="0.25">
      <c r="A45" s="62"/>
      <c r="B45" s="130" t="s">
        <v>29</v>
      </c>
      <c r="C45" s="1"/>
      <c r="D45" s="1"/>
    </row>
    <row r="46" spans="1:4" ht="13.8" x14ac:dyDescent="0.25">
      <c r="B46" s="138" t="s">
        <v>64</v>
      </c>
      <c r="C46" s="133"/>
      <c r="D46" s="134"/>
    </row>
    <row r="47" spans="1:4" ht="15" x14ac:dyDescent="0.25">
      <c r="A47" s="62"/>
      <c r="B47" s="127" t="s">
        <v>31</v>
      </c>
      <c r="C47" s="54"/>
      <c r="D47" s="58"/>
    </row>
    <row r="48" spans="1:4" ht="15" x14ac:dyDescent="0.25">
      <c r="A48" s="62"/>
      <c r="B48" s="127" t="s">
        <v>32</v>
      </c>
      <c r="C48" s="54"/>
    </row>
    <row r="49" spans="1:4" ht="50.4" x14ac:dyDescent="0.4">
      <c r="A49" s="139" t="s">
        <v>0</v>
      </c>
      <c r="B49" s="140" t="s">
        <v>65</v>
      </c>
      <c r="C49" s="141"/>
      <c r="D49" s="1"/>
    </row>
    <row r="50" spans="1:4" ht="12.75" customHeight="1" x14ac:dyDescent="0.25">
      <c r="A50" s="142"/>
      <c r="B50" s="64"/>
      <c r="C50" s="64"/>
      <c r="D50" s="1"/>
    </row>
    <row r="51" spans="1:4" x14ac:dyDescent="0.25">
      <c r="A51" s="142"/>
      <c r="B51" s="64"/>
      <c r="C51" s="64"/>
      <c r="D51" s="1"/>
    </row>
    <row r="52" spans="1:4" x14ac:dyDescent="0.25">
      <c r="A52" s="142"/>
      <c r="B52" s="143"/>
      <c r="C52" s="64"/>
      <c r="D52" s="1"/>
    </row>
    <row r="53" spans="1:4" ht="15" x14ac:dyDescent="0.35">
      <c r="A53" s="144"/>
      <c r="B53" s="145"/>
      <c r="C53" s="64"/>
      <c r="D53" s="64"/>
    </row>
    <row r="54" spans="1:4" x14ac:dyDescent="0.25">
      <c r="A54" s="146" t="s">
        <v>0</v>
      </c>
    </row>
    <row r="55" spans="1:4" x14ac:dyDescent="0.25">
      <c r="A55" s="1" t="s">
        <v>0</v>
      </c>
    </row>
    <row r="58" spans="1:4" ht="15.75" customHeight="1" x14ac:dyDescent="0.25"/>
    <row r="59" spans="1:4" ht="15" customHeight="1" x14ac:dyDescent="0.25"/>
  </sheetData>
  <mergeCells count="2">
    <mergeCell ref="A4:D4"/>
    <mergeCell ref="A14:D14"/>
  </mergeCells>
  <printOptions horizontalCentered="1"/>
  <pageMargins left="0.25" right="0.25" top="0.75" bottom="0.75" header="0.3" footer="0.3"/>
  <pageSetup paperSize="9" scale="58" fitToWidth="0" orientation="portrait" r:id="rId1"/>
  <headerFooter alignWithMargins="0">
    <oddFooter>Página &amp;P de &amp;N</oddFooter>
  </headerFooter>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2F44-A125-45C8-8EB0-18408545C477}">
  <sheetPr>
    <tabColor theme="4" tint="-0.249977111117893"/>
    <pageSetUpPr fitToPage="1"/>
  </sheetPr>
  <dimension ref="A1:G60"/>
  <sheetViews>
    <sheetView topLeftCell="A5" zoomScaleNormal="100" workbookViewId="0">
      <selection activeCell="A8" sqref="A8:B12"/>
    </sheetView>
  </sheetViews>
  <sheetFormatPr baseColWidth="10" defaultColWidth="11.44140625" defaultRowHeight="13.2" x14ac:dyDescent="0.25"/>
  <cols>
    <col min="1" max="1" width="6" style="1" customWidth="1"/>
    <col min="2" max="2" width="92.109375" style="1" customWidth="1"/>
    <col min="3" max="3" width="12.6640625" style="3" customWidth="1"/>
    <col min="4" max="4" width="14.5546875"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927</v>
      </c>
      <c r="B8" s="68"/>
      <c r="C8" s="69"/>
      <c r="D8" s="69"/>
    </row>
    <row r="9" spans="1:7" s="4" customFormat="1" ht="19.2" x14ac:dyDescent="0.45">
      <c r="A9" s="67" t="s">
        <v>928</v>
      </c>
      <c r="B9" s="68"/>
      <c r="C9" s="69"/>
      <c r="D9" s="69"/>
    </row>
    <row r="10" spans="1:7" s="4" customFormat="1" ht="19.2" x14ac:dyDescent="0.45">
      <c r="A10" s="67" t="s">
        <v>930</v>
      </c>
      <c r="B10" s="68"/>
      <c r="C10" s="69"/>
      <c r="D10" s="69"/>
    </row>
    <row r="11" spans="1:7" s="4" customFormat="1" ht="19.2" x14ac:dyDescent="0.45">
      <c r="A11" s="67" t="s">
        <v>929</v>
      </c>
      <c r="B11" s="68"/>
      <c r="C11" s="70"/>
      <c r="D11" s="69"/>
    </row>
    <row r="12" spans="1:7" s="4" customFormat="1" ht="19.2" x14ac:dyDescent="0.45">
      <c r="A12" s="67" t="s">
        <v>294</v>
      </c>
      <c r="B12" s="68"/>
      <c r="C12" s="70"/>
      <c r="D12" s="69"/>
    </row>
    <row r="13" spans="1:7" s="4" customFormat="1" ht="15" customHeight="1" x14ac:dyDescent="0.45">
      <c r="A13" s="67" t="s">
        <v>38</v>
      </c>
      <c r="B13" s="72"/>
      <c r="C13" s="73"/>
      <c r="D13" s="74"/>
    </row>
    <row r="14" spans="1:7" s="4" customFormat="1" ht="15" customHeight="1" x14ac:dyDescent="0.45">
      <c r="A14" s="71" t="s">
        <v>931</v>
      </c>
      <c r="B14" s="72"/>
      <c r="C14" s="73"/>
      <c r="D14" s="74"/>
      <c r="E14" s="10"/>
      <c r="F14" s="10"/>
      <c r="G14" s="10"/>
    </row>
    <row r="15" spans="1:7" s="10" customFormat="1" ht="19.2" x14ac:dyDescent="0.25">
      <c r="A15" s="744" t="s">
        <v>40</v>
      </c>
      <c r="B15" s="745"/>
      <c r="C15" s="746"/>
      <c r="D15" s="747"/>
      <c r="E15" s="1"/>
      <c r="F15" s="1"/>
      <c r="G15" s="1"/>
    </row>
    <row r="16" spans="1:7" x14ac:dyDescent="0.25">
      <c r="A16" s="14"/>
      <c r="B16" s="15"/>
      <c r="C16" s="16"/>
      <c r="D16" s="16"/>
      <c r="E16" s="17"/>
      <c r="F16" s="23"/>
      <c r="G16" s="23"/>
    </row>
    <row r="17" spans="1:7" s="23" customFormat="1" ht="46.8" x14ac:dyDescent="0.25">
      <c r="A17" s="676">
        <v>1</v>
      </c>
      <c r="B17" s="677" t="s">
        <v>925</v>
      </c>
      <c r="C17" s="168">
        <v>28000</v>
      </c>
      <c r="D17" s="678">
        <f t="shared" ref="D17" si="0">A17*C17</f>
        <v>28000</v>
      </c>
      <c r="E17" s="17"/>
      <c r="F17" s="1"/>
      <c r="G17" s="1"/>
    </row>
    <row r="18" spans="1:7" s="23" customFormat="1" ht="15.6" x14ac:dyDescent="0.3">
      <c r="A18" s="620"/>
      <c r="B18" s="681" t="s">
        <v>926</v>
      </c>
      <c r="C18" s="90" t="s">
        <v>49</v>
      </c>
      <c r="D18" s="87">
        <f>SUM(D17:D17)</f>
        <v>28000</v>
      </c>
      <c r="E18" s="13"/>
      <c r="F18" s="1"/>
      <c r="G18" s="1"/>
    </row>
    <row r="19" spans="1:7" s="23" customFormat="1" ht="15.6" x14ac:dyDescent="0.3">
      <c r="A19" s="620"/>
      <c r="B19" s="681"/>
      <c r="C19" s="90" t="s">
        <v>51</v>
      </c>
      <c r="D19" s="87">
        <f>D18*0.16</f>
        <v>4480</v>
      </c>
      <c r="E19" s="13"/>
      <c r="F19" s="1"/>
      <c r="G19" s="1"/>
    </row>
    <row r="20" spans="1:7" s="23" customFormat="1" ht="16.2" thickBot="1" x14ac:dyDescent="0.3">
      <c r="A20" s="620"/>
      <c r="B20" s="628"/>
      <c r="C20" s="679" t="s">
        <v>77</v>
      </c>
      <c r="D20" s="680">
        <f>SUM(D18:D19)</f>
        <v>32480</v>
      </c>
      <c r="E20" s="1"/>
      <c r="F20" s="1"/>
      <c r="G20" s="1"/>
    </row>
    <row r="21" spans="1:7" s="23" customFormat="1" ht="16.2" thickBot="1" x14ac:dyDescent="0.3">
      <c r="A21" s="619"/>
      <c r="B21" s="35" t="s">
        <v>934</v>
      </c>
      <c r="C21" s="36"/>
      <c r="D21" s="37"/>
      <c r="E21" s="1"/>
      <c r="F21" s="1"/>
      <c r="G21" s="1"/>
    </row>
    <row r="22" spans="1:7" s="23" customFormat="1" ht="13.8" x14ac:dyDescent="0.25">
      <c r="A22" s="670"/>
      <c r="B22" s="126" t="s">
        <v>15</v>
      </c>
      <c r="C22" s="165"/>
      <c r="D22" s="56"/>
      <c r="E22" s="1"/>
      <c r="F22" s="1"/>
      <c r="G22" s="1"/>
    </row>
    <row r="23" spans="1:7" s="23" customFormat="1" ht="17.399999999999999" x14ac:dyDescent="0.25">
      <c r="A23" s="670"/>
      <c r="B23" s="344"/>
      <c r="C23" s="165"/>
      <c r="D23" s="56"/>
      <c r="E23" s="1"/>
      <c r="F23" s="1"/>
      <c r="G23" s="1"/>
    </row>
    <row r="24" spans="1:7" ht="15" x14ac:dyDescent="0.25">
      <c r="A24" s="62"/>
      <c r="B24" s="126" t="s">
        <v>17</v>
      </c>
      <c r="D24" s="56"/>
    </row>
    <row r="25" spans="1:7" ht="15" x14ac:dyDescent="0.25">
      <c r="A25" s="62"/>
      <c r="B25" s="127" t="s">
        <v>304</v>
      </c>
      <c r="D25" s="56"/>
    </row>
    <row r="26" spans="1:7" ht="15" x14ac:dyDescent="0.25">
      <c r="A26" s="62"/>
      <c r="B26" s="127" t="s">
        <v>21</v>
      </c>
      <c r="D26" s="56"/>
    </row>
    <row r="27" spans="1:7" ht="15" x14ac:dyDescent="0.25">
      <c r="A27" s="62"/>
      <c r="B27" s="127" t="s">
        <v>60</v>
      </c>
      <c r="D27" s="56"/>
      <c r="E27" s="13"/>
    </row>
    <row r="28" spans="1:7" ht="13.8" x14ac:dyDescent="0.25">
      <c r="A28" s="671"/>
      <c r="B28" s="135" t="s">
        <v>23</v>
      </c>
      <c r="E28" s="13"/>
    </row>
    <row r="29" spans="1:7" ht="15" x14ac:dyDescent="0.25">
      <c r="A29" s="62"/>
      <c r="B29" s="132" t="s">
        <v>24</v>
      </c>
    </row>
    <row r="30" spans="1:7" ht="41.4" x14ac:dyDescent="0.25">
      <c r="A30" s="62"/>
      <c r="B30" s="132" t="s">
        <v>204</v>
      </c>
      <c r="C30" s="54"/>
      <c r="D30" s="58"/>
    </row>
    <row r="31" spans="1:7" ht="15" x14ac:dyDescent="0.25">
      <c r="A31" s="62"/>
      <c r="B31" s="135" t="s">
        <v>26</v>
      </c>
      <c r="C31" s="54"/>
      <c r="D31" s="58"/>
    </row>
    <row r="32" spans="1:7" ht="13.5" customHeight="1" x14ac:dyDescent="0.25">
      <c r="A32" s="62"/>
      <c r="B32" s="137" t="s">
        <v>932</v>
      </c>
      <c r="C32" s="54"/>
      <c r="D32" s="54"/>
    </row>
    <row r="33" spans="1:4" ht="15" x14ac:dyDescent="0.25">
      <c r="A33" s="62"/>
      <c r="B33" s="137" t="s">
        <v>28</v>
      </c>
      <c r="C33" s="54"/>
      <c r="D33" s="54"/>
    </row>
    <row r="34" spans="1:4" ht="13.8" x14ac:dyDescent="0.25">
      <c r="A34" s="671"/>
      <c r="B34" s="135" t="s">
        <v>29</v>
      </c>
      <c r="D34" s="56"/>
    </row>
    <row r="35" spans="1:4" ht="15" x14ac:dyDescent="0.25">
      <c r="A35" s="62"/>
      <c r="B35" s="127" t="s">
        <v>933</v>
      </c>
      <c r="C35" s="54"/>
      <c r="D35" s="58"/>
    </row>
    <row r="36" spans="1:4" ht="15" x14ac:dyDescent="0.25">
      <c r="A36" s="62"/>
      <c r="B36" s="127" t="s">
        <v>31</v>
      </c>
      <c r="C36" s="54"/>
      <c r="D36" s="58"/>
    </row>
    <row r="37" spans="1:4" ht="13.8" x14ac:dyDescent="0.25">
      <c r="A37" s="672" t="s">
        <v>0</v>
      </c>
      <c r="B37" s="127" t="s">
        <v>32</v>
      </c>
      <c r="C37" s="54"/>
    </row>
    <row r="38" spans="1:4" ht="30.75" customHeight="1" x14ac:dyDescent="0.4">
      <c r="A38" s="451"/>
      <c r="B38" s="140" t="s">
        <v>65</v>
      </c>
      <c r="C38" s="141"/>
      <c r="D38" s="1"/>
    </row>
    <row r="39" spans="1:4" x14ac:dyDescent="0.25">
      <c r="A39" s="451"/>
      <c r="B39" s="673"/>
      <c r="C39" s="64"/>
      <c r="D39" s="1"/>
    </row>
    <row r="40" spans="1:4" x14ac:dyDescent="0.25">
      <c r="A40" s="451"/>
      <c r="B40" s="673"/>
      <c r="C40" s="64"/>
      <c r="D40" s="1"/>
    </row>
    <row r="41" spans="1:4" x14ac:dyDescent="0.25">
      <c r="A41" s="674"/>
      <c r="B41" s="675"/>
      <c r="C41" s="64"/>
      <c r="D41" s="1"/>
    </row>
    <row r="42" spans="1:4" ht="15" x14ac:dyDescent="0.35">
      <c r="A42" s="146" t="s">
        <v>0</v>
      </c>
      <c r="B42" s="145"/>
      <c r="C42" s="64"/>
      <c r="D42" s="64"/>
    </row>
    <row r="43" spans="1:4" x14ac:dyDescent="0.25">
      <c r="A43" s="1" t="s">
        <v>0</v>
      </c>
    </row>
    <row r="51" ht="12.75" customHeight="1" x14ac:dyDescent="0.25"/>
    <row r="55" ht="16.5" customHeight="1" x14ac:dyDescent="0.25"/>
    <row r="59" ht="15.75" customHeight="1" x14ac:dyDescent="0.25"/>
    <row r="60" ht="15" customHeight="1" x14ac:dyDescent="0.25"/>
  </sheetData>
  <mergeCells count="2">
    <mergeCell ref="A4:D4"/>
    <mergeCell ref="A15:D15"/>
  </mergeCells>
  <printOptions horizontalCentered="1"/>
  <pageMargins left="0" right="0" top="0.39370078740157483" bottom="0" header="0" footer="0"/>
  <pageSetup paperSize="9" scale="64" orientation="portrait" r:id="rId1"/>
  <headerFooter alignWithMargins="0">
    <oddFooter>Página &amp;P de &amp;N</oddFooter>
  </headerFooter>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514E0-69B6-4DD1-AFBE-7FDE3F3D3E24}">
  <sheetPr>
    <tabColor theme="4" tint="-0.249977111117893"/>
    <pageSetUpPr fitToPage="1"/>
  </sheetPr>
  <dimension ref="A1:P59"/>
  <sheetViews>
    <sheetView topLeftCell="A8" zoomScale="85" zoomScaleNormal="85" workbookViewId="0">
      <selection activeCell="D23" sqref="D23"/>
    </sheetView>
  </sheetViews>
  <sheetFormatPr baseColWidth="10" defaultColWidth="11.44140625" defaultRowHeight="13.2" x14ac:dyDescent="0.25"/>
  <cols>
    <col min="1" max="1" width="6" style="1" customWidth="1"/>
    <col min="2" max="2" width="77.66406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944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407">
        <v>1</v>
      </c>
      <c r="B16" s="406" t="s">
        <v>935</v>
      </c>
      <c r="C16" s="408">
        <v>72000</v>
      </c>
      <c r="D16" s="79">
        <f>A16*C16</f>
        <v>72000</v>
      </c>
      <c r="N16" s="23"/>
      <c r="O16" s="23"/>
      <c r="P16" s="23"/>
    </row>
    <row r="17" spans="1:16" s="23" customFormat="1" ht="15.6" x14ac:dyDescent="0.25">
      <c r="A17" s="404"/>
      <c r="B17" s="406" t="s">
        <v>936</v>
      </c>
      <c r="C17" s="405"/>
      <c r="D17" s="79"/>
      <c r="E17" s="1"/>
      <c r="F17" s="1"/>
      <c r="G17" s="1"/>
      <c r="H17" s="1"/>
      <c r="I17" s="1"/>
      <c r="J17" s="1"/>
      <c r="K17" s="1"/>
      <c r="L17" s="1"/>
      <c r="M17" s="1"/>
    </row>
    <row r="18" spans="1:16" s="23" customFormat="1" ht="15.6" x14ac:dyDescent="0.3">
      <c r="A18" s="404"/>
      <c r="B18" s="406" t="s">
        <v>937</v>
      </c>
      <c r="C18" s="405"/>
      <c r="D18" s="79"/>
      <c r="E18" s="1"/>
      <c r="F18" s="1"/>
      <c r="G18" s="1"/>
      <c r="H18" s="1"/>
      <c r="I18" s="1"/>
      <c r="J18" s="1"/>
      <c r="K18" s="1"/>
      <c r="L18" s="1"/>
      <c r="M18"/>
    </row>
    <row r="19" spans="1:16" s="23" customFormat="1" ht="15.6" x14ac:dyDescent="0.25">
      <c r="A19" s="103">
        <v>4</v>
      </c>
      <c r="B19" s="104" t="s">
        <v>938</v>
      </c>
      <c r="C19" s="105">
        <f>(260*18)*1.4</f>
        <v>6552</v>
      </c>
      <c r="D19" s="79">
        <f>A19*C19</f>
        <v>26208</v>
      </c>
      <c r="E19" s="1"/>
      <c r="F19" s="1"/>
      <c r="G19" s="1"/>
      <c r="H19" s="1"/>
      <c r="I19" s="1"/>
      <c r="J19" s="1"/>
      <c r="K19" s="1"/>
      <c r="L19" s="1"/>
      <c r="M19" s="1"/>
    </row>
    <row r="20" spans="1:16" s="23" customFormat="1" ht="19.95" customHeight="1" x14ac:dyDescent="0.25">
      <c r="A20" s="106">
        <v>2</v>
      </c>
      <c r="B20" s="107" t="s">
        <v>939</v>
      </c>
      <c r="C20" s="108">
        <f>2300*1.4</f>
        <v>3220</v>
      </c>
      <c r="D20" s="109">
        <f>A20*C20</f>
        <v>6440</v>
      </c>
      <c r="E20" s="1"/>
      <c r="F20" s="1"/>
      <c r="G20" s="1"/>
      <c r="H20" s="1"/>
      <c r="I20" s="1"/>
      <c r="J20" s="1"/>
      <c r="K20" s="1"/>
      <c r="L20" s="1"/>
      <c r="M20" s="1"/>
      <c r="N20" s="1"/>
      <c r="O20" s="1"/>
      <c r="P20" s="1"/>
    </row>
    <row r="21" spans="1:16" ht="15.6" x14ac:dyDescent="0.25">
      <c r="A21" s="80">
        <v>4</v>
      </c>
      <c r="B21" s="167" t="s">
        <v>940</v>
      </c>
      <c r="C21" s="105">
        <v>510</v>
      </c>
      <c r="D21" s="109">
        <f>A21*C21</f>
        <v>2040</v>
      </c>
      <c r="E21" s="13"/>
    </row>
    <row r="22" spans="1:16" ht="15.6" x14ac:dyDescent="0.3">
      <c r="A22" s="99"/>
      <c r="B22" s="85" t="s">
        <v>941</v>
      </c>
      <c r="C22" s="86" t="s">
        <v>49</v>
      </c>
      <c r="D22" s="87">
        <f>SUM(D15:D21)</f>
        <v>106688</v>
      </c>
    </row>
    <row r="23" spans="1:16" ht="15.6" x14ac:dyDescent="0.3">
      <c r="A23" s="99"/>
      <c r="B23" s="85"/>
      <c r="C23" s="90" t="s">
        <v>51</v>
      </c>
      <c r="D23" s="87">
        <f>D22*0.16</f>
        <v>17070.080000000002</v>
      </c>
      <c r="E23" s="13"/>
      <c r="O23" s="88"/>
      <c r="P23" s="88"/>
    </row>
    <row r="24" spans="1:16" s="88" customFormat="1" ht="15.6" x14ac:dyDescent="0.25">
      <c r="A24" s="99"/>
      <c r="B24" s="100"/>
      <c r="C24" s="90" t="s">
        <v>52</v>
      </c>
      <c r="D24" s="87">
        <f>SUM(D22:D23)</f>
        <v>123758.08</v>
      </c>
      <c r="E24" s="1"/>
      <c r="F24" s="1"/>
      <c r="G24" s="1"/>
      <c r="H24" s="1"/>
      <c r="I24" s="1"/>
      <c r="J24" s="1"/>
      <c r="K24" s="1"/>
      <c r="L24" s="1"/>
      <c r="M24" s="1"/>
      <c r="N24" s="1"/>
      <c r="O24" s="1"/>
      <c r="P24" s="1"/>
    </row>
    <row r="25" spans="1:16" ht="13.8" x14ac:dyDescent="0.25">
      <c r="A25" s="34"/>
      <c r="B25" s="120" t="s">
        <v>15</v>
      </c>
      <c r="C25" s="121"/>
      <c r="D25" s="122"/>
    </row>
    <row r="26" spans="1:16" ht="15.6" x14ac:dyDescent="0.25">
      <c r="A26" s="34"/>
      <c r="B26" s="123"/>
      <c r="C26" s="1"/>
      <c r="D26" s="1"/>
    </row>
    <row r="27" spans="1:16" ht="13.8" x14ac:dyDescent="0.25">
      <c r="A27" s="34"/>
      <c r="B27" s="126" t="s">
        <v>17</v>
      </c>
      <c r="C27" s="1"/>
      <c r="D27" s="1"/>
    </row>
    <row r="28" spans="1:16" ht="15" x14ac:dyDescent="0.25">
      <c r="A28" s="62"/>
      <c r="B28" s="127" t="s">
        <v>19</v>
      </c>
      <c r="C28" s="1"/>
      <c r="D28" s="1"/>
    </row>
    <row r="29" spans="1:16" ht="15" x14ac:dyDescent="0.25">
      <c r="A29" s="62"/>
      <c r="B29" s="128"/>
      <c r="C29" s="13"/>
      <c r="D29" s="1"/>
    </row>
    <row r="30" spans="1:16" ht="15" x14ac:dyDescent="0.25">
      <c r="A30" s="62"/>
      <c r="B30" s="129" t="s">
        <v>60</v>
      </c>
      <c r="C30" s="1"/>
      <c r="D30" s="1"/>
    </row>
    <row r="31" spans="1:16" ht="15" x14ac:dyDescent="0.25">
      <c r="A31" s="62"/>
      <c r="B31" s="130" t="s">
        <v>23</v>
      </c>
      <c r="C31" s="13"/>
      <c r="D31" s="1"/>
    </row>
    <row r="32" spans="1:16" ht="27.6" x14ac:dyDescent="0.25">
      <c r="A32" s="62"/>
      <c r="B32" s="132" t="s">
        <v>62</v>
      </c>
      <c r="C32" s="13"/>
      <c r="D32" s="1"/>
    </row>
    <row r="33" spans="1:4" ht="15" x14ac:dyDescent="0.25">
      <c r="A33" s="62"/>
      <c r="B33" s="130" t="s">
        <v>26</v>
      </c>
      <c r="C33" s="13"/>
      <c r="D33" s="1"/>
    </row>
    <row r="34" spans="1:4" ht="27.6" x14ac:dyDescent="0.25">
      <c r="A34" s="62"/>
      <c r="B34" s="333" t="s">
        <v>942</v>
      </c>
      <c r="C34" s="13"/>
      <c r="D34" s="1"/>
    </row>
    <row r="35" spans="1:4" ht="15" x14ac:dyDescent="0.25">
      <c r="A35" s="62"/>
      <c r="B35" s="334" t="s">
        <v>28</v>
      </c>
      <c r="C35" s="1"/>
      <c r="D35" s="1"/>
    </row>
    <row r="36" spans="1:4" ht="15" x14ac:dyDescent="0.25">
      <c r="A36" s="62"/>
      <c r="B36" s="130" t="s">
        <v>29</v>
      </c>
      <c r="C36" s="1"/>
      <c r="D36" s="1"/>
    </row>
    <row r="37" spans="1:4" ht="13.8" x14ac:dyDescent="0.25">
      <c r="B37" s="138" t="s">
        <v>943</v>
      </c>
      <c r="C37" s="133"/>
      <c r="D37" s="134"/>
    </row>
    <row r="38" spans="1:4" ht="15" x14ac:dyDescent="0.25">
      <c r="A38" s="62"/>
      <c r="B38" s="127" t="s">
        <v>31</v>
      </c>
      <c r="C38" s="54"/>
      <c r="D38" s="58"/>
    </row>
    <row r="39" spans="1:4" ht="15" x14ac:dyDescent="0.25">
      <c r="A39" s="62"/>
      <c r="B39" s="127" t="s">
        <v>32</v>
      </c>
      <c r="C39" s="54"/>
    </row>
    <row r="40" spans="1:4" ht="50.4" x14ac:dyDescent="0.4">
      <c r="A40" s="139" t="s">
        <v>0</v>
      </c>
      <c r="B40" s="140" t="s">
        <v>65</v>
      </c>
      <c r="C40" s="141"/>
      <c r="D40" s="1"/>
    </row>
    <row r="41" spans="1:4" x14ac:dyDescent="0.25">
      <c r="A41" s="142"/>
      <c r="B41" s="64"/>
      <c r="C41" s="64"/>
      <c r="D41" s="1"/>
    </row>
    <row r="42" spans="1:4" x14ac:dyDescent="0.25">
      <c r="A42" s="142"/>
      <c r="B42" s="64"/>
      <c r="C42" s="64"/>
      <c r="D42" s="1"/>
    </row>
    <row r="43" spans="1:4" x14ac:dyDescent="0.25">
      <c r="A43" s="142"/>
      <c r="B43" s="143"/>
      <c r="C43" s="64"/>
      <c r="D43" s="1"/>
    </row>
    <row r="44" spans="1:4" ht="15" x14ac:dyDescent="0.35">
      <c r="A44" s="144"/>
      <c r="B44" s="145"/>
      <c r="C44" s="64"/>
      <c r="D44" s="64"/>
    </row>
    <row r="45" spans="1:4" x14ac:dyDescent="0.25">
      <c r="A45" s="146" t="s">
        <v>0</v>
      </c>
    </row>
    <row r="46" spans="1:4" x14ac:dyDescent="0.25">
      <c r="A46"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5" fitToWidth="0" orientation="portrait" r:id="rId1"/>
  <headerFooter alignWithMargins="0">
    <oddFooter>Página &amp;P de &amp;N</oddFooter>
  </headerFooter>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BF6E-BC31-41D4-9215-7A0C96246F52}">
  <sheetPr>
    <tabColor theme="4" tint="-0.249977111117893"/>
    <pageSetUpPr fitToPage="1"/>
  </sheetPr>
  <dimension ref="A1:P59"/>
  <sheetViews>
    <sheetView topLeftCell="A5" zoomScale="85" zoomScaleNormal="85" workbookViewId="0">
      <selection activeCell="D16" sqref="D16:D22"/>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924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390</v>
      </c>
      <c r="C16" s="105">
        <f>196*140</f>
        <v>27440</v>
      </c>
      <c r="D16" s="79">
        <f>A16*C16</f>
        <v>27440</v>
      </c>
      <c r="N16" s="23"/>
      <c r="O16" s="23"/>
      <c r="P16" s="23"/>
    </row>
    <row r="17" spans="1:16" s="23" customFormat="1" ht="15.6" x14ac:dyDescent="0.25">
      <c r="A17" s="103">
        <v>1</v>
      </c>
      <c r="B17" s="104" t="s">
        <v>913</v>
      </c>
      <c r="C17" s="105">
        <f>(5120*18)*1.33</f>
        <v>122572.8</v>
      </c>
      <c r="D17" s="79">
        <f t="shared" ref="D17:D22" si="0">A17*C17</f>
        <v>122572.8</v>
      </c>
      <c r="E17" s="13"/>
      <c r="F17" s="1"/>
      <c r="G17" s="1"/>
      <c r="H17" s="1"/>
      <c r="I17" s="1"/>
      <c r="J17" s="1"/>
      <c r="K17" s="1"/>
      <c r="L17" s="1"/>
      <c r="M17" s="1"/>
    </row>
    <row r="18" spans="1:16" s="23" customFormat="1" ht="15.6" x14ac:dyDescent="0.3">
      <c r="A18" s="103">
        <v>1</v>
      </c>
      <c r="B18" s="104" t="s">
        <v>915</v>
      </c>
      <c r="C18" s="105">
        <f>(3019*18)*1.33</f>
        <v>72274.86</v>
      </c>
      <c r="D18" s="150">
        <f t="shared" si="0"/>
        <v>72274.86</v>
      </c>
      <c r="E18" s="13"/>
      <c r="F18" s="1"/>
      <c r="G18" s="1"/>
      <c r="H18" s="1"/>
      <c r="I18" s="1"/>
      <c r="J18" s="1"/>
      <c r="K18" s="1"/>
      <c r="L18" s="1"/>
      <c r="M18"/>
    </row>
    <row r="19" spans="1:16" s="23" customFormat="1" ht="30" x14ac:dyDescent="0.25">
      <c r="A19" s="103">
        <v>1</v>
      </c>
      <c r="B19" s="104" t="s">
        <v>116</v>
      </c>
      <c r="C19" s="105">
        <v>7300</v>
      </c>
      <c r="D19" s="79">
        <f t="shared" si="0"/>
        <v>7300</v>
      </c>
      <c r="E19" s="13"/>
      <c r="F19" s="1"/>
      <c r="G19" s="1"/>
      <c r="H19" s="1"/>
      <c r="I19" s="1"/>
      <c r="J19" s="1"/>
      <c r="K19" s="1"/>
      <c r="L19" s="1"/>
      <c r="M19" s="1"/>
    </row>
    <row r="20" spans="1:16" s="23" customFormat="1" ht="30" x14ac:dyDescent="0.25">
      <c r="A20" s="103">
        <v>1</v>
      </c>
      <c r="B20" s="104" t="s">
        <v>391</v>
      </c>
      <c r="C20" s="105">
        <f>196*140</f>
        <v>27440</v>
      </c>
      <c r="D20" s="79">
        <f t="shared" si="0"/>
        <v>27440</v>
      </c>
      <c r="E20" s="1"/>
      <c r="F20" s="1"/>
      <c r="G20" s="1"/>
      <c r="H20" s="1"/>
      <c r="I20" s="1"/>
      <c r="J20" s="1"/>
      <c r="K20" s="1"/>
      <c r="L20" s="1"/>
      <c r="M20" s="1"/>
      <c r="N20" s="1"/>
      <c r="O20" s="1"/>
      <c r="P20" s="1"/>
    </row>
    <row r="21" spans="1:16" ht="15.6" x14ac:dyDescent="0.25">
      <c r="A21" s="103">
        <v>1</v>
      </c>
      <c r="B21" s="104" t="s">
        <v>379</v>
      </c>
      <c r="C21" s="327">
        <v>5230</v>
      </c>
      <c r="D21" s="79">
        <f t="shared" si="0"/>
        <v>5230</v>
      </c>
    </row>
    <row r="22" spans="1:16" ht="15.6" x14ac:dyDescent="0.25">
      <c r="A22" s="80">
        <v>1</v>
      </c>
      <c r="B22" s="167" t="s">
        <v>340</v>
      </c>
      <c r="C22" s="327">
        <v>3875</v>
      </c>
      <c r="D22" s="109">
        <f t="shared" si="0"/>
        <v>3875</v>
      </c>
    </row>
    <row r="23" spans="1:16" ht="15.6" x14ac:dyDescent="0.3">
      <c r="A23" s="99"/>
      <c r="B23" s="85" t="s">
        <v>911</v>
      </c>
      <c r="C23" s="86" t="s">
        <v>49</v>
      </c>
      <c r="D23" s="87">
        <f>SUM(D16:D22)</f>
        <v>266132.65999999997</v>
      </c>
      <c r="O23" s="88"/>
      <c r="P23" s="88"/>
    </row>
    <row r="24" spans="1:16" s="88" customFormat="1" ht="15.6" x14ac:dyDescent="0.3">
      <c r="A24" s="99"/>
      <c r="B24" s="85" t="s">
        <v>388</v>
      </c>
      <c r="C24" s="90" t="s">
        <v>51</v>
      </c>
      <c r="D24" s="87">
        <f>D23*0.16</f>
        <v>42581.225599999998</v>
      </c>
      <c r="E24" s="1"/>
      <c r="F24" s="1"/>
      <c r="G24" s="1"/>
      <c r="H24" s="1"/>
      <c r="I24" s="1"/>
      <c r="J24" s="1"/>
      <c r="K24" s="1"/>
      <c r="L24" s="1"/>
      <c r="M24" s="1"/>
      <c r="N24" s="1"/>
      <c r="O24" s="1"/>
      <c r="P24" s="1"/>
    </row>
    <row r="25" spans="1:16" ht="16.2" thickBot="1" x14ac:dyDescent="0.3">
      <c r="A25" s="99"/>
      <c r="B25" s="100"/>
      <c r="C25" s="90" t="s">
        <v>52</v>
      </c>
      <c r="D25" s="87">
        <f>SUM(D23:D24)</f>
        <v>308713.88559999998</v>
      </c>
    </row>
    <row r="26" spans="1:16" ht="16.2" thickBot="1" x14ac:dyDescent="0.3">
      <c r="A26" s="116"/>
      <c r="B26" s="186" t="s">
        <v>923</v>
      </c>
      <c r="C26" s="36"/>
      <c r="D26" s="37"/>
    </row>
    <row r="27" spans="1:16" ht="13.8" x14ac:dyDescent="0.25">
      <c r="A27" s="34"/>
      <c r="B27" s="120" t="s">
        <v>15</v>
      </c>
      <c r="C27" s="121"/>
      <c r="D27" s="122"/>
    </row>
    <row r="28" spans="1:16" ht="15.6" x14ac:dyDescent="0.25">
      <c r="A28" s="34"/>
      <c r="B28" s="123"/>
      <c r="C28" s="1"/>
      <c r="D28" s="1"/>
    </row>
    <row r="29" spans="1:16" ht="13.8" x14ac:dyDescent="0.25">
      <c r="A29" s="34"/>
      <c r="B29" s="126" t="s">
        <v>17</v>
      </c>
      <c r="C29" s="1"/>
      <c r="D29" s="1"/>
    </row>
    <row r="30" spans="1:16" ht="15" x14ac:dyDescent="0.25">
      <c r="A30" s="62"/>
      <c r="B30" s="127" t="s">
        <v>19</v>
      </c>
      <c r="C30" s="1"/>
      <c r="D30" s="1"/>
    </row>
    <row r="31" spans="1:16" ht="15" x14ac:dyDescent="0.25">
      <c r="A31" s="62"/>
      <c r="B31" s="129" t="s">
        <v>60</v>
      </c>
      <c r="C31" s="1"/>
      <c r="D31" s="1"/>
    </row>
    <row r="32" spans="1:16" ht="15" x14ac:dyDescent="0.25">
      <c r="A32" s="62"/>
      <c r="B32" s="130" t="s">
        <v>23</v>
      </c>
      <c r="C32" s="13"/>
      <c r="D32" s="1"/>
    </row>
    <row r="33" spans="1:4" ht="27.6" x14ac:dyDescent="0.25">
      <c r="A33" s="62"/>
      <c r="B33" s="132" t="s">
        <v>62</v>
      </c>
      <c r="C33" s="13"/>
      <c r="D33" s="1"/>
    </row>
    <row r="34" spans="1:4" ht="15" x14ac:dyDescent="0.25">
      <c r="A34" s="62"/>
      <c r="B34" s="130" t="s">
        <v>26</v>
      </c>
      <c r="C34" s="13"/>
      <c r="D34" s="1"/>
    </row>
    <row r="35" spans="1:4" ht="41.4" x14ac:dyDescent="0.25">
      <c r="A35" s="62"/>
      <c r="B35" s="333" t="s">
        <v>920</v>
      </c>
      <c r="C35" s="13"/>
      <c r="D35" s="1"/>
    </row>
    <row r="36" spans="1:4" ht="15" x14ac:dyDescent="0.25">
      <c r="A36" s="62"/>
      <c r="B36" s="334" t="s">
        <v>28</v>
      </c>
      <c r="C36" s="1"/>
      <c r="D36" s="1"/>
    </row>
    <row r="37" spans="1:4" ht="15" x14ac:dyDescent="0.25">
      <c r="A37" s="62"/>
      <c r="B37" s="130" t="s">
        <v>29</v>
      </c>
      <c r="C37" s="1"/>
      <c r="D37" s="1"/>
    </row>
    <row r="38" spans="1:4" ht="13.8" x14ac:dyDescent="0.25">
      <c r="B38" s="138" t="s">
        <v>64</v>
      </c>
      <c r="C38" s="133"/>
      <c r="D38" s="134"/>
    </row>
    <row r="39" spans="1:4" ht="15" x14ac:dyDescent="0.25">
      <c r="A39" s="62"/>
      <c r="B39" s="127" t="s">
        <v>31</v>
      </c>
      <c r="C39" s="54"/>
      <c r="D39" s="58"/>
    </row>
    <row r="40" spans="1:4" ht="15" x14ac:dyDescent="0.25">
      <c r="A40" s="62"/>
      <c r="B40" s="127" t="s">
        <v>32</v>
      </c>
      <c r="C40" s="54"/>
    </row>
    <row r="41" spans="1:4" ht="50.4" x14ac:dyDescent="0.4">
      <c r="A41" s="139" t="s">
        <v>0</v>
      </c>
      <c r="B41" s="140" t="s">
        <v>65</v>
      </c>
      <c r="C41" s="141"/>
      <c r="D41" s="1"/>
    </row>
    <row r="42" spans="1:4" x14ac:dyDescent="0.25">
      <c r="A42" s="142"/>
      <c r="B42" s="64"/>
      <c r="C42" s="64"/>
      <c r="D42" s="1"/>
    </row>
    <row r="43" spans="1:4" x14ac:dyDescent="0.25">
      <c r="A43" s="142"/>
      <c r="B43" s="64"/>
      <c r="C43" s="64"/>
      <c r="D43" s="1"/>
    </row>
    <row r="44" spans="1:4" x14ac:dyDescent="0.25">
      <c r="A44" s="142"/>
      <c r="B44" s="143"/>
      <c r="C44" s="64"/>
      <c r="D44" s="1"/>
    </row>
    <row r="45" spans="1:4" ht="15" x14ac:dyDescent="0.35">
      <c r="A45" s="144"/>
      <c r="B45" s="145"/>
      <c r="C45" s="64"/>
      <c r="D45" s="64"/>
    </row>
    <row r="46" spans="1:4" x14ac:dyDescent="0.25">
      <c r="A46" s="146" t="s">
        <v>0</v>
      </c>
    </row>
    <row r="47" spans="1:4" x14ac:dyDescent="0.25">
      <c r="A47"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6" fitToWidth="0" orientation="portrait" r:id="rId1"/>
  <headerFooter alignWithMargins="0">
    <oddFooter>Página &amp;P de &amp;N</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8FE11-5441-4D9D-B070-B04D3F927781}">
  <sheetPr>
    <tabColor theme="4" tint="-0.249977111117893"/>
    <pageSetUpPr fitToPage="1"/>
  </sheetPr>
  <dimension ref="A1:M70"/>
  <sheetViews>
    <sheetView topLeftCell="A5" zoomScale="85" zoomScaleNormal="85" workbookViewId="0">
      <selection activeCell="C25" sqref="C25"/>
    </sheetView>
  </sheetViews>
  <sheetFormatPr baseColWidth="10" defaultColWidth="11.44140625" defaultRowHeight="13.2" x14ac:dyDescent="0.25"/>
  <cols>
    <col min="1" max="1" width="6" style="1" customWidth="1"/>
    <col min="2" max="2" width="96.88671875" style="1" customWidth="1"/>
    <col min="3" max="3" width="14.5546875" style="3" bestFit="1"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946</v>
      </c>
      <c r="B8" s="68"/>
      <c r="C8" s="69"/>
      <c r="D8" s="69"/>
    </row>
    <row r="9" spans="1:12" s="4" customFormat="1" ht="19.2" x14ac:dyDescent="0.45">
      <c r="A9" s="67" t="s">
        <v>2</v>
      </c>
      <c r="B9" s="68"/>
      <c r="C9" s="69"/>
      <c r="D9" s="69"/>
    </row>
    <row r="10" spans="1:12" s="4" customFormat="1" ht="19.2" x14ac:dyDescent="0.45">
      <c r="A10" s="67" t="s">
        <v>947</v>
      </c>
      <c r="B10" s="68"/>
      <c r="C10" s="69"/>
      <c r="D10" s="69"/>
    </row>
    <row r="11" spans="1:12" s="4" customFormat="1" ht="19.2" x14ac:dyDescent="0.45">
      <c r="A11" s="67" t="s">
        <v>948</v>
      </c>
      <c r="B11" s="68"/>
      <c r="C11" s="70"/>
      <c r="D11" s="69"/>
    </row>
    <row r="12" spans="1:12" s="4" customFormat="1" ht="15" customHeight="1" x14ac:dyDescent="0.45">
      <c r="A12" s="67" t="s">
        <v>38</v>
      </c>
      <c r="B12" s="68"/>
      <c r="C12" s="70"/>
      <c r="D12" s="69"/>
    </row>
    <row r="13" spans="1:12" s="4" customFormat="1" ht="19.2" x14ac:dyDescent="0.45">
      <c r="A13" s="71" t="s">
        <v>989</v>
      </c>
      <c r="B13" s="72"/>
      <c r="C13" s="73"/>
      <c r="D13" s="74"/>
      <c r="E13" s="10"/>
      <c r="F13" s="10"/>
      <c r="G13" s="10"/>
    </row>
    <row r="14" spans="1:12" s="4" customFormat="1" ht="19.2" x14ac:dyDescent="0.4">
      <c r="A14" s="744" t="s">
        <v>40</v>
      </c>
      <c r="B14" s="745"/>
      <c r="C14" s="746"/>
      <c r="D14" s="747"/>
      <c r="E14" s="1"/>
      <c r="F14" s="1"/>
      <c r="G14" s="1"/>
      <c r="H14" s="10"/>
      <c r="I14" s="10"/>
      <c r="J14" s="10"/>
      <c r="K14" s="10"/>
      <c r="L14" s="10"/>
    </row>
    <row r="15" spans="1:12" s="10" customFormat="1" ht="13.8" x14ac:dyDescent="0.25">
      <c r="A15" s="14"/>
      <c r="B15" s="15"/>
      <c r="C15" s="16"/>
      <c r="D15" s="16"/>
      <c r="E15" s="17"/>
      <c r="F15" s="23"/>
      <c r="G15" s="23"/>
      <c r="H15" s="1"/>
      <c r="I15" s="1"/>
      <c r="J15" s="1"/>
      <c r="K15" s="1"/>
      <c r="L15" s="1"/>
    </row>
    <row r="16" spans="1:12" ht="90.6" x14ac:dyDescent="0.25">
      <c r="A16" s="80">
        <v>1</v>
      </c>
      <c r="B16" s="167" t="s">
        <v>945</v>
      </c>
      <c r="C16" s="653">
        <f>25000+25000+12000+15000+44000</f>
        <v>121000</v>
      </c>
      <c r="D16" s="678">
        <f>A16*C16</f>
        <v>121000</v>
      </c>
      <c r="E16" s="17"/>
      <c r="H16" s="23"/>
      <c r="I16" s="23"/>
      <c r="J16" s="23"/>
      <c r="K16" s="23"/>
      <c r="L16" s="23"/>
    </row>
    <row r="17" spans="1:13" s="23" customFormat="1" ht="15.6" x14ac:dyDescent="0.25">
      <c r="A17" s="684">
        <v>1</v>
      </c>
      <c r="B17" s="685" t="s">
        <v>867</v>
      </c>
      <c r="C17" s="686">
        <v>960</v>
      </c>
      <c r="D17" s="687"/>
      <c r="E17" s="17"/>
      <c r="F17" s="1"/>
      <c r="G17" s="1"/>
    </row>
    <row r="18" spans="1:13" s="23" customFormat="1" ht="15.6" x14ac:dyDescent="0.3">
      <c r="A18" s="161"/>
      <c r="B18" s="682"/>
      <c r="C18" s="90" t="s">
        <v>49</v>
      </c>
      <c r="D18" s="87">
        <f>SUM(D15:D17)</f>
        <v>121000</v>
      </c>
      <c r="E18" s="13"/>
      <c r="F18" s="1"/>
      <c r="G18" s="1"/>
      <c r="H18" s="1"/>
      <c r="I18" s="1"/>
      <c r="J18" s="1"/>
      <c r="K18" s="1"/>
      <c r="L18" s="1"/>
    </row>
    <row r="19" spans="1:13" s="23" customFormat="1" ht="15.6" x14ac:dyDescent="0.3">
      <c r="A19" s="161"/>
      <c r="B19" s="682"/>
      <c r="C19" s="90" t="s">
        <v>51</v>
      </c>
      <c r="D19" s="87">
        <f>D18*0.16</f>
        <v>19360</v>
      </c>
      <c r="E19" s="13"/>
      <c r="F19" s="1"/>
      <c r="G19" s="1"/>
      <c r="H19" s="1"/>
      <c r="I19" s="1"/>
      <c r="J19" s="1"/>
      <c r="K19" s="1"/>
      <c r="L19" s="1"/>
    </row>
    <row r="20" spans="1:13" s="23" customFormat="1" ht="21" customHeight="1" thickBot="1" x14ac:dyDescent="0.35">
      <c r="A20" s="161"/>
      <c r="B20" s="683"/>
      <c r="C20" s="90" t="s">
        <v>77</v>
      </c>
      <c r="D20" s="87">
        <f>D18+D19</f>
        <v>140360</v>
      </c>
      <c r="E20" s="13"/>
      <c r="F20" s="1"/>
      <c r="G20" s="1"/>
      <c r="H20" s="1"/>
      <c r="I20" s="1"/>
      <c r="J20" s="1"/>
      <c r="K20" s="1"/>
      <c r="L20" s="1"/>
    </row>
    <row r="21" spans="1:13" s="23" customFormat="1" ht="16.2" thickBot="1" x14ac:dyDescent="0.3">
      <c r="A21" s="116"/>
      <c r="B21" s="802" t="s">
        <v>988</v>
      </c>
      <c r="C21" s="803"/>
      <c r="D21" s="804"/>
      <c r="E21" s="13"/>
      <c r="F21" s="1"/>
      <c r="G21" s="1"/>
      <c r="H21" s="1"/>
      <c r="I21" s="1"/>
      <c r="J21" s="1"/>
      <c r="K21" s="1"/>
      <c r="L21" s="1"/>
      <c r="M21" s="1"/>
    </row>
    <row r="22" spans="1:13" s="23" customFormat="1" x14ac:dyDescent="0.25">
      <c r="A22" s="34"/>
      <c r="B22" s="655" t="s">
        <v>876</v>
      </c>
      <c r="C22" s="163"/>
      <c r="D22" s="164"/>
      <c r="E22" s="1"/>
      <c r="F22" s="1"/>
      <c r="G22" s="1"/>
      <c r="H22" s="1"/>
      <c r="I22" s="1"/>
      <c r="J22" s="1"/>
      <c r="K22" s="1"/>
      <c r="L22" s="1"/>
      <c r="M22" s="1"/>
    </row>
    <row r="23" spans="1:13" s="23" customFormat="1" ht="13.8" x14ac:dyDescent="0.25">
      <c r="A23" s="34"/>
      <c r="B23" s="135" t="s">
        <v>15</v>
      </c>
      <c r="C23" s="165"/>
      <c r="D23" s="56"/>
      <c r="E23" s="1"/>
      <c r="F23" s="1"/>
      <c r="G23" s="1"/>
      <c r="H23" s="1"/>
      <c r="I23" s="1"/>
      <c r="J23" s="1"/>
      <c r="K23" s="1"/>
      <c r="L23" s="1"/>
      <c r="M23" s="1"/>
    </row>
    <row r="24" spans="1:13" s="23" customFormat="1" ht="15" x14ac:dyDescent="0.25">
      <c r="A24" s="62"/>
      <c r="B24" s="135" t="s">
        <v>17</v>
      </c>
      <c r="C24" s="3"/>
      <c r="D24" s="56"/>
      <c r="E24" s="1"/>
      <c r="F24" s="1"/>
      <c r="G24" s="1"/>
      <c r="H24" s="1"/>
      <c r="I24" s="1"/>
      <c r="J24" s="1"/>
      <c r="K24" s="1"/>
      <c r="L24" s="1"/>
      <c r="M24" s="1"/>
    </row>
    <row r="25" spans="1:13" s="23" customFormat="1" ht="15" x14ac:dyDescent="0.25">
      <c r="A25" s="62"/>
      <c r="B25" s="191" t="s">
        <v>289</v>
      </c>
      <c r="C25" s="3"/>
      <c r="D25" s="56"/>
      <c r="E25" s="1"/>
      <c r="F25" s="1"/>
      <c r="G25" s="1"/>
      <c r="H25" s="1"/>
      <c r="I25" s="1"/>
      <c r="J25" s="1"/>
      <c r="K25" s="1"/>
      <c r="L25" s="1"/>
      <c r="M25" s="1"/>
    </row>
    <row r="26" spans="1:13" s="23" customFormat="1" ht="15" x14ac:dyDescent="0.25">
      <c r="A26" s="62"/>
      <c r="B26" s="191" t="s">
        <v>21</v>
      </c>
      <c r="C26" s="3"/>
      <c r="D26" s="56"/>
      <c r="E26" s="1"/>
      <c r="F26" s="1"/>
      <c r="G26" s="1"/>
      <c r="H26" s="1"/>
      <c r="I26" s="1"/>
      <c r="J26" s="1"/>
      <c r="K26" s="1"/>
      <c r="L26" s="1"/>
      <c r="M26" s="1"/>
    </row>
    <row r="27" spans="1:13" s="23" customFormat="1" ht="15" x14ac:dyDescent="0.25">
      <c r="A27" s="62"/>
      <c r="B27" s="191" t="s">
        <v>60</v>
      </c>
      <c r="C27" s="3"/>
      <c r="D27" s="56"/>
      <c r="E27" s="1"/>
      <c r="F27" s="1"/>
      <c r="G27" s="1"/>
      <c r="H27" s="1"/>
      <c r="I27" s="1"/>
      <c r="J27" s="1"/>
      <c r="K27" s="1"/>
      <c r="L27" s="1"/>
      <c r="M27" s="1"/>
    </row>
    <row r="28" spans="1:13" s="23" customFormat="1" ht="13.8" x14ac:dyDescent="0.25">
      <c r="A28" s="1"/>
      <c r="B28" s="135" t="s">
        <v>23</v>
      </c>
      <c r="C28" s="3"/>
      <c r="D28" s="3"/>
      <c r="E28" s="1"/>
      <c r="F28" s="1"/>
      <c r="G28" s="1"/>
      <c r="H28" s="1"/>
      <c r="I28" s="1"/>
      <c r="J28" s="1"/>
      <c r="K28" s="1"/>
      <c r="L28" s="1"/>
      <c r="M28" s="1"/>
    </row>
    <row r="29" spans="1:13" s="23" customFormat="1" ht="15" x14ac:dyDescent="0.25">
      <c r="A29" s="62"/>
      <c r="B29" s="187" t="s">
        <v>950</v>
      </c>
      <c r="C29" s="3"/>
      <c r="D29" s="3"/>
      <c r="E29" s="13"/>
      <c r="F29" s="1"/>
      <c r="G29" s="1"/>
      <c r="H29" s="1"/>
      <c r="I29" s="1"/>
      <c r="J29" s="1"/>
      <c r="K29" s="1"/>
      <c r="L29" s="1"/>
      <c r="M29" s="1"/>
    </row>
    <row r="30" spans="1:13" s="23" customFormat="1" ht="15" x14ac:dyDescent="0.25">
      <c r="A30" s="62"/>
      <c r="B30" s="187" t="s">
        <v>951</v>
      </c>
      <c r="C30" s="54"/>
      <c r="D30" s="58"/>
      <c r="E30" s="13"/>
      <c r="F30" s="1"/>
      <c r="G30" s="1"/>
      <c r="H30" s="1"/>
      <c r="I30" s="1"/>
      <c r="J30" s="1"/>
      <c r="K30" s="1"/>
      <c r="L30" s="1"/>
      <c r="M30" s="1"/>
    </row>
    <row r="31" spans="1:13" ht="15" x14ac:dyDescent="0.25">
      <c r="A31" s="62"/>
      <c r="B31" s="135" t="s">
        <v>26</v>
      </c>
      <c r="C31" s="54"/>
      <c r="D31" s="58"/>
    </row>
    <row r="32" spans="1:13" ht="15" x14ac:dyDescent="0.25">
      <c r="A32" s="62"/>
      <c r="B32" s="189" t="s">
        <v>567</v>
      </c>
      <c r="C32" s="54"/>
      <c r="D32" s="54"/>
    </row>
    <row r="33" spans="1:4" ht="15" x14ac:dyDescent="0.25">
      <c r="A33" s="62"/>
      <c r="B33" s="189" t="s">
        <v>28</v>
      </c>
      <c r="C33" s="54"/>
      <c r="D33" s="54"/>
    </row>
    <row r="34" spans="1:4" ht="13.8" x14ac:dyDescent="0.25">
      <c r="B34" s="135" t="s">
        <v>29</v>
      </c>
      <c r="D34" s="56"/>
    </row>
    <row r="35" spans="1:4" ht="15" x14ac:dyDescent="0.25">
      <c r="A35" s="62"/>
      <c r="B35" s="190" t="s">
        <v>81</v>
      </c>
      <c r="C35" s="54"/>
      <c r="D35" s="58"/>
    </row>
    <row r="36" spans="1:4" ht="15" x14ac:dyDescent="0.25">
      <c r="A36" s="62"/>
      <c r="B36" s="191" t="s">
        <v>31</v>
      </c>
      <c r="C36" s="54"/>
      <c r="D36" s="58"/>
    </row>
    <row r="37" spans="1:4" ht="13.8" x14ac:dyDescent="0.25">
      <c r="A37" s="139" t="s">
        <v>0</v>
      </c>
      <c r="B37" s="191" t="s">
        <v>32</v>
      </c>
      <c r="C37" s="54"/>
    </row>
    <row r="38" spans="1:4" ht="50.4" x14ac:dyDescent="0.25">
      <c r="A38" s="142"/>
      <c r="B38" s="193" t="s">
        <v>65</v>
      </c>
      <c r="C38" s="141"/>
      <c r="D38" s="1"/>
    </row>
    <row r="39" spans="1:4" x14ac:dyDescent="0.25">
      <c r="A39" s="142"/>
      <c r="B39" s="64"/>
      <c r="C39" s="64"/>
      <c r="D39" s="1"/>
    </row>
    <row r="40" spans="1:4" ht="17.25" customHeight="1" x14ac:dyDescent="0.25">
      <c r="A40" s="142"/>
      <c r="B40" s="64"/>
      <c r="C40" s="64"/>
      <c r="D40" s="1"/>
    </row>
    <row r="41" spans="1:4" x14ac:dyDescent="0.25">
      <c r="A41" s="144"/>
      <c r="B41" s="143"/>
      <c r="C41" s="64"/>
      <c r="D41" s="1"/>
    </row>
    <row r="42" spans="1:4" ht="13.5" customHeight="1" x14ac:dyDescent="0.35">
      <c r="A42" s="146" t="s">
        <v>0</v>
      </c>
      <c r="B42" s="145"/>
      <c r="C42" s="64"/>
      <c r="D42" s="64"/>
    </row>
    <row r="43" spans="1:4" x14ac:dyDescent="0.25">
      <c r="A43" s="1" t="s">
        <v>0</v>
      </c>
    </row>
    <row r="48" spans="1:4" ht="18" customHeight="1" x14ac:dyDescent="0.25"/>
    <row r="61" ht="12.75" customHeight="1" x14ac:dyDescent="0.25"/>
    <row r="65" ht="16.5" customHeight="1" x14ac:dyDescent="0.25"/>
    <row r="69" ht="15.75" customHeight="1" x14ac:dyDescent="0.25"/>
    <row r="70" ht="15" customHeight="1" x14ac:dyDescent="0.25"/>
  </sheetData>
  <mergeCells count="3">
    <mergeCell ref="A4:D4"/>
    <mergeCell ref="A14:D14"/>
    <mergeCell ref="B21:D21"/>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2BF3-7329-4432-8AA8-7867E48D6B03}">
  <sheetPr>
    <tabColor theme="4" tint="-0.249977111117893"/>
    <pageSetUpPr fitToPage="1"/>
  </sheetPr>
  <dimension ref="A1:P59"/>
  <sheetViews>
    <sheetView topLeftCell="A12" zoomScale="85" zoomScaleNormal="85" workbookViewId="0">
      <selection activeCell="D19" sqref="D19"/>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959</v>
      </c>
      <c r="B8" s="68"/>
      <c r="C8" s="69"/>
      <c r="D8" s="69"/>
    </row>
    <row r="9" spans="1:16" s="4" customFormat="1" ht="19.2" x14ac:dyDescent="0.45">
      <c r="A9" s="67" t="s">
        <v>965</v>
      </c>
      <c r="B9" s="68"/>
      <c r="C9" s="69"/>
      <c r="D9" s="69"/>
    </row>
    <row r="10" spans="1:16" s="4" customFormat="1" ht="19.2" x14ac:dyDescent="0.45">
      <c r="A10" s="67" t="s">
        <v>960</v>
      </c>
      <c r="B10" s="68"/>
      <c r="C10" s="69"/>
      <c r="D10" s="69"/>
    </row>
    <row r="11" spans="1:16" s="4" customFormat="1" ht="19.2" x14ac:dyDescent="0.45">
      <c r="A11" s="67" t="s">
        <v>386</v>
      </c>
      <c r="B11" s="68"/>
      <c r="C11" s="70"/>
      <c r="D11" s="69"/>
    </row>
    <row r="12" spans="1:16" s="4" customFormat="1" ht="15" customHeight="1" x14ac:dyDescent="0.45">
      <c r="A12" s="67" t="s">
        <v>38</v>
      </c>
      <c r="B12" s="68"/>
      <c r="C12" s="70"/>
      <c r="D12" s="69"/>
    </row>
    <row r="13" spans="1:16" s="4" customFormat="1" ht="15" customHeight="1" x14ac:dyDescent="0.45">
      <c r="A13" s="71" t="s">
        <v>949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103">
        <v>1</v>
      </c>
      <c r="B16" s="104" t="s">
        <v>958</v>
      </c>
      <c r="C16" s="688">
        <f>(398*80)</f>
        <v>31840</v>
      </c>
      <c r="D16" s="689">
        <f>A16*C16</f>
        <v>31840</v>
      </c>
      <c r="N16" s="23"/>
      <c r="O16" s="23"/>
      <c r="P16" s="23"/>
    </row>
    <row r="17" spans="1:16" s="23" customFormat="1" ht="15.6" x14ac:dyDescent="0.25">
      <c r="A17" s="103">
        <v>410</v>
      </c>
      <c r="B17" s="104" t="s">
        <v>952</v>
      </c>
      <c r="C17" s="688">
        <v>35.4</v>
      </c>
      <c r="D17" s="689">
        <f>A17*C17</f>
        <v>14514</v>
      </c>
      <c r="E17" s="1"/>
      <c r="F17" s="1"/>
      <c r="G17" s="1"/>
      <c r="H17" s="1"/>
      <c r="I17" s="1"/>
      <c r="J17" s="1"/>
      <c r="K17" s="1"/>
      <c r="L17" s="1"/>
      <c r="M17" s="1"/>
    </row>
    <row r="18" spans="1:16" s="23" customFormat="1" ht="30" x14ac:dyDescent="0.3">
      <c r="A18" s="103">
        <v>1</v>
      </c>
      <c r="B18" s="104" t="s">
        <v>953</v>
      </c>
      <c r="C18" s="688">
        <v>930</v>
      </c>
      <c r="D18" s="689">
        <f>A18*C18</f>
        <v>930</v>
      </c>
      <c r="E18" s="1"/>
      <c r="F18" s="1"/>
      <c r="G18" s="1"/>
      <c r="H18" s="1"/>
      <c r="I18" s="1"/>
      <c r="J18" s="1"/>
      <c r="K18" s="1"/>
      <c r="L18" s="1"/>
      <c r="M18"/>
    </row>
    <row r="19" spans="1:16" s="23" customFormat="1" ht="30" x14ac:dyDescent="0.25">
      <c r="A19" s="103">
        <v>1</v>
      </c>
      <c r="B19" s="104" t="s">
        <v>391</v>
      </c>
      <c r="C19" s="688">
        <f>(398*70)</f>
        <v>27860</v>
      </c>
      <c r="D19" s="689">
        <f t="shared" ref="D19:D25" si="0">A19*C19</f>
        <v>27860</v>
      </c>
      <c r="E19" s="1"/>
      <c r="F19" s="1"/>
      <c r="G19" s="1"/>
      <c r="H19" s="1"/>
      <c r="I19" s="1"/>
      <c r="J19" s="1"/>
      <c r="K19" s="1"/>
      <c r="L19" s="1"/>
      <c r="M19" s="1"/>
    </row>
    <row r="20" spans="1:16" s="23" customFormat="1" ht="15.6" x14ac:dyDescent="0.25">
      <c r="A20" s="103">
        <v>2</v>
      </c>
      <c r="B20" s="104" t="s">
        <v>154</v>
      </c>
      <c r="C20" s="690">
        <f>1950*1.35</f>
        <v>2632.5</v>
      </c>
      <c r="D20" s="689">
        <f t="shared" si="0"/>
        <v>5265</v>
      </c>
      <c r="E20" s="1"/>
      <c r="F20" s="1"/>
      <c r="G20" s="1"/>
      <c r="H20" s="1"/>
      <c r="I20" s="1"/>
      <c r="J20" s="1"/>
      <c r="K20" s="1"/>
      <c r="L20" s="1"/>
      <c r="M20" s="1"/>
      <c r="O20" s="1"/>
      <c r="P20" s="1"/>
    </row>
    <row r="21" spans="1:16" ht="15.6" x14ac:dyDescent="0.25">
      <c r="A21" s="103">
        <v>1</v>
      </c>
      <c r="B21" s="104" t="s">
        <v>379</v>
      </c>
      <c r="C21" s="690">
        <v>6180</v>
      </c>
      <c r="D21" s="689">
        <f t="shared" si="0"/>
        <v>6180</v>
      </c>
    </row>
    <row r="22" spans="1:16" ht="15.6" x14ac:dyDescent="0.25">
      <c r="A22" s="80">
        <v>1</v>
      </c>
      <c r="B22" s="167" t="s">
        <v>954</v>
      </c>
      <c r="C22" s="690">
        <v>4580</v>
      </c>
      <c r="D22" s="180">
        <f t="shared" si="0"/>
        <v>4580</v>
      </c>
    </row>
    <row r="23" spans="1:16" ht="15.6" x14ac:dyDescent="0.25">
      <c r="A23" s="103">
        <v>1</v>
      </c>
      <c r="B23" s="167" t="s">
        <v>955</v>
      </c>
      <c r="C23" s="690">
        <f>3260*1.45</f>
        <v>4727</v>
      </c>
      <c r="D23" s="180">
        <f t="shared" si="0"/>
        <v>4727</v>
      </c>
      <c r="O23" s="88"/>
      <c r="P23" s="88"/>
    </row>
    <row r="24" spans="1:16" s="88" customFormat="1" ht="15.6" x14ac:dyDescent="0.25">
      <c r="A24" s="103">
        <v>1</v>
      </c>
      <c r="B24" s="167" t="s">
        <v>956</v>
      </c>
      <c r="C24" s="690">
        <v>1150</v>
      </c>
      <c r="D24" s="180">
        <f t="shared" si="0"/>
        <v>1150</v>
      </c>
      <c r="E24" s="1"/>
      <c r="F24" s="1"/>
      <c r="G24" s="1"/>
      <c r="H24" s="1"/>
      <c r="I24" s="1"/>
      <c r="J24" s="1"/>
      <c r="K24" s="1"/>
      <c r="L24" s="1"/>
      <c r="M24" s="1"/>
      <c r="N24" s="1"/>
      <c r="O24" s="1"/>
      <c r="P24" s="1"/>
    </row>
    <row r="25" spans="1:16" ht="15.6" x14ac:dyDescent="0.25">
      <c r="A25" s="103">
        <v>1</v>
      </c>
      <c r="B25" s="167" t="s">
        <v>957</v>
      </c>
      <c r="C25" s="690">
        <v>3500</v>
      </c>
      <c r="D25" s="180">
        <f t="shared" si="0"/>
        <v>3500</v>
      </c>
    </row>
    <row r="26" spans="1:16" ht="15.6" x14ac:dyDescent="0.3">
      <c r="A26" s="516"/>
      <c r="B26" s="517"/>
      <c r="C26" s="86" t="s">
        <v>49</v>
      </c>
      <c r="D26" s="87">
        <f>SUM(D16:D25)</f>
        <v>100546</v>
      </c>
    </row>
    <row r="27" spans="1:16" ht="15.6" x14ac:dyDescent="0.3">
      <c r="A27" s="516"/>
      <c r="B27" s="517"/>
      <c r="C27" s="90" t="s">
        <v>51</v>
      </c>
      <c r="D27" s="87">
        <f>D26*0.16</f>
        <v>16087.36</v>
      </c>
    </row>
    <row r="28" spans="1:16" ht="16.2" thickBot="1" x14ac:dyDescent="0.3">
      <c r="A28" s="516"/>
      <c r="B28" s="100"/>
      <c r="C28" s="90" t="s">
        <v>52</v>
      </c>
      <c r="D28" s="87">
        <f>SUM(D26:D27)</f>
        <v>116633.36</v>
      </c>
    </row>
    <row r="29" spans="1:16" ht="16.2" thickBot="1" x14ac:dyDescent="0.3">
      <c r="A29" s="116"/>
      <c r="B29" s="186" t="s">
        <v>967</v>
      </c>
      <c r="C29" s="36"/>
      <c r="D29" s="37"/>
    </row>
    <row r="30" spans="1:16" ht="13.8" x14ac:dyDescent="0.25">
      <c r="A30" s="34"/>
      <c r="B30" s="120" t="s">
        <v>15</v>
      </c>
      <c r="C30" s="121"/>
      <c r="D30" s="122"/>
    </row>
    <row r="31" spans="1:16" ht="15.6" x14ac:dyDescent="0.25">
      <c r="A31" s="34"/>
      <c r="B31" s="123"/>
      <c r="C31" s="1"/>
      <c r="D31" s="1"/>
    </row>
    <row r="32" spans="1:16" ht="13.8" x14ac:dyDescent="0.25">
      <c r="A32" s="34"/>
      <c r="B32" s="126" t="s">
        <v>17</v>
      </c>
      <c r="C32" s="1"/>
      <c r="D32" s="1"/>
    </row>
    <row r="33" spans="1:4" ht="15" x14ac:dyDescent="0.25">
      <c r="A33" s="62"/>
      <c r="B33" s="127" t="s">
        <v>19</v>
      </c>
      <c r="C33" s="1"/>
      <c r="D33" s="1"/>
    </row>
    <row r="34" spans="1:4" ht="15" x14ac:dyDescent="0.25">
      <c r="A34" s="62"/>
      <c r="B34" s="129" t="s">
        <v>60</v>
      </c>
      <c r="C34" s="1"/>
      <c r="D34" s="1"/>
    </row>
    <row r="35" spans="1:4" ht="15" x14ac:dyDescent="0.25">
      <c r="A35" s="62"/>
      <c r="B35" s="130" t="s">
        <v>23</v>
      </c>
      <c r="C35" s="13"/>
      <c r="D35" s="1"/>
    </row>
    <row r="36" spans="1:4" ht="27.6" x14ac:dyDescent="0.25">
      <c r="A36" s="62"/>
      <c r="B36" s="132" t="s">
        <v>62</v>
      </c>
      <c r="C36" s="13"/>
      <c r="D36" s="1"/>
    </row>
    <row r="37" spans="1:4" ht="15" x14ac:dyDescent="0.25">
      <c r="A37" s="62"/>
      <c r="B37" s="130" t="s">
        <v>26</v>
      </c>
      <c r="C37" s="13"/>
      <c r="D37" s="1"/>
    </row>
    <row r="38" spans="1:4" ht="15" x14ac:dyDescent="0.25">
      <c r="A38" s="62"/>
      <c r="B38" s="333" t="s">
        <v>961</v>
      </c>
      <c r="C38" s="13"/>
      <c r="D38" s="1"/>
    </row>
    <row r="39" spans="1:4" ht="15" x14ac:dyDescent="0.25">
      <c r="A39" s="62"/>
      <c r="B39" s="334" t="s">
        <v>28</v>
      </c>
      <c r="C39" s="1"/>
      <c r="D39" s="1"/>
    </row>
    <row r="40" spans="1:4" ht="15" x14ac:dyDescent="0.25">
      <c r="A40" s="62"/>
      <c r="B40" s="130" t="s">
        <v>29</v>
      </c>
      <c r="C40" s="1"/>
      <c r="D40" s="1"/>
    </row>
    <row r="41" spans="1:4" ht="13.8" x14ac:dyDescent="0.25">
      <c r="B41" s="138" t="s">
        <v>706</v>
      </c>
      <c r="C41" s="133"/>
      <c r="D41" s="134"/>
    </row>
    <row r="42" spans="1:4" ht="15" x14ac:dyDescent="0.25">
      <c r="A42" s="62"/>
      <c r="B42" s="127" t="s">
        <v>31</v>
      </c>
      <c r="C42" s="54"/>
      <c r="D42" s="58"/>
    </row>
    <row r="43" spans="1:4" ht="15" x14ac:dyDescent="0.25">
      <c r="A43" s="62"/>
      <c r="B43" s="127" t="s">
        <v>32</v>
      </c>
      <c r="C43" s="54"/>
    </row>
    <row r="44" spans="1:4" ht="50.4" x14ac:dyDescent="0.4">
      <c r="A44" s="139" t="s">
        <v>0</v>
      </c>
      <c r="B44" s="140" t="s">
        <v>65</v>
      </c>
      <c r="C44" s="141"/>
      <c r="D44" s="1"/>
    </row>
    <row r="45" spans="1:4" x14ac:dyDescent="0.25">
      <c r="A45" s="142"/>
      <c r="B45" s="64"/>
      <c r="C45" s="64"/>
      <c r="D45" s="1"/>
    </row>
    <row r="46" spans="1:4" x14ac:dyDescent="0.25">
      <c r="A46" s="142"/>
      <c r="B46" s="64"/>
      <c r="C46" s="64"/>
      <c r="D46" s="1"/>
    </row>
    <row r="47" spans="1:4" x14ac:dyDescent="0.25">
      <c r="A47" s="142"/>
      <c r="B47" s="143"/>
      <c r="C47" s="64"/>
      <c r="D47" s="1"/>
    </row>
    <row r="48" spans="1:4" ht="15" x14ac:dyDescent="0.35">
      <c r="A48" s="144"/>
      <c r="B48" s="145"/>
      <c r="C48" s="64"/>
      <c r="D48" s="64"/>
    </row>
    <row r="49" spans="1:1" x14ac:dyDescent="0.25">
      <c r="A49" s="146" t="s">
        <v>0</v>
      </c>
    </row>
    <row r="50" spans="1:1" ht="12.75" customHeight="1" x14ac:dyDescent="0.25">
      <c r="A50" s="1" t="s">
        <v>0</v>
      </c>
    </row>
    <row r="58" spans="1:1" ht="15.75" customHeight="1" x14ac:dyDescent="0.25"/>
    <row r="59" spans="1:1" ht="15" customHeight="1" x14ac:dyDescent="0.25"/>
  </sheetData>
  <mergeCells count="2">
    <mergeCell ref="A4:D4"/>
    <mergeCell ref="A14:D14"/>
  </mergeCells>
  <printOptions horizontalCentered="1"/>
  <pageMargins left="0.25" right="0.25" top="0.75" bottom="0.75" header="0.3" footer="0.3"/>
  <pageSetup paperSize="9" scale="66" fitToWidth="0" orientation="portrait" r:id="rId1"/>
  <headerFooter alignWithMargins="0">
    <oddFooter>Página &amp;P de &amp;N</oddFooter>
  </headerFooter>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DFD5-2345-4D6E-B4B1-C82311092B3E}">
  <sheetPr>
    <tabColor theme="4" tint="-0.249977111117893"/>
    <pageSetUpPr fitToPage="1"/>
  </sheetPr>
  <dimension ref="A1:P59"/>
  <sheetViews>
    <sheetView topLeftCell="A12" zoomScale="85" zoomScaleNormal="85" workbookViewId="0">
      <selection activeCell="D23" sqref="D23"/>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5.664062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959</v>
      </c>
      <c r="B8" s="68"/>
      <c r="C8" s="69"/>
      <c r="D8" s="69"/>
    </row>
    <row r="9" spans="1:16" s="4" customFormat="1" ht="19.2" x14ac:dyDescent="0.45">
      <c r="A9" s="67" t="s">
        <v>965</v>
      </c>
      <c r="B9" s="68"/>
      <c r="C9" s="69"/>
      <c r="D9" s="69"/>
    </row>
    <row r="10" spans="1:16" s="4" customFormat="1" ht="19.2" x14ac:dyDescent="0.45">
      <c r="A10" s="67" t="s">
        <v>960</v>
      </c>
      <c r="B10" s="68"/>
      <c r="C10" s="69"/>
      <c r="D10" s="69"/>
    </row>
    <row r="11" spans="1:16" s="4" customFormat="1" ht="19.2" x14ac:dyDescent="0.45">
      <c r="A11" s="67" t="s">
        <v>386</v>
      </c>
      <c r="B11" s="68"/>
      <c r="C11" s="70"/>
      <c r="D11" s="69"/>
    </row>
    <row r="12" spans="1:16" s="4" customFormat="1" ht="15" customHeight="1" x14ac:dyDescent="0.45">
      <c r="A12" s="67" t="s">
        <v>38</v>
      </c>
      <c r="B12" s="68"/>
      <c r="C12" s="70"/>
      <c r="D12" s="69"/>
    </row>
    <row r="13" spans="1:16" s="4" customFormat="1" ht="15" customHeight="1" x14ac:dyDescent="0.45">
      <c r="A13" s="71" t="s">
        <v>949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t="s">
        <v>968</v>
      </c>
      <c r="C15" s="16"/>
      <c r="D15" s="16"/>
      <c r="E15" s="17"/>
      <c r="F15" s="23"/>
      <c r="G15" s="23"/>
      <c r="H15" s="1"/>
      <c r="I15" s="1"/>
      <c r="J15" s="1"/>
      <c r="K15" s="1"/>
      <c r="L15" s="1"/>
      <c r="M15" s="1"/>
      <c r="N15" s="1"/>
      <c r="O15" s="1"/>
      <c r="P15" s="1"/>
    </row>
    <row r="16" spans="1:16" ht="15.6" x14ac:dyDescent="0.25">
      <c r="A16" s="103">
        <v>410</v>
      </c>
      <c r="B16" s="104" t="s">
        <v>952</v>
      </c>
      <c r="C16" s="688">
        <v>35.4</v>
      </c>
      <c r="D16" s="689">
        <f>A16*C16</f>
        <v>14514</v>
      </c>
      <c r="N16" s="23"/>
      <c r="O16" s="23"/>
      <c r="P16" s="23"/>
    </row>
    <row r="17" spans="1:16" s="23" customFormat="1" ht="15.6" x14ac:dyDescent="0.25">
      <c r="A17" s="103">
        <v>2</v>
      </c>
      <c r="B17" s="104" t="s">
        <v>154</v>
      </c>
      <c r="C17" s="690">
        <f>1950*1.35</f>
        <v>2632.5</v>
      </c>
      <c r="D17" s="689">
        <f t="shared" ref="D17:D20" si="0">A17*C17</f>
        <v>5265</v>
      </c>
      <c r="E17" s="1"/>
      <c r="F17" s="1"/>
      <c r="G17" s="1"/>
      <c r="H17" s="1"/>
      <c r="I17" s="1"/>
      <c r="J17" s="1"/>
      <c r="K17" s="1"/>
      <c r="L17" s="1"/>
      <c r="M17" s="1"/>
    </row>
    <row r="18" spans="1:16" s="23" customFormat="1" ht="15.6" x14ac:dyDescent="0.3">
      <c r="A18" s="103">
        <v>1</v>
      </c>
      <c r="B18" s="104" t="s">
        <v>379</v>
      </c>
      <c r="C18" s="690">
        <v>6180</v>
      </c>
      <c r="D18" s="689">
        <f t="shared" si="0"/>
        <v>6180</v>
      </c>
      <c r="E18" s="1"/>
      <c r="F18" s="1"/>
      <c r="G18" s="1"/>
      <c r="H18" s="1"/>
      <c r="I18" s="1"/>
      <c r="J18" s="1"/>
      <c r="K18" s="1"/>
      <c r="L18" s="1"/>
      <c r="M18"/>
    </row>
    <row r="19" spans="1:16" s="23" customFormat="1" ht="15.6" x14ac:dyDescent="0.25">
      <c r="A19" s="80">
        <v>1</v>
      </c>
      <c r="B19" s="167" t="s">
        <v>954</v>
      </c>
      <c r="C19" s="690">
        <v>4580</v>
      </c>
      <c r="D19" s="180">
        <f t="shared" si="0"/>
        <v>4580</v>
      </c>
      <c r="E19" s="1"/>
      <c r="F19" s="1"/>
      <c r="G19" s="1"/>
      <c r="H19" s="1"/>
      <c r="I19" s="1"/>
      <c r="J19" s="1"/>
      <c r="K19" s="1"/>
      <c r="L19" s="1"/>
      <c r="M19" s="1"/>
    </row>
    <row r="20" spans="1:16" s="23" customFormat="1" ht="15.6" x14ac:dyDescent="0.25">
      <c r="A20" s="103">
        <v>1</v>
      </c>
      <c r="B20" s="167" t="s">
        <v>955</v>
      </c>
      <c r="C20" s="690">
        <f>3260*1.45</f>
        <v>4727</v>
      </c>
      <c r="D20" s="180">
        <f t="shared" si="0"/>
        <v>4727</v>
      </c>
      <c r="E20" s="1"/>
      <c r="F20" s="1"/>
      <c r="G20" s="1"/>
      <c r="H20" s="1"/>
      <c r="I20" s="1"/>
      <c r="J20" s="1"/>
      <c r="K20" s="1"/>
      <c r="L20" s="1"/>
      <c r="M20" s="1"/>
      <c r="O20" s="1"/>
      <c r="P20" s="1"/>
    </row>
    <row r="21" spans="1:16" ht="15.6" x14ac:dyDescent="0.3">
      <c r="A21" s="516"/>
      <c r="B21" s="517"/>
      <c r="C21" s="86" t="s">
        <v>49</v>
      </c>
      <c r="D21" s="87">
        <f>SUM(D16:D20)</f>
        <v>35266</v>
      </c>
    </row>
    <row r="22" spans="1:16" ht="15.6" x14ac:dyDescent="0.3">
      <c r="A22" s="516"/>
      <c r="B22" s="517"/>
      <c r="C22" s="90" t="s">
        <v>51</v>
      </c>
      <c r="D22" s="87">
        <f>D21*0.16</f>
        <v>5642.56</v>
      </c>
    </row>
    <row r="23" spans="1:16" ht="16.2" thickBot="1" x14ac:dyDescent="0.3">
      <c r="A23" s="516"/>
      <c r="B23" s="100"/>
      <c r="C23" s="90" t="s">
        <v>52</v>
      </c>
      <c r="D23" s="87">
        <f>SUM(D21:D22)</f>
        <v>40908.559999999998</v>
      </c>
      <c r="O23" s="88"/>
      <c r="P23" s="88"/>
    </row>
    <row r="24" spans="1:16" s="88" customFormat="1" ht="16.2" thickBot="1" x14ac:dyDescent="0.3">
      <c r="A24" s="116"/>
      <c r="B24" s="186" t="s">
        <v>969</v>
      </c>
      <c r="C24" s="36"/>
      <c r="D24" s="37"/>
      <c r="E24" s="1"/>
      <c r="F24" s="1"/>
      <c r="G24" s="1"/>
      <c r="H24" s="1"/>
      <c r="I24" s="1"/>
      <c r="J24" s="1"/>
      <c r="K24" s="1"/>
      <c r="L24" s="1"/>
      <c r="M24" s="1"/>
      <c r="N24" s="1"/>
      <c r="O24" s="1"/>
      <c r="P24" s="1"/>
    </row>
    <row r="25" spans="1:16" ht="17.399999999999999" x14ac:dyDescent="0.25">
      <c r="A25" s="692"/>
      <c r="B25" s="695" t="s">
        <v>55</v>
      </c>
      <c r="C25" s="693"/>
      <c r="D25" s="693"/>
      <c r="E25" s="23"/>
      <c r="F25" s="23"/>
      <c r="G25" s="23"/>
      <c r="H25" s="23"/>
      <c r="I25" s="23"/>
      <c r="J25" s="23"/>
      <c r="K25" s="23"/>
      <c r="L25" s="23"/>
      <c r="M25" s="23"/>
    </row>
    <row r="26" spans="1:16" ht="30" x14ac:dyDescent="0.25">
      <c r="A26" s="80">
        <v>1</v>
      </c>
      <c r="B26" s="167" t="s">
        <v>958</v>
      </c>
      <c r="C26" s="696">
        <f>(398*80)</f>
        <v>31840</v>
      </c>
      <c r="D26" s="689">
        <f>A26*C26</f>
        <v>31840</v>
      </c>
      <c r="E26" s="13"/>
    </row>
    <row r="27" spans="1:16" ht="30" x14ac:dyDescent="0.25">
      <c r="A27" s="80">
        <v>1</v>
      </c>
      <c r="B27" s="167" t="s">
        <v>391</v>
      </c>
      <c r="C27" s="696">
        <f>(398*70)</f>
        <v>27860</v>
      </c>
      <c r="D27" s="689">
        <f>A27*C27</f>
        <v>27860</v>
      </c>
      <c r="E27" s="13"/>
    </row>
    <row r="28" spans="1:16" ht="15.6" x14ac:dyDescent="0.25">
      <c r="A28" s="80">
        <v>1</v>
      </c>
      <c r="B28" s="167" t="s">
        <v>956</v>
      </c>
      <c r="C28" s="696">
        <v>1150</v>
      </c>
      <c r="D28" s="180">
        <f>A28*C28</f>
        <v>1150</v>
      </c>
      <c r="E28" s="13"/>
    </row>
    <row r="29" spans="1:16" ht="15.6" x14ac:dyDescent="0.25">
      <c r="A29" s="80">
        <v>1</v>
      </c>
      <c r="B29" s="167" t="s">
        <v>957</v>
      </c>
      <c r="C29" s="696">
        <v>3500</v>
      </c>
      <c r="D29" s="180">
        <f>A29*C29</f>
        <v>3500</v>
      </c>
      <c r="E29" s="13"/>
    </row>
    <row r="30" spans="1:16" ht="15.6" x14ac:dyDescent="0.25">
      <c r="A30" s="80"/>
      <c r="B30" s="167"/>
      <c r="C30" s="696" t="s">
        <v>49</v>
      </c>
      <c r="D30" s="180">
        <f>SUM(D26:D29)</f>
        <v>64350</v>
      </c>
      <c r="E30" s="13"/>
    </row>
    <row r="31" spans="1:16" ht="15.6" x14ac:dyDescent="0.25">
      <c r="A31" s="110"/>
      <c r="B31" s="111"/>
      <c r="C31" s="691"/>
      <c r="D31" s="694"/>
    </row>
    <row r="32" spans="1:16" ht="13.8" x14ac:dyDescent="0.25">
      <c r="A32" s="34"/>
      <c r="B32" s="120" t="s">
        <v>15</v>
      </c>
      <c r="C32" s="121"/>
      <c r="D32" s="122"/>
    </row>
    <row r="33" spans="1:5" ht="17.399999999999999" x14ac:dyDescent="0.3">
      <c r="A33" s="34"/>
      <c r="B33" s="123"/>
      <c r="C33" s="697" t="s">
        <v>18</v>
      </c>
      <c r="D33" s="698">
        <f>SUM(D23+D30)</f>
        <v>105258.56</v>
      </c>
      <c r="E33" s="13"/>
    </row>
    <row r="34" spans="1:5" ht="13.8" x14ac:dyDescent="0.25">
      <c r="A34" s="34"/>
      <c r="B34" s="126" t="s">
        <v>17</v>
      </c>
      <c r="C34" s="664"/>
      <c r="D34" s="664"/>
    </row>
    <row r="35" spans="1:5" ht="15" x14ac:dyDescent="0.25">
      <c r="A35" s="62"/>
      <c r="B35" s="127" t="s">
        <v>19</v>
      </c>
      <c r="C35" s="1"/>
      <c r="D35" s="1"/>
    </row>
    <row r="36" spans="1:5" ht="15" x14ac:dyDescent="0.25">
      <c r="A36" s="62"/>
      <c r="B36" s="129" t="s">
        <v>60</v>
      </c>
      <c r="C36" s="1"/>
      <c r="D36" s="1"/>
    </row>
    <row r="37" spans="1:5" ht="15" x14ac:dyDescent="0.25">
      <c r="A37" s="62"/>
      <c r="B37" s="130" t="s">
        <v>23</v>
      </c>
      <c r="C37" s="13"/>
      <c r="D37" s="1"/>
    </row>
    <row r="38" spans="1:5" ht="27.6" x14ac:dyDescent="0.25">
      <c r="A38" s="62"/>
      <c r="B38" s="132" t="s">
        <v>62</v>
      </c>
      <c r="C38" s="13"/>
      <c r="D38" s="1"/>
    </row>
    <row r="39" spans="1:5" ht="15" x14ac:dyDescent="0.25">
      <c r="A39" s="62"/>
      <c r="B39" s="130" t="s">
        <v>26</v>
      </c>
      <c r="C39" s="13"/>
      <c r="D39" s="1"/>
    </row>
    <row r="40" spans="1:5" ht="15" x14ac:dyDescent="0.25">
      <c r="A40" s="62"/>
      <c r="B40" s="333" t="s">
        <v>961</v>
      </c>
      <c r="C40" s="13"/>
      <c r="D40" s="1"/>
    </row>
    <row r="41" spans="1:5" ht="15" x14ac:dyDescent="0.25">
      <c r="A41" s="62"/>
      <c r="B41" s="334" t="s">
        <v>28</v>
      </c>
      <c r="C41" s="1"/>
      <c r="D41" s="1"/>
    </row>
    <row r="42" spans="1:5" ht="15" x14ac:dyDescent="0.25">
      <c r="A42" s="62"/>
      <c r="B42" s="130" t="s">
        <v>29</v>
      </c>
      <c r="C42" s="1"/>
      <c r="D42" s="1"/>
    </row>
    <row r="43" spans="1:5" ht="13.8" x14ac:dyDescent="0.25">
      <c r="B43" s="138" t="s">
        <v>706</v>
      </c>
      <c r="C43" s="133"/>
      <c r="D43" s="134"/>
    </row>
    <row r="44" spans="1:5" ht="15" x14ac:dyDescent="0.25">
      <c r="A44" s="62"/>
      <c r="B44" s="127" t="s">
        <v>31</v>
      </c>
      <c r="C44" s="54"/>
      <c r="D44" s="58"/>
    </row>
    <row r="45" spans="1:5" ht="15" x14ac:dyDescent="0.25">
      <c r="A45" s="62"/>
      <c r="B45" s="127" t="s">
        <v>32</v>
      </c>
      <c r="C45" s="54"/>
    </row>
    <row r="46" spans="1:5" ht="50.4" x14ac:dyDescent="0.4">
      <c r="A46" s="139" t="s">
        <v>0</v>
      </c>
      <c r="B46" s="140" t="s">
        <v>65</v>
      </c>
      <c r="C46" s="141"/>
      <c r="D46" s="1"/>
    </row>
    <row r="47" spans="1:5" x14ac:dyDescent="0.25">
      <c r="A47" s="142"/>
      <c r="B47" s="64"/>
      <c r="C47" s="64"/>
      <c r="D47" s="1"/>
    </row>
    <row r="48" spans="1:5" x14ac:dyDescent="0.25">
      <c r="A48" s="142"/>
      <c r="B48" s="64"/>
      <c r="C48" s="64"/>
      <c r="D48" s="1"/>
    </row>
    <row r="49" spans="1:4" x14ac:dyDescent="0.25">
      <c r="A49" s="142"/>
      <c r="B49" s="143"/>
      <c r="C49" s="64"/>
      <c r="D49" s="1"/>
    </row>
    <row r="50" spans="1:4" ht="12.75" customHeight="1" x14ac:dyDescent="0.35">
      <c r="A50" s="144"/>
      <c r="B50" s="145"/>
      <c r="C50" s="64"/>
      <c r="D50" s="64"/>
    </row>
    <row r="51" spans="1:4" x14ac:dyDescent="0.25">
      <c r="A51" s="146" t="s">
        <v>0</v>
      </c>
    </row>
    <row r="52" spans="1:4" x14ac:dyDescent="0.25">
      <c r="A52" s="1" t="s">
        <v>0</v>
      </c>
    </row>
    <row r="58" spans="1:4" ht="15.75" customHeight="1" x14ac:dyDescent="0.25"/>
    <row r="59" spans="1:4" ht="15" customHeight="1" x14ac:dyDescent="0.25"/>
  </sheetData>
  <mergeCells count="2">
    <mergeCell ref="A4:D4"/>
    <mergeCell ref="A14:D14"/>
  </mergeCells>
  <printOptions horizontalCentered="1"/>
  <pageMargins left="0.25" right="0.25" top="0.75" bottom="0.75" header="0.3" footer="0.3"/>
  <pageSetup paperSize="9" scale="66" fitToWidth="0" orientation="portrait" r:id="rId1"/>
  <headerFooter alignWithMargins="0">
    <oddFooter>Página &amp;P de &amp;N</odd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B7777-7B6B-4CE3-8018-1B40EAC8F52C}">
  <sheetPr>
    <pageSetUpPr fitToPage="1"/>
  </sheetPr>
  <dimension ref="A1:E58"/>
  <sheetViews>
    <sheetView topLeftCell="A12" zoomScaleNormal="100" workbookViewId="0">
      <selection activeCell="B19" sqref="B19"/>
    </sheetView>
  </sheetViews>
  <sheetFormatPr baseColWidth="10" defaultColWidth="11.44140625" defaultRowHeight="13.2" x14ac:dyDescent="0.25"/>
  <cols>
    <col min="1" max="1" width="6" style="345" customWidth="1"/>
    <col min="2" max="2" width="109.109375" style="345" customWidth="1"/>
    <col min="3" max="3" width="15.88671875" style="347" customWidth="1"/>
    <col min="4" max="4" width="15.44140625" style="347" customWidth="1"/>
    <col min="5" max="16384" width="11.44140625" style="345"/>
  </cols>
  <sheetData>
    <row r="1" spans="1:5" ht="81" customHeight="1" x14ac:dyDescent="0.25">
      <c r="A1" s="345" t="s">
        <v>0</v>
      </c>
      <c r="C1" s="346"/>
    </row>
    <row r="2" spans="1:5" ht="9" customHeight="1" x14ac:dyDescent="0.25">
      <c r="C2" s="346"/>
    </row>
    <row r="3" spans="1:5" ht="9" customHeight="1" x14ac:dyDescent="0.25">
      <c r="C3" s="346"/>
    </row>
    <row r="4" spans="1:5" s="348" customFormat="1" ht="16.8" x14ac:dyDescent="0.4">
      <c r="A4" s="777"/>
      <c r="B4" s="777"/>
      <c r="C4" s="777"/>
      <c r="D4" s="777"/>
    </row>
    <row r="5" spans="1:5" s="348" customFormat="1" ht="16.8" x14ac:dyDescent="0.4">
      <c r="A5" s="349"/>
      <c r="C5" s="350"/>
      <c r="D5" s="350"/>
    </row>
    <row r="6" spans="1:5" s="348" customFormat="1" ht="16.8" x14ac:dyDescent="0.4">
      <c r="A6" s="349"/>
      <c r="C6" s="350"/>
      <c r="D6" s="350"/>
    </row>
    <row r="7" spans="1:5" s="348" customFormat="1" ht="16.8" x14ac:dyDescent="0.4">
      <c r="A7" s="349"/>
      <c r="C7" s="350"/>
      <c r="D7" s="350"/>
    </row>
    <row r="8" spans="1:5" s="348" customFormat="1" ht="16.8" x14ac:dyDescent="0.4">
      <c r="A8" s="749" t="s">
        <v>970</v>
      </c>
      <c r="B8" s="750"/>
      <c r="C8" s="6"/>
      <c r="D8" s="6"/>
    </row>
    <row r="9" spans="1:5" s="348" customFormat="1" ht="16.8" x14ac:dyDescent="0.4">
      <c r="A9" s="749" t="s">
        <v>971</v>
      </c>
      <c r="B9" s="750"/>
      <c r="C9" s="6"/>
      <c r="D9" s="6"/>
    </row>
    <row r="10" spans="1:5" s="348" customFormat="1" ht="16.8" x14ac:dyDescent="0.4">
      <c r="A10" s="749" t="s">
        <v>972</v>
      </c>
      <c r="B10" s="750"/>
      <c r="C10" s="6"/>
      <c r="D10" s="6"/>
    </row>
    <row r="11" spans="1:5" s="382" customFormat="1" ht="16.8" x14ac:dyDescent="0.4">
      <c r="A11" s="749" t="s">
        <v>973</v>
      </c>
      <c r="B11" s="750"/>
      <c r="C11" s="699"/>
      <c r="D11" s="700"/>
    </row>
    <row r="12" spans="1:5" s="348" customFormat="1" ht="15" customHeight="1" x14ac:dyDescent="0.4">
      <c r="A12" s="8" t="s">
        <v>974</v>
      </c>
      <c r="B12" s="9"/>
      <c r="C12" s="351"/>
      <c r="D12" s="352"/>
    </row>
    <row r="13" spans="1:5" s="348" customFormat="1" ht="16.8" x14ac:dyDescent="0.4">
      <c r="A13" s="778" t="s">
        <v>315</v>
      </c>
      <c r="B13" s="779"/>
      <c r="C13" s="780"/>
      <c r="D13" s="781"/>
    </row>
    <row r="14" spans="1:5" s="348" customFormat="1" ht="16.8" x14ac:dyDescent="0.4">
      <c r="A14" s="353" t="s">
        <v>7</v>
      </c>
      <c r="B14" s="353" t="s">
        <v>8</v>
      </c>
      <c r="C14" s="354" t="s">
        <v>9</v>
      </c>
      <c r="D14" s="354" t="s">
        <v>10</v>
      </c>
    </row>
    <row r="15" spans="1:5" s="358" customFormat="1" ht="13.8" x14ac:dyDescent="0.25">
      <c r="A15" s="355"/>
      <c r="B15" s="356"/>
      <c r="C15" s="357"/>
      <c r="D15" s="357"/>
    </row>
    <row r="16" spans="1:5" ht="234" customHeight="1" x14ac:dyDescent="0.25">
      <c r="A16" s="359">
        <v>1</v>
      </c>
      <c r="B16" s="365" t="s">
        <v>975</v>
      </c>
      <c r="C16" s="361">
        <f>(4711.92)*(18)*(1.32)</f>
        <v>111955.21920000001</v>
      </c>
      <c r="D16" s="362">
        <f>A16*C16</f>
        <v>111955.21920000001</v>
      </c>
      <c r="E16" s="363"/>
    </row>
    <row r="17" spans="1:5" ht="18.75" customHeight="1" x14ac:dyDescent="0.25">
      <c r="A17" s="370"/>
      <c r="B17" s="371"/>
      <c r="C17" s="372" t="s">
        <v>170</v>
      </c>
      <c r="D17" s="362">
        <f>SUM(D16:D16)</f>
        <v>111955.21920000001</v>
      </c>
    </row>
    <row r="18" spans="1:5" ht="18.75" customHeight="1" x14ac:dyDescent="0.3">
      <c r="A18" s="373"/>
      <c r="B18" s="374"/>
      <c r="C18" s="375" t="s">
        <v>319</v>
      </c>
      <c r="D18" s="362">
        <f>D17*0.16</f>
        <v>17912.835072000002</v>
      </c>
    </row>
    <row r="19" spans="1:5" ht="18.75" customHeight="1" x14ac:dyDescent="0.3">
      <c r="A19" s="373"/>
      <c r="B19" s="374"/>
      <c r="C19" s="375" t="s">
        <v>14</v>
      </c>
      <c r="D19" s="367">
        <f>D17+D18</f>
        <v>129868.05427200001</v>
      </c>
    </row>
    <row r="20" spans="1:5" ht="18.75" customHeight="1" x14ac:dyDescent="0.25">
      <c r="A20" s="373"/>
      <c r="B20" s="805"/>
      <c r="C20" s="806"/>
      <c r="D20" s="807"/>
      <c r="E20" s="363"/>
    </row>
    <row r="21" spans="1:5" ht="15.75" customHeight="1" x14ac:dyDescent="0.25">
      <c r="B21" s="376" t="s">
        <v>15</v>
      </c>
      <c r="C21" s="377"/>
      <c r="D21" s="378"/>
    </row>
    <row r="22" spans="1:5" s="380" customFormat="1" ht="48" customHeight="1" x14ac:dyDescent="0.25">
      <c r="A22" s="345"/>
      <c r="B22" s="379" t="s">
        <v>976</v>
      </c>
      <c r="C22" s="363"/>
    </row>
    <row r="23" spans="1:5" s="380" customFormat="1" ht="15.75" customHeight="1" x14ac:dyDescent="0.25">
      <c r="B23" s="126" t="s">
        <v>17</v>
      </c>
    </row>
    <row r="24" spans="1:5" ht="13.5" customHeight="1" x14ac:dyDescent="0.25">
      <c r="A24" s="381"/>
      <c r="B24" s="213" t="s">
        <v>493</v>
      </c>
      <c r="C24" s="345"/>
      <c r="D24" s="345"/>
    </row>
    <row r="25" spans="1:5" ht="13.5" customHeight="1" x14ac:dyDescent="0.25">
      <c r="A25" s="381"/>
      <c r="B25" s="213" t="s">
        <v>21</v>
      </c>
      <c r="C25" s="345"/>
      <c r="D25" s="345"/>
    </row>
    <row r="26" spans="1:5" ht="13.5" customHeight="1" x14ac:dyDescent="0.25">
      <c r="A26" s="381"/>
      <c r="B26" s="213" t="s">
        <v>60</v>
      </c>
      <c r="C26" s="345"/>
      <c r="D26" s="345"/>
    </row>
    <row r="27" spans="1:5" ht="13.5" customHeight="1" x14ac:dyDescent="0.25">
      <c r="A27" s="62"/>
      <c r="B27" s="135" t="s">
        <v>26</v>
      </c>
      <c r="C27" s="3"/>
      <c r="D27" s="56"/>
    </row>
    <row r="28" spans="1:5" ht="13.5" customHeight="1" x14ac:dyDescent="0.25">
      <c r="A28" s="62"/>
      <c r="B28" s="215" t="s">
        <v>28</v>
      </c>
      <c r="C28" s="3"/>
      <c r="D28" s="56"/>
    </row>
    <row r="29" spans="1:5" ht="13.5" customHeight="1" x14ac:dyDescent="0.25">
      <c r="A29" s="1"/>
      <c r="B29" s="135" t="s">
        <v>29</v>
      </c>
      <c r="C29" s="3"/>
      <c r="D29" s="56"/>
    </row>
    <row r="30" spans="1:5" ht="15" x14ac:dyDescent="0.25">
      <c r="A30" s="62"/>
      <c r="B30" s="216" t="s">
        <v>321</v>
      </c>
      <c r="C30" s="3"/>
      <c r="D30" s="3"/>
    </row>
    <row r="31" spans="1:5" ht="15" x14ac:dyDescent="0.25">
      <c r="A31" s="62"/>
      <c r="B31" s="63" t="s">
        <v>31</v>
      </c>
      <c r="C31" s="3"/>
      <c r="D31" s="3"/>
    </row>
    <row r="32" spans="1:5" ht="15" x14ac:dyDescent="0.25">
      <c r="A32" s="62"/>
      <c r="B32" s="63" t="s">
        <v>32</v>
      </c>
      <c r="C32" s="54"/>
      <c r="D32" s="58"/>
    </row>
    <row r="33" spans="1:4" ht="33.6" x14ac:dyDescent="0.4">
      <c r="A33" s="62"/>
      <c r="B33" s="217" t="s">
        <v>33</v>
      </c>
      <c r="C33" s="54"/>
      <c r="D33" s="58"/>
    </row>
    <row r="34" spans="1:4" ht="16.8" x14ac:dyDescent="0.4">
      <c r="A34" s="62"/>
      <c r="B34" s="382"/>
      <c r="C34" s="54"/>
      <c r="D34" s="54"/>
    </row>
    <row r="35" spans="1:4" ht="13.8" x14ac:dyDescent="0.25">
      <c r="A35" s="1"/>
      <c r="B35" s="383"/>
      <c r="C35" s="54"/>
      <c r="D35" s="54"/>
    </row>
    <row r="36" spans="1:4" ht="15" x14ac:dyDescent="0.25">
      <c r="A36" s="62"/>
      <c r="B36" s="383"/>
      <c r="C36" s="3"/>
      <c r="D36" s="56"/>
    </row>
    <row r="37" spans="1:4" ht="15" x14ac:dyDescent="0.25">
      <c r="A37" s="62"/>
      <c r="B37" s="384"/>
      <c r="C37" s="54"/>
      <c r="D37" s="58"/>
    </row>
    <row r="38" spans="1:4" ht="16.2" x14ac:dyDescent="0.35">
      <c r="A38" s="62"/>
      <c r="B38" s="385"/>
      <c r="C38" s="54"/>
      <c r="D38" s="58"/>
    </row>
    <row r="39" spans="1:4" ht="13.8" x14ac:dyDescent="0.25">
      <c r="A39" s="139" t="s">
        <v>0</v>
      </c>
      <c r="C39" s="54"/>
      <c r="D39" s="58"/>
    </row>
    <row r="40" spans="1:4" ht="13.8" x14ac:dyDescent="0.25">
      <c r="A40" s="386"/>
      <c r="C40" s="54"/>
      <c r="D40" s="54"/>
    </row>
    <row r="41" spans="1:4" ht="13.8" x14ac:dyDescent="0.25">
      <c r="A41" s="387"/>
      <c r="C41" s="388"/>
      <c r="D41" s="388"/>
    </row>
    <row r="42" spans="1:4" x14ac:dyDescent="0.25">
      <c r="A42" s="387"/>
      <c r="C42" s="383"/>
      <c r="D42" s="345"/>
    </row>
    <row r="43" spans="1:4" x14ac:dyDescent="0.25">
      <c r="A43" s="389"/>
      <c r="C43" s="383"/>
      <c r="D43" s="345"/>
    </row>
    <row r="44" spans="1:4" x14ac:dyDescent="0.25">
      <c r="A44" s="390" t="s">
        <v>0</v>
      </c>
      <c r="C44" s="383"/>
      <c r="D44" s="345"/>
    </row>
    <row r="45" spans="1:4" x14ac:dyDescent="0.25">
      <c r="A45" s="345" t="s">
        <v>0</v>
      </c>
      <c r="C45" s="383"/>
      <c r="D45" s="383"/>
    </row>
    <row r="49" ht="15.75" customHeight="1" x14ac:dyDescent="0.25"/>
    <row r="53" ht="16.5" customHeight="1" x14ac:dyDescent="0.25"/>
    <row r="57" ht="24" customHeight="1" x14ac:dyDescent="0.25"/>
    <row r="58" ht="24" customHeight="1" x14ac:dyDescent="0.25"/>
  </sheetData>
  <mergeCells count="7">
    <mergeCell ref="B20:D20"/>
    <mergeCell ref="A4:D4"/>
    <mergeCell ref="A8:B8"/>
    <mergeCell ref="A9:B9"/>
    <mergeCell ref="A10:B10"/>
    <mergeCell ref="A11:B11"/>
    <mergeCell ref="A13:D13"/>
  </mergeCells>
  <pageMargins left="0.25" right="0.25" top="0.75" bottom="0.75" header="0.3" footer="0.3"/>
  <pageSetup scale="56" orientation="portrait"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080DF-01D3-421A-96A3-72FC17B4D62B}">
  <sheetPr>
    <tabColor theme="4" tint="-0.249977111117893"/>
    <pageSetUpPr fitToPage="1"/>
  </sheetPr>
  <dimension ref="A1:P59"/>
  <sheetViews>
    <sheetView topLeftCell="A8" zoomScale="85" zoomScaleNormal="85" workbookViewId="0">
      <selection activeCell="B37" sqref="B37"/>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994</v>
      </c>
      <c r="B8" s="68"/>
      <c r="C8" s="69"/>
      <c r="D8" s="69"/>
    </row>
    <row r="9" spans="1:16" s="4" customFormat="1" ht="19.2" x14ac:dyDescent="0.45">
      <c r="A9" s="67" t="s">
        <v>995</v>
      </c>
      <c r="B9" s="68"/>
      <c r="C9" s="69"/>
      <c r="D9" s="69"/>
    </row>
    <row r="10" spans="1:16" s="4" customFormat="1" ht="19.2" x14ac:dyDescent="0.45">
      <c r="A10" s="67" t="s">
        <v>996</v>
      </c>
      <c r="B10" s="68"/>
      <c r="C10" s="69"/>
      <c r="D10" s="69"/>
    </row>
    <row r="11" spans="1:16" s="4" customFormat="1" ht="19.2" x14ac:dyDescent="0.45">
      <c r="A11" s="67" t="s">
        <v>997</v>
      </c>
      <c r="B11" s="68"/>
      <c r="C11" s="70"/>
      <c r="D11" s="69"/>
    </row>
    <row r="12" spans="1:16" s="4" customFormat="1" ht="15" customHeight="1" x14ac:dyDescent="0.45">
      <c r="A12" s="67" t="s">
        <v>38</v>
      </c>
      <c r="B12" s="68"/>
      <c r="C12" s="70"/>
      <c r="D12" s="69"/>
    </row>
    <row r="13" spans="1:16" s="4" customFormat="1" ht="15" customHeight="1" x14ac:dyDescent="0.45">
      <c r="A13" s="71" t="s">
        <v>989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990</v>
      </c>
      <c r="C16" s="688">
        <f>81300</f>
        <v>81300</v>
      </c>
      <c r="D16" s="689">
        <f>A16*C16</f>
        <v>81300</v>
      </c>
      <c r="N16" s="23"/>
      <c r="O16" s="23"/>
      <c r="P16" s="23"/>
    </row>
    <row r="17" spans="1:16" s="23" customFormat="1" ht="45" x14ac:dyDescent="0.25">
      <c r="A17" s="103">
        <v>1</v>
      </c>
      <c r="B17" s="104" t="s">
        <v>991</v>
      </c>
      <c r="C17" s="688">
        <f>81300</f>
        <v>81300</v>
      </c>
      <c r="D17" s="689">
        <f>A17*C17</f>
        <v>81300</v>
      </c>
      <c r="E17" s="1"/>
      <c r="F17" s="1"/>
      <c r="G17" s="1"/>
      <c r="H17" s="1"/>
      <c r="I17" s="1"/>
      <c r="J17" s="1"/>
      <c r="K17" s="1"/>
      <c r="L17" s="1"/>
      <c r="M17" s="1"/>
    </row>
    <row r="18" spans="1:16" s="23" customFormat="1" ht="15.6" x14ac:dyDescent="0.25">
      <c r="A18" s="103">
        <v>5</v>
      </c>
      <c r="B18" s="104" t="s">
        <v>154</v>
      </c>
      <c r="C18" s="690">
        <f>1950*1.35</f>
        <v>2632.5</v>
      </c>
      <c r="D18" s="689">
        <f t="shared" ref="D18:D20" si="0">A18*C18</f>
        <v>13162.5</v>
      </c>
      <c r="E18" s="1"/>
      <c r="F18" s="1"/>
      <c r="G18" s="1"/>
      <c r="H18" s="1"/>
      <c r="I18" s="1"/>
      <c r="J18" s="1"/>
      <c r="K18" s="1"/>
      <c r="L18" s="1"/>
      <c r="M18" s="1"/>
    </row>
    <row r="19" spans="1:16" s="23" customFormat="1" ht="15.6" x14ac:dyDescent="0.25">
      <c r="A19" s="103">
        <v>1</v>
      </c>
      <c r="B19" s="104" t="s">
        <v>379</v>
      </c>
      <c r="C19" s="690">
        <v>8500</v>
      </c>
      <c r="D19" s="689">
        <f t="shared" si="0"/>
        <v>8500</v>
      </c>
      <c r="E19" s="1"/>
      <c r="F19" s="1"/>
      <c r="G19" s="1"/>
      <c r="H19" s="1"/>
      <c r="I19" s="1"/>
      <c r="J19" s="1"/>
      <c r="K19" s="1"/>
      <c r="L19" s="1"/>
      <c r="M19" s="1"/>
    </row>
    <row r="20" spans="1:16" s="23" customFormat="1" ht="20.399999999999999" customHeight="1" x14ac:dyDescent="0.25">
      <c r="A20" s="103">
        <v>1</v>
      </c>
      <c r="B20" s="167" t="s">
        <v>992</v>
      </c>
      <c r="C20" s="690">
        <v>4200</v>
      </c>
      <c r="D20" s="180">
        <f t="shared" si="0"/>
        <v>4200</v>
      </c>
      <c r="E20" s="1"/>
      <c r="F20" s="1"/>
      <c r="G20" s="1"/>
      <c r="H20" s="1"/>
      <c r="I20" s="1"/>
      <c r="J20" s="1"/>
      <c r="K20" s="1"/>
      <c r="L20" s="1"/>
      <c r="M20" s="1"/>
      <c r="O20" s="1"/>
      <c r="P20" s="1"/>
    </row>
    <row r="21" spans="1:16" ht="15.6" x14ac:dyDescent="0.3">
      <c r="A21" s="516"/>
      <c r="B21" s="706" t="s">
        <v>998</v>
      </c>
      <c r="C21" s="86" t="s">
        <v>49</v>
      </c>
      <c r="D21" s="87">
        <f>SUM(D16:D20)</f>
        <v>188462.5</v>
      </c>
    </row>
    <row r="22" spans="1:16" ht="15.6" x14ac:dyDescent="0.3">
      <c r="A22" s="516"/>
      <c r="B22" s="706" t="s">
        <v>999</v>
      </c>
      <c r="C22" s="90" t="s">
        <v>51</v>
      </c>
      <c r="D22" s="87">
        <f>D21*0.16</f>
        <v>30154</v>
      </c>
    </row>
    <row r="23" spans="1:16" ht="16.2" thickBot="1" x14ac:dyDescent="0.3">
      <c r="A23" s="516"/>
      <c r="B23" s="707" t="s">
        <v>1000</v>
      </c>
      <c r="C23" s="90" t="s">
        <v>52</v>
      </c>
      <c r="D23" s="87">
        <f>SUM(D21:D22)</f>
        <v>218616.5</v>
      </c>
      <c r="O23" s="88"/>
      <c r="P23" s="88"/>
    </row>
    <row r="24" spans="1:16" s="88" customFormat="1" ht="16.2" thickBot="1" x14ac:dyDescent="0.3">
      <c r="A24" s="116"/>
      <c r="B24" s="186" t="s">
        <v>993</v>
      </c>
      <c r="C24" s="36"/>
      <c r="D24" s="37"/>
      <c r="E24" s="1"/>
      <c r="F24" s="1"/>
      <c r="G24" s="1"/>
      <c r="H24" s="1"/>
      <c r="I24" s="1"/>
      <c r="J24" s="1"/>
      <c r="K24" s="1"/>
      <c r="L24" s="1"/>
      <c r="M24" s="1"/>
      <c r="N24" s="1"/>
      <c r="O24" s="1"/>
      <c r="P24" s="1"/>
    </row>
    <row r="25" spans="1:16" ht="13.8" x14ac:dyDescent="0.25">
      <c r="A25" s="34"/>
      <c r="B25" s="120" t="s">
        <v>15</v>
      </c>
      <c r="C25" s="121"/>
      <c r="D25" s="122"/>
    </row>
    <row r="26" spans="1:16" ht="15.6" x14ac:dyDescent="0.25">
      <c r="A26" s="34"/>
      <c r="B26" s="123"/>
      <c r="C26" s="1"/>
      <c r="D26" s="1"/>
    </row>
    <row r="27" spans="1:16" ht="13.8" x14ac:dyDescent="0.25">
      <c r="A27" s="34"/>
      <c r="B27" s="126" t="s">
        <v>17</v>
      </c>
      <c r="C27" s="1"/>
      <c r="D27" s="1"/>
    </row>
    <row r="28" spans="1:16" ht="15" x14ac:dyDescent="0.25">
      <c r="A28" s="62"/>
      <c r="B28" s="127" t="s">
        <v>19</v>
      </c>
      <c r="C28" s="1"/>
      <c r="D28" s="1"/>
    </row>
    <row r="29" spans="1:16" ht="15" x14ac:dyDescent="0.25">
      <c r="A29" s="62"/>
      <c r="B29" s="129" t="s">
        <v>60</v>
      </c>
      <c r="C29" s="1"/>
      <c r="D29" s="1"/>
    </row>
    <row r="30" spans="1:16" ht="15" x14ac:dyDescent="0.25">
      <c r="A30" s="62"/>
      <c r="B30" s="130" t="s">
        <v>23</v>
      </c>
      <c r="C30" s="13"/>
      <c r="D30" s="1"/>
    </row>
    <row r="31" spans="1:16" ht="27.6" x14ac:dyDescent="0.25">
      <c r="A31" s="62"/>
      <c r="B31" s="132" t="s">
        <v>62</v>
      </c>
      <c r="C31" s="13"/>
      <c r="D31" s="1"/>
    </row>
    <row r="32" spans="1:16" ht="15" x14ac:dyDescent="0.25">
      <c r="A32" s="62"/>
      <c r="B32" s="130" t="s">
        <v>26</v>
      </c>
      <c r="C32" s="13"/>
      <c r="D32" s="1"/>
    </row>
    <row r="33" spans="1:4" ht="15" x14ac:dyDescent="0.25">
      <c r="A33" s="62"/>
      <c r="B33" s="333" t="s">
        <v>961</v>
      </c>
      <c r="C33" s="13"/>
      <c r="D33" s="1"/>
    </row>
    <row r="34" spans="1:4" ht="15" x14ac:dyDescent="0.25">
      <c r="A34" s="62"/>
      <c r="B34" s="334" t="s">
        <v>28</v>
      </c>
      <c r="C34" s="1"/>
      <c r="D34" s="1"/>
    </row>
    <row r="35" spans="1:4" ht="15" x14ac:dyDescent="0.25">
      <c r="A35" s="62"/>
      <c r="B35" s="130" t="s">
        <v>29</v>
      </c>
      <c r="C35" s="1"/>
      <c r="D35" s="1"/>
    </row>
    <row r="36" spans="1:4" ht="13.8" x14ac:dyDescent="0.25">
      <c r="B36" s="138" t="s">
        <v>1001</v>
      </c>
      <c r="C36" s="133"/>
      <c r="D36" s="134"/>
    </row>
    <row r="37" spans="1:4" ht="15" x14ac:dyDescent="0.25">
      <c r="A37" s="62"/>
      <c r="B37" s="127" t="s">
        <v>31</v>
      </c>
      <c r="C37" s="54"/>
      <c r="D37" s="58"/>
    </row>
    <row r="38" spans="1:4" ht="15" x14ac:dyDescent="0.25">
      <c r="A38" s="62"/>
      <c r="B38" s="127" t="s">
        <v>32</v>
      </c>
      <c r="C38" s="54"/>
    </row>
    <row r="39" spans="1:4" ht="50.4" x14ac:dyDescent="0.4">
      <c r="A39" s="139" t="s">
        <v>0</v>
      </c>
      <c r="B39" s="140" t="s">
        <v>65</v>
      </c>
      <c r="C39" s="141"/>
      <c r="D39" s="1"/>
    </row>
    <row r="40" spans="1:4" x14ac:dyDescent="0.25">
      <c r="A40" s="142"/>
      <c r="B40" s="64"/>
      <c r="C40" s="64"/>
      <c r="D40" s="1"/>
    </row>
    <row r="41" spans="1:4" x14ac:dyDescent="0.25">
      <c r="A41" s="142"/>
      <c r="B41" s="64"/>
      <c r="C41" s="64"/>
      <c r="D41" s="1"/>
    </row>
    <row r="42" spans="1:4" x14ac:dyDescent="0.25">
      <c r="A42" s="142"/>
      <c r="B42" s="143"/>
      <c r="C42" s="64"/>
      <c r="D42" s="1"/>
    </row>
    <row r="43" spans="1:4" ht="15" x14ac:dyDescent="0.35">
      <c r="A43" s="144"/>
      <c r="B43" s="145"/>
      <c r="C43" s="64"/>
      <c r="D43" s="64"/>
    </row>
    <row r="44" spans="1:4" x14ac:dyDescent="0.25">
      <c r="A44" s="146" t="s">
        <v>0</v>
      </c>
    </row>
    <row r="45" spans="1:4" x14ac:dyDescent="0.25">
      <c r="A45"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0" fitToWidth="0" orientation="portrait" r:id="rId1"/>
  <headerFooter alignWithMargins="0">
    <oddFooter>Página &amp;P de &amp;N</odd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D18D0-0962-4EAF-9AAB-CBA5FA08C0BF}">
  <sheetPr>
    <pageSetUpPr fitToPage="1"/>
  </sheetPr>
  <dimension ref="A1:E58"/>
  <sheetViews>
    <sheetView topLeftCell="A3" zoomScaleNormal="100" workbookViewId="0">
      <selection activeCell="A8" sqref="A8:B11"/>
    </sheetView>
  </sheetViews>
  <sheetFormatPr baseColWidth="10" defaultColWidth="11.44140625" defaultRowHeight="13.2" x14ac:dyDescent="0.25"/>
  <cols>
    <col min="1" max="1" width="6" style="345" customWidth="1"/>
    <col min="2" max="2" width="109.109375" style="345" customWidth="1"/>
    <col min="3" max="3" width="15.88671875" style="347" customWidth="1"/>
    <col min="4" max="4" width="15.44140625" style="347" customWidth="1"/>
    <col min="5" max="16384" width="11.44140625" style="345"/>
  </cols>
  <sheetData>
    <row r="1" spans="1:5" ht="81" customHeight="1" x14ac:dyDescent="0.25">
      <c r="A1" s="345" t="s">
        <v>0</v>
      </c>
      <c r="C1" s="346"/>
    </row>
    <row r="2" spans="1:5" ht="9" customHeight="1" x14ac:dyDescent="0.25">
      <c r="C2" s="346"/>
    </row>
    <row r="3" spans="1:5" ht="9" customHeight="1" x14ac:dyDescent="0.25">
      <c r="C3" s="346"/>
    </row>
    <row r="4" spans="1:5" s="348" customFormat="1" ht="16.8" x14ac:dyDescent="0.4">
      <c r="A4" s="777"/>
      <c r="B4" s="777"/>
      <c r="C4" s="777"/>
      <c r="D4" s="777"/>
    </row>
    <row r="5" spans="1:5" s="348" customFormat="1" ht="16.8" x14ac:dyDescent="0.4">
      <c r="A5" s="349"/>
      <c r="C5" s="350"/>
      <c r="D5" s="350"/>
    </row>
    <row r="6" spans="1:5" s="348" customFormat="1" ht="16.8" x14ac:dyDescent="0.4">
      <c r="A6" s="349"/>
      <c r="C6" s="350"/>
      <c r="D6" s="350"/>
    </row>
    <row r="7" spans="1:5" s="348" customFormat="1" ht="16.8" x14ac:dyDescent="0.4">
      <c r="A7" s="349"/>
      <c r="C7" s="350"/>
      <c r="D7" s="350"/>
    </row>
    <row r="8" spans="1:5" s="348" customFormat="1" ht="16.8" x14ac:dyDescent="0.4">
      <c r="A8" s="749" t="s">
        <v>970</v>
      </c>
      <c r="B8" s="750"/>
      <c r="C8" s="6"/>
      <c r="D8" s="6"/>
    </row>
    <row r="9" spans="1:5" s="348" customFormat="1" ht="16.8" x14ac:dyDescent="0.4">
      <c r="A9" s="749" t="s">
        <v>971</v>
      </c>
      <c r="B9" s="750"/>
      <c r="C9" s="6"/>
      <c r="D9" s="6"/>
    </row>
    <row r="10" spans="1:5" s="348" customFormat="1" ht="16.8" x14ac:dyDescent="0.4">
      <c r="A10" s="749" t="s">
        <v>972</v>
      </c>
      <c r="B10" s="750"/>
      <c r="C10" s="6"/>
      <c r="D10" s="6"/>
    </row>
    <row r="11" spans="1:5" s="382" customFormat="1" ht="16.8" x14ac:dyDescent="0.4">
      <c r="A11" s="749" t="s">
        <v>973</v>
      </c>
      <c r="B11" s="750"/>
      <c r="C11" s="699"/>
      <c r="D11" s="700"/>
    </row>
    <row r="12" spans="1:5" s="348" customFormat="1" ht="15" customHeight="1" x14ac:dyDescent="0.4">
      <c r="A12" s="8" t="s">
        <v>974</v>
      </c>
      <c r="B12" s="9"/>
      <c r="C12" s="351"/>
      <c r="D12" s="352"/>
    </row>
    <row r="13" spans="1:5" s="348" customFormat="1" ht="16.8" x14ac:dyDescent="0.4">
      <c r="A13" s="778" t="s">
        <v>315</v>
      </c>
      <c r="B13" s="779"/>
      <c r="C13" s="780"/>
      <c r="D13" s="781"/>
    </row>
    <row r="14" spans="1:5" s="348" customFormat="1" ht="16.8" x14ac:dyDescent="0.4">
      <c r="A14" s="353" t="s">
        <v>7</v>
      </c>
      <c r="B14" s="353" t="s">
        <v>8</v>
      </c>
      <c r="C14" s="354" t="s">
        <v>9</v>
      </c>
      <c r="D14" s="354" t="s">
        <v>10</v>
      </c>
    </row>
    <row r="15" spans="1:5" s="358" customFormat="1" ht="13.8" x14ac:dyDescent="0.25">
      <c r="A15" s="355"/>
      <c r="B15" s="356"/>
      <c r="C15" s="357"/>
      <c r="D15" s="357"/>
    </row>
    <row r="16" spans="1:5" ht="30" x14ac:dyDescent="0.25">
      <c r="A16" s="359">
        <v>1</v>
      </c>
      <c r="B16" s="365" t="s">
        <v>1002</v>
      </c>
      <c r="C16" s="361">
        <f>(1274.98)*(18)*(1.25)</f>
        <v>28687.05</v>
      </c>
      <c r="D16" s="362">
        <f>A16*C16</f>
        <v>28687.05</v>
      </c>
      <c r="E16" s="363"/>
    </row>
    <row r="17" spans="1:5" ht="18.75" customHeight="1" x14ac:dyDescent="0.25">
      <c r="A17" s="368">
        <v>1</v>
      </c>
      <c r="B17" s="365" t="s">
        <v>1003</v>
      </c>
      <c r="C17" s="361">
        <f>(131.33)*(18)*(1.25)</f>
        <v>2954.9250000000002</v>
      </c>
      <c r="D17" s="362">
        <f>A17*C17</f>
        <v>2954.9250000000002</v>
      </c>
    </row>
    <row r="18" spans="1:5" ht="18.75" customHeight="1" x14ac:dyDescent="0.25">
      <c r="A18" s="370"/>
      <c r="B18" s="371"/>
      <c r="C18" s="372" t="s">
        <v>170</v>
      </c>
      <c r="D18" s="362">
        <f>SUM(D16:D17)</f>
        <v>31641.974999999999</v>
      </c>
    </row>
    <row r="19" spans="1:5" ht="18.75" customHeight="1" x14ac:dyDescent="0.3">
      <c r="A19" s="373"/>
      <c r="B19" s="374"/>
      <c r="C19" s="375" t="s">
        <v>319</v>
      </c>
      <c r="D19" s="362">
        <f>D18*0.16</f>
        <v>5062.7159999999994</v>
      </c>
    </row>
    <row r="20" spans="1:5" ht="18.75" customHeight="1" x14ac:dyDescent="0.3">
      <c r="A20" s="373"/>
      <c r="B20" s="374"/>
      <c r="C20" s="375" t="s">
        <v>14</v>
      </c>
      <c r="D20" s="367">
        <f>D18+D19</f>
        <v>36704.690999999999</v>
      </c>
      <c r="E20" s="363"/>
    </row>
    <row r="21" spans="1:5" ht="15.75" customHeight="1" x14ac:dyDescent="0.25">
      <c r="A21" s="373"/>
      <c r="B21" s="782" t="s">
        <v>1004</v>
      </c>
      <c r="C21" s="783"/>
      <c r="D21" s="784"/>
    </row>
    <row r="22" spans="1:5" s="380" customFormat="1" ht="13.8" x14ac:dyDescent="0.25">
      <c r="A22" s="345"/>
      <c r="B22" s="376" t="s">
        <v>15</v>
      </c>
      <c r="C22" s="377"/>
      <c r="D22" s="378"/>
    </row>
    <row r="23" spans="1:5" s="380" customFormat="1" ht="15.75" customHeight="1" x14ac:dyDescent="0.25">
      <c r="A23" s="708"/>
      <c r="B23" s="344" t="s">
        <v>976</v>
      </c>
      <c r="C23" s="363"/>
    </row>
    <row r="24" spans="1:5" ht="13.5" customHeight="1" x14ac:dyDescent="0.25">
      <c r="A24" s="709"/>
      <c r="B24" s="135" t="s">
        <v>17</v>
      </c>
      <c r="C24" s="380"/>
      <c r="D24" s="380"/>
    </row>
    <row r="25" spans="1:5" ht="13.5" customHeight="1" x14ac:dyDescent="0.25">
      <c r="A25" s="710"/>
      <c r="B25" s="191" t="s">
        <v>493</v>
      </c>
      <c r="C25" s="345"/>
      <c r="D25" s="345"/>
    </row>
    <row r="26" spans="1:5" ht="13.5" customHeight="1" x14ac:dyDescent="0.25">
      <c r="A26" s="710"/>
      <c r="B26" s="191" t="s">
        <v>21</v>
      </c>
      <c r="C26" s="345"/>
      <c r="D26" s="345"/>
    </row>
    <row r="27" spans="1:5" ht="13.5" customHeight="1" x14ac:dyDescent="0.25">
      <c r="A27" s="710"/>
      <c r="B27" s="191" t="s">
        <v>60</v>
      </c>
      <c r="C27" s="345"/>
      <c r="D27" s="345"/>
    </row>
    <row r="28" spans="1:5" ht="13.5" customHeight="1" x14ac:dyDescent="0.25">
      <c r="A28" s="288"/>
      <c r="B28" s="135" t="s">
        <v>26</v>
      </c>
      <c r="C28" s="3"/>
      <c r="D28" s="56"/>
    </row>
    <row r="29" spans="1:5" ht="13.5" customHeight="1" x14ac:dyDescent="0.25">
      <c r="A29" s="288"/>
      <c r="B29" s="189" t="s">
        <v>28</v>
      </c>
      <c r="C29" s="3"/>
      <c r="D29" s="56"/>
    </row>
    <row r="30" spans="1:5" ht="13.8" x14ac:dyDescent="0.25">
      <c r="A30" s="88"/>
      <c r="B30" s="135" t="s">
        <v>29</v>
      </c>
      <c r="C30" s="3"/>
      <c r="D30" s="56"/>
    </row>
    <row r="31" spans="1:5" ht="15" x14ac:dyDescent="0.25">
      <c r="A31" s="288"/>
      <c r="B31" s="190" t="s">
        <v>1005</v>
      </c>
      <c r="C31" s="3"/>
      <c r="D31" s="3"/>
    </row>
    <row r="32" spans="1:5" ht="15" x14ac:dyDescent="0.25">
      <c r="A32" s="288"/>
      <c r="B32" s="191" t="s">
        <v>31</v>
      </c>
      <c r="C32" s="3"/>
      <c r="D32" s="3"/>
    </row>
    <row r="33" spans="1:4" ht="15" x14ac:dyDescent="0.25">
      <c r="A33" s="288"/>
      <c r="B33" s="191" t="s">
        <v>32</v>
      </c>
      <c r="C33" s="54"/>
      <c r="D33" s="58"/>
    </row>
    <row r="34" spans="1:4" ht="33.6" x14ac:dyDescent="0.25">
      <c r="A34" s="288"/>
      <c r="B34" s="193" t="s">
        <v>33</v>
      </c>
      <c r="C34" s="54"/>
      <c r="D34" s="58"/>
    </row>
    <row r="35" spans="1:4" ht="16.8" x14ac:dyDescent="0.4">
      <c r="A35" s="62"/>
      <c r="B35" s="382"/>
      <c r="C35" s="54"/>
      <c r="D35" s="54"/>
    </row>
    <row r="36" spans="1:4" ht="13.8" x14ac:dyDescent="0.25">
      <c r="A36" s="1"/>
      <c r="B36" s="383"/>
      <c r="C36" s="54"/>
      <c r="D36" s="54"/>
    </row>
    <row r="37" spans="1:4" ht="15" x14ac:dyDescent="0.25">
      <c r="A37" s="62"/>
      <c r="B37" s="383"/>
      <c r="C37" s="3"/>
      <c r="D37" s="56"/>
    </row>
    <row r="38" spans="1:4" ht="15" x14ac:dyDescent="0.25">
      <c r="A38" s="62"/>
      <c r="B38" s="384"/>
      <c r="C38" s="54"/>
      <c r="D38" s="58"/>
    </row>
    <row r="39" spans="1:4" ht="16.2" x14ac:dyDescent="0.35">
      <c r="A39" s="62"/>
      <c r="B39" s="385"/>
      <c r="C39" s="54"/>
      <c r="D39" s="58"/>
    </row>
    <row r="40" spans="1:4" ht="13.8" x14ac:dyDescent="0.25">
      <c r="A40" s="139" t="s">
        <v>0</v>
      </c>
      <c r="C40" s="54"/>
      <c r="D40" s="58"/>
    </row>
    <row r="41" spans="1:4" ht="13.8" x14ac:dyDescent="0.25">
      <c r="A41" s="386"/>
      <c r="C41" s="54"/>
      <c r="D41" s="54"/>
    </row>
    <row r="42" spans="1:4" ht="13.8" x14ac:dyDescent="0.25">
      <c r="A42" s="387"/>
      <c r="C42" s="388"/>
      <c r="D42" s="388"/>
    </row>
    <row r="43" spans="1:4" x14ac:dyDescent="0.25">
      <c r="A43" s="387"/>
      <c r="C43" s="383"/>
      <c r="D43" s="345"/>
    </row>
    <row r="44" spans="1:4" x14ac:dyDescent="0.25">
      <c r="A44" s="389"/>
      <c r="C44" s="383"/>
      <c r="D44" s="345"/>
    </row>
    <row r="45" spans="1:4" x14ac:dyDescent="0.25">
      <c r="A45" s="390" t="s">
        <v>0</v>
      </c>
      <c r="C45" s="383"/>
      <c r="D45" s="345"/>
    </row>
    <row r="46" spans="1:4" x14ac:dyDescent="0.25">
      <c r="A46" s="345" t="s">
        <v>0</v>
      </c>
      <c r="C46" s="383"/>
      <c r="D46" s="383"/>
    </row>
    <row r="49" ht="15.75" customHeight="1" x14ac:dyDescent="0.25"/>
    <row r="53" ht="16.5" customHeight="1" x14ac:dyDescent="0.25"/>
    <row r="57" ht="24" customHeight="1" x14ac:dyDescent="0.25"/>
    <row r="58" ht="24" customHeight="1" x14ac:dyDescent="0.25"/>
  </sheetData>
  <mergeCells count="7">
    <mergeCell ref="B21:D21"/>
    <mergeCell ref="A4:D4"/>
    <mergeCell ref="A8:B8"/>
    <mergeCell ref="A9:B9"/>
    <mergeCell ref="A10:B10"/>
    <mergeCell ref="A11:B11"/>
    <mergeCell ref="A13:D13"/>
  </mergeCells>
  <pageMargins left="0.25" right="0.25" top="0.75" bottom="0.75" header="0.3" footer="0.3"/>
  <pageSetup scale="64" orientation="portrait"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52CA9-9333-4E39-90F6-9C94B0BDF2AD}">
  <sheetPr>
    <tabColor theme="4" tint="-0.249977111117893"/>
    <pageSetUpPr fitToPage="1"/>
  </sheetPr>
  <dimension ref="A1:G65"/>
  <sheetViews>
    <sheetView topLeftCell="A20" zoomScaleNormal="100" workbookViewId="0">
      <selection activeCell="B29" sqref="B29:D29"/>
    </sheetView>
  </sheetViews>
  <sheetFormatPr baseColWidth="10" defaultColWidth="11.44140625" defaultRowHeight="13.2" x14ac:dyDescent="0.25"/>
  <cols>
    <col min="1" max="1" width="6" style="1" customWidth="1"/>
    <col min="2" max="2" width="92.109375" style="1" customWidth="1"/>
    <col min="3" max="3" width="12.6640625" style="3" customWidth="1"/>
    <col min="4" max="4" width="14.5546875"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9.2" x14ac:dyDescent="0.45">
      <c r="A8" s="67" t="s">
        <v>1025</v>
      </c>
      <c r="B8" s="68"/>
      <c r="C8" s="69"/>
      <c r="D8" s="69"/>
    </row>
    <row r="9" spans="1:7" s="4" customFormat="1" ht="19.2" x14ac:dyDescent="0.45">
      <c r="A9" s="67" t="s">
        <v>1024</v>
      </c>
      <c r="B9" s="68"/>
      <c r="C9" s="69"/>
      <c r="D9" s="69"/>
    </row>
    <row r="10" spans="1:7" s="4" customFormat="1" ht="19.2" x14ac:dyDescent="0.45">
      <c r="A10" s="67" t="s">
        <v>1023</v>
      </c>
      <c r="B10" s="68"/>
      <c r="C10" s="69"/>
      <c r="D10" s="69"/>
    </row>
    <row r="11" spans="1:7" s="4" customFormat="1" ht="19.2" x14ac:dyDescent="0.45">
      <c r="A11" s="67" t="s">
        <v>271</v>
      </c>
      <c r="B11" s="68"/>
      <c r="C11" s="70"/>
      <c r="D11" s="69"/>
    </row>
    <row r="12" spans="1:7" s="4" customFormat="1" ht="15" customHeight="1" x14ac:dyDescent="0.45">
      <c r="A12" s="67" t="s">
        <v>294</v>
      </c>
      <c r="B12" s="68"/>
      <c r="C12" s="70"/>
      <c r="D12" s="69"/>
    </row>
    <row r="13" spans="1:7" s="4" customFormat="1" ht="15" customHeight="1" x14ac:dyDescent="0.45">
      <c r="A13" s="67" t="s">
        <v>38</v>
      </c>
      <c r="B13" s="72"/>
      <c r="C13" s="73"/>
      <c r="D13" s="74"/>
    </row>
    <row r="14" spans="1:7" s="4" customFormat="1" ht="15" customHeight="1" x14ac:dyDescent="0.45">
      <c r="A14" s="71" t="s">
        <v>1022</v>
      </c>
      <c r="B14" s="72"/>
      <c r="C14" s="73"/>
      <c r="D14" s="74"/>
      <c r="E14" s="10"/>
      <c r="F14" s="10"/>
      <c r="G14" s="10"/>
    </row>
    <row r="15" spans="1:7" s="10" customFormat="1" ht="19.2" x14ac:dyDescent="0.25">
      <c r="A15" s="758" t="s">
        <v>40</v>
      </c>
      <c r="B15" s="759"/>
      <c r="C15" s="760"/>
      <c r="D15" s="761"/>
      <c r="E15" s="1"/>
      <c r="F15" s="1"/>
      <c r="G15" s="1"/>
    </row>
    <row r="16" spans="1:7" x14ac:dyDescent="0.25">
      <c r="A16" s="197"/>
      <c r="B16" s="198"/>
      <c r="C16" s="199"/>
      <c r="D16" s="199"/>
      <c r="E16" s="17"/>
      <c r="F16" s="23"/>
      <c r="G16" s="23"/>
    </row>
    <row r="17" spans="1:7" s="23" customFormat="1" ht="54" customHeight="1" x14ac:dyDescent="0.25">
      <c r="A17" s="200">
        <v>1</v>
      </c>
      <c r="B17" s="220" t="s">
        <v>1021</v>
      </c>
      <c r="C17" s="218">
        <f>((161000+5500+3602+3902+4000+1000+1000+5000)*1.3)+40000</f>
        <v>280505.2</v>
      </c>
      <c r="D17" s="219">
        <f t="shared" ref="D17:D23" si="0">A17*C17</f>
        <v>280505.2</v>
      </c>
      <c r="E17" s="17"/>
      <c r="F17" s="1"/>
      <c r="G17" s="1"/>
    </row>
    <row r="18" spans="1:7" ht="91.5" customHeight="1" x14ac:dyDescent="0.25">
      <c r="A18" s="200">
        <v>4</v>
      </c>
      <c r="B18" s="220" t="s">
        <v>1020</v>
      </c>
      <c r="C18" s="218">
        <f>(23759*1.3)+15000</f>
        <v>45886.7</v>
      </c>
      <c r="D18" s="219">
        <f t="shared" si="0"/>
        <v>183546.8</v>
      </c>
      <c r="E18" s="13"/>
    </row>
    <row r="19" spans="1:7" ht="52.5" customHeight="1" x14ac:dyDescent="0.25">
      <c r="A19" s="200">
        <v>1</v>
      </c>
      <c r="B19" s="220" t="s">
        <v>1019</v>
      </c>
      <c r="C19" s="218">
        <f>(69787*1.3)+20000</f>
        <v>110723.1</v>
      </c>
      <c r="D19" s="219">
        <f t="shared" si="0"/>
        <v>110723.1</v>
      </c>
      <c r="E19" s="13"/>
    </row>
    <row r="20" spans="1:7" ht="13.5" customHeight="1" x14ac:dyDescent="0.25">
      <c r="A20" s="200">
        <v>1</v>
      </c>
      <c r="B20" s="714" t="s">
        <v>1018</v>
      </c>
      <c r="C20" s="218">
        <v>35000</v>
      </c>
      <c r="D20" s="219">
        <f t="shared" si="0"/>
        <v>35000</v>
      </c>
      <c r="E20" s="13"/>
    </row>
    <row r="21" spans="1:7" ht="13.5" customHeight="1" x14ac:dyDescent="0.25">
      <c r="A21" s="200">
        <v>1</v>
      </c>
      <c r="B21" s="714" t="s">
        <v>1017</v>
      </c>
      <c r="C21" s="218">
        <v>3500</v>
      </c>
      <c r="D21" s="219">
        <f t="shared" si="0"/>
        <v>3500</v>
      </c>
      <c r="E21" s="13"/>
    </row>
    <row r="22" spans="1:7" ht="13.5" customHeight="1" x14ac:dyDescent="0.25">
      <c r="A22" s="200">
        <v>1</v>
      </c>
      <c r="B22" s="714" t="s">
        <v>1016</v>
      </c>
      <c r="C22" s="218">
        <v>12000</v>
      </c>
      <c r="D22" s="219">
        <f t="shared" si="0"/>
        <v>12000</v>
      </c>
      <c r="E22" s="13"/>
    </row>
    <row r="23" spans="1:7" ht="13.5" customHeight="1" x14ac:dyDescent="0.25">
      <c r="A23" s="200">
        <v>1</v>
      </c>
      <c r="B23" s="714" t="s">
        <v>1015</v>
      </c>
      <c r="C23" s="218">
        <v>11000</v>
      </c>
      <c r="D23" s="219">
        <f t="shared" si="0"/>
        <v>11000</v>
      </c>
      <c r="E23" s="13"/>
    </row>
    <row r="24" spans="1:7" ht="13.5" customHeight="1" x14ac:dyDescent="0.25">
      <c r="A24" s="200"/>
      <c r="B24" s="713" t="s">
        <v>1014</v>
      </c>
      <c r="C24" s="218"/>
      <c r="D24" s="219"/>
      <c r="E24" s="13"/>
    </row>
    <row r="25" spans="1:7" x14ac:dyDescent="0.25">
      <c r="A25" s="204"/>
      <c r="B25" s="341"/>
      <c r="C25" s="342"/>
      <c r="D25" s="210"/>
      <c r="E25" s="13"/>
    </row>
    <row r="26" spans="1:7" x14ac:dyDescent="0.25">
      <c r="A26" s="712"/>
      <c r="B26" s="712"/>
      <c r="C26" s="209" t="s">
        <v>49</v>
      </c>
      <c r="D26" s="210">
        <f>SUM(D16:D25)</f>
        <v>636275.1</v>
      </c>
      <c r="E26" s="13"/>
    </row>
    <row r="27" spans="1:7" x14ac:dyDescent="0.25">
      <c r="A27" s="208"/>
      <c r="B27" s="208"/>
      <c r="C27" s="209" t="s">
        <v>128</v>
      </c>
      <c r="D27" s="210">
        <f>D26*0.16</f>
        <v>101804.016</v>
      </c>
      <c r="E27" s="13"/>
    </row>
    <row r="28" spans="1:7" ht="13.8" thickBot="1" x14ac:dyDescent="0.3">
      <c r="A28" s="208"/>
      <c r="B28" s="208"/>
      <c r="C28" s="211" t="s">
        <v>77</v>
      </c>
      <c r="D28" s="207">
        <f>D26+D27</f>
        <v>738079.11599999992</v>
      </c>
      <c r="E28" s="13"/>
    </row>
    <row r="29" spans="1:7" ht="13.8" thickBot="1" x14ac:dyDescent="0.3">
      <c r="A29" s="34"/>
      <c r="B29" s="762" t="s">
        <v>1013</v>
      </c>
      <c r="C29" s="763"/>
      <c r="D29" s="764"/>
    </row>
    <row r="30" spans="1:7" x14ac:dyDescent="0.25">
      <c r="A30" s="34"/>
      <c r="B30" s="117"/>
      <c r="C30" s="163"/>
      <c r="D30" s="164"/>
    </row>
    <row r="31" spans="1:7" ht="13.8" x14ac:dyDescent="0.25">
      <c r="A31" s="34"/>
      <c r="B31" s="126" t="s">
        <v>15</v>
      </c>
      <c r="C31" s="165"/>
      <c r="D31" s="56"/>
    </row>
    <row r="32" spans="1:7" ht="33.75" customHeight="1" x14ac:dyDescent="0.25">
      <c r="A32" s="34"/>
      <c r="B32" s="711" t="s">
        <v>16</v>
      </c>
      <c r="C32" s="165"/>
      <c r="D32" s="56"/>
    </row>
    <row r="33" spans="1:5" ht="26.25" customHeight="1" x14ac:dyDescent="0.25">
      <c r="A33" s="34"/>
      <c r="B33" s="711" t="s">
        <v>1012</v>
      </c>
      <c r="C33" s="165"/>
      <c r="D33" s="56"/>
    </row>
    <row r="34" spans="1:5" ht="17.25" customHeight="1" x14ac:dyDescent="0.25">
      <c r="A34" s="62"/>
      <c r="B34" s="126" t="s">
        <v>17</v>
      </c>
      <c r="D34" s="56"/>
    </row>
    <row r="35" spans="1:5" ht="15" x14ac:dyDescent="0.25">
      <c r="A35" s="62"/>
      <c r="B35" s="213" t="s">
        <v>304</v>
      </c>
      <c r="D35" s="56"/>
    </row>
    <row r="36" spans="1:5" ht="13.5" customHeight="1" x14ac:dyDescent="0.25">
      <c r="A36" s="62"/>
      <c r="B36" s="213" t="s">
        <v>21</v>
      </c>
      <c r="D36" s="56"/>
    </row>
    <row r="37" spans="1:5" ht="15" x14ac:dyDescent="0.25">
      <c r="A37" s="62"/>
      <c r="B37" s="213" t="s">
        <v>60</v>
      </c>
      <c r="D37" s="56"/>
    </row>
    <row r="38" spans="1:5" ht="13.8" x14ac:dyDescent="0.25">
      <c r="B38" s="135" t="s">
        <v>23</v>
      </c>
    </row>
    <row r="39" spans="1:5" ht="15" x14ac:dyDescent="0.25">
      <c r="A39" s="62"/>
      <c r="B39" s="214" t="s">
        <v>24</v>
      </c>
      <c r="E39" s="13"/>
    </row>
    <row r="40" spans="1:5" ht="41.4" x14ac:dyDescent="0.25">
      <c r="A40" s="62"/>
      <c r="B40" s="214" t="s">
        <v>204</v>
      </c>
      <c r="C40" s="54"/>
      <c r="D40" s="58"/>
      <c r="E40" s="13"/>
    </row>
    <row r="41" spans="1:5" ht="15" x14ac:dyDescent="0.25">
      <c r="A41" s="62"/>
      <c r="B41" s="135" t="s">
        <v>26</v>
      </c>
      <c r="C41" s="54"/>
      <c r="D41" s="58"/>
    </row>
    <row r="42" spans="1:5" ht="33.75" customHeight="1" x14ac:dyDescent="0.25">
      <c r="A42" s="62"/>
      <c r="B42" s="215" t="s">
        <v>1011</v>
      </c>
      <c r="C42" s="54"/>
      <c r="D42" s="54"/>
    </row>
    <row r="43" spans="1:5" ht="15" x14ac:dyDescent="0.25">
      <c r="A43" s="62"/>
      <c r="B43" s="139" t="s">
        <v>1010</v>
      </c>
      <c r="C43" s="54"/>
      <c r="D43" s="54"/>
    </row>
    <row r="44" spans="1:5" ht="15" x14ac:dyDescent="0.25">
      <c r="A44" s="62"/>
      <c r="B44" s="215" t="s">
        <v>28</v>
      </c>
      <c r="C44" s="54"/>
      <c r="D44" s="54"/>
    </row>
    <row r="45" spans="1:5" ht="13.8" x14ac:dyDescent="0.25">
      <c r="B45" s="135" t="s">
        <v>29</v>
      </c>
      <c r="D45" s="56"/>
    </row>
    <row r="46" spans="1:5" ht="15" x14ac:dyDescent="0.25">
      <c r="A46" s="62"/>
      <c r="B46" s="63" t="s">
        <v>306</v>
      </c>
      <c r="C46" s="54"/>
      <c r="D46" s="58"/>
    </row>
    <row r="47" spans="1:5" ht="15" x14ac:dyDescent="0.25">
      <c r="A47" s="62"/>
      <c r="B47" s="63" t="s">
        <v>31</v>
      </c>
      <c r="C47" s="54"/>
      <c r="D47" s="58"/>
    </row>
    <row r="48" spans="1:5" ht="13.8" x14ac:dyDescent="0.25">
      <c r="A48" s="139" t="s">
        <v>0</v>
      </c>
      <c r="B48" s="63" t="s">
        <v>32</v>
      </c>
      <c r="C48" s="54"/>
    </row>
    <row r="49" spans="1:4" ht="50.4" x14ac:dyDescent="0.4">
      <c r="A49" s="142"/>
      <c r="B49" s="217" t="s">
        <v>65</v>
      </c>
      <c r="C49" s="141"/>
      <c r="D49" s="1"/>
    </row>
    <row r="50" spans="1:4" x14ac:dyDescent="0.25">
      <c r="A50" s="142"/>
      <c r="B50" s="64"/>
      <c r="C50" s="64"/>
      <c r="D50" s="1"/>
    </row>
    <row r="51" spans="1:4" x14ac:dyDescent="0.25">
      <c r="A51" s="142"/>
      <c r="B51" s="64"/>
      <c r="C51" s="64"/>
      <c r="D51" s="1"/>
    </row>
    <row r="52" spans="1:4" x14ac:dyDescent="0.25">
      <c r="A52" s="144"/>
      <c r="B52" s="143"/>
      <c r="C52" s="64"/>
      <c r="D52" s="1"/>
    </row>
    <row r="53" spans="1:4" ht="15" x14ac:dyDescent="0.35">
      <c r="A53" s="146" t="s">
        <v>0</v>
      </c>
      <c r="B53" s="145"/>
      <c r="C53" s="64"/>
      <c r="D53" s="64"/>
    </row>
    <row r="54" spans="1:4" x14ac:dyDescent="0.25">
      <c r="A54" s="1" t="s">
        <v>0</v>
      </c>
    </row>
    <row r="56" spans="1:4" ht="12.75" customHeight="1" x14ac:dyDescent="0.25"/>
    <row r="60" spans="1:4" ht="16.5" customHeight="1" x14ac:dyDescent="0.25"/>
    <row r="64" spans="1:4" ht="15.75" customHeight="1" x14ac:dyDescent="0.25"/>
    <row r="65" ht="15" customHeight="1" x14ac:dyDescent="0.25"/>
  </sheetData>
  <mergeCells count="3">
    <mergeCell ref="A4:D4"/>
    <mergeCell ref="A15:D15"/>
    <mergeCell ref="B29:D29"/>
  </mergeCells>
  <printOptions horizontalCentered="1"/>
  <pageMargins left="0.59055118110236227" right="0.59055118110236227" top="0.19685039370078741" bottom="0.19685039370078741" header="0.19685039370078741" footer="0.19685039370078741"/>
  <pageSetup paperSize="9" scale="63" fitToWidth="0" orientation="portrait" r:id="rId1"/>
  <headerFooter alignWithMargins="0">
    <oddFooter>Página &amp;P de &amp;N</oddFooter>
  </headerFooter>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17DF5-46CB-41A1-93AC-E16A0EFABF34}">
  <sheetPr>
    <tabColor theme="4" tint="-0.249977111117893"/>
  </sheetPr>
  <dimension ref="A1:P43"/>
  <sheetViews>
    <sheetView zoomScale="85" zoomScaleNormal="85" workbookViewId="0">
      <selection activeCell="C18" sqref="C18:D18"/>
    </sheetView>
  </sheetViews>
  <sheetFormatPr baseColWidth="10" defaultColWidth="11.44140625" defaultRowHeight="13.2" x14ac:dyDescent="0.25"/>
  <cols>
    <col min="1" max="1" width="6" style="1" customWidth="1"/>
    <col min="2" max="2" width="67.33203125" style="1" customWidth="1"/>
    <col min="3" max="3" width="14.10937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9.2" x14ac:dyDescent="0.45">
      <c r="A5" s="67" t="s">
        <v>977</v>
      </c>
      <c r="B5" s="68"/>
      <c r="C5" s="69"/>
      <c r="D5" s="69"/>
    </row>
    <row r="6" spans="1:16" s="4" customFormat="1" ht="19.2" x14ac:dyDescent="0.45">
      <c r="A6" s="67" t="s">
        <v>978</v>
      </c>
      <c r="B6" s="68"/>
      <c r="C6" s="69"/>
      <c r="D6" s="69"/>
    </row>
    <row r="7" spans="1:16" s="4" customFormat="1" ht="19.2" x14ac:dyDescent="0.45">
      <c r="A7" s="67" t="s">
        <v>979</v>
      </c>
      <c r="B7" s="68"/>
      <c r="C7" s="69"/>
      <c r="D7" s="69"/>
    </row>
    <row r="8" spans="1:16" s="4" customFormat="1" ht="19.2" x14ac:dyDescent="0.45">
      <c r="A8" s="67" t="s">
        <v>606</v>
      </c>
      <c r="B8" s="68"/>
      <c r="C8" s="70"/>
      <c r="D8" s="69"/>
    </row>
    <row r="9" spans="1:16" s="4" customFormat="1" ht="19.2" x14ac:dyDescent="0.45">
      <c r="A9" s="71" t="s">
        <v>980</v>
      </c>
      <c r="B9" s="72"/>
      <c r="C9" s="70"/>
      <c r="D9" s="69"/>
    </row>
    <row r="10" spans="1:16" s="4" customFormat="1" ht="19.2" x14ac:dyDescent="0.45">
      <c r="A10" s="67" t="s">
        <v>38</v>
      </c>
      <c r="B10" s="72"/>
      <c r="C10" s="73"/>
      <c r="D10" s="74"/>
      <c r="E10" s="10"/>
      <c r="F10" s="10"/>
      <c r="G10" s="10"/>
    </row>
    <row r="11" spans="1:16" s="4" customFormat="1" ht="19.2" x14ac:dyDescent="0.4">
      <c r="A11" s="744" t="s">
        <v>40</v>
      </c>
      <c r="B11" s="745"/>
      <c r="C11" s="746"/>
      <c r="D11" s="747"/>
      <c r="E11" s="1"/>
      <c r="F11" s="1"/>
      <c r="G11" s="1"/>
      <c r="H11" s="10"/>
      <c r="I11" s="10"/>
      <c r="J11" s="10"/>
      <c r="K11" s="10"/>
      <c r="L11" s="10"/>
      <c r="M11" s="10"/>
    </row>
    <row r="12" spans="1:16" s="4" customFormat="1" ht="15" customHeight="1" x14ac:dyDescent="0.4">
      <c r="A12" s="14"/>
      <c r="B12" s="15"/>
      <c r="C12" s="16"/>
      <c r="D12" s="16"/>
      <c r="E12" s="13"/>
      <c r="F12" s="1"/>
      <c r="G12" s="1"/>
      <c r="H12" s="1"/>
      <c r="I12" s="1"/>
      <c r="J12" s="1"/>
      <c r="K12" s="1"/>
      <c r="L12" s="1"/>
      <c r="M12" s="1"/>
    </row>
    <row r="13" spans="1:16" s="4" customFormat="1" ht="31.2" x14ac:dyDescent="0.4">
      <c r="A13" s="95">
        <v>1</v>
      </c>
      <c r="B13" s="96" t="s">
        <v>984</v>
      </c>
      <c r="C13" s="583">
        <f>(12107)*(1.3)</f>
        <v>15739.1</v>
      </c>
      <c r="D13" s="98">
        <f t="shared" ref="D13:D17" si="0">A13*C13</f>
        <v>15739.1</v>
      </c>
      <c r="E13" s="1"/>
      <c r="F13" s="1"/>
      <c r="G13" s="1"/>
      <c r="H13" s="1"/>
      <c r="I13" s="1"/>
      <c r="J13" s="1"/>
      <c r="K13" s="1"/>
      <c r="L13" s="1"/>
      <c r="M13" s="1"/>
    </row>
    <row r="14" spans="1:16" s="4" customFormat="1" ht="31.2" x14ac:dyDescent="0.4">
      <c r="A14" s="95">
        <v>1</v>
      </c>
      <c r="B14" s="96" t="s">
        <v>985</v>
      </c>
      <c r="C14" s="583">
        <f>(12107)*(1.4)</f>
        <v>16949.8</v>
      </c>
      <c r="D14" s="98">
        <f t="shared" ref="D14" si="1">A14*C14</f>
        <v>16949.8</v>
      </c>
      <c r="E14" s="1"/>
      <c r="F14" s="1"/>
      <c r="G14" s="1"/>
      <c r="H14" s="1"/>
      <c r="I14" s="1"/>
      <c r="J14" s="1"/>
      <c r="K14" s="1"/>
      <c r="L14" s="1"/>
      <c r="M14" s="1"/>
      <c r="N14" s="10"/>
      <c r="O14" s="10"/>
      <c r="P14" s="10"/>
    </row>
    <row r="15" spans="1:16" ht="31.2" x14ac:dyDescent="0.25">
      <c r="A15" s="103">
        <v>1</v>
      </c>
      <c r="B15" s="104" t="s">
        <v>612</v>
      </c>
      <c r="C15" s="583">
        <f>(1985*18*1.3)</f>
        <v>46449</v>
      </c>
      <c r="D15" s="83">
        <f t="shared" si="0"/>
        <v>46449</v>
      </c>
    </row>
    <row r="16" spans="1:16" ht="31.2" x14ac:dyDescent="0.25">
      <c r="A16" s="95">
        <v>1</v>
      </c>
      <c r="B16" s="96" t="s">
        <v>986</v>
      </c>
      <c r="C16" s="583">
        <f>(21584*1.35)</f>
        <v>29138.400000000001</v>
      </c>
      <c r="D16" s="98">
        <f t="shared" si="0"/>
        <v>29138.400000000001</v>
      </c>
    </row>
    <row r="17" spans="1:12" ht="46.2" x14ac:dyDescent="0.25">
      <c r="A17" s="106">
        <v>1</v>
      </c>
      <c r="B17" s="107" t="s">
        <v>987</v>
      </c>
      <c r="C17" s="701">
        <f>(1959*18.5)*1.34</f>
        <v>48563.61</v>
      </c>
      <c r="D17" s="702">
        <f t="shared" si="0"/>
        <v>48563.61</v>
      </c>
    </row>
    <row r="18" spans="1:12" ht="39.6" x14ac:dyDescent="0.25">
      <c r="A18" s="574"/>
      <c r="B18" s="575" t="s">
        <v>646</v>
      </c>
      <c r="C18" s="704"/>
      <c r="D18" s="705"/>
      <c r="E18" s="13"/>
    </row>
    <row r="19" spans="1:12" ht="13.8" x14ac:dyDescent="0.25">
      <c r="A19" s="88"/>
      <c r="B19" s="135" t="s">
        <v>23</v>
      </c>
      <c r="C19" s="703"/>
      <c r="D19" s="703"/>
      <c r="E19" s="88"/>
      <c r="F19" s="88"/>
      <c r="G19" s="88"/>
      <c r="H19" s="88"/>
      <c r="I19" s="88"/>
      <c r="J19" s="88"/>
      <c r="K19" s="88"/>
      <c r="L19" s="88"/>
    </row>
    <row r="20" spans="1:12" ht="15" x14ac:dyDescent="0.25">
      <c r="A20" s="288"/>
      <c r="B20" s="187" t="s">
        <v>983</v>
      </c>
      <c r="C20" s="578"/>
      <c r="D20" s="578"/>
      <c r="E20" s="88"/>
      <c r="F20" s="88"/>
      <c r="G20" s="88"/>
      <c r="H20" s="88"/>
      <c r="I20" s="88"/>
      <c r="J20" s="88"/>
      <c r="K20" s="88"/>
      <c r="L20" s="88"/>
    </row>
    <row r="21" spans="1:12" ht="55.2" x14ac:dyDescent="0.25">
      <c r="A21" s="288"/>
      <c r="B21" s="187" t="s">
        <v>542</v>
      </c>
      <c r="C21" s="579"/>
      <c r="D21" s="580"/>
      <c r="E21" s="88"/>
      <c r="F21" s="88"/>
      <c r="G21" s="88"/>
      <c r="H21" s="88"/>
      <c r="I21" s="88"/>
      <c r="J21" s="88"/>
      <c r="K21" s="88"/>
      <c r="L21" s="88"/>
    </row>
    <row r="22" spans="1:12" ht="15" x14ac:dyDescent="0.25">
      <c r="A22" s="288"/>
      <c r="B22" s="135" t="s">
        <v>26</v>
      </c>
      <c r="C22" s="579"/>
      <c r="D22" s="580"/>
      <c r="E22" s="88"/>
      <c r="F22" s="88"/>
      <c r="G22" s="88"/>
      <c r="H22" s="88"/>
      <c r="I22" s="88"/>
      <c r="J22" s="88"/>
      <c r="K22" s="88"/>
      <c r="L22" s="88"/>
    </row>
    <row r="23" spans="1:12" ht="15" x14ac:dyDescent="0.25">
      <c r="A23" s="288"/>
      <c r="B23" s="523" t="s">
        <v>981</v>
      </c>
      <c r="C23" s="579"/>
      <c r="D23" s="579"/>
      <c r="E23" s="88"/>
      <c r="F23" s="88"/>
      <c r="G23" s="88"/>
      <c r="H23" s="88"/>
      <c r="I23" s="88"/>
      <c r="J23" s="88"/>
      <c r="K23" s="88"/>
      <c r="L23" s="88"/>
    </row>
    <row r="24" spans="1:12" ht="15" x14ac:dyDescent="0.25">
      <c r="A24" s="288"/>
      <c r="B24" s="189" t="s">
        <v>982</v>
      </c>
      <c r="C24" s="579"/>
      <c r="D24" s="579"/>
      <c r="E24" s="88"/>
      <c r="F24" s="88"/>
      <c r="G24" s="88"/>
      <c r="H24" s="88"/>
      <c r="I24" s="88"/>
      <c r="J24" s="88"/>
      <c r="K24" s="88"/>
      <c r="L24" s="88"/>
    </row>
    <row r="25" spans="1:12" ht="13.8" x14ac:dyDescent="0.25">
      <c r="A25" s="88"/>
      <c r="B25" s="135" t="s">
        <v>29</v>
      </c>
      <c r="C25" s="578"/>
      <c r="D25" s="581"/>
      <c r="E25" s="88"/>
      <c r="F25" s="88"/>
      <c r="G25" s="88"/>
      <c r="H25" s="88"/>
      <c r="I25" s="88"/>
      <c r="J25" s="88"/>
      <c r="K25" s="88"/>
      <c r="L25" s="88"/>
    </row>
    <row r="26" spans="1:12" ht="15" x14ac:dyDescent="0.25">
      <c r="A26" s="288"/>
      <c r="B26" s="191" t="s">
        <v>540</v>
      </c>
      <c r="C26" s="579"/>
      <c r="D26" s="580"/>
      <c r="E26" s="88"/>
      <c r="F26" s="88"/>
      <c r="G26" s="88"/>
      <c r="H26" s="88"/>
      <c r="I26" s="88"/>
      <c r="J26" s="88"/>
      <c r="K26" s="88"/>
      <c r="L26" s="88"/>
    </row>
    <row r="27" spans="1:12" ht="15" x14ac:dyDescent="0.25">
      <c r="A27" s="288"/>
      <c r="B27" s="191" t="s">
        <v>31</v>
      </c>
      <c r="C27" s="579"/>
      <c r="D27" s="580"/>
      <c r="E27" s="88"/>
      <c r="F27" s="88"/>
      <c r="G27" s="88"/>
      <c r="H27" s="88"/>
      <c r="I27" s="88"/>
      <c r="J27" s="88"/>
      <c r="K27" s="88"/>
      <c r="L27" s="88"/>
    </row>
    <row r="28" spans="1:12" ht="15" x14ac:dyDescent="0.25">
      <c r="A28" s="288"/>
      <c r="B28" s="191" t="s">
        <v>32</v>
      </c>
      <c r="C28" s="578"/>
      <c r="D28" s="582"/>
      <c r="E28" s="88"/>
      <c r="F28" s="88"/>
      <c r="G28" s="88"/>
      <c r="H28" s="88"/>
      <c r="I28" s="88"/>
      <c r="J28" s="88"/>
      <c r="K28" s="88"/>
      <c r="L28" s="88"/>
    </row>
    <row r="29" spans="1:12" ht="50.4" x14ac:dyDescent="0.25">
      <c r="A29" s="288"/>
      <c r="B29" s="193" t="s">
        <v>33</v>
      </c>
      <c r="C29" s="579"/>
      <c r="D29" s="579"/>
      <c r="E29" s="88"/>
      <c r="F29" s="88"/>
      <c r="G29" s="88"/>
      <c r="H29" s="88"/>
      <c r="I29" s="88"/>
      <c r="J29" s="88"/>
      <c r="K29" s="88"/>
      <c r="L29" s="88"/>
    </row>
    <row r="30" spans="1:12" x14ac:dyDescent="0.25">
      <c r="A30" s="88"/>
      <c r="B30" s="88"/>
      <c r="C30" s="578"/>
      <c r="D30" s="578"/>
      <c r="E30" s="88"/>
      <c r="F30" s="88"/>
      <c r="G30" s="88"/>
      <c r="H30" s="88"/>
      <c r="I30" s="88"/>
      <c r="J30" s="88"/>
      <c r="K30" s="88"/>
      <c r="L30" s="88"/>
    </row>
    <row r="31" spans="1:12" x14ac:dyDescent="0.25">
      <c r="A31" s="88"/>
      <c r="B31" s="88"/>
      <c r="C31" s="578"/>
      <c r="D31" s="578"/>
      <c r="E31" s="88"/>
      <c r="F31" s="88"/>
      <c r="G31" s="88"/>
      <c r="H31" s="88"/>
      <c r="I31" s="88"/>
      <c r="J31" s="88"/>
      <c r="K31" s="88"/>
      <c r="L31" s="88"/>
    </row>
    <row r="32" spans="1:12" x14ac:dyDescent="0.25">
      <c r="A32" s="88"/>
      <c r="B32" s="88"/>
      <c r="C32" s="578"/>
      <c r="D32" s="578"/>
      <c r="E32" s="88"/>
      <c r="F32" s="88"/>
      <c r="G32" s="88"/>
      <c r="H32" s="88"/>
      <c r="I32" s="88"/>
      <c r="J32" s="88"/>
      <c r="K32" s="88"/>
      <c r="L32" s="88"/>
    </row>
    <row r="33" spans="1:12" x14ac:dyDescent="0.25">
      <c r="A33" s="88"/>
      <c r="B33" s="88"/>
      <c r="C33" s="578"/>
      <c r="D33" s="578"/>
      <c r="E33" s="88"/>
      <c r="F33" s="88"/>
      <c r="G33" s="88"/>
      <c r="H33" s="88"/>
      <c r="I33" s="88"/>
      <c r="J33" s="88"/>
      <c r="K33" s="88"/>
      <c r="L33" s="88"/>
    </row>
    <row r="34" spans="1:12" ht="12.75" customHeight="1" x14ac:dyDescent="0.25">
      <c r="A34" s="88"/>
      <c r="B34" s="88"/>
      <c r="C34" s="578"/>
      <c r="D34" s="578"/>
      <c r="E34" s="88"/>
      <c r="F34" s="88"/>
      <c r="G34" s="88"/>
      <c r="H34" s="88"/>
      <c r="I34" s="88"/>
      <c r="J34" s="88"/>
      <c r="K34" s="88"/>
      <c r="L34" s="88"/>
    </row>
    <row r="35" spans="1:12" x14ac:dyDescent="0.25">
      <c r="A35" s="88"/>
      <c r="B35" s="88"/>
      <c r="C35" s="578"/>
      <c r="D35" s="578"/>
      <c r="E35" s="88"/>
      <c r="F35" s="88"/>
      <c r="G35" s="88"/>
      <c r="H35" s="88"/>
      <c r="I35" s="88"/>
      <c r="J35" s="88"/>
      <c r="K35" s="88"/>
      <c r="L35" s="88"/>
    </row>
    <row r="36" spans="1:12" x14ac:dyDescent="0.25">
      <c r="A36" s="88"/>
      <c r="B36" s="88"/>
      <c r="C36" s="578"/>
      <c r="D36" s="578"/>
      <c r="E36" s="88"/>
      <c r="F36" s="88"/>
      <c r="G36" s="88"/>
      <c r="H36" s="88"/>
      <c r="I36" s="88"/>
      <c r="J36" s="88"/>
      <c r="K36" s="88"/>
      <c r="L36" s="88"/>
    </row>
    <row r="37" spans="1:12" x14ac:dyDescent="0.25">
      <c r="A37" s="88"/>
      <c r="B37" s="88"/>
      <c r="C37" s="578"/>
      <c r="D37" s="578"/>
    </row>
    <row r="42" spans="1:12" ht="15.75" customHeight="1" x14ac:dyDescent="0.25"/>
    <row r="43" spans="1:12" ht="15" customHeight="1" x14ac:dyDescent="0.25"/>
  </sheetData>
  <mergeCells count="2">
    <mergeCell ref="A4:D4"/>
    <mergeCell ref="A11:D11"/>
  </mergeCells>
  <printOptions horizontalCentered="1"/>
  <pageMargins left="0" right="0" top="0" bottom="0" header="0" footer="0"/>
  <pageSetup paperSize="9" orientation="portrait" r:id="rId1"/>
  <headerFooter alignWithMargins="0">
    <oddFooter>Página &amp;P de &amp;N</odd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3088-0B81-41E9-8449-8F1523A7BE24}">
  <sheetPr>
    <tabColor theme="4" tint="-0.249977111117893"/>
  </sheetPr>
  <dimension ref="A1:P43"/>
  <sheetViews>
    <sheetView zoomScale="85" zoomScaleNormal="85" workbookViewId="0">
      <selection activeCell="B16" sqref="B16"/>
    </sheetView>
  </sheetViews>
  <sheetFormatPr baseColWidth="10" defaultColWidth="11.44140625" defaultRowHeight="13.2" x14ac:dyDescent="0.25"/>
  <cols>
    <col min="1" max="1" width="6" style="1" customWidth="1"/>
    <col min="2" max="2" width="67.33203125" style="1" customWidth="1"/>
    <col min="3" max="3" width="14.10937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9.2" x14ac:dyDescent="0.45">
      <c r="A5" s="67" t="s">
        <v>977</v>
      </c>
      <c r="B5" s="68"/>
      <c r="C5" s="69"/>
      <c r="D5" s="69"/>
    </row>
    <row r="6" spans="1:16" s="4" customFormat="1" ht="19.2" x14ac:dyDescent="0.45">
      <c r="A6" s="67" t="s">
        <v>978</v>
      </c>
      <c r="B6" s="68"/>
      <c r="C6" s="69"/>
      <c r="D6" s="69"/>
    </row>
    <row r="7" spans="1:16" s="4" customFormat="1" ht="19.2" x14ac:dyDescent="0.45">
      <c r="A7" s="67" t="s">
        <v>979</v>
      </c>
      <c r="B7" s="68"/>
      <c r="C7" s="69"/>
      <c r="D7" s="69"/>
    </row>
    <row r="8" spans="1:16" s="4" customFormat="1" ht="19.2" x14ac:dyDescent="0.45">
      <c r="A8" s="67" t="s">
        <v>606</v>
      </c>
      <c r="B8" s="68"/>
      <c r="C8" s="70"/>
      <c r="D8" s="69"/>
    </row>
    <row r="9" spans="1:16" s="4" customFormat="1" ht="19.2" x14ac:dyDescent="0.45">
      <c r="A9" s="71" t="s">
        <v>980</v>
      </c>
      <c r="B9" s="72"/>
      <c r="C9" s="70"/>
      <c r="D9" s="69"/>
    </row>
    <row r="10" spans="1:16" s="4" customFormat="1" ht="19.2" x14ac:dyDescent="0.45">
      <c r="A10" s="67" t="s">
        <v>38</v>
      </c>
      <c r="B10" s="72"/>
      <c r="C10" s="73"/>
      <c r="D10" s="74"/>
      <c r="E10" s="10"/>
      <c r="F10" s="10"/>
      <c r="G10" s="10"/>
    </row>
    <row r="11" spans="1:16" s="4" customFormat="1" ht="19.2" x14ac:dyDescent="0.4">
      <c r="A11" s="744" t="s">
        <v>40</v>
      </c>
      <c r="B11" s="745"/>
      <c r="C11" s="746"/>
      <c r="D11" s="747"/>
      <c r="E11" s="1"/>
      <c r="F11" s="1"/>
      <c r="G11" s="1"/>
      <c r="H11" s="10"/>
      <c r="I11" s="10"/>
      <c r="J11" s="10"/>
      <c r="K11" s="10"/>
      <c r="L11" s="10"/>
      <c r="M11" s="10"/>
    </row>
    <row r="12" spans="1:16" s="4" customFormat="1" ht="15" customHeight="1" x14ac:dyDescent="0.4">
      <c r="A12" s="14"/>
      <c r="B12" s="15"/>
      <c r="C12" s="16"/>
      <c r="D12" s="16"/>
      <c r="E12" s="13"/>
      <c r="F12" s="1"/>
      <c r="G12" s="1"/>
      <c r="H12" s="1"/>
      <c r="I12" s="1"/>
      <c r="J12" s="1"/>
      <c r="K12" s="1"/>
      <c r="L12" s="1"/>
      <c r="M12" s="1"/>
    </row>
    <row r="13" spans="1:16" s="4" customFormat="1" ht="31.2" x14ac:dyDescent="0.4">
      <c r="A13" s="95">
        <v>1</v>
      </c>
      <c r="B13" s="96" t="s">
        <v>985</v>
      </c>
      <c r="C13" s="583">
        <f>(12107)*(1.4)</f>
        <v>16949.8</v>
      </c>
      <c r="D13" s="98">
        <f t="shared" ref="D13:D14" si="0">A13*C13</f>
        <v>16949.8</v>
      </c>
      <c r="E13" s="1"/>
      <c r="F13" s="1"/>
      <c r="G13" s="1"/>
      <c r="H13" s="1"/>
      <c r="I13" s="1"/>
      <c r="J13" s="1"/>
      <c r="K13" s="1"/>
      <c r="L13" s="1"/>
      <c r="M13" s="1"/>
    </row>
    <row r="14" spans="1:16" s="4" customFormat="1" ht="31.2" x14ac:dyDescent="0.4">
      <c r="A14" s="95">
        <v>1</v>
      </c>
      <c r="B14" s="96" t="s">
        <v>986</v>
      </c>
      <c r="C14" s="583">
        <f>(21584*1.35)</f>
        <v>29138.400000000001</v>
      </c>
      <c r="D14" s="98">
        <f t="shared" si="0"/>
        <v>29138.400000000001</v>
      </c>
      <c r="E14" s="1"/>
      <c r="F14" s="1"/>
      <c r="G14" s="1"/>
      <c r="H14" s="1"/>
      <c r="I14" s="1"/>
      <c r="J14" s="1"/>
      <c r="K14" s="1"/>
      <c r="L14" s="1"/>
      <c r="M14" s="1"/>
      <c r="N14" s="10"/>
      <c r="O14" s="10"/>
      <c r="P14" s="10"/>
    </row>
    <row r="15" spans="1:16" ht="26.4" x14ac:dyDescent="0.25">
      <c r="A15" s="574"/>
      <c r="B15" s="575" t="s">
        <v>1026</v>
      </c>
      <c r="C15" s="704"/>
      <c r="D15" s="705"/>
      <c r="E15" s="13"/>
    </row>
    <row r="16" spans="1:16" ht="13.8" x14ac:dyDescent="0.25">
      <c r="A16" s="88"/>
      <c r="B16" s="135" t="s">
        <v>23</v>
      </c>
      <c r="C16" s="703"/>
      <c r="D16" s="703"/>
      <c r="E16" s="88"/>
      <c r="F16" s="88"/>
      <c r="G16" s="88"/>
      <c r="H16" s="88"/>
      <c r="I16" s="88"/>
      <c r="J16" s="88"/>
      <c r="K16" s="88"/>
      <c r="L16" s="88"/>
    </row>
    <row r="17" spans="1:12" ht="15" x14ac:dyDescent="0.25">
      <c r="A17" s="288"/>
      <c r="B17" s="187" t="s">
        <v>983</v>
      </c>
      <c r="C17" s="578"/>
      <c r="D17" s="578"/>
      <c r="E17" s="88"/>
      <c r="F17" s="88"/>
      <c r="G17" s="88"/>
      <c r="H17" s="88"/>
      <c r="I17" s="88"/>
      <c r="J17" s="88"/>
      <c r="K17" s="88"/>
      <c r="L17" s="88"/>
    </row>
    <row r="18" spans="1:12" ht="55.2" x14ac:dyDescent="0.25">
      <c r="A18" s="288"/>
      <c r="B18" s="187" t="s">
        <v>542</v>
      </c>
      <c r="C18" s="579"/>
      <c r="D18" s="580"/>
      <c r="E18" s="88"/>
      <c r="F18" s="88"/>
      <c r="G18" s="88"/>
      <c r="H18" s="88"/>
      <c r="I18" s="88"/>
      <c r="J18" s="88"/>
      <c r="K18" s="88"/>
      <c r="L18" s="88"/>
    </row>
    <row r="19" spans="1:12" ht="15" x14ac:dyDescent="0.25">
      <c r="A19" s="288"/>
      <c r="B19" s="135" t="s">
        <v>26</v>
      </c>
      <c r="C19" s="579"/>
      <c r="D19" s="580"/>
      <c r="E19" s="88"/>
      <c r="F19" s="88"/>
      <c r="G19" s="88"/>
      <c r="H19" s="88"/>
      <c r="I19" s="88"/>
      <c r="J19" s="88"/>
      <c r="K19" s="88"/>
      <c r="L19" s="88"/>
    </row>
    <row r="20" spans="1:12" ht="15" x14ac:dyDescent="0.25">
      <c r="A20" s="288"/>
      <c r="B20" s="523" t="s">
        <v>981</v>
      </c>
      <c r="C20" s="579"/>
      <c r="D20" s="579"/>
      <c r="E20" s="88"/>
      <c r="F20" s="88"/>
      <c r="G20" s="88"/>
      <c r="H20" s="88"/>
      <c r="I20" s="88"/>
      <c r="J20" s="88"/>
      <c r="K20" s="88"/>
      <c r="L20" s="88"/>
    </row>
    <row r="21" spans="1:12" ht="15" x14ac:dyDescent="0.25">
      <c r="A21" s="288"/>
      <c r="B21" s="189" t="s">
        <v>982</v>
      </c>
      <c r="C21" s="579"/>
      <c r="D21" s="579"/>
      <c r="E21" s="88"/>
      <c r="F21" s="88"/>
      <c r="G21" s="88"/>
      <c r="H21" s="88"/>
      <c r="I21" s="88"/>
      <c r="J21" s="88"/>
      <c r="K21" s="88"/>
      <c r="L21" s="88"/>
    </row>
    <row r="22" spans="1:12" ht="13.8" x14ac:dyDescent="0.25">
      <c r="A22" s="88"/>
      <c r="B22" s="135" t="s">
        <v>29</v>
      </c>
      <c r="C22" s="578"/>
      <c r="D22" s="581"/>
      <c r="E22" s="88"/>
      <c r="F22" s="88"/>
      <c r="G22" s="88"/>
      <c r="H22" s="88"/>
      <c r="I22" s="88"/>
      <c r="J22" s="88"/>
      <c r="K22" s="88"/>
      <c r="L22" s="88"/>
    </row>
    <row r="23" spans="1:12" ht="15" x14ac:dyDescent="0.25">
      <c r="A23" s="288"/>
      <c r="B23" s="191" t="s">
        <v>540</v>
      </c>
      <c r="C23" s="579"/>
      <c r="D23" s="580"/>
      <c r="E23" s="88"/>
      <c r="F23" s="88"/>
      <c r="G23" s="88"/>
      <c r="H23" s="88"/>
      <c r="I23" s="88"/>
      <c r="J23" s="88"/>
      <c r="K23" s="88"/>
      <c r="L23" s="88"/>
    </row>
    <row r="24" spans="1:12" ht="15" x14ac:dyDescent="0.25">
      <c r="A24" s="288"/>
      <c r="B24" s="191" t="s">
        <v>31</v>
      </c>
      <c r="C24" s="579"/>
      <c r="D24" s="580"/>
      <c r="E24" s="88"/>
      <c r="F24" s="88"/>
      <c r="G24" s="88"/>
      <c r="H24" s="88"/>
      <c r="I24" s="88"/>
      <c r="J24" s="88"/>
      <c r="K24" s="88"/>
      <c r="L24" s="88"/>
    </row>
    <row r="25" spans="1:12" ht="15" x14ac:dyDescent="0.25">
      <c r="A25" s="288"/>
      <c r="B25" s="191" t="s">
        <v>32</v>
      </c>
      <c r="C25" s="578"/>
      <c r="D25" s="582"/>
      <c r="E25" s="88"/>
      <c r="F25" s="88"/>
      <c r="G25" s="88"/>
      <c r="H25" s="88"/>
      <c r="I25" s="88"/>
      <c r="J25" s="88"/>
      <c r="K25" s="88"/>
      <c r="L25" s="88"/>
    </row>
    <row r="26" spans="1:12" ht="50.4" x14ac:dyDescent="0.25">
      <c r="A26" s="288"/>
      <c r="B26" s="193" t="s">
        <v>33</v>
      </c>
      <c r="C26" s="579"/>
      <c r="D26" s="579"/>
      <c r="E26" s="88"/>
      <c r="F26" s="88"/>
      <c r="G26" s="88"/>
      <c r="H26" s="88"/>
      <c r="I26" s="88"/>
      <c r="J26" s="88"/>
      <c r="K26" s="88"/>
      <c r="L26" s="88"/>
    </row>
    <row r="27" spans="1:12" x14ac:dyDescent="0.25">
      <c r="A27" s="88"/>
      <c r="B27" s="88"/>
      <c r="C27" s="578"/>
      <c r="D27" s="578"/>
      <c r="E27" s="88"/>
      <c r="F27" s="88"/>
      <c r="G27" s="88"/>
      <c r="H27" s="88"/>
      <c r="I27" s="88"/>
      <c r="J27" s="88"/>
      <c r="K27" s="88"/>
      <c r="L27" s="88"/>
    </row>
    <row r="28" spans="1:12" x14ac:dyDescent="0.25">
      <c r="A28" s="88"/>
      <c r="B28" s="88"/>
      <c r="C28" s="578"/>
      <c r="D28" s="578"/>
      <c r="E28" s="88"/>
      <c r="F28" s="88"/>
      <c r="G28" s="88"/>
      <c r="H28" s="88"/>
      <c r="I28" s="88"/>
      <c r="J28" s="88"/>
      <c r="K28" s="88"/>
      <c r="L28" s="88"/>
    </row>
    <row r="29" spans="1:12" x14ac:dyDescent="0.25">
      <c r="A29" s="88"/>
      <c r="B29" s="88"/>
      <c r="C29" s="578"/>
      <c r="D29" s="578"/>
      <c r="E29" s="88"/>
      <c r="F29" s="88"/>
      <c r="G29" s="88"/>
      <c r="H29" s="88"/>
      <c r="I29" s="88"/>
      <c r="J29" s="88"/>
      <c r="K29" s="88"/>
      <c r="L29" s="88"/>
    </row>
    <row r="30" spans="1:12" x14ac:dyDescent="0.25">
      <c r="A30" s="88"/>
      <c r="B30" s="88"/>
      <c r="C30" s="578"/>
      <c r="D30" s="578"/>
      <c r="E30" s="88"/>
      <c r="F30" s="88"/>
      <c r="G30" s="88"/>
      <c r="H30" s="88"/>
      <c r="I30" s="88"/>
      <c r="J30" s="88"/>
      <c r="K30" s="88"/>
      <c r="L30" s="88"/>
    </row>
    <row r="31" spans="1:12" x14ac:dyDescent="0.25">
      <c r="A31" s="88"/>
      <c r="B31" s="88"/>
      <c r="C31" s="578"/>
      <c r="D31" s="578"/>
      <c r="E31" s="88"/>
      <c r="F31" s="88"/>
      <c r="G31" s="88"/>
      <c r="H31" s="88"/>
      <c r="I31" s="88"/>
      <c r="J31" s="88"/>
      <c r="K31" s="88"/>
      <c r="L31" s="88"/>
    </row>
    <row r="32" spans="1:12" x14ac:dyDescent="0.25">
      <c r="A32" s="88"/>
      <c r="B32" s="88"/>
      <c r="C32" s="578"/>
      <c r="D32" s="578"/>
      <c r="E32" s="88"/>
      <c r="F32" s="88"/>
      <c r="G32" s="88"/>
      <c r="H32" s="88"/>
      <c r="I32" s="88"/>
      <c r="J32" s="88"/>
      <c r="K32" s="88"/>
      <c r="L32" s="88"/>
    </row>
    <row r="33" spans="1:12" x14ac:dyDescent="0.25">
      <c r="A33" s="88"/>
      <c r="B33" s="88"/>
      <c r="C33" s="578"/>
      <c r="D33" s="578"/>
      <c r="E33" s="88"/>
      <c r="F33" s="88"/>
      <c r="G33" s="88"/>
      <c r="H33" s="88"/>
      <c r="I33" s="88"/>
      <c r="J33" s="88"/>
      <c r="K33" s="88"/>
      <c r="L33" s="88"/>
    </row>
    <row r="34" spans="1:12" ht="12.75" customHeight="1" x14ac:dyDescent="0.25">
      <c r="A34" s="88"/>
      <c r="B34" s="88"/>
      <c r="C34" s="578"/>
      <c r="D34" s="578"/>
    </row>
    <row r="42" spans="1:12" ht="15.75" customHeight="1" x14ac:dyDescent="0.25"/>
    <row r="43" spans="1:12" ht="15" customHeight="1" x14ac:dyDescent="0.25"/>
  </sheetData>
  <mergeCells count="2">
    <mergeCell ref="A4:D4"/>
    <mergeCell ref="A11:D11"/>
  </mergeCells>
  <printOptions horizontalCentered="1"/>
  <pageMargins left="0" right="0" top="0" bottom="0" header="0" footer="0"/>
  <pageSetup paperSize="9" orientation="portrait" r:id="rId1"/>
  <headerFooter alignWithMargins="0">
    <oddFooter>Página &amp;P de &amp;N</oddFooter>
  </headerFooter>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706FD-A003-49AA-9CDC-46227686E87F}">
  <sheetPr>
    <tabColor theme="4" tint="-0.249977111117893"/>
    <pageSetUpPr fitToPage="1"/>
  </sheetPr>
  <dimension ref="A1:P59"/>
  <sheetViews>
    <sheetView zoomScale="85" zoomScaleNormal="85" workbookViewId="0">
      <selection activeCell="A16" sqref="A16:D16"/>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1034</v>
      </c>
      <c r="B8" s="68"/>
      <c r="C8" s="69"/>
      <c r="D8" s="69"/>
    </row>
    <row r="9" spans="1:16" s="4" customFormat="1" ht="19.2" x14ac:dyDescent="0.45">
      <c r="A9" s="67" t="s">
        <v>1035</v>
      </c>
      <c r="B9" s="68"/>
      <c r="C9" s="69"/>
      <c r="D9" s="69"/>
    </row>
    <row r="10" spans="1:16" s="4" customFormat="1" ht="19.2" x14ac:dyDescent="0.45">
      <c r="A10" s="67" t="s">
        <v>1036</v>
      </c>
      <c r="B10" s="68"/>
      <c r="C10" s="69"/>
      <c r="D10" s="69"/>
    </row>
    <row r="11" spans="1:16" s="4" customFormat="1" ht="19.2" x14ac:dyDescent="0.45">
      <c r="A11" s="67" t="s">
        <v>1037</v>
      </c>
      <c r="B11" s="68"/>
      <c r="C11" s="70"/>
      <c r="D11" s="69"/>
    </row>
    <row r="12" spans="1:16" s="4" customFormat="1" ht="15" customHeight="1" x14ac:dyDescent="0.45">
      <c r="A12" s="67" t="s">
        <v>38</v>
      </c>
      <c r="B12" s="68"/>
      <c r="C12" s="70"/>
      <c r="D12" s="69"/>
    </row>
    <row r="13" spans="1:16" s="4" customFormat="1" ht="15" customHeight="1" x14ac:dyDescent="0.45">
      <c r="A13" s="71" t="s">
        <v>1009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60" x14ac:dyDescent="0.25">
      <c r="A16" s="103">
        <v>1</v>
      </c>
      <c r="B16" s="104" t="s">
        <v>1027</v>
      </c>
      <c r="C16" s="688">
        <v>13000</v>
      </c>
      <c r="D16" s="689">
        <f>A16*C16</f>
        <v>13000</v>
      </c>
      <c r="N16" s="23"/>
      <c r="O16" s="23"/>
      <c r="P16" s="23"/>
    </row>
    <row r="17" spans="1:16" s="23" customFormat="1" ht="15.6" x14ac:dyDescent="0.3">
      <c r="A17" s="516"/>
      <c r="B17" s="706" t="s">
        <v>1028</v>
      </c>
      <c r="C17" s="86" t="s">
        <v>49</v>
      </c>
      <c r="D17" s="87">
        <f>SUM(D16:D16)</f>
        <v>13000</v>
      </c>
      <c r="E17" s="1"/>
      <c r="F17" s="1"/>
      <c r="G17" s="1"/>
      <c r="H17" s="1"/>
      <c r="I17" s="1"/>
      <c r="J17" s="1"/>
      <c r="K17" s="1"/>
      <c r="L17" s="1"/>
      <c r="M17" s="1"/>
    </row>
    <row r="18" spans="1:16" s="23" customFormat="1" ht="15.6" x14ac:dyDescent="0.3">
      <c r="A18" s="516"/>
      <c r="B18" s="706" t="s">
        <v>1029</v>
      </c>
      <c r="C18" s="90" t="s">
        <v>51</v>
      </c>
      <c r="D18" s="87"/>
      <c r="E18" s="1"/>
      <c r="F18" s="1"/>
      <c r="G18" s="1"/>
      <c r="H18" s="1"/>
      <c r="I18" s="1"/>
      <c r="J18" s="1"/>
      <c r="K18" s="1"/>
      <c r="L18" s="1"/>
      <c r="M18" s="1"/>
    </row>
    <row r="19" spans="1:16" s="23" customFormat="1" ht="31.8" thickBot="1" x14ac:dyDescent="0.3">
      <c r="A19" s="516"/>
      <c r="B19" s="707" t="s">
        <v>1030</v>
      </c>
      <c r="C19" s="90" t="s">
        <v>52</v>
      </c>
      <c r="D19" s="87">
        <f>SUM(D17:D18)</f>
        <v>13000</v>
      </c>
      <c r="E19" s="1"/>
      <c r="F19" s="1"/>
      <c r="G19" s="1"/>
      <c r="H19" s="1"/>
      <c r="I19" s="1"/>
      <c r="J19" s="1"/>
      <c r="K19" s="1"/>
      <c r="L19" s="1"/>
      <c r="M19" s="1"/>
    </row>
    <row r="20" spans="1:16" s="23" customFormat="1" ht="20.399999999999999" customHeight="1" thickBot="1" x14ac:dyDescent="0.3">
      <c r="A20" s="116"/>
      <c r="B20" s="186" t="s">
        <v>1031</v>
      </c>
      <c r="C20" s="36"/>
      <c r="D20" s="37"/>
      <c r="E20" s="1"/>
      <c r="F20" s="1"/>
      <c r="G20" s="1"/>
      <c r="H20" s="1"/>
      <c r="I20" s="1"/>
      <c r="J20" s="1"/>
      <c r="K20" s="1"/>
      <c r="L20" s="1"/>
      <c r="M20" s="1"/>
      <c r="O20" s="1"/>
      <c r="P20" s="1"/>
    </row>
    <row r="21" spans="1:16" ht="13.8" x14ac:dyDescent="0.25">
      <c r="A21" s="34"/>
      <c r="B21" s="120" t="s">
        <v>15</v>
      </c>
      <c r="C21" s="121"/>
      <c r="D21" s="122"/>
    </row>
    <row r="22" spans="1:16" ht="15.6" x14ac:dyDescent="0.25">
      <c r="A22" s="34"/>
      <c r="B22" s="176" t="s">
        <v>1033</v>
      </c>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9" t="s">
        <v>60</v>
      </c>
      <c r="C25" s="1"/>
      <c r="D25" s="1"/>
    </row>
    <row r="26" spans="1:16" ht="15" x14ac:dyDescent="0.25">
      <c r="A26" s="62"/>
      <c r="B26" s="130" t="s">
        <v>23</v>
      </c>
      <c r="C26" s="13"/>
      <c r="D26" s="1"/>
    </row>
    <row r="27" spans="1:16" ht="27.6" x14ac:dyDescent="0.25">
      <c r="A27" s="62"/>
      <c r="B27" s="132" t="s">
        <v>62</v>
      </c>
      <c r="C27" s="13"/>
      <c r="D27" s="1"/>
    </row>
    <row r="28" spans="1:16" ht="15" x14ac:dyDescent="0.25">
      <c r="A28" s="62"/>
      <c r="B28" s="130" t="s">
        <v>26</v>
      </c>
      <c r="C28" s="13"/>
      <c r="D28" s="1"/>
    </row>
    <row r="29" spans="1:16" ht="15" x14ac:dyDescent="0.25">
      <c r="A29" s="62"/>
      <c r="B29" s="333" t="s">
        <v>961</v>
      </c>
      <c r="C29" s="13"/>
      <c r="D29" s="1"/>
    </row>
    <row r="30" spans="1:16" ht="15" x14ac:dyDescent="0.25">
      <c r="A30" s="62"/>
      <c r="B30" s="334" t="s">
        <v>28</v>
      </c>
      <c r="C30" s="1"/>
      <c r="D30" s="1"/>
    </row>
    <row r="31" spans="1:16" ht="15" x14ac:dyDescent="0.25">
      <c r="A31" s="62"/>
      <c r="B31" s="130" t="s">
        <v>29</v>
      </c>
      <c r="C31" s="1"/>
      <c r="D31" s="1"/>
    </row>
    <row r="32" spans="1:16" ht="13.8" x14ac:dyDescent="0.25">
      <c r="B32" s="138" t="s">
        <v>1032</v>
      </c>
      <c r="C32" s="133"/>
      <c r="D32" s="134"/>
    </row>
    <row r="33" spans="1:4" ht="15" x14ac:dyDescent="0.25">
      <c r="A33" s="62"/>
      <c r="B33" s="127" t="s">
        <v>31</v>
      </c>
      <c r="C33" s="54"/>
      <c r="D33" s="58"/>
    </row>
    <row r="34" spans="1:4" ht="15" x14ac:dyDescent="0.25">
      <c r="A34" s="62"/>
      <c r="B34" s="127" t="s">
        <v>32</v>
      </c>
      <c r="C34" s="54"/>
    </row>
    <row r="35" spans="1:4" ht="50.4" x14ac:dyDescent="0.4">
      <c r="A35" s="139" t="s">
        <v>0</v>
      </c>
      <c r="B35" s="140" t="s">
        <v>65</v>
      </c>
      <c r="C35" s="141"/>
      <c r="D35" s="1"/>
    </row>
    <row r="36" spans="1:4" x14ac:dyDescent="0.25">
      <c r="A36" s="142"/>
      <c r="B36" s="64"/>
      <c r="C36" s="64"/>
      <c r="D36" s="1"/>
    </row>
    <row r="37" spans="1:4" x14ac:dyDescent="0.25">
      <c r="A37" s="142"/>
      <c r="B37" s="64"/>
      <c r="C37" s="64"/>
      <c r="D37" s="1"/>
    </row>
    <row r="38" spans="1:4" x14ac:dyDescent="0.25">
      <c r="A38" s="142"/>
      <c r="B38" s="143"/>
      <c r="C38" s="64"/>
      <c r="D38" s="1"/>
    </row>
    <row r="39" spans="1:4" ht="15" x14ac:dyDescent="0.35">
      <c r="A39" s="144"/>
      <c r="B39" s="145"/>
      <c r="C39" s="64"/>
      <c r="D39" s="64"/>
    </row>
    <row r="40" spans="1:4" x14ac:dyDescent="0.25">
      <c r="A40" s="146" t="s">
        <v>0</v>
      </c>
    </row>
    <row r="41" spans="1:4" x14ac:dyDescent="0.25">
      <c r="A41"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6" fitToWidth="0" orientation="portrait" r:id="rId1"/>
  <headerFooter alignWithMargins="0">
    <oddFooter>Página &amp;P de &amp;N</oddFooter>
  </headerFooter>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6254F-A1DE-426B-8CA5-3C27DBF6542F}">
  <sheetPr>
    <tabColor theme="4" tint="-0.249977111117893"/>
    <pageSetUpPr fitToPage="1"/>
  </sheetPr>
  <dimension ref="A1:M70"/>
  <sheetViews>
    <sheetView topLeftCell="A13" zoomScale="85" zoomScaleNormal="85" workbookViewId="0">
      <selection activeCell="B22" sqref="B22:D22"/>
    </sheetView>
  </sheetViews>
  <sheetFormatPr baseColWidth="10" defaultColWidth="11.44140625" defaultRowHeight="13.2" x14ac:dyDescent="0.25"/>
  <cols>
    <col min="1" max="1" width="6" style="1" customWidth="1"/>
    <col min="2" max="2" width="78.33203125" style="1" customWidth="1"/>
    <col min="3" max="3" width="14.5546875" style="3" bestFit="1"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1007</v>
      </c>
      <c r="B8" s="68"/>
      <c r="C8" s="69"/>
      <c r="D8" s="69"/>
    </row>
    <row r="9" spans="1:12" s="4" customFormat="1" ht="19.2" x14ac:dyDescent="0.45">
      <c r="A9" s="67" t="s">
        <v>1008</v>
      </c>
      <c r="B9" s="68"/>
      <c r="C9" s="69"/>
      <c r="D9" s="69"/>
    </row>
    <row r="10" spans="1:12" s="4" customFormat="1" ht="19.2" x14ac:dyDescent="0.45">
      <c r="A10" s="67" t="s">
        <v>762</v>
      </c>
      <c r="B10" s="68"/>
      <c r="C10" s="69"/>
      <c r="D10" s="69"/>
    </row>
    <row r="11" spans="1:12" s="4" customFormat="1" ht="19.2" x14ac:dyDescent="0.45">
      <c r="A11" s="67" t="s">
        <v>85</v>
      </c>
      <c r="B11" s="68"/>
      <c r="C11" s="70"/>
      <c r="D11" s="69"/>
    </row>
    <row r="12" spans="1:12" s="4" customFormat="1" ht="15" customHeight="1" x14ac:dyDescent="0.45">
      <c r="A12" s="67" t="s">
        <v>38</v>
      </c>
      <c r="B12" s="68"/>
      <c r="C12" s="70"/>
      <c r="D12" s="69"/>
    </row>
    <row r="13" spans="1:12" s="4" customFormat="1" ht="19.2" x14ac:dyDescent="0.45">
      <c r="A13" s="71" t="s">
        <v>1009</v>
      </c>
      <c r="B13" s="72"/>
      <c r="C13" s="73"/>
      <c r="D13" s="74"/>
      <c r="E13" s="10"/>
      <c r="F13" s="10"/>
      <c r="G13" s="10"/>
    </row>
    <row r="14" spans="1:12" s="4" customFormat="1" ht="19.2" x14ac:dyDescent="0.4">
      <c r="A14" s="744" t="s">
        <v>40</v>
      </c>
      <c r="B14" s="745"/>
      <c r="C14" s="746"/>
      <c r="D14" s="747"/>
      <c r="E14" s="1"/>
      <c r="F14" s="1"/>
      <c r="G14" s="1"/>
      <c r="H14" s="10"/>
      <c r="I14" s="10"/>
      <c r="J14" s="10"/>
      <c r="K14" s="10"/>
      <c r="L14" s="10"/>
    </row>
    <row r="15" spans="1:12" s="10" customFormat="1" ht="13.8" x14ac:dyDescent="0.25">
      <c r="A15" s="14"/>
      <c r="B15" s="15"/>
      <c r="C15" s="16"/>
      <c r="D15" s="16"/>
      <c r="E15" s="17"/>
      <c r="F15" s="23"/>
      <c r="G15" s="23"/>
      <c r="H15" s="1"/>
      <c r="I15" s="1"/>
      <c r="J15" s="1"/>
      <c r="K15" s="1"/>
      <c r="L15" s="1"/>
    </row>
    <row r="16" spans="1:12" ht="106.2" x14ac:dyDescent="0.25">
      <c r="A16" s="80">
        <v>1</v>
      </c>
      <c r="B16" s="167" t="s">
        <v>1006</v>
      </c>
      <c r="C16" s="653">
        <f>20000+20000+12000+15000+62000</f>
        <v>129000</v>
      </c>
      <c r="D16" s="678">
        <f>A16*C16</f>
        <v>129000</v>
      </c>
      <c r="E16" s="17"/>
      <c r="H16" s="23"/>
      <c r="I16" s="23"/>
      <c r="J16" s="23"/>
      <c r="K16" s="23"/>
      <c r="L16" s="23"/>
    </row>
    <row r="17" spans="1:13" s="23" customFormat="1" ht="15.6" x14ac:dyDescent="0.25">
      <c r="A17" s="684">
        <v>24</v>
      </c>
      <c r="B17" s="685" t="s">
        <v>867</v>
      </c>
      <c r="C17" s="686">
        <v>1250</v>
      </c>
      <c r="D17" s="678">
        <f>A17*C17</f>
        <v>30000</v>
      </c>
      <c r="E17" s="17"/>
      <c r="F17" s="1"/>
      <c r="G17" s="1"/>
    </row>
    <row r="18" spans="1:13" s="23" customFormat="1" ht="15.6" x14ac:dyDescent="0.3">
      <c r="A18" s="161"/>
      <c r="B18" s="682"/>
      <c r="C18" s="90" t="s">
        <v>49</v>
      </c>
      <c r="D18" s="87">
        <f>SUM(D15:D17)</f>
        <v>159000</v>
      </c>
      <c r="E18" s="13"/>
      <c r="F18" s="1"/>
      <c r="G18" s="1"/>
      <c r="H18" s="1"/>
      <c r="I18" s="1"/>
      <c r="J18" s="1"/>
      <c r="K18" s="1"/>
      <c r="L18" s="1"/>
    </row>
    <row r="19" spans="1:13" s="23" customFormat="1" ht="15.6" x14ac:dyDescent="0.3">
      <c r="A19" s="161"/>
      <c r="B19" s="682"/>
      <c r="C19" s="90" t="s">
        <v>1051</v>
      </c>
      <c r="D19" s="87">
        <f>D18*0.95</f>
        <v>151050</v>
      </c>
      <c r="E19" s="13"/>
      <c r="F19" s="1"/>
      <c r="G19" s="1"/>
      <c r="H19" s="1"/>
      <c r="I19" s="1"/>
      <c r="J19" s="1"/>
      <c r="K19" s="1"/>
      <c r="L19" s="1"/>
    </row>
    <row r="20" spans="1:13" s="23" customFormat="1" ht="15.6" x14ac:dyDescent="0.3">
      <c r="A20" s="161"/>
      <c r="B20" s="682"/>
      <c r="C20" s="90" t="s">
        <v>51</v>
      </c>
      <c r="D20" s="87">
        <f>D19*0.16</f>
        <v>24168</v>
      </c>
      <c r="E20" s="13"/>
      <c r="F20" s="1"/>
      <c r="G20" s="1"/>
      <c r="H20" s="1"/>
      <c r="I20" s="1"/>
      <c r="J20" s="1"/>
      <c r="K20" s="1"/>
      <c r="L20" s="1"/>
    </row>
    <row r="21" spans="1:13" s="23" customFormat="1" ht="16.2" thickBot="1" x14ac:dyDescent="0.35">
      <c r="A21" s="161"/>
      <c r="B21" s="683"/>
      <c r="C21" s="90" t="s">
        <v>77</v>
      </c>
      <c r="D21" s="87">
        <f>D18+D20</f>
        <v>183168</v>
      </c>
      <c r="E21" s="13"/>
      <c r="F21" s="1"/>
      <c r="G21" s="1"/>
      <c r="H21" s="1"/>
      <c r="I21" s="1"/>
      <c r="J21" s="1"/>
      <c r="K21" s="1"/>
      <c r="L21" s="1"/>
      <c r="M21" s="1"/>
    </row>
    <row r="22" spans="1:13" s="23" customFormat="1" ht="16.2" thickBot="1" x14ac:dyDescent="0.3">
      <c r="A22" s="116"/>
      <c r="B22" s="802" t="s">
        <v>1052</v>
      </c>
      <c r="C22" s="803"/>
      <c r="D22" s="804"/>
      <c r="E22" s="13"/>
      <c r="F22" s="1"/>
      <c r="G22" s="1"/>
      <c r="H22" s="1"/>
      <c r="I22" s="1"/>
      <c r="J22" s="1"/>
      <c r="K22" s="1"/>
      <c r="L22" s="1"/>
      <c r="M22" s="1"/>
    </row>
    <row r="23" spans="1:13" s="23" customFormat="1" ht="106.2" x14ac:dyDescent="0.25">
      <c r="A23" s="80">
        <v>1</v>
      </c>
      <c r="B23" s="167" t="s">
        <v>1006</v>
      </c>
      <c r="C23" s="653">
        <f>20000+20000+12000+15000+62000</f>
        <v>129000</v>
      </c>
      <c r="D23" s="678">
        <f>A23*C23</f>
        <v>129000</v>
      </c>
      <c r="E23" s="1"/>
      <c r="F23" s="1"/>
      <c r="G23" s="1"/>
      <c r="H23" s="1"/>
      <c r="I23" s="1"/>
      <c r="J23" s="1"/>
      <c r="K23" s="1"/>
      <c r="L23" s="1"/>
      <c r="M23" s="1"/>
    </row>
    <row r="24" spans="1:13" s="23" customFormat="1" ht="15.6" x14ac:dyDescent="0.25">
      <c r="A24" s="684">
        <v>48</v>
      </c>
      <c r="B24" s="685" t="s">
        <v>867</v>
      </c>
      <c r="C24" s="686">
        <v>1250</v>
      </c>
      <c r="D24" s="678">
        <f>A24*C24</f>
        <v>60000</v>
      </c>
      <c r="E24" s="1"/>
      <c r="F24" s="1"/>
      <c r="G24" s="1"/>
      <c r="H24" s="1"/>
      <c r="I24" s="1"/>
      <c r="J24" s="1"/>
      <c r="K24" s="1"/>
      <c r="L24" s="1"/>
      <c r="M24" s="1"/>
    </row>
    <row r="25" spans="1:13" s="23" customFormat="1" ht="15.6" x14ac:dyDescent="0.3">
      <c r="A25" s="161"/>
      <c r="B25" s="682"/>
      <c r="C25" s="90" t="s">
        <v>49</v>
      </c>
      <c r="D25" s="87">
        <f>SUM(D22:D24)</f>
        <v>189000</v>
      </c>
      <c r="E25" s="1"/>
      <c r="F25" s="1"/>
      <c r="G25" s="1"/>
      <c r="H25" s="1"/>
      <c r="I25" s="1"/>
      <c r="J25" s="1"/>
      <c r="K25" s="1"/>
      <c r="L25" s="1"/>
      <c r="M25" s="1"/>
    </row>
    <row r="26" spans="1:13" s="23" customFormat="1" ht="15.6" x14ac:dyDescent="0.3">
      <c r="A26" s="161"/>
      <c r="B26" s="682"/>
      <c r="C26" s="90" t="s">
        <v>1051</v>
      </c>
      <c r="D26" s="87">
        <f>D25*0.95</f>
        <v>179550</v>
      </c>
      <c r="E26" s="1"/>
      <c r="F26" s="1"/>
      <c r="G26" s="1"/>
      <c r="H26" s="1"/>
      <c r="I26" s="1"/>
      <c r="J26" s="1"/>
      <c r="K26" s="1"/>
      <c r="L26" s="1"/>
      <c r="M26" s="1"/>
    </row>
    <row r="27" spans="1:13" s="23" customFormat="1" ht="15.6" x14ac:dyDescent="0.3">
      <c r="A27" s="161"/>
      <c r="B27" s="682"/>
      <c r="C27" s="90" t="s">
        <v>51</v>
      </c>
      <c r="D27" s="87">
        <f>D26*0.16</f>
        <v>28728</v>
      </c>
      <c r="E27" s="1"/>
      <c r="F27" s="1"/>
      <c r="G27" s="1"/>
      <c r="H27" s="1"/>
      <c r="I27" s="1"/>
      <c r="J27" s="1"/>
      <c r="K27" s="1"/>
      <c r="L27" s="1"/>
      <c r="M27" s="1"/>
    </row>
    <row r="28" spans="1:13" s="23" customFormat="1" ht="16.2" thickBot="1" x14ac:dyDescent="0.35">
      <c r="A28" s="161"/>
      <c r="B28" s="683"/>
      <c r="C28" s="90" t="s">
        <v>77</v>
      </c>
      <c r="D28" s="87">
        <f>D25+D27</f>
        <v>217728</v>
      </c>
      <c r="E28" s="1"/>
      <c r="F28" s="1"/>
      <c r="G28" s="1"/>
      <c r="H28" s="1"/>
      <c r="I28" s="1"/>
      <c r="J28" s="1"/>
      <c r="K28" s="1"/>
      <c r="L28" s="1"/>
      <c r="M28" s="1"/>
    </row>
    <row r="29" spans="1:13" s="23" customFormat="1" ht="16.2" thickBot="1" x14ac:dyDescent="0.3">
      <c r="A29" s="116"/>
      <c r="B29" s="802" t="s">
        <v>1088</v>
      </c>
      <c r="C29" s="803"/>
      <c r="D29" s="804"/>
      <c r="E29" s="1"/>
      <c r="F29" s="1"/>
      <c r="G29" s="1"/>
      <c r="H29" s="1"/>
      <c r="I29" s="1"/>
      <c r="J29" s="1"/>
      <c r="K29" s="1"/>
      <c r="L29" s="1"/>
      <c r="M29" s="1"/>
    </row>
    <row r="30" spans="1:13" s="23" customFormat="1" x14ac:dyDescent="0.25">
      <c r="A30" s="34"/>
      <c r="B30" s="655"/>
      <c r="C30" s="163"/>
      <c r="D30" s="164"/>
      <c r="E30" s="13"/>
      <c r="F30" s="1"/>
      <c r="G30" s="1"/>
      <c r="H30" s="1"/>
      <c r="I30" s="1"/>
      <c r="J30" s="1"/>
      <c r="K30" s="1"/>
      <c r="L30" s="1"/>
      <c r="M30" s="1"/>
    </row>
    <row r="31" spans="1:13" ht="13.8" x14ac:dyDescent="0.25">
      <c r="A31" s="34"/>
      <c r="B31" s="135" t="s">
        <v>15</v>
      </c>
      <c r="C31" s="165"/>
      <c r="D31" s="56"/>
      <c r="E31" s="13"/>
    </row>
    <row r="32" spans="1:13" ht="15" x14ac:dyDescent="0.25">
      <c r="A32" s="62"/>
      <c r="B32" s="135" t="s">
        <v>17</v>
      </c>
      <c r="D32" s="56"/>
    </row>
    <row r="33" spans="1:4" ht="15" x14ac:dyDescent="0.25">
      <c r="A33" s="62"/>
      <c r="B33" s="191" t="s">
        <v>289</v>
      </c>
      <c r="D33" s="56"/>
    </row>
    <row r="34" spans="1:4" ht="15" x14ac:dyDescent="0.25">
      <c r="A34" s="62"/>
      <c r="B34" s="191" t="s">
        <v>21</v>
      </c>
      <c r="D34" s="56"/>
    </row>
    <row r="35" spans="1:4" ht="15" x14ac:dyDescent="0.25">
      <c r="A35" s="62"/>
      <c r="B35" s="191" t="s">
        <v>60</v>
      </c>
      <c r="D35" s="56"/>
    </row>
    <row r="36" spans="1:4" ht="13.8" x14ac:dyDescent="0.25">
      <c r="B36" s="135" t="s">
        <v>23</v>
      </c>
    </row>
    <row r="37" spans="1:4" ht="27.6" x14ac:dyDescent="0.25">
      <c r="A37" s="62"/>
      <c r="B37" s="187" t="s">
        <v>950</v>
      </c>
    </row>
    <row r="38" spans="1:4" ht="15" x14ac:dyDescent="0.25">
      <c r="A38" s="62"/>
      <c r="B38" s="187" t="s">
        <v>951</v>
      </c>
      <c r="C38" s="54"/>
      <c r="D38" s="58"/>
    </row>
    <row r="39" spans="1:4" ht="15" x14ac:dyDescent="0.25">
      <c r="A39" s="62"/>
      <c r="B39" s="135" t="s">
        <v>26</v>
      </c>
      <c r="C39" s="54"/>
      <c r="D39" s="58"/>
    </row>
    <row r="40" spans="1:4" ht="27.6" x14ac:dyDescent="0.25">
      <c r="A40" s="62"/>
      <c r="B40" s="189" t="s">
        <v>567</v>
      </c>
      <c r="C40" s="54"/>
      <c r="D40" s="54"/>
    </row>
    <row r="41" spans="1:4" ht="15" x14ac:dyDescent="0.25">
      <c r="A41" s="62"/>
      <c r="B41" s="189" t="s">
        <v>28</v>
      </c>
      <c r="C41" s="54"/>
      <c r="D41" s="54"/>
    </row>
    <row r="42" spans="1:4" ht="13.5" customHeight="1" x14ac:dyDescent="0.25">
      <c r="B42" s="135" t="s">
        <v>29</v>
      </c>
      <c r="D42" s="56"/>
    </row>
    <row r="43" spans="1:4" ht="15" x14ac:dyDescent="0.25">
      <c r="A43" s="62"/>
      <c r="B43" s="190" t="s">
        <v>81</v>
      </c>
      <c r="C43" s="54"/>
      <c r="D43" s="58"/>
    </row>
    <row r="44" spans="1:4" ht="15" x14ac:dyDescent="0.25">
      <c r="A44" s="62"/>
      <c r="B44" s="191" t="s">
        <v>31</v>
      </c>
      <c r="C44" s="54"/>
      <c r="D44" s="58"/>
    </row>
    <row r="45" spans="1:4" ht="13.8" x14ac:dyDescent="0.25">
      <c r="A45" s="139" t="s">
        <v>0</v>
      </c>
      <c r="B45" s="191" t="s">
        <v>32</v>
      </c>
      <c r="C45" s="54"/>
    </row>
    <row r="46" spans="1:4" ht="50.4" x14ac:dyDescent="0.25">
      <c r="A46" s="142"/>
      <c r="B46" s="193" t="s">
        <v>65</v>
      </c>
      <c r="C46" s="141"/>
      <c r="D46" s="1"/>
    </row>
    <row r="47" spans="1:4" x14ac:dyDescent="0.25">
      <c r="A47" s="142"/>
      <c r="B47" s="64"/>
      <c r="C47" s="64"/>
      <c r="D47" s="1"/>
    </row>
    <row r="48" spans="1:4" ht="18" customHeight="1" x14ac:dyDescent="0.25">
      <c r="A48" s="142"/>
      <c r="B48" s="64"/>
      <c r="C48" s="64"/>
      <c r="D48" s="1"/>
    </row>
    <row r="49" spans="1:4" x14ac:dyDescent="0.25">
      <c r="A49" s="144"/>
      <c r="B49" s="143"/>
      <c r="C49" s="64"/>
      <c r="D49" s="1"/>
    </row>
    <row r="50" spans="1:4" ht="15" x14ac:dyDescent="0.35">
      <c r="A50" s="146" t="s">
        <v>0</v>
      </c>
      <c r="B50" s="145"/>
      <c r="C50" s="64"/>
      <c r="D50" s="64"/>
    </row>
    <row r="51" spans="1:4" x14ac:dyDescent="0.25">
      <c r="A51" s="1" t="s">
        <v>0</v>
      </c>
    </row>
    <row r="61" spans="1:4" ht="12.75" customHeight="1" x14ac:dyDescent="0.25"/>
    <row r="65" ht="16.5" customHeight="1" x14ac:dyDescent="0.25"/>
    <row r="69" ht="15.75" customHeight="1" x14ac:dyDescent="0.25"/>
    <row r="70" ht="15" customHeight="1" x14ac:dyDescent="0.25"/>
  </sheetData>
  <mergeCells count="4">
    <mergeCell ref="A4:D4"/>
    <mergeCell ref="A14:D14"/>
    <mergeCell ref="B22:D22"/>
    <mergeCell ref="B29:D29"/>
  </mergeCells>
  <printOptions horizontalCentered="1"/>
  <pageMargins left="0" right="0" top="0" bottom="0" header="0" footer="0"/>
  <pageSetup paperSize="9" scale="76" fitToHeight="0" orientation="portrait" r:id="rId1"/>
  <headerFooter alignWithMargins="0">
    <oddFooter>Página &amp;P de &amp;N</oddFooter>
  </headerFooter>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48514-CB05-4510-A4EA-3517B1A92A70}">
  <sheetPr>
    <tabColor theme="4" tint="-0.249977111117893"/>
    <pageSetUpPr fitToPage="1"/>
  </sheetPr>
  <dimension ref="A1:F76"/>
  <sheetViews>
    <sheetView topLeftCell="A33" zoomScaleNormal="100" workbookViewId="0">
      <selection activeCell="F36" sqref="F36"/>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760</v>
      </c>
      <c r="B7" s="4"/>
      <c r="C7" s="227"/>
      <c r="D7" s="227"/>
    </row>
    <row r="8" spans="1:6" s="224" customFormat="1" ht="16.8" x14ac:dyDescent="0.4">
      <c r="A8" s="5" t="s">
        <v>761</v>
      </c>
      <c r="B8" s="4"/>
      <c r="C8" s="227"/>
      <c r="D8" s="227"/>
    </row>
    <row r="9" spans="1:6" s="224" customFormat="1" ht="16.8" x14ac:dyDescent="0.4">
      <c r="A9" s="5" t="s">
        <v>762</v>
      </c>
      <c r="B9" s="4"/>
      <c r="C9" s="227"/>
      <c r="D9" s="227"/>
    </row>
    <row r="10" spans="1:6" s="224" customFormat="1" ht="16.8" x14ac:dyDescent="0.4">
      <c r="A10" s="5" t="s">
        <v>293</v>
      </c>
      <c r="B10" s="4"/>
      <c r="C10" s="228"/>
      <c r="D10" s="227"/>
    </row>
    <row r="11" spans="1:6" s="224" customFormat="1" ht="16.8" x14ac:dyDescent="0.4">
      <c r="A11" s="8" t="s">
        <v>583</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3.8" x14ac:dyDescent="0.25">
      <c r="A15" s="236">
        <v>1</v>
      </c>
      <c r="B15" s="237" t="s">
        <v>1054</v>
      </c>
      <c r="C15" s="238">
        <f>(57149)*(1.35)</f>
        <v>77151.150000000009</v>
      </c>
      <c r="D15" s="239">
        <f t="shared" ref="D15:D44" si="0">A15*C15</f>
        <v>77151.150000000009</v>
      </c>
      <c r="E15" s="234"/>
      <c r="F15" s="222"/>
    </row>
    <row r="16" spans="1:6" x14ac:dyDescent="0.25">
      <c r="A16" s="240"/>
      <c r="B16" s="241" t="s">
        <v>1053</v>
      </c>
      <c r="C16" s="238"/>
      <c r="D16" s="239"/>
      <c r="E16" s="233"/>
      <c r="F16" s="242"/>
    </row>
    <row r="17" spans="1:5" s="242" customFormat="1" ht="16.5" customHeight="1" x14ac:dyDescent="0.25">
      <c r="A17" s="240">
        <v>1</v>
      </c>
      <c r="B17" s="241" t="s">
        <v>1055</v>
      </c>
      <c r="C17" s="238">
        <f>(29728)*(1.35)</f>
        <v>40132.800000000003</v>
      </c>
      <c r="D17" s="239">
        <f t="shared" si="0"/>
        <v>40132.800000000003</v>
      </c>
      <c r="E17" s="233"/>
    </row>
    <row r="18" spans="1:5" ht="13.5" customHeight="1" x14ac:dyDescent="0.25">
      <c r="A18" s="243">
        <v>1</v>
      </c>
      <c r="B18" s="244" t="s">
        <v>1056</v>
      </c>
      <c r="C18" s="238">
        <f>(6688)*(1.35)</f>
        <v>9028.8000000000011</v>
      </c>
      <c r="D18" s="239">
        <f t="shared" si="0"/>
        <v>9028.8000000000011</v>
      </c>
      <c r="E18" s="13"/>
    </row>
    <row r="19" spans="1:5" ht="13.5" customHeight="1" x14ac:dyDescent="0.25">
      <c r="A19" s="243">
        <v>2</v>
      </c>
      <c r="B19" s="244" t="s">
        <v>1057</v>
      </c>
      <c r="C19" s="238">
        <f>(5300)*(1.35)</f>
        <v>7155.0000000000009</v>
      </c>
      <c r="D19" s="239">
        <f t="shared" si="0"/>
        <v>14310.000000000002</v>
      </c>
      <c r="E19" s="233"/>
    </row>
    <row r="20" spans="1:5" ht="13.5" customHeight="1" x14ac:dyDescent="0.25">
      <c r="A20" s="243"/>
      <c r="B20" s="244"/>
      <c r="C20" s="245"/>
      <c r="D20" s="246">
        <f t="shared" si="0"/>
        <v>0</v>
      </c>
      <c r="E20" s="233"/>
    </row>
    <row r="21" spans="1:5" ht="13.5" customHeight="1" x14ac:dyDescent="0.25">
      <c r="A21" s="243"/>
      <c r="B21" s="244"/>
      <c r="C21" s="245"/>
      <c r="D21" s="246"/>
      <c r="E21" s="233"/>
    </row>
    <row r="22" spans="1:5" x14ac:dyDescent="0.25">
      <c r="A22" s="243"/>
      <c r="B22" s="244"/>
      <c r="C22" s="245"/>
      <c r="D22" s="246"/>
      <c r="E22" s="233"/>
    </row>
    <row r="23" spans="1:5" x14ac:dyDescent="0.25">
      <c r="A23" s="243"/>
      <c r="B23" s="244"/>
      <c r="C23" s="245"/>
      <c r="D23" s="246"/>
      <c r="E23" s="233"/>
    </row>
    <row r="24" spans="1:5" x14ac:dyDescent="0.25">
      <c r="A24" s="247">
        <v>290</v>
      </c>
      <c r="B24" s="248" t="s">
        <v>1058</v>
      </c>
      <c r="C24" s="249">
        <f>617*1.33</f>
        <v>820.61</v>
      </c>
      <c r="D24" s="250">
        <f>A24*C24</f>
        <v>237976.9</v>
      </c>
      <c r="E24" s="233"/>
    </row>
    <row r="25" spans="1:5" ht="26.4" x14ac:dyDescent="0.25">
      <c r="A25" s="243">
        <v>270</v>
      </c>
      <c r="B25" s="244" t="s">
        <v>774</v>
      </c>
      <c r="C25" s="245">
        <v>80</v>
      </c>
      <c r="D25" s="246">
        <f>A25*C25</f>
        <v>21600</v>
      </c>
      <c r="E25" s="233"/>
    </row>
    <row r="26" spans="1:5" x14ac:dyDescent="0.25">
      <c r="A26" s="243"/>
      <c r="B26" s="244" t="s">
        <v>151</v>
      </c>
      <c r="C26" s="245"/>
      <c r="D26" s="246"/>
      <c r="E26" s="233"/>
    </row>
    <row r="27" spans="1:5" x14ac:dyDescent="0.25">
      <c r="A27" s="243">
        <v>1</v>
      </c>
      <c r="B27" s="244" t="s">
        <v>472</v>
      </c>
      <c r="C27" s="245">
        <v>4230</v>
      </c>
      <c r="D27" s="246">
        <f t="shared" si="0"/>
        <v>4230</v>
      </c>
      <c r="E27" s="233"/>
    </row>
    <row r="28" spans="1:5" ht="26.4" x14ac:dyDescent="0.25">
      <c r="A28" s="243"/>
      <c r="B28" s="244" t="s">
        <v>153</v>
      </c>
      <c r="C28" s="245"/>
      <c r="D28" s="246"/>
      <c r="E28" s="233"/>
    </row>
    <row r="29" spans="1:5" x14ac:dyDescent="0.25">
      <c r="A29" s="243">
        <v>2</v>
      </c>
      <c r="B29" s="244" t="s">
        <v>154</v>
      </c>
      <c r="C29" s="245">
        <v>2680</v>
      </c>
      <c r="D29" s="246">
        <f t="shared" si="0"/>
        <v>5360</v>
      </c>
      <c r="E29" s="233"/>
    </row>
    <row r="30" spans="1:5" x14ac:dyDescent="0.25">
      <c r="A30" s="243">
        <v>290</v>
      </c>
      <c r="B30" s="244" t="s">
        <v>155</v>
      </c>
      <c r="C30" s="245">
        <v>25.6</v>
      </c>
      <c r="D30" s="246">
        <f t="shared" si="0"/>
        <v>7424</v>
      </c>
      <c r="E30" s="233"/>
    </row>
    <row r="31" spans="1:5" ht="26.4" x14ac:dyDescent="0.25">
      <c r="A31" s="243">
        <v>1</v>
      </c>
      <c r="B31" s="244" t="s">
        <v>775</v>
      </c>
      <c r="C31" s="238">
        <f>6392*18*1.3</f>
        <v>149572.80000000002</v>
      </c>
      <c r="D31" s="246">
        <f t="shared" si="0"/>
        <v>149572.80000000002</v>
      </c>
      <c r="E31" s="233"/>
    </row>
    <row r="32" spans="1:5" x14ac:dyDescent="0.25">
      <c r="A32" s="243">
        <v>1</v>
      </c>
      <c r="B32" s="244" t="s">
        <v>1059</v>
      </c>
      <c r="C32" s="238">
        <f>(8320)*1.3</f>
        <v>10816</v>
      </c>
      <c r="D32" s="246">
        <f t="shared" si="0"/>
        <v>10816</v>
      </c>
      <c r="E32" s="233"/>
    </row>
    <row r="33" spans="1:5" ht="52.8" x14ac:dyDescent="0.25">
      <c r="A33" s="243">
        <v>1</v>
      </c>
      <c r="B33" s="244" t="s">
        <v>158</v>
      </c>
      <c r="C33" s="238">
        <v>5892</v>
      </c>
      <c r="D33" s="246">
        <f t="shared" si="0"/>
        <v>5892</v>
      </c>
      <c r="E33" s="233"/>
    </row>
    <row r="34" spans="1:5" x14ac:dyDescent="0.25">
      <c r="A34" s="243">
        <v>1</v>
      </c>
      <c r="B34" s="244" t="s">
        <v>1071</v>
      </c>
      <c r="C34" s="245">
        <f>6200*1.4</f>
        <v>8680</v>
      </c>
      <c r="D34" s="246">
        <f t="shared" si="0"/>
        <v>8680</v>
      </c>
      <c r="E34" s="233"/>
    </row>
    <row r="35" spans="1:5" x14ac:dyDescent="0.25">
      <c r="A35" s="243">
        <v>2</v>
      </c>
      <c r="B35" s="244" t="s">
        <v>1060</v>
      </c>
      <c r="C35" s="245">
        <f>1800*1.4</f>
        <v>2520</v>
      </c>
      <c r="D35" s="246">
        <f t="shared" si="0"/>
        <v>5040</v>
      </c>
      <c r="E35" s="233"/>
    </row>
    <row r="36" spans="1:5" x14ac:dyDescent="0.25">
      <c r="A36" s="243">
        <v>1</v>
      </c>
      <c r="B36" s="244" t="s">
        <v>161</v>
      </c>
      <c r="C36" s="245">
        <v>1543</v>
      </c>
      <c r="D36" s="246">
        <f t="shared" si="0"/>
        <v>1543</v>
      </c>
      <c r="E36" s="233"/>
    </row>
    <row r="37" spans="1:5" x14ac:dyDescent="0.25">
      <c r="A37" s="243">
        <v>1</v>
      </c>
      <c r="B37" s="244" t="s">
        <v>1061</v>
      </c>
      <c r="C37" s="245">
        <f>6354*1.3</f>
        <v>8260.2000000000007</v>
      </c>
      <c r="D37" s="246">
        <f t="shared" si="0"/>
        <v>8260.2000000000007</v>
      </c>
      <c r="E37" s="233"/>
    </row>
    <row r="38" spans="1:5" x14ac:dyDescent="0.25">
      <c r="A38" s="243">
        <v>1</v>
      </c>
      <c r="B38" s="244" t="s">
        <v>1062</v>
      </c>
      <c r="C38" s="245">
        <f>2957*1.3</f>
        <v>3844.1</v>
      </c>
      <c r="D38" s="246">
        <f t="shared" si="0"/>
        <v>3844.1</v>
      </c>
      <c r="E38" s="233"/>
    </row>
    <row r="39" spans="1:5" x14ac:dyDescent="0.25">
      <c r="A39" s="243">
        <v>1</v>
      </c>
      <c r="B39" s="244" t="s">
        <v>484</v>
      </c>
      <c r="C39" s="245">
        <f>4057.81*1.3</f>
        <v>5275.1530000000002</v>
      </c>
      <c r="D39" s="246">
        <f t="shared" si="0"/>
        <v>5275.1530000000002</v>
      </c>
      <c r="E39" s="233"/>
    </row>
    <row r="40" spans="1:5" x14ac:dyDescent="0.25">
      <c r="A40" s="243">
        <v>1</v>
      </c>
      <c r="B40" s="244" t="s">
        <v>164</v>
      </c>
      <c r="C40" s="245">
        <f>2495.54*1.3</f>
        <v>3244.2020000000002</v>
      </c>
      <c r="D40" s="246">
        <f t="shared" si="0"/>
        <v>3244.2020000000002</v>
      </c>
      <c r="E40" s="233"/>
    </row>
    <row r="41" spans="1:5" x14ac:dyDescent="0.25">
      <c r="A41" s="243">
        <v>8</v>
      </c>
      <c r="B41" s="244" t="s">
        <v>1063</v>
      </c>
      <c r="C41" s="245">
        <f>27*1.4</f>
        <v>37.799999999999997</v>
      </c>
      <c r="D41" s="246">
        <f t="shared" si="0"/>
        <v>302.39999999999998</v>
      </c>
      <c r="E41" s="233"/>
    </row>
    <row r="42" spans="1:5" x14ac:dyDescent="0.25">
      <c r="A42" s="243">
        <v>1</v>
      </c>
      <c r="B42" s="244" t="s">
        <v>1064</v>
      </c>
      <c r="C42" s="245">
        <f>24*1.4</f>
        <v>33.599999999999994</v>
      </c>
      <c r="D42" s="246">
        <f t="shared" si="0"/>
        <v>33.599999999999994</v>
      </c>
      <c r="E42" s="233"/>
    </row>
    <row r="43" spans="1:5" x14ac:dyDescent="0.25">
      <c r="A43" s="243">
        <v>56</v>
      </c>
      <c r="B43" s="244" t="s">
        <v>1065</v>
      </c>
      <c r="C43" s="245">
        <v>28</v>
      </c>
      <c r="D43" s="246">
        <f t="shared" si="0"/>
        <v>1568</v>
      </c>
      <c r="E43" s="233"/>
    </row>
    <row r="44" spans="1:5" x14ac:dyDescent="0.25">
      <c r="A44" s="243">
        <v>6</v>
      </c>
      <c r="B44" s="244" t="s">
        <v>168</v>
      </c>
      <c r="C44" s="245">
        <v>14</v>
      </c>
      <c r="D44" s="246">
        <f t="shared" si="0"/>
        <v>84</v>
      </c>
      <c r="E44" s="233"/>
    </row>
    <row r="45" spans="1:5" x14ac:dyDescent="0.25">
      <c r="A45" s="243"/>
      <c r="B45" s="243"/>
      <c r="C45" s="243"/>
      <c r="D45" s="246"/>
      <c r="E45" s="233"/>
    </row>
    <row r="46" spans="1:5" x14ac:dyDescent="0.25">
      <c r="A46" s="251"/>
      <c r="B46" s="252"/>
      <c r="C46" s="253" t="s">
        <v>170</v>
      </c>
      <c r="D46" s="254">
        <f>SUM(D15:D45)</f>
        <v>621369.1050000001</v>
      </c>
      <c r="E46" s="255"/>
    </row>
    <row r="47" spans="1:5" x14ac:dyDescent="0.25">
      <c r="A47" s="38"/>
      <c r="B47" s="38"/>
      <c r="C47" s="253" t="s">
        <v>13</v>
      </c>
      <c r="D47" s="254">
        <f>D46*0.16</f>
        <v>99419.05680000002</v>
      </c>
    </row>
    <row r="48" spans="1:5" ht="13.8" thickBot="1" x14ac:dyDescent="0.3">
      <c r="A48" s="38"/>
      <c r="B48" s="256"/>
      <c r="C48" s="257" t="s">
        <v>14</v>
      </c>
      <c r="D48" s="258">
        <f>D46+D47</f>
        <v>720788.16180000012</v>
      </c>
    </row>
    <row r="49" spans="1:4" ht="13.8" thickBot="1" x14ac:dyDescent="0.3">
      <c r="A49" s="38"/>
      <c r="B49" s="766" t="s">
        <v>786</v>
      </c>
      <c r="C49" s="767"/>
      <c r="D49" s="768"/>
    </row>
    <row r="50" spans="1:4" ht="15.75" customHeight="1" x14ac:dyDescent="0.25">
      <c r="A50" s="38"/>
      <c r="B50" s="39" t="s">
        <v>15</v>
      </c>
      <c r="C50" s="40"/>
      <c r="D50" s="259"/>
    </row>
    <row r="51" spans="1:4" ht="17.399999999999999" x14ac:dyDescent="0.25">
      <c r="A51" s="42"/>
      <c r="B51" s="43" t="s">
        <v>16</v>
      </c>
      <c r="C51" s="255"/>
      <c r="D51" s="260"/>
    </row>
    <row r="52" spans="1:4" ht="15" x14ac:dyDescent="0.25">
      <c r="A52" s="46"/>
      <c r="B52" s="52" t="s">
        <v>17</v>
      </c>
      <c r="D52" s="260"/>
    </row>
    <row r="53" spans="1:4" ht="15" x14ac:dyDescent="0.25">
      <c r="A53" s="46"/>
      <c r="B53" s="50" t="s">
        <v>19</v>
      </c>
      <c r="D53" s="260"/>
    </row>
    <row r="54" spans="1:4" ht="15" x14ac:dyDescent="0.25">
      <c r="A54" s="46"/>
      <c r="B54" s="50" t="s">
        <v>21</v>
      </c>
      <c r="D54" s="260"/>
    </row>
    <row r="55" spans="1:4" ht="15" x14ac:dyDescent="0.25">
      <c r="A55" s="46"/>
      <c r="B55" s="261" t="s">
        <v>172</v>
      </c>
      <c r="D55" s="260"/>
    </row>
    <row r="56" spans="1:4" ht="13.8" x14ac:dyDescent="0.25">
      <c r="A56" s="51"/>
      <c r="B56" s="52" t="s">
        <v>23</v>
      </c>
    </row>
    <row r="57" spans="1:4" ht="27.6" x14ac:dyDescent="0.25">
      <c r="A57" s="51"/>
      <c r="B57" s="643" t="s">
        <v>779</v>
      </c>
    </row>
    <row r="58" spans="1:4" ht="41.4" x14ac:dyDescent="0.25">
      <c r="A58" s="51"/>
      <c r="B58" s="641" t="s">
        <v>780</v>
      </c>
    </row>
    <row r="59" spans="1:4" ht="41.4" x14ac:dyDescent="0.25">
      <c r="A59" s="51"/>
      <c r="B59" s="642" t="s">
        <v>781</v>
      </c>
    </row>
    <row r="60" spans="1:4" ht="15" customHeight="1" x14ac:dyDescent="0.25">
      <c r="A60" s="46"/>
      <c r="B60" s="55" t="s">
        <v>24</v>
      </c>
    </row>
    <row r="61" spans="1:4" ht="41.4" x14ac:dyDescent="0.25">
      <c r="A61" s="46"/>
      <c r="B61" s="55" t="s">
        <v>25</v>
      </c>
      <c r="C61" s="57"/>
      <c r="D61" s="262"/>
    </row>
    <row r="62" spans="1:4" ht="15" x14ac:dyDescent="0.25">
      <c r="A62" s="46"/>
      <c r="B62" s="52" t="s">
        <v>26</v>
      </c>
      <c r="C62" s="57"/>
      <c r="D62" s="262"/>
    </row>
    <row r="63" spans="1:4" ht="15" x14ac:dyDescent="0.25">
      <c r="A63" s="46"/>
      <c r="B63" s="59" t="s">
        <v>173</v>
      </c>
      <c r="C63" s="57"/>
      <c r="D63" s="57"/>
    </row>
    <row r="64" spans="1:4" ht="15" x14ac:dyDescent="0.25">
      <c r="A64" s="46"/>
      <c r="B64" s="60" t="s">
        <v>28</v>
      </c>
      <c r="C64" s="57"/>
      <c r="D64" s="57"/>
    </row>
    <row r="65" spans="1:4" ht="13.8" x14ac:dyDescent="0.25">
      <c r="A65" s="51"/>
      <c r="B65" s="52" t="s">
        <v>29</v>
      </c>
      <c r="D65" s="260"/>
    </row>
    <row r="66" spans="1:4" ht="27.6" x14ac:dyDescent="0.25">
      <c r="A66" s="644"/>
      <c r="B66" s="643" t="s">
        <v>784</v>
      </c>
      <c r="C66" s="645"/>
      <c r="D66" s="262"/>
    </row>
    <row r="67" spans="1:4" ht="15" x14ac:dyDescent="0.25">
      <c r="A67" s="46"/>
      <c r="B67" s="61" t="s">
        <v>30</v>
      </c>
      <c r="C67" s="57"/>
      <c r="D67" s="262"/>
    </row>
    <row r="68" spans="1:4" ht="15" x14ac:dyDescent="0.25">
      <c r="A68" s="46"/>
      <c r="B68" s="50" t="s">
        <v>31</v>
      </c>
      <c r="C68" s="57"/>
      <c r="D68" s="64"/>
    </row>
    <row r="69" spans="1:4" ht="15" x14ac:dyDescent="0.25">
      <c r="A69" s="62"/>
      <c r="B69" s="63" t="s">
        <v>32</v>
      </c>
      <c r="C69" s="3"/>
      <c r="D69" s="57"/>
    </row>
    <row r="70" spans="1:4" ht="33.6" x14ac:dyDescent="0.25">
      <c r="A70" s="65" t="s">
        <v>0</v>
      </c>
      <c r="B70" s="66" t="s">
        <v>33</v>
      </c>
      <c r="C70" s="57"/>
      <c r="D70" s="265"/>
    </row>
    <row r="71" spans="1:4" ht="16.8" x14ac:dyDescent="0.4">
      <c r="A71" s="263"/>
      <c r="B71" s="264"/>
      <c r="C71" s="265"/>
      <c r="D71" s="222"/>
    </row>
    <row r="72" spans="1:4" x14ac:dyDescent="0.25">
      <c r="A72" s="266"/>
      <c r="B72" s="267"/>
      <c r="C72" s="267"/>
      <c r="D72" s="222"/>
    </row>
    <row r="73" spans="1:4" x14ac:dyDescent="0.25">
      <c r="A73" s="266"/>
      <c r="B73" s="267"/>
      <c r="C73" s="267"/>
      <c r="D73" s="222"/>
    </row>
    <row r="74" spans="1:4" x14ac:dyDescent="0.25">
      <c r="A74" s="268"/>
      <c r="B74" s="269"/>
      <c r="C74" s="267"/>
      <c r="D74" s="267"/>
    </row>
    <row r="75" spans="1:4" ht="15" x14ac:dyDescent="0.35">
      <c r="A75" s="270" t="s">
        <v>0</v>
      </c>
      <c r="B75" s="271"/>
      <c r="C75" s="267"/>
    </row>
    <row r="76" spans="1:4" x14ac:dyDescent="0.25">
      <c r="A76" s="222" t="s">
        <v>0</v>
      </c>
    </row>
  </sheetData>
  <mergeCells count="2">
    <mergeCell ref="A4:D4"/>
    <mergeCell ref="B49:D49"/>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0315-F3D3-4319-ADAF-4E7B13A3A4AA}">
  <sheetPr>
    <tabColor theme="4" tint="-0.249977111117893"/>
    <pageSetUpPr fitToPage="1"/>
  </sheetPr>
  <dimension ref="A1:F72"/>
  <sheetViews>
    <sheetView zoomScaleNormal="100" workbookViewId="0">
      <selection activeCell="G26" sqref="G26:G27"/>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760</v>
      </c>
      <c r="B7" s="4"/>
      <c r="C7" s="227"/>
      <c r="D7" s="227"/>
    </row>
    <row r="8" spans="1:6" s="224" customFormat="1" ht="16.8" x14ac:dyDescent="0.4">
      <c r="A8" s="5" t="s">
        <v>761</v>
      </c>
      <c r="B8" s="4"/>
      <c r="C8" s="227"/>
      <c r="D8" s="227"/>
    </row>
    <row r="9" spans="1:6" s="224" customFormat="1" ht="16.8" x14ac:dyDescent="0.4">
      <c r="A9" s="5" t="s">
        <v>762</v>
      </c>
      <c r="B9" s="4"/>
      <c r="C9" s="227"/>
      <c r="D9" s="227"/>
    </row>
    <row r="10" spans="1:6" s="224" customFormat="1" ht="16.8" x14ac:dyDescent="0.4">
      <c r="A10" s="5" t="s">
        <v>293</v>
      </c>
      <c r="B10" s="4"/>
      <c r="C10" s="228"/>
      <c r="D10" s="227"/>
    </row>
    <row r="11" spans="1:6" s="224" customFormat="1" ht="16.8" x14ac:dyDescent="0.4">
      <c r="A11" s="8" t="s">
        <v>583</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3.8" x14ac:dyDescent="0.25">
      <c r="A15" s="236">
        <v>1</v>
      </c>
      <c r="B15" s="237" t="s">
        <v>1067</v>
      </c>
      <c r="C15" s="238">
        <f>(81234)*(1.35)</f>
        <v>109665.90000000001</v>
      </c>
      <c r="D15" s="239">
        <f t="shared" ref="D15:D44" si="0">A15*C15</f>
        <v>109665.90000000001</v>
      </c>
      <c r="E15" s="234"/>
      <c r="F15" s="222"/>
    </row>
    <row r="16" spans="1:6" x14ac:dyDescent="0.25">
      <c r="A16" s="240"/>
      <c r="B16" s="241" t="s">
        <v>1068</v>
      </c>
      <c r="C16" s="238"/>
      <c r="D16" s="239"/>
      <c r="E16" s="233"/>
      <c r="F16" s="242"/>
    </row>
    <row r="17" spans="1:5" s="242" customFormat="1" ht="16.5" customHeight="1" x14ac:dyDescent="0.25">
      <c r="A17" s="240">
        <v>1</v>
      </c>
      <c r="B17" s="241" t="s">
        <v>1069</v>
      </c>
      <c r="C17" s="238">
        <f>(94247)*(1.35)</f>
        <v>127233.45000000001</v>
      </c>
      <c r="D17" s="239">
        <f t="shared" si="0"/>
        <v>127233.45000000001</v>
      </c>
      <c r="E17" s="233"/>
    </row>
    <row r="18" spans="1:5" ht="13.5" customHeight="1" x14ac:dyDescent="0.25">
      <c r="A18" s="243">
        <v>2</v>
      </c>
      <c r="B18" s="244" t="s">
        <v>766</v>
      </c>
      <c r="C18" s="238">
        <f>(6688)*(1.35)</f>
        <v>9028.8000000000011</v>
      </c>
      <c r="D18" s="239">
        <f t="shared" si="0"/>
        <v>18057.600000000002</v>
      </c>
      <c r="E18" s="13"/>
    </row>
    <row r="19" spans="1:5" ht="13.5" customHeight="1" x14ac:dyDescent="0.25">
      <c r="A19" s="243">
        <v>1</v>
      </c>
      <c r="B19" s="244" t="s">
        <v>767</v>
      </c>
      <c r="C19" s="238">
        <f>(5300)*(1.35)</f>
        <v>7155.0000000000009</v>
      </c>
      <c r="D19" s="239">
        <f t="shared" si="0"/>
        <v>7155.0000000000009</v>
      </c>
      <c r="E19" s="233"/>
    </row>
    <row r="20" spans="1:5" ht="13.5" customHeight="1" x14ac:dyDescent="0.25">
      <c r="A20" s="243"/>
      <c r="B20" s="244"/>
      <c r="C20" s="245"/>
      <c r="D20" s="246"/>
      <c r="E20" s="233"/>
    </row>
    <row r="21" spans="1:5" ht="13.5" customHeight="1" x14ac:dyDescent="0.25">
      <c r="A21" s="243"/>
      <c r="B21" s="244"/>
      <c r="C21" s="245"/>
      <c r="D21" s="246"/>
      <c r="E21" s="233"/>
    </row>
    <row r="22" spans="1:5" x14ac:dyDescent="0.25">
      <c r="A22" s="243"/>
      <c r="B22" s="244"/>
      <c r="C22" s="245"/>
      <c r="D22" s="246"/>
      <c r="E22" s="233"/>
    </row>
    <row r="23" spans="1:5" x14ac:dyDescent="0.25">
      <c r="A23" s="243"/>
      <c r="B23" s="244"/>
      <c r="C23" s="245"/>
      <c r="D23" s="246"/>
      <c r="E23" s="233"/>
    </row>
    <row r="24" spans="1:5" x14ac:dyDescent="0.25">
      <c r="A24" s="247">
        <v>290</v>
      </c>
      <c r="B24" s="248" t="s">
        <v>1073</v>
      </c>
      <c r="C24" s="249">
        <f>617*1.33</f>
        <v>820.61</v>
      </c>
      <c r="D24" s="250">
        <f>A24*C24</f>
        <v>237976.9</v>
      </c>
      <c r="E24" s="233"/>
    </row>
    <row r="25" spans="1:5" ht="26.4" x14ac:dyDescent="0.25">
      <c r="A25" s="243">
        <v>270</v>
      </c>
      <c r="B25" s="244" t="s">
        <v>774</v>
      </c>
      <c r="C25" s="245">
        <v>80</v>
      </c>
      <c r="D25" s="246">
        <f>A25*C25</f>
        <v>21600</v>
      </c>
      <c r="E25" s="233"/>
    </row>
    <row r="26" spans="1:5" x14ac:dyDescent="0.25">
      <c r="A26" s="243"/>
      <c r="B26" s="244" t="s">
        <v>151</v>
      </c>
      <c r="C26" s="245"/>
      <c r="D26" s="246"/>
      <c r="E26" s="233"/>
    </row>
    <row r="27" spans="1:5" x14ac:dyDescent="0.25">
      <c r="A27" s="243">
        <v>1</v>
      </c>
      <c r="B27" s="244" t="s">
        <v>472</v>
      </c>
      <c r="C27" s="245">
        <v>6345</v>
      </c>
      <c r="D27" s="246">
        <f t="shared" ref="D27:D29" si="1">A27*C27</f>
        <v>6345</v>
      </c>
      <c r="E27" s="233"/>
    </row>
    <row r="28" spans="1:5" ht="26.4" x14ac:dyDescent="0.25">
      <c r="A28" s="243"/>
      <c r="B28" s="244" t="s">
        <v>1072</v>
      </c>
      <c r="C28" s="245"/>
      <c r="D28" s="246"/>
      <c r="E28" s="233"/>
    </row>
    <row r="29" spans="1:5" x14ac:dyDescent="0.25">
      <c r="A29" s="243">
        <v>2</v>
      </c>
      <c r="B29" s="244" t="s">
        <v>154</v>
      </c>
      <c r="C29" s="245">
        <v>2680</v>
      </c>
      <c r="D29" s="246">
        <f t="shared" si="1"/>
        <v>5360</v>
      </c>
      <c r="E29" s="233"/>
    </row>
    <row r="30" spans="1:5" x14ac:dyDescent="0.25">
      <c r="A30" s="243">
        <v>290</v>
      </c>
      <c r="B30" s="244" t="s">
        <v>1066</v>
      </c>
      <c r="C30" s="245">
        <v>41.8</v>
      </c>
      <c r="D30" s="246">
        <f t="shared" si="0"/>
        <v>12122</v>
      </c>
      <c r="E30" s="233"/>
    </row>
    <row r="31" spans="1:5" ht="26.4" x14ac:dyDescent="0.25">
      <c r="A31" s="243">
        <v>1</v>
      </c>
      <c r="B31" s="244" t="s">
        <v>1070</v>
      </c>
      <c r="C31" s="238">
        <f>6392*18*1.3</f>
        <v>149572.80000000002</v>
      </c>
      <c r="D31" s="246">
        <f t="shared" si="0"/>
        <v>149572.80000000002</v>
      </c>
      <c r="E31" s="233"/>
    </row>
    <row r="32" spans="1:5" x14ac:dyDescent="0.25">
      <c r="A32" s="243">
        <v>1</v>
      </c>
      <c r="B32" s="244" t="s">
        <v>782</v>
      </c>
      <c r="C32" s="238">
        <f>(21825)*1.3</f>
        <v>28372.5</v>
      </c>
      <c r="D32" s="246">
        <f t="shared" si="0"/>
        <v>28372.5</v>
      </c>
      <c r="E32" s="233"/>
    </row>
    <row r="33" spans="1:5" ht="52.8" x14ac:dyDescent="0.25">
      <c r="A33" s="243">
        <v>1</v>
      </c>
      <c r="B33" s="244" t="s">
        <v>158</v>
      </c>
      <c r="C33" s="238">
        <v>8214</v>
      </c>
      <c r="D33" s="246">
        <f t="shared" si="0"/>
        <v>8214</v>
      </c>
      <c r="E33" s="233"/>
    </row>
    <row r="34" spans="1:5" x14ac:dyDescent="0.25">
      <c r="A34" s="243">
        <v>1</v>
      </c>
      <c r="B34" s="244" t="s">
        <v>1071</v>
      </c>
      <c r="C34" s="245">
        <f>6200*1.4</f>
        <v>8680</v>
      </c>
      <c r="D34" s="246">
        <f t="shared" si="0"/>
        <v>8680</v>
      </c>
      <c r="E34" s="233"/>
    </row>
    <row r="35" spans="1:5" x14ac:dyDescent="0.25">
      <c r="A35" s="243">
        <v>2</v>
      </c>
      <c r="B35" s="244" t="s">
        <v>1060</v>
      </c>
      <c r="C35" s="245">
        <f>1800*1.4</f>
        <v>2520</v>
      </c>
      <c r="D35" s="246">
        <f t="shared" si="0"/>
        <v>5040</v>
      </c>
      <c r="E35" s="233"/>
    </row>
    <row r="36" spans="1:5" x14ac:dyDescent="0.25">
      <c r="A36" s="243">
        <v>1</v>
      </c>
      <c r="B36" s="244" t="s">
        <v>161</v>
      </c>
      <c r="C36" s="245">
        <v>1543</v>
      </c>
      <c r="D36" s="246">
        <f t="shared" si="0"/>
        <v>1543</v>
      </c>
      <c r="E36" s="233"/>
    </row>
    <row r="37" spans="1:5" x14ac:dyDescent="0.25">
      <c r="A37" s="243">
        <v>1</v>
      </c>
      <c r="B37" s="244" t="s">
        <v>1061</v>
      </c>
      <c r="C37" s="245">
        <f>6354*1.3</f>
        <v>8260.2000000000007</v>
      </c>
      <c r="D37" s="246">
        <f t="shared" si="0"/>
        <v>8260.2000000000007</v>
      </c>
      <c r="E37" s="233"/>
    </row>
    <row r="38" spans="1:5" x14ac:dyDescent="0.25">
      <c r="A38" s="243">
        <v>1</v>
      </c>
      <c r="B38" s="244" t="s">
        <v>1062</v>
      </c>
      <c r="C38" s="245">
        <f>2957*1.3</f>
        <v>3844.1</v>
      </c>
      <c r="D38" s="246">
        <f t="shared" si="0"/>
        <v>3844.1</v>
      </c>
      <c r="E38" s="233"/>
    </row>
    <row r="39" spans="1:5" x14ac:dyDescent="0.25">
      <c r="A39" s="243">
        <v>1</v>
      </c>
      <c r="B39" s="244" t="s">
        <v>484</v>
      </c>
      <c r="C39" s="245">
        <f>4057.81*1.3</f>
        <v>5275.1530000000002</v>
      </c>
      <c r="D39" s="246">
        <f t="shared" si="0"/>
        <v>5275.1530000000002</v>
      </c>
      <c r="E39" s="233"/>
    </row>
    <row r="40" spans="1:5" x14ac:dyDescent="0.25">
      <c r="A40" s="243">
        <v>1</v>
      </c>
      <c r="B40" s="244" t="s">
        <v>164</v>
      </c>
      <c r="C40" s="245">
        <f>2495.54*1.3</f>
        <v>3244.2020000000002</v>
      </c>
      <c r="D40" s="246">
        <f t="shared" si="0"/>
        <v>3244.2020000000002</v>
      </c>
      <c r="E40" s="233"/>
    </row>
    <row r="41" spans="1:5" x14ac:dyDescent="0.25">
      <c r="A41" s="243">
        <v>8</v>
      </c>
      <c r="B41" s="244" t="s">
        <v>1063</v>
      </c>
      <c r="C41" s="245">
        <f>27*1.4</f>
        <v>37.799999999999997</v>
      </c>
      <c r="D41" s="246">
        <f t="shared" si="0"/>
        <v>302.39999999999998</v>
      </c>
      <c r="E41" s="233"/>
    </row>
    <row r="42" spans="1:5" x14ac:dyDescent="0.25">
      <c r="A42" s="243">
        <v>1</v>
      </c>
      <c r="B42" s="244" t="s">
        <v>1064</v>
      </c>
      <c r="C42" s="245">
        <f>24*1.4</f>
        <v>33.599999999999994</v>
      </c>
      <c r="D42" s="246">
        <f t="shared" si="0"/>
        <v>33.599999999999994</v>
      </c>
      <c r="E42" s="233"/>
    </row>
    <row r="43" spans="1:5" x14ac:dyDescent="0.25">
      <c r="A43" s="243">
        <v>56</v>
      </c>
      <c r="B43" s="244" t="s">
        <v>1065</v>
      </c>
      <c r="C43" s="245">
        <v>28</v>
      </c>
      <c r="D43" s="246">
        <f t="shared" si="0"/>
        <v>1568</v>
      </c>
      <c r="E43" s="255"/>
    </row>
    <row r="44" spans="1:5" x14ac:dyDescent="0.25">
      <c r="A44" s="243">
        <v>6</v>
      </c>
      <c r="B44" s="244" t="s">
        <v>168</v>
      </c>
      <c r="C44" s="245">
        <v>14</v>
      </c>
      <c r="D44" s="246">
        <f t="shared" si="0"/>
        <v>84</v>
      </c>
    </row>
    <row r="45" spans="1:5" x14ac:dyDescent="0.25">
      <c r="A45" s="243"/>
      <c r="B45" s="243"/>
      <c r="C45" s="243"/>
      <c r="D45" s="246"/>
    </row>
    <row r="46" spans="1:5" x14ac:dyDescent="0.25">
      <c r="A46" s="251"/>
      <c r="B46" s="252"/>
      <c r="C46" s="253" t="s">
        <v>170</v>
      </c>
      <c r="D46" s="254">
        <f>SUM(D15:D45)</f>
        <v>769549.80500000017</v>
      </c>
    </row>
    <row r="47" spans="1:5" x14ac:dyDescent="0.25">
      <c r="A47" s="38"/>
      <c r="B47" s="38"/>
      <c r="C47" s="253" t="s">
        <v>13</v>
      </c>
      <c r="D47" s="254">
        <f>D46*0.16</f>
        <v>123127.96880000003</v>
      </c>
    </row>
    <row r="48" spans="1:5" ht="13.8" thickBot="1" x14ac:dyDescent="0.3">
      <c r="A48" s="38"/>
      <c r="B48" s="256"/>
      <c r="C48" s="257" t="s">
        <v>14</v>
      </c>
      <c r="D48" s="258">
        <f>D46+D47</f>
        <v>892677.7738000002</v>
      </c>
    </row>
    <row r="49" spans="1:4" ht="13.8" thickBot="1" x14ac:dyDescent="0.3">
      <c r="A49" s="38"/>
      <c r="B49" s="766" t="s">
        <v>794</v>
      </c>
      <c r="C49" s="767"/>
      <c r="D49" s="768"/>
    </row>
    <row r="50" spans="1:4" ht="15.75" customHeight="1" x14ac:dyDescent="0.25">
      <c r="A50" s="38"/>
      <c r="B50" s="39" t="s">
        <v>15</v>
      </c>
      <c r="C50" s="40"/>
      <c r="D50" s="259"/>
    </row>
    <row r="51" spans="1:4" ht="17.399999999999999" x14ac:dyDescent="0.25">
      <c r="A51" s="42"/>
      <c r="B51" s="43" t="s">
        <v>16</v>
      </c>
      <c r="C51" s="255"/>
      <c r="D51" s="260"/>
    </row>
    <row r="52" spans="1:4" ht="15" x14ac:dyDescent="0.25">
      <c r="A52" s="46"/>
      <c r="B52" s="52" t="s">
        <v>17</v>
      </c>
      <c r="D52" s="260"/>
    </row>
    <row r="53" spans="1:4" ht="15" x14ac:dyDescent="0.25">
      <c r="A53" s="46"/>
      <c r="B53" s="50" t="s">
        <v>19</v>
      </c>
      <c r="D53" s="260"/>
    </row>
    <row r="54" spans="1:4" ht="15" x14ac:dyDescent="0.25">
      <c r="A54" s="46"/>
      <c r="B54" s="50" t="s">
        <v>21</v>
      </c>
      <c r="D54" s="260"/>
    </row>
    <row r="55" spans="1:4" ht="15" x14ac:dyDescent="0.25">
      <c r="A55" s="46"/>
      <c r="B55" s="261" t="s">
        <v>172</v>
      </c>
      <c r="D55" s="260"/>
    </row>
    <row r="56" spans="1:4" ht="13.8" x14ac:dyDescent="0.25">
      <c r="A56" s="51"/>
      <c r="B56" s="52" t="s">
        <v>23</v>
      </c>
    </row>
    <row r="57" spans="1:4" ht="27.6" x14ac:dyDescent="0.25">
      <c r="A57" s="51"/>
      <c r="B57" s="643" t="s">
        <v>779</v>
      </c>
    </row>
    <row r="58" spans="1:4" ht="41.4" x14ac:dyDescent="0.25">
      <c r="A58" s="51"/>
      <c r="B58" s="641" t="s">
        <v>780</v>
      </c>
    </row>
    <row r="59" spans="1:4" ht="41.4" x14ac:dyDescent="0.25">
      <c r="A59" s="51"/>
      <c r="B59" s="642" t="s">
        <v>781</v>
      </c>
    </row>
    <row r="60" spans="1:4" ht="15" x14ac:dyDescent="0.25">
      <c r="A60" s="46"/>
      <c r="B60" s="59" t="s">
        <v>173</v>
      </c>
      <c r="C60" s="57"/>
      <c r="D60" s="57"/>
    </row>
    <row r="61" spans="1:4" ht="15" x14ac:dyDescent="0.25">
      <c r="A61" s="46"/>
      <c r="B61" s="60" t="s">
        <v>28</v>
      </c>
      <c r="C61" s="57"/>
      <c r="D61" s="57"/>
    </row>
    <row r="62" spans="1:4" ht="13.8" x14ac:dyDescent="0.25">
      <c r="A62" s="51"/>
      <c r="B62" s="52" t="s">
        <v>29</v>
      </c>
      <c r="D62" s="260"/>
    </row>
    <row r="63" spans="1:4" ht="27.6" x14ac:dyDescent="0.25">
      <c r="A63" s="644"/>
      <c r="B63" s="643" t="s">
        <v>784</v>
      </c>
      <c r="C63" s="57"/>
      <c r="D63" s="262"/>
    </row>
    <row r="64" spans="1:4" ht="15" x14ac:dyDescent="0.25">
      <c r="A64" s="46"/>
      <c r="B64" s="61" t="s">
        <v>30</v>
      </c>
      <c r="C64" s="57"/>
      <c r="D64" s="262"/>
    </row>
    <row r="65" spans="1:4" ht="15" x14ac:dyDescent="0.25">
      <c r="A65" s="46"/>
      <c r="B65" s="50" t="s">
        <v>31</v>
      </c>
      <c r="C65" s="3"/>
      <c r="D65" s="64"/>
    </row>
    <row r="66" spans="1:4" ht="15" x14ac:dyDescent="0.25">
      <c r="A66" s="62"/>
      <c r="B66" s="63" t="s">
        <v>32</v>
      </c>
      <c r="C66" s="57"/>
      <c r="D66" s="57"/>
    </row>
    <row r="67" spans="1:4" ht="33.6" x14ac:dyDescent="0.25">
      <c r="A67" s="65" t="s">
        <v>0</v>
      </c>
      <c r="B67" s="66" t="s">
        <v>33</v>
      </c>
      <c r="C67" s="265"/>
      <c r="D67" s="265"/>
    </row>
    <row r="68" spans="1:4" x14ac:dyDescent="0.25">
      <c r="A68" s="266"/>
      <c r="B68" s="267"/>
      <c r="C68" s="267"/>
      <c r="D68" s="222"/>
    </row>
    <row r="69" spans="1:4" x14ac:dyDescent="0.25">
      <c r="A69" s="266"/>
      <c r="B69" s="267"/>
      <c r="C69" s="267"/>
      <c r="D69" s="222"/>
    </row>
    <row r="70" spans="1:4" x14ac:dyDescent="0.25">
      <c r="A70" s="268"/>
      <c r="B70" s="269"/>
      <c r="C70" s="267"/>
      <c r="D70" s="222"/>
    </row>
    <row r="71" spans="1:4" ht="15" x14ac:dyDescent="0.35">
      <c r="A71" s="270" t="s">
        <v>0</v>
      </c>
      <c r="B71" s="271"/>
      <c r="C71" s="267"/>
      <c r="D71" s="267"/>
    </row>
    <row r="72" spans="1:4" x14ac:dyDescent="0.25">
      <c r="A72" s="222" t="s">
        <v>0</v>
      </c>
    </row>
  </sheetData>
  <mergeCells count="2">
    <mergeCell ref="A4:D4"/>
    <mergeCell ref="B49:D49"/>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78D0-88E9-4427-A2D1-7193A59C8B0C}">
  <sheetPr>
    <tabColor theme="4" tint="-0.249977111117893"/>
    <pageSetUpPr fitToPage="1"/>
  </sheetPr>
  <dimension ref="A1:F75"/>
  <sheetViews>
    <sheetView topLeftCell="A6" zoomScaleNormal="100" workbookViewId="0">
      <selection activeCell="A22" activeCellId="1" sqref="A15:D17 A22:D22"/>
    </sheetView>
  </sheetViews>
  <sheetFormatPr baseColWidth="10" defaultColWidth="11.44140625" defaultRowHeight="13.2" x14ac:dyDescent="0.25"/>
  <cols>
    <col min="1" max="1" width="6" style="1" customWidth="1"/>
    <col min="2" max="2" width="100.33203125" style="1" customWidth="1"/>
    <col min="3" max="3" width="12.6640625" style="3" customWidth="1"/>
    <col min="4" max="4" width="14.554687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748"/>
      <c r="B4" s="748"/>
      <c r="C4" s="748"/>
      <c r="D4" s="748"/>
    </row>
    <row r="5" spans="1:6" s="4" customFormat="1" ht="16.8" x14ac:dyDescent="0.4">
      <c r="A5" s="5"/>
      <c r="C5" s="6"/>
      <c r="D5" s="6"/>
    </row>
    <row r="6" spans="1:6" s="4" customFormat="1" ht="16.8" x14ac:dyDescent="0.4">
      <c r="A6" s="5"/>
      <c r="C6" s="6"/>
      <c r="D6" s="6"/>
    </row>
    <row r="7" spans="1:6" s="4" customFormat="1" ht="16.8" x14ac:dyDescent="0.4">
      <c r="A7" s="5"/>
      <c r="C7" s="6"/>
      <c r="D7" s="6"/>
    </row>
    <row r="8" spans="1:6" s="4" customFormat="1" ht="16.8" x14ac:dyDescent="0.4">
      <c r="A8" s="5" t="s">
        <v>760</v>
      </c>
      <c r="C8" s="6"/>
      <c r="D8" s="6"/>
    </row>
    <row r="9" spans="1:6" s="4" customFormat="1" ht="16.8" x14ac:dyDescent="0.4">
      <c r="A9" s="5" t="s">
        <v>761</v>
      </c>
      <c r="C9" s="6"/>
      <c r="D9" s="6"/>
    </row>
    <row r="10" spans="1:6" s="4" customFormat="1" ht="16.8" x14ac:dyDescent="0.4">
      <c r="A10" s="5" t="s">
        <v>762</v>
      </c>
      <c r="C10" s="6"/>
      <c r="D10" s="6"/>
    </row>
    <row r="11" spans="1:6" s="4" customFormat="1" ht="16.8" x14ac:dyDescent="0.4">
      <c r="A11" s="5" t="s">
        <v>293</v>
      </c>
      <c r="C11" s="7"/>
      <c r="D11" s="6"/>
    </row>
    <row r="12" spans="1:6" s="4" customFormat="1" ht="15" customHeight="1" x14ac:dyDescent="0.4">
      <c r="A12" s="8" t="s">
        <v>583</v>
      </c>
      <c r="B12" s="9"/>
      <c r="C12" s="351"/>
      <c r="D12" s="352"/>
    </row>
    <row r="13" spans="1:6" s="4" customFormat="1" ht="15" customHeight="1" x14ac:dyDescent="0.4">
      <c r="A13" s="229" t="s">
        <v>38</v>
      </c>
      <c r="B13" s="230"/>
      <c r="C13" s="231"/>
      <c r="D13" s="232"/>
    </row>
    <row r="14" spans="1:6" s="4" customFormat="1" ht="16.8" x14ac:dyDescent="0.4">
      <c r="A14" s="14"/>
      <c r="B14" s="15"/>
      <c r="C14" s="16"/>
      <c r="D14" s="16"/>
      <c r="E14" s="543"/>
      <c r="F14" s="10"/>
    </row>
    <row r="15" spans="1:6" s="10" customFormat="1" ht="13.8" x14ac:dyDescent="0.25">
      <c r="A15" s="236">
        <v>1</v>
      </c>
      <c r="B15" s="237" t="s">
        <v>769</v>
      </c>
      <c r="C15" s="238">
        <f>(112832)*(1.35)</f>
        <v>152323.20000000001</v>
      </c>
      <c r="D15" s="239">
        <f t="shared" ref="D15" si="0">A15*C15</f>
        <v>152323.20000000001</v>
      </c>
      <c r="E15" s="13"/>
      <c r="F15" s="1"/>
    </row>
    <row r="16" spans="1:6" x14ac:dyDescent="0.25">
      <c r="A16" s="240"/>
      <c r="B16" s="241" t="s">
        <v>787</v>
      </c>
      <c r="C16" s="238"/>
      <c r="D16" s="239"/>
      <c r="E16" s="17"/>
      <c r="F16" s="23"/>
    </row>
    <row r="17" spans="1:6" s="23" customFormat="1" ht="15.75" customHeight="1" x14ac:dyDescent="0.25">
      <c r="A17" s="240">
        <v>1</v>
      </c>
      <c r="B17" s="241" t="s">
        <v>791</v>
      </c>
      <c r="C17" s="509">
        <f>(4658*18*1.33)</f>
        <v>111512.52</v>
      </c>
      <c r="D17" s="397">
        <f>A17*C17</f>
        <v>111512.52</v>
      </c>
      <c r="E17" s="13"/>
      <c r="F17" s="1"/>
    </row>
    <row r="18" spans="1:6" ht="13.5" customHeight="1" x14ac:dyDescent="0.25">
      <c r="A18" s="236">
        <v>1</v>
      </c>
      <c r="B18" s="237" t="s">
        <v>554</v>
      </c>
      <c r="C18" s="509">
        <f>(6927*18*1.33)</f>
        <v>165832.38</v>
      </c>
      <c r="D18" s="397">
        <f>A18*C18</f>
        <v>165832.38</v>
      </c>
      <c r="E18" s="17"/>
    </row>
    <row r="19" spans="1:6" ht="13.5" customHeight="1" x14ac:dyDescent="0.25">
      <c r="A19" s="240"/>
      <c r="B19" s="241" t="s">
        <v>790</v>
      </c>
      <c r="C19" s="509"/>
      <c r="D19" s="397"/>
      <c r="E19" s="13"/>
    </row>
    <row r="20" spans="1:6" ht="13.5" customHeight="1" x14ac:dyDescent="0.25">
      <c r="A20" s="236">
        <v>1</v>
      </c>
      <c r="B20" s="237" t="s">
        <v>555</v>
      </c>
      <c r="C20" s="509">
        <f>(92848)*(1.3)</f>
        <v>120702.40000000001</v>
      </c>
      <c r="D20" s="239">
        <f>A20*C20</f>
        <v>120702.40000000001</v>
      </c>
      <c r="E20" s="13"/>
      <c r="F20" s="122"/>
    </row>
    <row r="21" spans="1:6" ht="13.5" customHeight="1" x14ac:dyDescent="0.25">
      <c r="A21" s="240"/>
      <c r="B21" s="241" t="s">
        <v>789</v>
      </c>
      <c r="C21" s="509"/>
      <c r="D21" s="239"/>
    </row>
    <row r="22" spans="1:6" ht="13.5" customHeight="1" x14ac:dyDescent="0.25">
      <c r="A22" s="236">
        <v>1</v>
      </c>
      <c r="B22" s="237" t="s">
        <v>555</v>
      </c>
      <c r="C22" s="238">
        <f>(87965)*(1.35)</f>
        <v>118752.75000000001</v>
      </c>
      <c r="D22" s="239">
        <f>A22*C22</f>
        <v>118752.75000000001</v>
      </c>
      <c r="E22" s="13"/>
    </row>
    <row r="23" spans="1:6" ht="13.5" customHeight="1" x14ac:dyDescent="0.25">
      <c r="A23" s="240"/>
      <c r="B23" s="241" t="s">
        <v>788</v>
      </c>
      <c r="C23" s="509"/>
      <c r="D23" s="239"/>
      <c r="E23" s="13"/>
    </row>
    <row r="24" spans="1:6" ht="13.5" customHeight="1" x14ac:dyDescent="0.25">
      <c r="A24" s="537"/>
      <c r="B24" s="540"/>
      <c r="C24" s="539"/>
      <c r="D24" s="538"/>
      <c r="E24" s="13"/>
    </row>
    <row r="25" spans="1:6" ht="18" customHeight="1" x14ac:dyDescent="0.25">
      <c r="A25" s="11" t="s">
        <v>7</v>
      </c>
      <c r="B25" s="11" t="s">
        <v>8</v>
      </c>
      <c r="C25" s="12" t="s">
        <v>9</v>
      </c>
      <c r="D25" s="12" t="s">
        <v>10</v>
      </c>
      <c r="E25" s="13"/>
    </row>
    <row r="26" spans="1:6" x14ac:dyDescent="0.25">
      <c r="A26" s="14"/>
      <c r="B26" s="15"/>
      <c r="C26" s="16"/>
      <c r="D26" s="16"/>
      <c r="E26" s="13"/>
    </row>
    <row r="27" spans="1:6" ht="13.5" customHeight="1" x14ac:dyDescent="0.25">
      <c r="A27" s="240">
        <v>1</v>
      </c>
      <c r="B27" s="241" t="s">
        <v>574</v>
      </c>
      <c r="C27" s="509">
        <f>(2450*18*1.2)</f>
        <v>52920</v>
      </c>
      <c r="D27" s="239">
        <f>A27*C27</f>
        <v>52920</v>
      </c>
      <c r="E27" s="13"/>
    </row>
    <row r="28" spans="1:6" x14ac:dyDescent="0.25">
      <c r="A28" s="240">
        <v>1</v>
      </c>
      <c r="B28" s="241" t="s">
        <v>764</v>
      </c>
      <c r="C28" s="238">
        <f>(39921)*(1.35)</f>
        <v>53893.350000000006</v>
      </c>
      <c r="D28" s="239">
        <f t="shared" ref="D28:D29" si="1">A28*C28</f>
        <v>53893.350000000006</v>
      </c>
      <c r="E28" s="13"/>
    </row>
    <row r="29" spans="1:6" x14ac:dyDescent="0.25">
      <c r="A29" s="240">
        <v>1</v>
      </c>
      <c r="B29" s="241" t="s">
        <v>770</v>
      </c>
      <c r="C29" s="238">
        <f>(84922)*(1.35)</f>
        <v>114644.70000000001</v>
      </c>
      <c r="D29" s="239">
        <f t="shared" si="1"/>
        <v>114644.70000000001</v>
      </c>
      <c r="E29" s="13"/>
    </row>
    <row r="30" spans="1:6" x14ac:dyDescent="0.25">
      <c r="A30" s="537"/>
      <c r="B30" s="537"/>
      <c r="C30" s="117"/>
      <c r="D30" s="536"/>
    </row>
    <row r="31" spans="1:6" ht="26.4" x14ac:dyDescent="0.25">
      <c r="A31" s="11" t="s">
        <v>7</v>
      </c>
      <c r="B31" s="11" t="s">
        <v>8</v>
      </c>
      <c r="C31" s="12" t="s">
        <v>9</v>
      </c>
      <c r="D31" s="12" t="s">
        <v>10</v>
      </c>
      <c r="E31" s="13"/>
    </row>
    <row r="32" spans="1:6" x14ac:dyDescent="0.25">
      <c r="A32" s="14"/>
      <c r="B32" s="15"/>
      <c r="C32" s="16"/>
      <c r="D32" s="16"/>
      <c r="E32" s="13"/>
    </row>
    <row r="33" spans="1:5" x14ac:dyDescent="0.25">
      <c r="A33" s="243">
        <v>200</v>
      </c>
      <c r="B33" s="244" t="s">
        <v>155</v>
      </c>
      <c r="C33" s="245">
        <v>25.6</v>
      </c>
      <c r="D33" s="246">
        <f t="shared" ref="D33" si="2">A33*C33</f>
        <v>5120</v>
      </c>
      <c r="E33" s="13"/>
    </row>
    <row r="34" spans="1:5" ht="13.8" thickBot="1" x14ac:dyDescent="0.3">
      <c r="A34" s="544">
        <v>200</v>
      </c>
      <c r="B34" s="545" t="s">
        <v>57</v>
      </c>
      <c r="C34" s="546">
        <v>43.8</v>
      </c>
      <c r="D34" s="547">
        <f>A34*C34</f>
        <v>8760</v>
      </c>
      <c r="E34" s="13"/>
    </row>
    <row r="35" spans="1:5" ht="13.8" thickBot="1" x14ac:dyDescent="0.3">
      <c r="A35" s="548">
        <v>1</v>
      </c>
      <c r="B35" s="549" t="s">
        <v>569</v>
      </c>
      <c r="C35" s="550">
        <f>2900*1.45</f>
        <v>4205</v>
      </c>
      <c r="D35" s="547">
        <f>A35*C35</f>
        <v>4205</v>
      </c>
    </row>
    <row r="36" spans="1:5" x14ac:dyDescent="0.25">
      <c r="A36" s="527"/>
      <c r="B36" s="527"/>
      <c r="C36" s="533"/>
      <c r="D36" s="533"/>
      <c r="E36" s="13"/>
    </row>
    <row r="37" spans="1:5" ht="26.4" x14ac:dyDescent="0.25">
      <c r="A37" s="11" t="s">
        <v>7</v>
      </c>
      <c r="B37" s="11" t="s">
        <v>8</v>
      </c>
      <c r="C37" s="12" t="s">
        <v>9</v>
      </c>
      <c r="D37" s="12" t="s">
        <v>10</v>
      </c>
      <c r="E37" s="13"/>
    </row>
    <row r="38" spans="1:5" x14ac:dyDescent="0.25">
      <c r="A38" s="14"/>
      <c r="B38" s="15"/>
      <c r="C38" s="16"/>
      <c r="D38" s="16"/>
    </row>
    <row r="39" spans="1:5" x14ac:dyDescent="0.25">
      <c r="A39" s="247">
        <v>210</v>
      </c>
      <c r="B39" s="248" t="s">
        <v>552</v>
      </c>
      <c r="C39" s="249">
        <f>(632)*(1.33)</f>
        <v>840.56000000000006</v>
      </c>
      <c r="D39" s="250">
        <f>A39*C39</f>
        <v>176517.6</v>
      </c>
    </row>
    <row r="40" spans="1:5" x14ac:dyDescent="0.25">
      <c r="A40" s="247">
        <v>210</v>
      </c>
      <c r="B40" s="248" t="s">
        <v>551</v>
      </c>
      <c r="C40" s="249">
        <f>(730)*(1.33)</f>
        <v>970.90000000000009</v>
      </c>
      <c r="D40" s="250">
        <f>A40*C40</f>
        <v>203889.00000000003</v>
      </c>
    </row>
    <row r="41" spans="1:5" x14ac:dyDescent="0.25">
      <c r="A41" s="247">
        <v>210</v>
      </c>
      <c r="B41" s="248" t="s">
        <v>772</v>
      </c>
      <c r="C41" s="249">
        <f>915*1.33</f>
        <v>1216.95</v>
      </c>
      <c r="D41" s="250">
        <f>A41*C41</f>
        <v>255559.5</v>
      </c>
    </row>
    <row r="42" spans="1:5" x14ac:dyDescent="0.25">
      <c r="A42" s="247">
        <v>210</v>
      </c>
      <c r="B42" s="248" t="s">
        <v>773</v>
      </c>
      <c r="C42" s="249">
        <f>1140*1.34</f>
        <v>1527.6000000000001</v>
      </c>
      <c r="D42" s="250">
        <f>A42*C42</f>
        <v>320796</v>
      </c>
    </row>
    <row r="43" spans="1:5" x14ac:dyDescent="0.25">
      <c r="A43" s="527"/>
      <c r="B43" s="526"/>
      <c r="C43" s="535"/>
      <c r="D43" s="533"/>
    </row>
    <row r="44" spans="1:5" ht="26.4" x14ac:dyDescent="0.25">
      <c r="A44" s="11" t="s">
        <v>7</v>
      </c>
      <c r="B44" s="11" t="s">
        <v>8</v>
      </c>
      <c r="C44" s="12" t="s">
        <v>9</v>
      </c>
      <c r="D44" s="12" t="s">
        <v>10</v>
      </c>
    </row>
    <row r="45" spans="1:5" x14ac:dyDescent="0.25">
      <c r="A45" s="14"/>
      <c r="B45" s="15"/>
      <c r="C45" s="16"/>
      <c r="D45" s="16"/>
    </row>
    <row r="46" spans="1:5" x14ac:dyDescent="0.25">
      <c r="A46" s="243">
        <v>1</v>
      </c>
      <c r="B46" s="244" t="s">
        <v>766</v>
      </c>
      <c r="C46" s="238">
        <f>(9627)*(1.35)</f>
        <v>12996.45</v>
      </c>
      <c r="D46" s="239">
        <f>A46*C46</f>
        <v>12996.45</v>
      </c>
    </row>
    <row r="47" spans="1:5" x14ac:dyDescent="0.25">
      <c r="A47" s="243">
        <v>1</v>
      </c>
      <c r="B47" s="244" t="s">
        <v>767</v>
      </c>
      <c r="C47" s="238">
        <f>(6200)*(1.35)</f>
        <v>8370</v>
      </c>
      <c r="D47" s="239">
        <f>A47*C47</f>
        <v>8370</v>
      </c>
    </row>
    <row r="48" spans="1:5" x14ac:dyDescent="0.25">
      <c r="A48" s="247">
        <v>1</v>
      </c>
      <c r="B48" s="248" t="s">
        <v>793</v>
      </c>
      <c r="C48" s="510">
        <f>(1787*18)*1.3</f>
        <v>41815.800000000003</v>
      </c>
      <c r="D48" s="250">
        <f>A48*C48</f>
        <v>41815.800000000003</v>
      </c>
    </row>
    <row r="49" spans="1:4" x14ac:dyDescent="0.25">
      <c r="A49" s="646">
        <v>1</v>
      </c>
      <c r="B49" s="526" t="s">
        <v>795</v>
      </c>
      <c r="C49" s="647">
        <v>53987</v>
      </c>
      <c r="D49" s="250">
        <f>A49*C49</f>
        <v>53987</v>
      </c>
    </row>
    <row r="50" spans="1:4" x14ac:dyDescent="0.25">
      <c r="A50" s="534"/>
      <c r="B50" s="527"/>
      <c r="C50" s="533"/>
      <c r="D50" s="532"/>
    </row>
    <row r="51" spans="1:4" ht="26.4" x14ac:dyDescent="0.25">
      <c r="A51" s="247">
        <v>1</v>
      </c>
      <c r="B51" s="248" t="s">
        <v>547</v>
      </c>
      <c r="C51" s="529">
        <v>35627</v>
      </c>
      <c r="D51" s="250">
        <f>A51*C51</f>
        <v>35627</v>
      </c>
    </row>
    <row r="52" spans="1:4" ht="26.4" x14ac:dyDescent="0.25">
      <c r="A52" s="247">
        <v>1</v>
      </c>
      <c r="B52" s="248" t="s">
        <v>546</v>
      </c>
      <c r="C52" s="529">
        <v>37861</v>
      </c>
      <c r="D52" s="250">
        <f>A52*C52</f>
        <v>37861</v>
      </c>
    </row>
    <row r="53" spans="1:4" x14ac:dyDescent="0.25">
      <c r="A53" s="247">
        <v>1</v>
      </c>
      <c r="B53" s="248" t="s">
        <v>545</v>
      </c>
      <c r="C53" s="510">
        <f>(2576.78*21)*(1.3)</f>
        <v>70346.094000000012</v>
      </c>
      <c r="D53" s="250">
        <f>A53*C53</f>
        <v>70346.094000000012</v>
      </c>
    </row>
    <row r="54" spans="1:4" x14ac:dyDescent="0.25">
      <c r="A54" s="531">
        <v>1</v>
      </c>
      <c r="B54" s="530" t="s">
        <v>544</v>
      </c>
      <c r="C54" s="529">
        <v>7300</v>
      </c>
      <c r="D54" s="528">
        <f>A54*C54</f>
        <v>7300</v>
      </c>
    </row>
    <row r="55" spans="1:4" ht="26.4" x14ac:dyDescent="0.25">
      <c r="A55" s="531"/>
      <c r="B55" s="530" t="s">
        <v>543</v>
      </c>
      <c r="C55" s="529"/>
      <c r="D55" s="528"/>
    </row>
    <row r="56" spans="1:4" x14ac:dyDescent="0.25">
      <c r="A56" s="527"/>
      <c r="B56" s="526"/>
      <c r="C56" s="525"/>
      <c r="D56" s="524"/>
    </row>
    <row r="57" spans="1:4" ht="13.8" x14ac:dyDescent="0.25">
      <c r="B57" s="135" t="s">
        <v>23</v>
      </c>
    </row>
    <row r="58" spans="1:4" ht="15" x14ac:dyDescent="0.25">
      <c r="A58" s="62"/>
      <c r="B58" s="187" t="s">
        <v>24</v>
      </c>
    </row>
    <row r="59" spans="1:4" ht="41.4" x14ac:dyDescent="0.25">
      <c r="A59" s="62"/>
      <c r="B59" s="187" t="s">
        <v>542</v>
      </c>
      <c r="C59" s="54"/>
      <c r="D59" s="58"/>
    </row>
    <row r="60" spans="1:4" ht="15" x14ac:dyDescent="0.25">
      <c r="A60" s="62"/>
      <c r="B60" s="135" t="s">
        <v>26</v>
      </c>
      <c r="C60" s="54"/>
      <c r="D60" s="58"/>
    </row>
    <row r="61" spans="1:4" ht="15" x14ac:dyDescent="0.25">
      <c r="A61" s="62"/>
      <c r="B61" s="293" t="s">
        <v>792</v>
      </c>
      <c r="C61" s="54"/>
      <c r="D61" s="54"/>
    </row>
    <row r="62" spans="1:4" ht="15" x14ac:dyDescent="0.25">
      <c r="A62" s="62"/>
      <c r="B62" s="189" t="s">
        <v>28</v>
      </c>
      <c r="C62" s="54"/>
      <c r="D62" s="54"/>
    </row>
    <row r="63" spans="1:4" ht="13.8" x14ac:dyDescent="0.25">
      <c r="B63" s="135" t="s">
        <v>29</v>
      </c>
      <c r="D63" s="56"/>
    </row>
    <row r="64" spans="1:4" ht="15" x14ac:dyDescent="0.25">
      <c r="A64" s="62"/>
      <c r="B64" s="191" t="s">
        <v>540</v>
      </c>
      <c r="C64" s="54"/>
      <c r="D64" s="58"/>
    </row>
    <row r="65" spans="1:4" ht="15" x14ac:dyDescent="0.25">
      <c r="A65" s="62"/>
      <c r="B65" s="191" t="s">
        <v>31</v>
      </c>
      <c r="C65" s="54"/>
      <c r="D65" s="58"/>
    </row>
    <row r="66" spans="1:4" ht="15" x14ac:dyDescent="0.25">
      <c r="A66" s="62"/>
      <c r="B66" s="191" t="s">
        <v>32</v>
      </c>
      <c r="D66" s="64"/>
    </row>
    <row r="67" spans="1:4" ht="33.6" x14ac:dyDescent="0.4">
      <c r="A67" s="62"/>
      <c r="B67" s="217" t="s">
        <v>33</v>
      </c>
      <c r="C67" s="54"/>
      <c r="D67" s="54"/>
    </row>
    <row r="68" spans="1:4" ht="16.8" x14ac:dyDescent="0.4">
      <c r="A68" s="62"/>
      <c r="B68" s="522"/>
      <c r="C68" s="141"/>
      <c r="D68" s="141"/>
    </row>
    <row r="69" spans="1:4" ht="13.8" x14ac:dyDescent="0.25">
      <c r="A69" s="139" t="s">
        <v>0</v>
      </c>
      <c r="B69" s="64"/>
      <c r="C69" s="64"/>
      <c r="D69" s="1"/>
    </row>
    <row r="70" spans="1:4" ht="13.8" x14ac:dyDescent="0.25">
      <c r="A70" s="521"/>
      <c r="B70" s="64"/>
      <c r="C70" s="64"/>
      <c r="D70" s="1"/>
    </row>
    <row r="71" spans="1:4" x14ac:dyDescent="0.25">
      <c r="A71" s="142"/>
      <c r="B71" s="143"/>
      <c r="C71" s="64"/>
      <c r="D71" s="1"/>
    </row>
    <row r="72" spans="1:4" ht="15" x14ac:dyDescent="0.35">
      <c r="A72" s="142"/>
      <c r="B72" s="145"/>
      <c r="C72" s="64"/>
      <c r="D72" s="64"/>
    </row>
    <row r="73" spans="1:4" x14ac:dyDescent="0.25">
      <c r="A73" s="144"/>
    </row>
    <row r="74" spans="1:4" x14ac:dyDescent="0.25">
      <c r="A74" s="146" t="s">
        <v>0</v>
      </c>
    </row>
    <row r="75" spans="1:4" x14ac:dyDescent="0.25">
      <c r="A75" s="1" t="s">
        <v>0</v>
      </c>
    </row>
  </sheetData>
  <mergeCells count="1">
    <mergeCell ref="A4:D4"/>
  </mergeCells>
  <printOptions horizontalCentered="1"/>
  <pageMargins left="0.59055118110236227" right="0.59055118110236227" top="0.19685039370078741" bottom="0.19685039370078741" header="0.19685039370078741" footer="0.19685039370078741"/>
  <pageSetup paperSize="9" scale="61" fitToWidth="0" orientation="portrait" r:id="rId1"/>
  <headerFooter alignWithMargins="0">
    <oddFooter>Página &amp;P de &amp;N</oddFooter>
  </headerFooter>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1E81-D151-48D2-97E1-6B52E1259716}">
  <sheetPr>
    <tabColor theme="4" tint="-0.249977111117893"/>
    <pageSetUpPr fitToPage="1"/>
  </sheetPr>
  <dimension ref="A1:F69"/>
  <sheetViews>
    <sheetView topLeftCell="A23" zoomScaleNormal="100" workbookViewId="0">
      <selection activeCell="A52" sqref="A52:C56"/>
    </sheetView>
  </sheetViews>
  <sheetFormatPr baseColWidth="10" defaultColWidth="10.33203125" defaultRowHeight="13.2" x14ac:dyDescent="0.25"/>
  <cols>
    <col min="1" max="1" width="5.44140625" style="222" customWidth="1"/>
    <col min="2" max="2" width="94.33203125" style="222" customWidth="1"/>
    <col min="3" max="3" width="14.6640625" style="53" customWidth="1"/>
    <col min="4" max="4" width="17.44140625" style="53" customWidth="1"/>
    <col min="5" max="16384" width="10.33203125" style="222"/>
  </cols>
  <sheetData>
    <row r="1" spans="1:6" ht="81" customHeight="1" x14ac:dyDescent="0.25">
      <c r="A1" s="222" t="s">
        <v>0</v>
      </c>
      <c r="C1" s="223"/>
    </row>
    <row r="2" spans="1:6" ht="9" customHeight="1" x14ac:dyDescent="0.25">
      <c r="C2" s="223"/>
    </row>
    <row r="3" spans="1:6" ht="9" customHeight="1" x14ac:dyDescent="0.25">
      <c r="C3" s="223"/>
    </row>
    <row r="4" spans="1:6" s="224" customFormat="1" ht="16.8" x14ac:dyDescent="0.4">
      <c r="A4" s="765"/>
      <c r="B4" s="765"/>
      <c r="C4" s="765"/>
      <c r="D4" s="765"/>
    </row>
    <row r="5" spans="1:6" s="224" customFormat="1" ht="16.8" x14ac:dyDescent="0.4">
      <c r="A5" s="225"/>
      <c r="C5" s="226"/>
      <c r="D5" s="226"/>
    </row>
    <row r="6" spans="1:6" s="224" customFormat="1" ht="16.8" x14ac:dyDescent="0.4">
      <c r="A6" s="225"/>
      <c r="C6" s="226"/>
      <c r="D6" s="226"/>
    </row>
    <row r="7" spans="1:6" s="224" customFormat="1" ht="16.8" x14ac:dyDescent="0.4">
      <c r="A7" s="5" t="s">
        <v>760</v>
      </c>
      <c r="B7" s="4"/>
      <c r="C7" s="227"/>
      <c r="D7" s="227"/>
    </row>
    <row r="8" spans="1:6" s="224" customFormat="1" ht="16.8" x14ac:dyDescent="0.4">
      <c r="A8" s="5" t="s">
        <v>761</v>
      </c>
      <c r="B8" s="4"/>
      <c r="C8" s="227"/>
      <c r="D8" s="227"/>
    </row>
    <row r="9" spans="1:6" s="224" customFormat="1" ht="16.8" x14ac:dyDescent="0.4">
      <c r="A9" s="5" t="s">
        <v>762</v>
      </c>
      <c r="B9" s="4"/>
      <c r="C9" s="227"/>
      <c r="D9" s="227"/>
    </row>
    <row r="10" spans="1:6" s="224" customFormat="1" ht="16.8" x14ac:dyDescent="0.4">
      <c r="A10" s="5" t="s">
        <v>293</v>
      </c>
      <c r="B10" s="4"/>
      <c r="C10" s="228"/>
      <c r="D10" s="227"/>
    </row>
    <row r="11" spans="1:6" s="224" customFormat="1" ht="16.8" x14ac:dyDescent="0.4">
      <c r="A11" s="8" t="s">
        <v>583</v>
      </c>
      <c r="B11" s="9"/>
      <c r="C11" s="228"/>
      <c r="D11" s="227"/>
    </row>
    <row r="12" spans="1:6" s="224" customFormat="1" ht="15" customHeight="1" x14ac:dyDescent="0.4">
      <c r="A12" s="229" t="s">
        <v>38</v>
      </c>
      <c r="B12" s="230"/>
      <c r="C12" s="231"/>
      <c r="D12" s="232"/>
    </row>
    <row r="13" spans="1:6" s="224" customFormat="1" ht="15" customHeight="1" x14ac:dyDescent="0.4">
      <c r="A13" s="11" t="s">
        <v>7</v>
      </c>
      <c r="B13" s="11" t="s">
        <v>8</v>
      </c>
      <c r="C13" s="12" t="s">
        <v>9</v>
      </c>
      <c r="D13" s="12" t="s">
        <v>10</v>
      </c>
      <c r="E13" s="233"/>
    </row>
    <row r="14" spans="1:6" s="224" customFormat="1" ht="11.25" customHeight="1" x14ac:dyDescent="0.4">
      <c r="A14" s="14"/>
      <c r="B14" s="15"/>
      <c r="C14" s="16"/>
      <c r="D14" s="16"/>
      <c r="E14" s="234"/>
      <c r="F14" s="235"/>
    </row>
    <row r="15" spans="1:6" s="235" customFormat="1" ht="13.8" x14ac:dyDescent="0.25">
      <c r="A15" s="236">
        <v>1</v>
      </c>
      <c r="B15" s="237" t="s">
        <v>769</v>
      </c>
      <c r="C15" s="238">
        <f>(112832)*(1.35)</f>
        <v>152323.20000000001</v>
      </c>
      <c r="D15" s="239">
        <f t="shared" ref="D15:D41" si="0">A15*C15</f>
        <v>152323.20000000001</v>
      </c>
      <c r="E15" s="234"/>
      <c r="F15" s="222"/>
    </row>
    <row r="16" spans="1:6" x14ac:dyDescent="0.25">
      <c r="A16" s="240"/>
      <c r="B16" s="241" t="s">
        <v>768</v>
      </c>
      <c r="C16" s="238"/>
      <c r="D16" s="239"/>
      <c r="E16" s="233"/>
      <c r="F16" s="242"/>
    </row>
    <row r="17" spans="1:5" s="242" customFormat="1" ht="16.5" customHeight="1" x14ac:dyDescent="0.25">
      <c r="A17" s="240">
        <v>1</v>
      </c>
      <c r="B17" s="241" t="s">
        <v>770</v>
      </c>
      <c r="C17" s="238">
        <f>(84922)*(1.35)</f>
        <v>114644.70000000001</v>
      </c>
      <c r="D17" s="239">
        <f t="shared" si="0"/>
        <v>114644.70000000001</v>
      </c>
      <c r="E17" s="233"/>
    </row>
    <row r="18" spans="1:5" ht="13.5" customHeight="1" x14ac:dyDescent="0.25">
      <c r="A18" s="243">
        <v>2</v>
      </c>
      <c r="B18" s="244" t="s">
        <v>766</v>
      </c>
      <c r="C18" s="238">
        <f>(9627)*(1.35)</f>
        <v>12996.45</v>
      </c>
      <c r="D18" s="239">
        <f t="shared" si="0"/>
        <v>25992.9</v>
      </c>
      <c r="E18" s="13"/>
    </row>
    <row r="19" spans="1:5" ht="13.5" customHeight="1" x14ac:dyDescent="0.25">
      <c r="A19" s="243">
        <v>1</v>
      </c>
      <c r="B19" s="244" t="s">
        <v>767</v>
      </c>
      <c r="C19" s="238">
        <f>(6200)*(1.35)</f>
        <v>8370</v>
      </c>
      <c r="D19" s="239">
        <f t="shared" si="0"/>
        <v>8370</v>
      </c>
      <c r="E19" s="233"/>
    </row>
    <row r="20" spans="1:5" ht="13.5" customHeight="1" x14ac:dyDescent="0.25">
      <c r="A20" s="243">
        <v>33</v>
      </c>
      <c r="B20" s="244" t="s">
        <v>785</v>
      </c>
      <c r="C20" s="245">
        <f>8200*1.33</f>
        <v>10906</v>
      </c>
      <c r="D20" s="246">
        <f t="shared" si="0"/>
        <v>359898</v>
      </c>
      <c r="E20" s="233"/>
    </row>
    <row r="21" spans="1:5" ht="13.5" customHeight="1" x14ac:dyDescent="0.25">
      <c r="A21" s="247">
        <v>210</v>
      </c>
      <c r="B21" s="248" t="s">
        <v>773</v>
      </c>
      <c r="C21" s="249">
        <f>1140*1.34</f>
        <v>1527.6000000000001</v>
      </c>
      <c r="D21" s="250">
        <f>A21*C21</f>
        <v>320796</v>
      </c>
      <c r="E21" s="233"/>
    </row>
    <row r="22" spans="1:5" x14ac:dyDescent="0.25">
      <c r="A22" s="243">
        <v>200</v>
      </c>
      <c r="B22" s="244" t="s">
        <v>150</v>
      </c>
      <c r="C22" s="245">
        <v>95</v>
      </c>
      <c r="D22" s="246">
        <f t="shared" si="0"/>
        <v>19000</v>
      </c>
      <c r="E22" s="233"/>
    </row>
    <row r="23" spans="1:5" x14ac:dyDescent="0.25">
      <c r="A23" s="243"/>
      <c r="B23" s="244" t="s">
        <v>151</v>
      </c>
      <c r="C23" s="245"/>
      <c r="D23" s="246"/>
      <c r="E23" s="233"/>
    </row>
    <row r="24" spans="1:5" x14ac:dyDescent="0.25">
      <c r="A24" s="243">
        <v>1</v>
      </c>
      <c r="B24" s="244" t="s">
        <v>783</v>
      </c>
      <c r="C24" s="245">
        <v>6280</v>
      </c>
      <c r="D24" s="246">
        <f t="shared" si="0"/>
        <v>6280</v>
      </c>
      <c r="E24" s="233"/>
    </row>
    <row r="25" spans="1:5" ht="26.4" x14ac:dyDescent="0.25">
      <c r="A25" s="243"/>
      <c r="B25" s="244" t="s">
        <v>153</v>
      </c>
      <c r="C25" s="245"/>
      <c r="D25" s="246"/>
      <c r="E25" s="233"/>
    </row>
    <row r="26" spans="1:5" x14ac:dyDescent="0.25">
      <c r="A26" s="243">
        <v>2</v>
      </c>
      <c r="B26" s="244" t="s">
        <v>154</v>
      </c>
      <c r="C26" s="245">
        <v>2587</v>
      </c>
      <c r="D26" s="246">
        <f t="shared" si="0"/>
        <v>5174</v>
      </c>
      <c r="E26" s="233"/>
    </row>
    <row r="27" spans="1:5" x14ac:dyDescent="0.25">
      <c r="A27" s="243">
        <v>200</v>
      </c>
      <c r="B27" s="244" t="s">
        <v>155</v>
      </c>
      <c r="C27" s="245">
        <v>25.6</v>
      </c>
      <c r="D27" s="246">
        <f t="shared" si="0"/>
        <v>5120</v>
      </c>
      <c r="E27" s="233"/>
    </row>
    <row r="28" spans="1:5" ht="26.4" x14ac:dyDescent="0.25">
      <c r="A28" s="243">
        <v>1</v>
      </c>
      <c r="B28" s="244" t="s">
        <v>775</v>
      </c>
      <c r="C28" s="238">
        <f>6392*18*1.3</f>
        <v>149572.80000000002</v>
      </c>
      <c r="D28" s="246">
        <f t="shared" si="0"/>
        <v>149572.80000000002</v>
      </c>
      <c r="E28" s="233"/>
    </row>
    <row r="29" spans="1:5" x14ac:dyDescent="0.25">
      <c r="A29" s="243">
        <v>1</v>
      </c>
      <c r="B29" s="244" t="s">
        <v>782</v>
      </c>
      <c r="C29" s="238">
        <f>(21825)*1.3</f>
        <v>28372.5</v>
      </c>
      <c r="D29" s="246">
        <f t="shared" si="0"/>
        <v>28372.5</v>
      </c>
      <c r="E29" s="233"/>
    </row>
    <row r="30" spans="1:5" ht="52.8" x14ac:dyDescent="0.25">
      <c r="A30" s="243">
        <v>1</v>
      </c>
      <c r="B30" s="244" t="s">
        <v>158</v>
      </c>
      <c r="C30" s="238">
        <v>9480</v>
      </c>
      <c r="D30" s="246">
        <f t="shared" si="0"/>
        <v>9480</v>
      </c>
      <c r="E30" s="233"/>
    </row>
    <row r="31" spans="1:5" x14ac:dyDescent="0.25">
      <c r="A31" s="243">
        <v>1</v>
      </c>
      <c r="B31" s="244" t="s">
        <v>777</v>
      </c>
      <c r="C31" s="245">
        <f>6200*1.4</f>
        <v>8680</v>
      </c>
      <c r="D31" s="246">
        <f t="shared" si="0"/>
        <v>8680</v>
      </c>
      <c r="E31" s="233"/>
    </row>
    <row r="32" spans="1:5" x14ac:dyDescent="0.25">
      <c r="A32" s="243">
        <v>2</v>
      </c>
      <c r="B32" s="244" t="s">
        <v>480</v>
      </c>
      <c r="C32" s="245">
        <f>2500*1.4</f>
        <v>3500</v>
      </c>
      <c r="D32" s="246">
        <f t="shared" si="0"/>
        <v>7000</v>
      </c>
      <c r="E32" s="233"/>
    </row>
    <row r="33" spans="1:5" x14ac:dyDescent="0.25">
      <c r="A33" s="243">
        <v>1</v>
      </c>
      <c r="B33" s="244" t="s">
        <v>161</v>
      </c>
      <c r="C33" s="245">
        <v>1543</v>
      </c>
      <c r="D33" s="246">
        <f t="shared" si="0"/>
        <v>1543</v>
      </c>
      <c r="E33" s="233"/>
    </row>
    <row r="34" spans="1:5" x14ac:dyDescent="0.25">
      <c r="A34" s="243">
        <v>1</v>
      </c>
      <c r="B34" s="244" t="s">
        <v>481</v>
      </c>
      <c r="C34" s="245">
        <f>6354*1.3</f>
        <v>8260.2000000000007</v>
      </c>
      <c r="D34" s="246">
        <f t="shared" si="0"/>
        <v>8260.2000000000007</v>
      </c>
      <c r="E34" s="233"/>
    </row>
    <row r="35" spans="1:5" x14ac:dyDescent="0.25">
      <c r="A35" s="243">
        <v>1</v>
      </c>
      <c r="B35" s="244" t="s">
        <v>752</v>
      </c>
      <c r="C35" s="245">
        <f>2957*1.3</f>
        <v>3844.1</v>
      </c>
      <c r="D35" s="246">
        <f t="shared" si="0"/>
        <v>3844.1</v>
      </c>
      <c r="E35" s="233"/>
    </row>
    <row r="36" spans="1:5" x14ac:dyDescent="0.25">
      <c r="A36" s="243">
        <v>1</v>
      </c>
      <c r="B36" s="244" t="s">
        <v>483</v>
      </c>
      <c r="C36" s="245">
        <f>4057.81*1.3</f>
        <v>5275.1530000000002</v>
      </c>
      <c r="D36" s="246">
        <f t="shared" si="0"/>
        <v>5275.1530000000002</v>
      </c>
      <c r="E36" s="233"/>
    </row>
    <row r="37" spans="1:5" x14ac:dyDescent="0.25">
      <c r="A37" s="243">
        <v>1</v>
      </c>
      <c r="B37" s="244" t="s">
        <v>484</v>
      </c>
      <c r="C37" s="245">
        <f>2495.54*1.3</f>
        <v>3244.2020000000002</v>
      </c>
      <c r="D37" s="246">
        <f t="shared" si="0"/>
        <v>3244.2020000000002</v>
      </c>
      <c r="E37" s="233"/>
    </row>
    <row r="38" spans="1:5" x14ac:dyDescent="0.25">
      <c r="A38" s="243">
        <v>8</v>
      </c>
      <c r="B38" s="244" t="s">
        <v>485</v>
      </c>
      <c r="C38" s="245">
        <f>27*1.4</f>
        <v>37.799999999999997</v>
      </c>
      <c r="D38" s="246">
        <f t="shared" si="0"/>
        <v>302.39999999999998</v>
      </c>
      <c r="E38" s="233"/>
    </row>
    <row r="39" spans="1:5" x14ac:dyDescent="0.25">
      <c r="A39" s="243">
        <v>1</v>
      </c>
      <c r="B39" s="244" t="s">
        <v>486</v>
      </c>
      <c r="C39" s="245">
        <f>24*1.4</f>
        <v>33.599999999999994</v>
      </c>
      <c r="D39" s="246">
        <f t="shared" si="0"/>
        <v>33.599999999999994</v>
      </c>
      <c r="E39" s="233"/>
    </row>
    <row r="40" spans="1:5" x14ac:dyDescent="0.25">
      <c r="A40" s="243">
        <v>56</v>
      </c>
      <c r="B40" s="244" t="s">
        <v>488</v>
      </c>
      <c r="C40" s="245">
        <v>28</v>
      </c>
      <c r="D40" s="246">
        <f t="shared" si="0"/>
        <v>1568</v>
      </c>
      <c r="E40" s="233"/>
    </row>
    <row r="41" spans="1:5" x14ac:dyDescent="0.25">
      <c r="A41" s="243">
        <v>6</v>
      </c>
      <c r="B41" s="244" t="s">
        <v>778</v>
      </c>
      <c r="C41" s="245">
        <v>14</v>
      </c>
      <c r="D41" s="246">
        <f t="shared" si="0"/>
        <v>84</v>
      </c>
      <c r="E41" s="233"/>
    </row>
    <row r="42" spans="1:5" x14ac:dyDescent="0.25">
      <c r="A42" s="243"/>
      <c r="B42" s="243"/>
      <c r="C42" s="243"/>
      <c r="D42" s="246"/>
      <c r="E42" s="233"/>
    </row>
    <row r="43" spans="1:5" x14ac:dyDescent="0.25">
      <c r="A43" s="251"/>
      <c r="B43" s="252"/>
      <c r="C43" s="253" t="s">
        <v>170</v>
      </c>
      <c r="D43" s="254">
        <f>SUM(D15:D42)</f>
        <v>1244858.7550000001</v>
      </c>
      <c r="E43" s="255"/>
    </row>
    <row r="44" spans="1:5" x14ac:dyDescent="0.25">
      <c r="A44" s="38"/>
      <c r="B44" s="38"/>
      <c r="C44" s="253" t="s">
        <v>13</v>
      </c>
      <c r="D44" s="254">
        <f>D43*0.16</f>
        <v>199177.40080000003</v>
      </c>
    </row>
    <row r="45" spans="1:5" ht="13.8" thickBot="1" x14ac:dyDescent="0.3">
      <c r="A45" s="38"/>
      <c r="B45" s="256"/>
      <c r="C45" s="257" t="s">
        <v>14</v>
      </c>
      <c r="D45" s="258">
        <f>D43+D44</f>
        <v>1444036.1558000001</v>
      </c>
    </row>
    <row r="46" spans="1:5" ht="13.8" thickBot="1" x14ac:dyDescent="0.3">
      <c r="A46" s="38"/>
      <c r="B46" s="766" t="s">
        <v>794</v>
      </c>
      <c r="C46" s="767"/>
      <c r="D46" s="768"/>
    </row>
    <row r="47" spans="1:5" ht="13.8" x14ac:dyDescent="0.25">
      <c r="A47" s="38"/>
      <c r="B47" s="39" t="s">
        <v>15</v>
      </c>
      <c r="C47" s="40"/>
      <c r="D47" s="259"/>
    </row>
    <row r="48" spans="1:5" ht="17.399999999999999" x14ac:dyDescent="0.25">
      <c r="A48" s="42"/>
      <c r="B48" s="43" t="s">
        <v>16</v>
      </c>
      <c r="C48" s="255"/>
      <c r="D48" s="260"/>
    </row>
    <row r="49" spans="1:4" ht="15" x14ac:dyDescent="0.25">
      <c r="A49" s="46"/>
      <c r="B49" s="52" t="s">
        <v>17</v>
      </c>
      <c r="D49" s="260"/>
    </row>
    <row r="50" spans="1:4" ht="15.75" customHeight="1" x14ac:dyDescent="0.25">
      <c r="A50" s="46"/>
      <c r="B50" s="50" t="s">
        <v>19</v>
      </c>
      <c r="D50" s="260"/>
    </row>
    <row r="51" spans="1:4" ht="15" x14ac:dyDescent="0.25">
      <c r="A51" s="46"/>
      <c r="B51" s="50" t="s">
        <v>21</v>
      </c>
      <c r="D51" s="260"/>
    </row>
    <row r="52" spans="1:4" ht="15" x14ac:dyDescent="0.25">
      <c r="A52" s="46"/>
      <c r="B52" s="261" t="s">
        <v>172</v>
      </c>
      <c r="D52" s="260"/>
    </row>
    <row r="53" spans="1:4" ht="13.8" x14ac:dyDescent="0.25">
      <c r="A53" s="51"/>
      <c r="B53" s="52" t="s">
        <v>23</v>
      </c>
    </row>
    <row r="54" spans="1:4" ht="27.6" x14ac:dyDescent="0.25">
      <c r="A54" s="51"/>
      <c r="B54" s="643" t="s">
        <v>779</v>
      </c>
    </row>
    <row r="55" spans="1:4" ht="41.4" x14ac:dyDescent="0.25">
      <c r="A55" s="51"/>
      <c r="B55" s="641" t="s">
        <v>780</v>
      </c>
    </row>
    <row r="56" spans="1:4" ht="41.4" x14ac:dyDescent="0.25">
      <c r="A56" s="51"/>
      <c r="B56" s="642" t="s">
        <v>781</v>
      </c>
    </row>
    <row r="57" spans="1:4" ht="15" x14ac:dyDescent="0.25">
      <c r="A57" s="46"/>
      <c r="B57" s="59" t="s">
        <v>173</v>
      </c>
      <c r="C57" s="57"/>
      <c r="D57" s="57"/>
    </row>
    <row r="58" spans="1:4" ht="15" x14ac:dyDescent="0.25">
      <c r="A58" s="46"/>
      <c r="B58" s="60" t="s">
        <v>28</v>
      </c>
      <c r="C58" s="57"/>
      <c r="D58" s="57"/>
    </row>
    <row r="59" spans="1:4" ht="13.8" x14ac:dyDescent="0.25">
      <c r="A59" s="51"/>
      <c r="B59" s="52" t="s">
        <v>29</v>
      </c>
      <c r="D59" s="260"/>
    </row>
    <row r="60" spans="1:4" ht="27.6" x14ac:dyDescent="0.25">
      <c r="A60" s="644"/>
      <c r="B60" s="643" t="s">
        <v>784</v>
      </c>
      <c r="C60" s="57"/>
      <c r="D60" s="262"/>
    </row>
    <row r="61" spans="1:4" ht="15" x14ac:dyDescent="0.25">
      <c r="A61" s="46"/>
      <c r="B61" s="61" t="s">
        <v>30</v>
      </c>
      <c r="C61" s="57"/>
      <c r="D61" s="262"/>
    </row>
    <row r="62" spans="1:4" ht="15" x14ac:dyDescent="0.25">
      <c r="A62" s="46"/>
      <c r="B62" s="50" t="s">
        <v>31</v>
      </c>
      <c r="C62" s="3"/>
      <c r="D62" s="64"/>
    </row>
    <row r="63" spans="1:4" ht="15" x14ac:dyDescent="0.25">
      <c r="A63" s="62"/>
      <c r="B63" s="63" t="s">
        <v>32</v>
      </c>
      <c r="C63" s="57"/>
      <c r="D63" s="57"/>
    </row>
    <row r="64" spans="1:4" ht="33.6" x14ac:dyDescent="0.25">
      <c r="A64" s="65" t="s">
        <v>0</v>
      </c>
      <c r="B64" s="66" t="s">
        <v>33</v>
      </c>
      <c r="C64" s="265"/>
      <c r="D64" s="265"/>
    </row>
    <row r="65" spans="1:4" x14ac:dyDescent="0.25">
      <c r="A65" s="266"/>
      <c r="B65" s="267"/>
      <c r="C65" s="267"/>
      <c r="D65" s="222"/>
    </row>
    <row r="66" spans="1:4" x14ac:dyDescent="0.25">
      <c r="A66" s="266"/>
      <c r="B66" s="267"/>
      <c r="C66" s="267"/>
      <c r="D66" s="222"/>
    </row>
    <row r="67" spans="1:4" x14ac:dyDescent="0.25">
      <c r="A67" s="268"/>
      <c r="B67" s="269"/>
      <c r="C67" s="267"/>
      <c r="D67" s="222"/>
    </row>
    <row r="68" spans="1:4" ht="15" x14ac:dyDescent="0.35">
      <c r="A68" s="270" t="s">
        <v>0</v>
      </c>
      <c r="B68" s="271"/>
      <c r="C68" s="267"/>
      <c r="D68" s="267"/>
    </row>
    <row r="69" spans="1:4" x14ac:dyDescent="0.25">
      <c r="A69" s="222" t="s">
        <v>0</v>
      </c>
    </row>
  </sheetData>
  <mergeCells count="2">
    <mergeCell ref="A4:D4"/>
    <mergeCell ref="B46:D46"/>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49FE-E5C1-4AE9-94AE-C39C679FF06D}">
  <sheetPr>
    <tabColor theme="4" tint="-0.249977111117893"/>
    <pageSetUpPr fitToPage="1"/>
  </sheetPr>
  <dimension ref="A1:M212"/>
  <sheetViews>
    <sheetView topLeftCell="A106" zoomScale="85" zoomScaleNormal="85" workbookViewId="0">
      <selection activeCell="P120" sqref="P120"/>
    </sheetView>
  </sheetViews>
  <sheetFormatPr baseColWidth="10" defaultColWidth="11.44140625" defaultRowHeight="13.2" x14ac:dyDescent="0.25"/>
  <cols>
    <col min="1" max="1" width="6" style="1" customWidth="1"/>
    <col min="2" max="2" width="64.88671875" style="1" customWidth="1"/>
    <col min="3" max="3" width="14.5546875" style="3" bestFit="1" customWidth="1"/>
    <col min="4" max="4" width="14.5546875" style="3" customWidth="1"/>
    <col min="5" max="5" width="0.33203125" style="1" customWidth="1"/>
    <col min="6" max="11" width="11.44140625" style="1" hidden="1" customWidth="1"/>
    <col min="12" max="14" width="11.44140625" style="1"/>
    <col min="15" max="15" width="11.44140625" style="1" customWidth="1"/>
    <col min="16" max="16" width="13.5546875" style="1" customWidth="1"/>
    <col min="17" max="17" width="14" style="1" customWidth="1"/>
    <col min="18" max="16384" width="11.44140625" style="1"/>
  </cols>
  <sheetData>
    <row r="1" spans="1:13" ht="81" customHeight="1" x14ac:dyDescent="0.25">
      <c r="A1" s="1" t="s">
        <v>0</v>
      </c>
      <c r="C1" s="2"/>
    </row>
    <row r="2" spans="1:13" ht="9" customHeight="1" x14ac:dyDescent="0.25">
      <c r="C2" s="2"/>
    </row>
    <row r="3" spans="1:13" ht="9" customHeight="1" x14ac:dyDescent="0.25">
      <c r="C3" s="2"/>
    </row>
    <row r="4" spans="1:13" s="4" customFormat="1" ht="16.8" x14ac:dyDescent="0.4">
      <c r="A4" s="748"/>
      <c r="B4" s="748"/>
      <c r="C4" s="748"/>
      <c r="D4" s="748"/>
    </row>
    <row r="5" spans="1:13" s="4" customFormat="1" ht="16.8" x14ac:dyDescent="0.4">
      <c r="A5" s="5"/>
      <c r="C5" s="6"/>
      <c r="D5" s="6"/>
    </row>
    <row r="6" spans="1:13" s="4" customFormat="1" ht="16.8" x14ac:dyDescent="0.4">
      <c r="A6" s="5"/>
      <c r="C6" s="6"/>
      <c r="D6" s="6"/>
    </row>
    <row r="7" spans="1:13" s="4" customFormat="1" ht="16.8" x14ac:dyDescent="0.4">
      <c r="A7" s="5"/>
      <c r="C7" s="6"/>
      <c r="D7" s="6"/>
    </row>
    <row r="8" spans="1:13" s="4" customFormat="1" ht="19.2" x14ac:dyDescent="0.45">
      <c r="A8" s="67" t="s">
        <v>1007</v>
      </c>
      <c r="B8" s="68"/>
      <c r="C8" s="69"/>
      <c r="D8" s="69"/>
    </row>
    <row r="9" spans="1:13" s="4" customFormat="1" ht="19.2" x14ac:dyDescent="0.45">
      <c r="A9" s="67" t="s">
        <v>1008</v>
      </c>
      <c r="B9" s="68"/>
      <c r="C9" s="69"/>
      <c r="D9" s="69"/>
    </row>
    <row r="10" spans="1:13" s="4" customFormat="1" ht="19.2" x14ac:dyDescent="0.45">
      <c r="A10" s="67" t="s">
        <v>762</v>
      </c>
      <c r="B10" s="68"/>
      <c r="C10" s="69"/>
      <c r="D10" s="69"/>
    </row>
    <row r="11" spans="1:13" s="4" customFormat="1" ht="19.2" x14ac:dyDescent="0.45">
      <c r="A11" s="67" t="s">
        <v>85</v>
      </c>
      <c r="B11" s="68"/>
      <c r="C11" s="70"/>
      <c r="D11" s="69"/>
    </row>
    <row r="12" spans="1:13" s="4" customFormat="1" ht="15" customHeight="1" x14ac:dyDescent="0.45">
      <c r="A12" s="67" t="s">
        <v>38</v>
      </c>
      <c r="B12" s="68"/>
      <c r="C12" s="70"/>
      <c r="D12" s="69"/>
    </row>
    <row r="13" spans="1:13" s="4" customFormat="1" ht="19.2" x14ac:dyDescent="0.45">
      <c r="A13" s="71" t="s">
        <v>1045</v>
      </c>
      <c r="B13" s="72"/>
      <c r="C13" s="73"/>
      <c r="D13" s="74"/>
      <c r="E13" s="10"/>
      <c r="F13" s="10"/>
      <c r="G13" s="10"/>
    </row>
    <row r="14" spans="1:13" s="4" customFormat="1" ht="19.2" x14ac:dyDescent="0.45">
      <c r="A14" s="592"/>
      <c r="B14" s="593"/>
      <c r="C14" s="73"/>
      <c r="D14" s="594"/>
      <c r="E14" s="10"/>
      <c r="F14" s="10"/>
      <c r="G14" s="10"/>
    </row>
    <row r="15" spans="1:13" s="4" customFormat="1" ht="19.2" x14ac:dyDescent="0.4">
      <c r="A15" s="744" t="s">
        <v>40</v>
      </c>
      <c r="B15" s="745"/>
      <c r="C15" s="746"/>
      <c r="D15" s="747"/>
      <c r="E15" s="1"/>
      <c r="F15" s="1"/>
      <c r="G15" s="1"/>
      <c r="H15" s="10"/>
      <c r="I15" s="10"/>
      <c r="J15" s="10"/>
      <c r="K15" s="10"/>
      <c r="L15" s="10"/>
    </row>
    <row r="16" spans="1:13" s="23" customFormat="1" x14ac:dyDescent="0.25">
      <c r="A16" s="14"/>
      <c r="B16" s="715" t="s">
        <v>1038</v>
      </c>
      <c r="C16" s="16"/>
      <c r="D16" s="16"/>
      <c r="E16" s="1"/>
      <c r="F16" s="1"/>
      <c r="G16" s="1"/>
      <c r="H16" s="1"/>
      <c r="I16" s="1"/>
      <c r="J16" s="1"/>
      <c r="K16" s="1"/>
      <c r="L16" s="1"/>
      <c r="M16" s="1"/>
    </row>
    <row r="17" spans="1:13" s="23" customFormat="1" ht="15.6" x14ac:dyDescent="0.25">
      <c r="A17" s="80">
        <v>90</v>
      </c>
      <c r="B17" s="305" t="s">
        <v>1040</v>
      </c>
      <c r="C17" s="653">
        <f>1078.5*1.29</f>
        <v>1391.2650000000001</v>
      </c>
      <c r="D17" s="678">
        <f>A17*C17</f>
        <v>125213.85</v>
      </c>
      <c r="E17" s="1"/>
      <c r="F17" s="1"/>
      <c r="G17" s="1"/>
      <c r="H17" s="1"/>
      <c r="I17" s="1"/>
      <c r="J17" s="1"/>
      <c r="K17" s="1"/>
      <c r="M17" s="1"/>
    </row>
    <row r="18" spans="1:13" s="23" customFormat="1" ht="31.2" x14ac:dyDescent="0.25">
      <c r="A18" s="80">
        <v>210</v>
      </c>
      <c r="B18" s="167" t="s">
        <v>1041</v>
      </c>
      <c r="C18" s="653">
        <f>1328.17*1.29</f>
        <v>1713.3393000000001</v>
      </c>
      <c r="D18" s="678">
        <f>A18*C18</f>
        <v>359801.25300000003</v>
      </c>
      <c r="E18" s="1"/>
      <c r="F18" s="1"/>
      <c r="G18" s="1"/>
      <c r="H18" s="1"/>
      <c r="I18" s="1"/>
      <c r="J18" s="1"/>
      <c r="K18" s="1"/>
      <c r="L18" s="1"/>
      <c r="M18" s="1"/>
    </row>
    <row r="19" spans="1:13" s="23" customFormat="1" ht="15.6" x14ac:dyDescent="0.3">
      <c r="A19" s="161"/>
      <c r="B19" s="682"/>
      <c r="C19" s="90" t="s">
        <v>49</v>
      </c>
      <c r="D19" s="87">
        <f>SUM(D16:D18)</f>
        <v>485015.103</v>
      </c>
      <c r="E19" s="1"/>
      <c r="F19" s="1"/>
      <c r="G19" s="1"/>
      <c r="H19" s="1"/>
      <c r="I19" s="1"/>
      <c r="J19" s="1"/>
      <c r="K19" s="1"/>
      <c r="L19" s="1"/>
      <c r="M19" s="1"/>
    </row>
    <row r="20" spans="1:13" s="23" customFormat="1" ht="15.6" x14ac:dyDescent="0.3">
      <c r="A20" s="161"/>
      <c r="B20" s="682"/>
      <c r="C20" s="90" t="s">
        <v>51</v>
      </c>
      <c r="D20" s="87">
        <f>D19*0.16</f>
        <v>77602.41648</v>
      </c>
      <c r="E20" s="1"/>
      <c r="F20" s="1"/>
      <c r="G20" s="1"/>
      <c r="H20" s="1"/>
      <c r="I20" s="1"/>
      <c r="J20" s="1"/>
      <c r="K20" s="1"/>
      <c r="L20" s="1"/>
      <c r="M20" s="1"/>
    </row>
    <row r="21" spans="1:13" s="23" customFormat="1" ht="16.2" thickBot="1" x14ac:dyDescent="0.35">
      <c r="A21" s="161"/>
      <c r="B21" s="683"/>
      <c r="C21" s="90" t="s">
        <v>77</v>
      </c>
      <c r="D21" s="87">
        <f>D19+D20</f>
        <v>562617.51948000002</v>
      </c>
      <c r="E21" s="1"/>
      <c r="F21" s="1"/>
      <c r="G21" s="1"/>
      <c r="H21" s="1"/>
      <c r="I21" s="1"/>
      <c r="J21" s="1"/>
      <c r="K21" s="1"/>
      <c r="L21" s="1"/>
      <c r="M21" s="1"/>
    </row>
    <row r="22" spans="1:13" s="23" customFormat="1" ht="16.2" thickBot="1" x14ac:dyDescent="0.3">
      <c r="A22" s="116"/>
      <c r="B22" s="802" t="s">
        <v>1047</v>
      </c>
      <c r="C22" s="803"/>
      <c r="D22" s="804"/>
      <c r="E22" s="1"/>
      <c r="F22" s="1"/>
      <c r="G22" s="1"/>
      <c r="H22" s="1"/>
      <c r="I22" s="1"/>
      <c r="J22" s="1"/>
      <c r="K22" s="1"/>
      <c r="L22" s="1"/>
      <c r="M22" s="1"/>
    </row>
    <row r="23" spans="1:13" ht="15" x14ac:dyDescent="0.25">
      <c r="A23" s="116"/>
      <c r="B23" s="655" t="s">
        <v>876</v>
      </c>
      <c r="C23" s="163"/>
      <c r="D23" s="164"/>
    </row>
    <row r="24" spans="1:13" ht="13.8" x14ac:dyDescent="0.25">
      <c r="A24" s="34"/>
      <c r="B24" s="135" t="s">
        <v>15</v>
      </c>
      <c r="C24" s="165"/>
      <c r="D24" s="56"/>
    </row>
    <row r="25" spans="1:13" ht="13.8" x14ac:dyDescent="0.25">
      <c r="A25" s="34"/>
      <c r="B25" s="135" t="s">
        <v>17</v>
      </c>
      <c r="D25" s="56"/>
    </row>
    <row r="26" spans="1:13" ht="15" x14ac:dyDescent="0.25">
      <c r="A26" s="62"/>
      <c r="B26" s="191" t="s">
        <v>289</v>
      </c>
      <c r="D26" s="56"/>
    </row>
    <row r="27" spans="1:13" ht="17.25" customHeight="1" x14ac:dyDescent="0.25">
      <c r="A27" s="62"/>
      <c r="B27" s="191" t="s">
        <v>21</v>
      </c>
      <c r="D27" s="56"/>
    </row>
    <row r="28" spans="1:13" ht="15" x14ac:dyDescent="0.25">
      <c r="A28" s="62"/>
      <c r="B28" s="191" t="s">
        <v>60</v>
      </c>
      <c r="D28" s="56"/>
    </row>
    <row r="29" spans="1:13" ht="13.5" customHeight="1" x14ac:dyDescent="0.25">
      <c r="A29" s="62"/>
      <c r="B29" s="135" t="s">
        <v>23</v>
      </c>
    </row>
    <row r="30" spans="1:13" ht="27.6" x14ac:dyDescent="0.25">
      <c r="B30" s="187" t="s">
        <v>950</v>
      </c>
    </row>
    <row r="31" spans="1:13" ht="15" x14ac:dyDescent="0.25">
      <c r="A31" s="62"/>
      <c r="B31" s="187" t="s">
        <v>951</v>
      </c>
      <c r="C31" s="54"/>
      <c r="D31" s="58"/>
    </row>
    <row r="32" spans="1:13" ht="15" x14ac:dyDescent="0.25">
      <c r="A32" s="62"/>
      <c r="B32" s="135" t="s">
        <v>26</v>
      </c>
      <c r="C32" s="54"/>
      <c r="D32" s="58"/>
    </row>
    <row r="33" spans="1:4" ht="27.6" x14ac:dyDescent="0.25">
      <c r="A33" s="62"/>
      <c r="B33" s="189" t="s">
        <v>1049</v>
      </c>
      <c r="C33" s="54"/>
      <c r="D33" s="54"/>
    </row>
    <row r="34" spans="1:4" ht="27.6" x14ac:dyDescent="0.25">
      <c r="A34" s="62"/>
      <c r="B34" s="189" t="s">
        <v>28</v>
      </c>
      <c r="C34" s="54"/>
      <c r="D34" s="54"/>
    </row>
    <row r="35" spans="1:4" ht="18" customHeight="1" x14ac:dyDescent="0.25">
      <c r="A35" s="62"/>
      <c r="B35" s="135" t="s">
        <v>29</v>
      </c>
      <c r="D35" s="56"/>
    </row>
    <row r="36" spans="1:4" ht="13.8" x14ac:dyDescent="0.25">
      <c r="B36" s="190" t="s">
        <v>1050</v>
      </c>
      <c r="C36" s="54"/>
      <c r="D36" s="58"/>
    </row>
    <row r="37" spans="1:4" ht="15" x14ac:dyDescent="0.25">
      <c r="A37" s="62"/>
      <c r="B37" s="191" t="s">
        <v>31</v>
      </c>
      <c r="C37" s="54"/>
      <c r="D37" s="58"/>
    </row>
    <row r="38" spans="1:4" ht="15" x14ac:dyDescent="0.25">
      <c r="A38" s="62"/>
      <c r="B38" s="191" t="s">
        <v>32</v>
      </c>
      <c r="C38" s="54"/>
    </row>
    <row r="39" spans="1:4" ht="67.2" x14ac:dyDescent="0.25">
      <c r="A39" s="139" t="s">
        <v>0</v>
      </c>
      <c r="B39" s="193" t="s">
        <v>65</v>
      </c>
      <c r="C39" s="141"/>
      <c r="D39" s="1"/>
    </row>
    <row r="40" spans="1:4" x14ac:dyDescent="0.25">
      <c r="A40" s="142"/>
      <c r="B40" s="64"/>
      <c r="C40" s="64"/>
      <c r="D40" s="1"/>
    </row>
    <row r="41" spans="1:4" ht="2.25" customHeight="1" x14ac:dyDescent="0.25">
      <c r="A41" s="142"/>
      <c r="B41" s="64"/>
      <c r="C41" s="64"/>
      <c r="D41" s="1"/>
    </row>
    <row r="42" spans="1:4" ht="136.5" customHeight="1" x14ac:dyDescent="0.25">
      <c r="A42" s="80">
        <v>1</v>
      </c>
      <c r="B42" s="167" t="s">
        <v>1006</v>
      </c>
      <c r="C42" s="653">
        <f>20000+20000+12000+15000+62000</f>
        <v>129000</v>
      </c>
      <c r="D42" s="678">
        <f>A42*C42</f>
        <v>129000</v>
      </c>
    </row>
    <row r="43" spans="1:4" ht="15.6" x14ac:dyDescent="0.25">
      <c r="A43" s="684">
        <v>24</v>
      </c>
      <c r="B43" s="685" t="s">
        <v>867</v>
      </c>
      <c r="C43" s="686">
        <v>1250</v>
      </c>
      <c r="D43" s="678">
        <f>A43*C43</f>
        <v>30000</v>
      </c>
    </row>
    <row r="44" spans="1:4" ht="16.5" customHeight="1" x14ac:dyDescent="0.3">
      <c r="A44" s="161"/>
      <c r="B44" s="682"/>
      <c r="C44" s="90" t="s">
        <v>49</v>
      </c>
      <c r="D44" s="87">
        <f>SUM(D42:D43)</f>
        <v>159000</v>
      </c>
    </row>
    <row r="45" spans="1:4" ht="15.6" x14ac:dyDescent="0.3">
      <c r="A45" s="161"/>
      <c r="B45" s="682"/>
      <c r="C45" s="90" t="s">
        <v>1051</v>
      </c>
      <c r="D45" s="87">
        <f>D44*0.95</f>
        <v>151050</v>
      </c>
    </row>
    <row r="46" spans="1:4" ht="15.6" x14ac:dyDescent="0.3">
      <c r="A46" s="161"/>
      <c r="B46" s="682"/>
      <c r="C46" s="90" t="s">
        <v>51</v>
      </c>
      <c r="D46" s="87">
        <f>D45*0.16</f>
        <v>24168</v>
      </c>
    </row>
    <row r="47" spans="1:4" ht="16.2" thickBot="1" x14ac:dyDescent="0.35">
      <c r="A47" s="161"/>
      <c r="B47" s="683"/>
      <c r="C47" s="90" t="s">
        <v>77</v>
      </c>
      <c r="D47" s="87">
        <f>D44+D46</f>
        <v>183168</v>
      </c>
    </row>
    <row r="48" spans="1:4" ht="15.75" customHeight="1" thickBot="1" x14ac:dyDescent="0.3">
      <c r="A48" s="116"/>
      <c r="B48" s="802" t="s">
        <v>1052</v>
      </c>
      <c r="C48" s="803"/>
      <c r="D48" s="804"/>
    </row>
    <row r="49" spans="1:4" ht="15" customHeight="1" x14ac:dyDescent="0.25">
      <c r="A49" s="34"/>
      <c r="B49" s="655"/>
      <c r="C49" s="163"/>
      <c r="D49" s="164"/>
    </row>
    <row r="50" spans="1:4" ht="13.8" x14ac:dyDescent="0.25">
      <c r="A50" s="34"/>
      <c r="B50" s="135" t="s">
        <v>15</v>
      </c>
      <c r="C50" s="165"/>
      <c r="D50" s="56"/>
    </row>
    <row r="51" spans="1:4" ht="15" x14ac:dyDescent="0.25">
      <c r="A51" s="62"/>
      <c r="B51" s="135" t="s">
        <v>17</v>
      </c>
      <c r="D51" s="56"/>
    </row>
    <row r="52" spans="1:4" ht="15" x14ac:dyDescent="0.25">
      <c r="A52" s="62"/>
      <c r="B52" s="191" t="s">
        <v>289</v>
      </c>
      <c r="D52" s="56"/>
    </row>
    <row r="53" spans="1:4" ht="15" x14ac:dyDescent="0.25">
      <c r="A53" s="62"/>
      <c r="B53" s="191" t="s">
        <v>21</v>
      </c>
      <c r="D53" s="56"/>
    </row>
    <row r="54" spans="1:4" ht="15" x14ac:dyDescent="0.25">
      <c r="A54" s="62"/>
      <c r="B54" s="191" t="s">
        <v>60</v>
      </c>
      <c r="D54" s="56"/>
    </row>
    <row r="55" spans="1:4" ht="13.8" x14ac:dyDescent="0.25">
      <c r="B55" s="135" t="s">
        <v>23</v>
      </c>
    </row>
    <row r="56" spans="1:4" ht="27.6" x14ac:dyDescent="0.25">
      <c r="A56" s="62"/>
      <c r="B56" s="187" t="s">
        <v>950</v>
      </c>
    </row>
    <row r="57" spans="1:4" ht="15" x14ac:dyDescent="0.25">
      <c r="A57" s="62"/>
      <c r="B57" s="187" t="s">
        <v>951</v>
      </c>
      <c r="C57" s="54"/>
      <c r="D57" s="58"/>
    </row>
    <row r="58" spans="1:4" ht="15" x14ac:dyDescent="0.25">
      <c r="A58" s="62"/>
      <c r="B58" s="135" t="s">
        <v>26</v>
      </c>
      <c r="C58" s="54"/>
      <c r="D58" s="58"/>
    </row>
    <row r="59" spans="1:4" ht="27.6" x14ac:dyDescent="0.25">
      <c r="A59" s="62"/>
      <c r="B59" s="189" t="s">
        <v>567</v>
      </c>
      <c r="C59" s="54"/>
      <c r="D59" s="54"/>
    </row>
    <row r="60" spans="1:4" ht="27.6" x14ac:dyDescent="0.25">
      <c r="A60" s="62"/>
      <c r="B60" s="189" t="s">
        <v>28</v>
      </c>
      <c r="C60" s="54"/>
      <c r="D60" s="54"/>
    </row>
    <row r="61" spans="1:4" ht="13.8" x14ac:dyDescent="0.25">
      <c r="B61" s="135" t="s">
        <v>29</v>
      </c>
      <c r="D61" s="56"/>
    </row>
    <row r="62" spans="1:4" ht="15" x14ac:dyDescent="0.25">
      <c r="A62" s="62"/>
      <c r="B62" s="190" t="s">
        <v>81</v>
      </c>
      <c r="C62" s="54"/>
      <c r="D62" s="58"/>
    </row>
    <row r="63" spans="1:4" ht="15" x14ac:dyDescent="0.25">
      <c r="A63" s="62"/>
      <c r="B63" s="191" t="s">
        <v>31</v>
      </c>
      <c r="C63" s="54"/>
      <c r="D63" s="58"/>
    </row>
    <row r="64" spans="1:4" ht="13.8" x14ac:dyDescent="0.25">
      <c r="A64" s="139" t="s">
        <v>0</v>
      </c>
      <c r="B64" s="191" t="s">
        <v>32</v>
      </c>
      <c r="C64" s="54"/>
    </row>
    <row r="65" spans="1:4" ht="67.2" x14ac:dyDescent="0.25">
      <c r="A65" s="142"/>
      <c r="B65" s="193" t="s">
        <v>65</v>
      </c>
      <c r="C65" s="141"/>
      <c r="D65" s="1"/>
    </row>
    <row r="66" spans="1:4" x14ac:dyDescent="0.25">
      <c r="A66" s="142"/>
      <c r="B66" s="64"/>
      <c r="C66" s="64"/>
      <c r="D66" s="1"/>
    </row>
    <row r="67" spans="1:4" ht="19.2" x14ac:dyDescent="0.25">
      <c r="A67" s="758" t="s">
        <v>40</v>
      </c>
      <c r="B67" s="759"/>
      <c r="C67" s="760"/>
      <c r="D67" s="761"/>
    </row>
    <row r="68" spans="1:4" x14ac:dyDescent="0.25">
      <c r="A68" s="197"/>
      <c r="B68" s="198"/>
      <c r="C68" s="199"/>
      <c r="D68" s="199"/>
    </row>
    <row r="69" spans="1:4" ht="60" customHeight="1" x14ac:dyDescent="0.25">
      <c r="A69" s="200">
        <v>1</v>
      </c>
      <c r="B69" s="220" t="s">
        <v>1021</v>
      </c>
      <c r="C69" s="218">
        <f>((161000+5500+3602+3902+4000+1000+1000+5000)*1.3)+40000</f>
        <v>280505.2</v>
      </c>
      <c r="D69" s="219">
        <f t="shared" ref="D69:D75" si="0">A69*C69</f>
        <v>280505.2</v>
      </c>
    </row>
    <row r="70" spans="1:4" ht="87.75" customHeight="1" x14ac:dyDescent="0.25">
      <c r="A70" s="200">
        <v>4</v>
      </c>
      <c r="B70" s="220" t="s">
        <v>1020</v>
      </c>
      <c r="C70" s="218">
        <f>(23759*1.3)+15000</f>
        <v>45886.7</v>
      </c>
      <c r="D70" s="219">
        <f t="shared" si="0"/>
        <v>183546.8</v>
      </c>
    </row>
    <row r="71" spans="1:4" ht="66" x14ac:dyDescent="0.25">
      <c r="A71" s="200">
        <v>1</v>
      </c>
      <c r="B71" s="220" t="s">
        <v>1019</v>
      </c>
      <c r="C71" s="218">
        <f>(69787*1.3)+20000</f>
        <v>110723.1</v>
      </c>
      <c r="D71" s="219">
        <f t="shared" si="0"/>
        <v>110723.1</v>
      </c>
    </row>
    <row r="72" spans="1:4" ht="26.4" x14ac:dyDescent="0.25">
      <c r="A72" s="200">
        <v>1</v>
      </c>
      <c r="B72" s="714" t="s">
        <v>1018</v>
      </c>
      <c r="C72" s="218">
        <v>35000</v>
      </c>
      <c r="D72" s="219">
        <f t="shared" si="0"/>
        <v>35000</v>
      </c>
    </row>
    <row r="73" spans="1:4" x14ac:dyDescent="0.25">
      <c r="A73" s="200">
        <v>1</v>
      </c>
      <c r="B73" s="714" t="s">
        <v>1017</v>
      </c>
      <c r="C73" s="218">
        <v>3500</v>
      </c>
      <c r="D73" s="219">
        <f t="shared" si="0"/>
        <v>3500</v>
      </c>
    </row>
    <row r="74" spans="1:4" x14ac:dyDescent="0.25">
      <c r="A74" s="200">
        <v>1</v>
      </c>
      <c r="B74" s="714" t="s">
        <v>1016</v>
      </c>
      <c r="C74" s="218">
        <v>12000</v>
      </c>
      <c r="D74" s="219">
        <f t="shared" si="0"/>
        <v>12000</v>
      </c>
    </row>
    <row r="75" spans="1:4" x14ac:dyDescent="0.25">
      <c r="A75" s="200">
        <v>1</v>
      </c>
      <c r="B75" s="714" t="s">
        <v>1015</v>
      </c>
      <c r="C75" s="218">
        <v>11000</v>
      </c>
      <c r="D75" s="219">
        <f t="shared" si="0"/>
        <v>11000</v>
      </c>
    </row>
    <row r="76" spans="1:4" ht="26.4" x14ac:dyDescent="0.25">
      <c r="A76" s="200"/>
      <c r="B76" s="713" t="s">
        <v>1014</v>
      </c>
      <c r="C76" s="218"/>
      <c r="D76" s="219"/>
    </row>
    <row r="77" spans="1:4" x14ac:dyDescent="0.25">
      <c r="A77" s="204"/>
      <c r="B77" s="341"/>
      <c r="C77" s="342"/>
      <c r="D77" s="210"/>
    </row>
    <row r="78" spans="1:4" x14ac:dyDescent="0.25">
      <c r="A78" s="712"/>
      <c r="B78" s="712"/>
      <c r="C78" s="209" t="s">
        <v>49</v>
      </c>
      <c r="D78" s="210">
        <f>SUM(D68:D77)</f>
        <v>636275.1</v>
      </c>
    </row>
    <row r="79" spans="1:4" x14ac:dyDescent="0.25">
      <c r="A79" s="208"/>
      <c r="B79" s="208"/>
      <c r="C79" s="209" t="s">
        <v>128</v>
      </c>
      <c r="D79" s="210">
        <f>D78*0.16</f>
        <v>101804.016</v>
      </c>
    </row>
    <row r="80" spans="1:4" ht="13.8" thickBot="1" x14ac:dyDescent="0.3">
      <c r="A80" s="208"/>
      <c r="B80" s="208"/>
      <c r="C80" s="211" t="s">
        <v>77</v>
      </c>
      <c r="D80" s="207">
        <f>D78+D79</f>
        <v>738079.11599999992</v>
      </c>
    </row>
    <row r="81" spans="1:4" ht="13.8" thickBot="1" x14ac:dyDescent="0.3">
      <c r="A81" s="34"/>
      <c r="B81" s="808" t="s">
        <v>1013</v>
      </c>
      <c r="C81" s="809"/>
      <c r="D81" s="810"/>
    </row>
    <row r="82" spans="1:4" x14ac:dyDescent="0.25">
      <c r="A82" s="34"/>
      <c r="B82" s="117"/>
      <c r="C82" s="163"/>
      <c r="D82" s="164"/>
    </row>
    <row r="83" spans="1:4" ht="13.8" x14ac:dyDescent="0.25">
      <c r="A83" s="34"/>
      <c r="B83" s="126" t="s">
        <v>15</v>
      </c>
      <c r="C83" s="165"/>
      <c r="D83" s="56"/>
    </row>
    <row r="84" spans="1:4" ht="17.399999999999999" x14ac:dyDescent="0.25">
      <c r="A84" s="34"/>
      <c r="B84" s="711" t="s">
        <v>16</v>
      </c>
      <c r="C84" s="165"/>
      <c r="D84" s="56"/>
    </row>
    <row r="85" spans="1:4" ht="17.399999999999999" x14ac:dyDescent="0.25">
      <c r="A85" s="34"/>
      <c r="B85" s="711" t="s">
        <v>1012</v>
      </c>
      <c r="C85" s="165"/>
      <c r="D85" s="56"/>
    </row>
    <row r="86" spans="1:4" ht="15" x14ac:dyDescent="0.25">
      <c r="A86" s="62"/>
      <c r="B86" s="126" t="s">
        <v>17</v>
      </c>
      <c r="D86" s="56"/>
    </row>
    <row r="87" spans="1:4" ht="15" x14ac:dyDescent="0.25">
      <c r="A87" s="62"/>
      <c r="B87" s="213" t="s">
        <v>304</v>
      </c>
      <c r="D87" s="56"/>
    </row>
    <row r="88" spans="1:4" ht="15" x14ac:dyDescent="0.25">
      <c r="A88" s="62"/>
      <c r="B88" s="213" t="s">
        <v>21</v>
      </c>
      <c r="D88" s="56"/>
    </row>
    <row r="89" spans="1:4" ht="15" x14ac:dyDescent="0.25">
      <c r="A89" s="62"/>
      <c r="B89" s="213" t="s">
        <v>60</v>
      </c>
      <c r="D89" s="56"/>
    </row>
    <row r="90" spans="1:4" ht="13.8" x14ac:dyDescent="0.25">
      <c r="B90" s="135" t="s">
        <v>23</v>
      </c>
    </row>
    <row r="91" spans="1:4" ht="27.6" x14ac:dyDescent="0.25">
      <c r="A91" s="62"/>
      <c r="B91" s="214" t="s">
        <v>24</v>
      </c>
    </row>
    <row r="92" spans="1:4" ht="55.2" x14ac:dyDescent="0.25">
      <c r="A92" s="62"/>
      <c r="B92" s="214" t="s">
        <v>204</v>
      </c>
      <c r="C92" s="54"/>
      <c r="D92" s="58"/>
    </row>
    <row r="93" spans="1:4" ht="15" x14ac:dyDescent="0.25">
      <c r="A93" s="62"/>
      <c r="B93" s="135" t="s">
        <v>26</v>
      </c>
      <c r="C93" s="54"/>
      <c r="D93" s="58"/>
    </row>
    <row r="94" spans="1:4" ht="41.4" x14ac:dyDescent="0.25">
      <c r="A94" s="62"/>
      <c r="B94" s="215" t="s">
        <v>1011</v>
      </c>
      <c r="C94" s="54"/>
      <c r="D94" s="54"/>
    </row>
    <row r="95" spans="1:4" ht="15" x14ac:dyDescent="0.25">
      <c r="A95" s="62"/>
      <c r="B95" s="139" t="s">
        <v>1010</v>
      </c>
      <c r="C95" s="54"/>
      <c r="D95" s="54"/>
    </row>
    <row r="96" spans="1:4" ht="27.6" x14ac:dyDescent="0.25">
      <c r="A96" s="62"/>
      <c r="B96" s="215" t="s">
        <v>28</v>
      </c>
      <c r="C96" s="54"/>
      <c r="D96" s="54"/>
    </row>
    <row r="97" spans="1:4" ht="13.8" x14ac:dyDescent="0.25">
      <c r="B97" s="135" t="s">
        <v>29</v>
      </c>
      <c r="D97" s="56"/>
    </row>
    <row r="98" spans="1:4" ht="15" x14ac:dyDescent="0.25">
      <c r="A98" s="62"/>
      <c r="B98" s="63" t="s">
        <v>306</v>
      </c>
      <c r="C98" s="54"/>
      <c r="D98" s="58"/>
    </row>
    <row r="99" spans="1:4" ht="15" x14ac:dyDescent="0.25">
      <c r="A99" s="62"/>
      <c r="B99" s="63" t="s">
        <v>31</v>
      </c>
      <c r="C99" s="54"/>
      <c r="D99" s="58"/>
    </row>
    <row r="100" spans="1:4" ht="13.8" x14ac:dyDescent="0.25">
      <c r="A100" s="139" t="s">
        <v>0</v>
      </c>
      <c r="B100" s="63" t="s">
        <v>32</v>
      </c>
      <c r="C100" s="54"/>
    </row>
    <row r="101" spans="1:4" ht="67.2" x14ac:dyDescent="0.4">
      <c r="A101" s="142"/>
      <c r="B101" s="217" t="s">
        <v>65</v>
      </c>
      <c r="C101" s="141"/>
      <c r="D101" s="1"/>
    </row>
    <row r="103" spans="1:4" ht="12.75" customHeight="1" x14ac:dyDescent="0.25">
      <c r="C103" s="1"/>
      <c r="D103" s="1"/>
    </row>
    <row r="104" spans="1:4" ht="15" customHeight="1" x14ac:dyDescent="0.25">
      <c r="C104" s="1"/>
      <c r="D104" s="1"/>
    </row>
    <row r="105" spans="1:4" ht="15" customHeight="1" x14ac:dyDescent="0.25">
      <c r="C105" s="1"/>
      <c r="D105" s="1"/>
    </row>
    <row r="106" spans="1:4" ht="15" customHeight="1" x14ac:dyDescent="0.25">
      <c r="C106" s="1"/>
      <c r="D106" s="1"/>
    </row>
    <row r="107" spans="1:4" ht="15" customHeight="1" x14ac:dyDescent="0.25">
      <c r="C107" s="1"/>
      <c r="D107" s="1"/>
    </row>
    <row r="108" spans="1:4" ht="15" customHeight="1" x14ac:dyDescent="0.25">
      <c r="C108" s="1"/>
      <c r="D108" s="1"/>
    </row>
    <row r="109" spans="1:4" ht="15" customHeight="1" x14ac:dyDescent="0.25">
      <c r="C109" s="1"/>
      <c r="D109" s="1"/>
    </row>
    <row r="110" spans="1:4" ht="15" customHeight="1" x14ac:dyDescent="0.25">
      <c r="C110" s="1"/>
      <c r="D110" s="1"/>
    </row>
    <row r="111" spans="1:4" ht="15" customHeight="1" x14ac:dyDescent="0.25">
      <c r="C111" s="1"/>
      <c r="D111" s="1"/>
    </row>
    <row r="112" spans="1:4" ht="15" customHeight="1" x14ac:dyDescent="0.25">
      <c r="C112" s="1"/>
      <c r="D112" s="1"/>
    </row>
    <row r="113" s="1" customFormat="1" ht="15" customHeight="1" x14ac:dyDescent="0.25"/>
    <row r="114" s="1" customFormat="1" ht="15" customHeight="1" x14ac:dyDescent="0.25"/>
    <row r="115" s="1" customFormat="1" ht="15" customHeight="1" x14ac:dyDescent="0.25"/>
    <row r="116" s="1" customFormat="1" ht="15" customHeight="1" x14ac:dyDescent="0.25"/>
    <row r="117" s="1" customFormat="1" ht="15" customHeight="1" x14ac:dyDescent="0.25"/>
    <row r="118" s="1" customFormat="1" ht="15" customHeight="1" x14ac:dyDescent="0.25"/>
    <row r="119" s="1" customFormat="1" ht="15" customHeight="1" x14ac:dyDescent="0.25"/>
    <row r="120" s="1" customFormat="1" ht="15" customHeight="1" x14ac:dyDescent="0.25"/>
    <row r="121" s="1" customFormat="1" ht="15" customHeight="1" x14ac:dyDescent="0.25"/>
    <row r="122" s="1" customFormat="1" ht="15" customHeight="1" x14ac:dyDescent="0.25"/>
    <row r="123" s="1" customFormat="1" ht="15" customHeight="1" x14ac:dyDescent="0.25"/>
    <row r="124" s="1" customFormat="1" ht="15" customHeight="1" x14ac:dyDescent="0.25"/>
    <row r="125" s="1" customFormat="1" ht="15" customHeight="1" x14ac:dyDescent="0.25"/>
    <row r="126" s="1" customFormat="1" ht="15" customHeight="1" x14ac:dyDescent="0.25"/>
    <row r="127" s="1" customFormat="1" ht="15" customHeight="1" x14ac:dyDescent="0.25"/>
    <row r="128" s="1" customFormat="1" ht="15" customHeight="1" x14ac:dyDescent="0.25"/>
    <row r="129" s="1" customFormat="1" ht="15" customHeight="1" x14ac:dyDescent="0.25"/>
    <row r="130" s="1" customFormat="1" ht="15" customHeight="1" x14ac:dyDescent="0.25"/>
    <row r="131" s="1" customFormat="1" ht="15" customHeight="1" x14ac:dyDescent="0.25"/>
    <row r="132" s="1" customFormat="1" ht="15" customHeight="1" x14ac:dyDescent="0.25"/>
    <row r="133" s="1" customFormat="1" ht="15" customHeight="1" x14ac:dyDescent="0.25"/>
    <row r="134" s="1" customFormat="1" x14ac:dyDescent="0.25"/>
    <row r="135" s="1" customFormat="1" x14ac:dyDescent="0.25"/>
    <row r="136" s="1" customFormat="1" x14ac:dyDescent="0.25"/>
    <row r="137" s="1" customFormat="1" x14ac:dyDescent="0.25"/>
    <row r="138" s="1" customFormat="1" ht="15" customHeight="1" x14ac:dyDescent="0.25"/>
    <row r="139" s="1" customFormat="1" x14ac:dyDescent="0.25"/>
    <row r="140" s="1" customFormat="1" ht="15" customHeight="1" x14ac:dyDescent="0.25"/>
    <row r="141" s="1" customFormat="1" ht="15" customHeight="1" x14ac:dyDescent="0.25"/>
    <row r="142" s="1" customFormat="1" ht="15" customHeight="1" x14ac:dyDescent="0.25"/>
    <row r="143" s="1" customFormat="1" ht="15" customHeight="1" x14ac:dyDescent="0.25"/>
    <row r="144" s="1" customFormat="1" ht="15" customHeight="1" x14ac:dyDescent="0.25"/>
    <row r="145" s="1" customFormat="1" ht="15" customHeight="1" x14ac:dyDescent="0.25"/>
    <row r="146" s="1" customFormat="1" ht="15" customHeight="1" x14ac:dyDescent="0.25"/>
    <row r="147" s="1" customFormat="1" ht="15" customHeight="1" x14ac:dyDescent="0.25"/>
    <row r="148" s="1" customFormat="1" ht="15" customHeight="1" x14ac:dyDescent="0.25"/>
    <row r="149" s="1" customFormat="1" ht="15" customHeight="1" x14ac:dyDescent="0.25"/>
    <row r="150" s="1" customFormat="1" x14ac:dyDescent="0.25"/>
    <row r="151" s="1" customFormat="1" ht="15" customHeight="1" x14ac:dyDescent="0.25"/>
    <row r="152" s="1" customFormat="1" x14ac:dyDescent="0.25"/>
    <row r="153" s="1" customFormat="1" x14ac:dyDescent="0.25"/>
    <row r="154" s="1" customFormat="1" x14ac:dyDescent="0.25"/>
    <row r="155" s="1" customFormat="1" ht="15" customHeight="1" x14ac:dyDescent="0.25"/>
    <row r="192" spans="2:4" x14ac:dyDescent="0.25">
      <c r="B192" s="716" t="s">
        <v>1090</v>
      </c>
      <c r="C192" s="717" t="s">
        <v>1091</v>
      </c>
      <c r="D192" s="1"/>
    </row>
    <row r="193" spans="2:4" x14ac:dyDescent="0.25">
      <c r="B193" s="718" t="s">
        <v>1092</v>
      </c>
      <c r="C193" s="719">
        <v>183168</v>
      </c>
      <c r="D193" s="1"/>
    </row>
    <row r="194" spans="2:4" x14ac:dyDescent="0.25">
      <c r="B194" s="720" t="s">
        <v>1093</v>
      </c>
      <c r="C194" s="719">
        <v>738079.12</v>
      </c>
    </row>
    <row r="195" spans="2:4" x14ac:dyDescent="0.25">
      <c r="B195" s="721" t="s">
        <v>1101</v>
      </c>
      <c r="C195" s="722">
        <v>1727247.04</v>
      </c>
    </row>
    <row r="196" spans="2:4" x14ac:dyDescent="0.25">
      <c r="B196" s="723" t="s">
        <v>1089</v>
      </c>
      <c r="C196" s="722">
        <v>3211111.68</v>
      </c>
    </row>
    <row r="198" spans="2:4" ht="14.4" x14ac:dyDescent="0.3">
      <c r="B198" s="724" t="s">
        <v>1095</v>
      </c>
    </row>
    <row r="201" spans="2:4" x14ac:dyDescent="0.25">
      <c r="B201" s="726" t="s">
        <v>1094</v>
      </c>
    </row>
    <row r="202" spans="2:4" ht="26.4" x14ac:dyDescent="0.25">
      <c r="B202" s="725"/>
      <c r="C202" s="728" t="s">
        <v>1097</v>
      </c>
    </row>
    <row r="203" spans="2:4" x14ac:dyDescent="0.25">
      <c r="B203" s="727" t="s">
        <v>1099</v>
      </c>
      <c r="C203" s="730" t="s">
        <v>1098</v>
      </c>
    </row>
    <row r="204" spans="2:4" x14ac:dyDescent="0.25">
      <c r="B204" s="727" t="s">
        <v>1096</v>
      </c>
      <c r="C204" s="729">
        <f>183168*0.95</f>
        <v>174009.60000000001</v>
      </c>
    </row>
    <row r="205" spans="2:4" x14ac:dyDescent="0.25">
      <c r="B205" s="732" t="s">
        <v>1100</v>
      </c>
      <c r="C205" s="733">
        <f>738079.12*0.96</f>
        <v>708555.95519999997</v>
      </c>
    </row>
    <row r="206" spans="2:4" ht="14.4" x14ac:dyDescent="0.3">
      <c r="B206" s="731" t="s">
        <v>1102</v>
      </c>
      <c r="C206" s="734">
        <v>1675429.63</v>
      </c>
    </row>
    <row r="207" spans="2:4" x14ac:dyDescent="0.25">
      <c r="B207" s="731" t="s">
        <v>1103</v>
      </c>
      <c r="C207" s="729">
        <v>562617.52</v>
      </c>
    </row>
    <row r="208" spans="2:4" x14ac:dyDescent="0.25">
      <c r="B208" s="731" t="s">
        <v>1104</v>
      </c>
      <c r="C208" s="729">
        <v>3120612.71</v>
      </c>
    </row>
    <row r="210" spans="2:2" ht="14.4" x14ac:dyDescent="0.3">
      <c r="B210" s="735" t="s">
        <v>1105</v>
      </c>
    </row>
    <row r="212" spans="2:2" ht="39.6" x14ac:dyDescent="0.25">
      <c r="B212" s="736" t="s">
        <v>1106</v>
      </c>
    </row>
  </sheetData>
  <mergeCells count="6">
    <mergeCell ref="B48:D48"/>
    <mergeCell ref="A67:D67"/>
    <mergeCell ref="B81:D81"/>
    <mergeCell ref="A4:D4"/>
    <mergeCell ref="A15:D15"/>
    <mergeCell ref="B22:D22"/>
  </mergeCells>
  <phoneticPr fontId="96" type="noConversion"/>
  <printOptions horizontalCentered="1"/>
  <pageMargins left="0" right="0" top="0" bottom="0" header="0" footer="0"/>
  <pageSetup paperSize="9" scale="49" fitToHeight="0" orientation="portrait" r:id="rId1"/>
  <headerFooter alignWithMargins="0">
    <oddFooter>Página &amp;P de &amp;N</oddFooter>
  </headerFooter>
  <ignoredErrors>
    <ignoredError sqref="C205:C208" calculatedColumn="1"/>
  </ignoredErrors>
  <drawing r:id="rId2"/>
  <legacyDrawing r:id="rId3"/>
  <tableParts count="2">
    <tablePart r:id="rId4"/>
    <tablePart r:id="rId5"/>
  </tablePart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00574-E4A3-40F8-AF93-25CF930A8555}">
  <sheetPr>
    <tabColor theme="4" tint="-0.249977111117893"/>
    <pageSetUpPr fitToPage="1"/>
  </sheetPr>
  <dimension ref="A1:M70"/>
  <sheetViews>
    <sheetView topLeftCell="A9" zoomScale="85" zoomScaleNormal="85" workbookViewId="0">
      <selection activeCell="B28" sqref="B28:D28"/>
    </sheetView>
  </sheetViews>
  <sheetFormatPr baseColWidth="10" defaultColWidth="11.44140625" defaultRowHeight="13.2" x14ac:dyDescent="0.25"/>
  <cols>
    <col min="1" max="1" width="6" style="1" customWidth="1"/>
    <col min="2" max="2" width="82.33203125" style="1" customWidth="1"/>
    <col min="3" max="3" width="14.5546875" style="3" bestFit="1"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1007</v>
      </c>
      <c r="B8" s="68"/>
      <c r="C8" s="69"/>
      <c r="D8" s="69"/>
    </row>
    <row r="9" spans="1:12" s="4" customFormat="1" ht="19.2" x14ac:dyDescent="0.45">
      <c r="A9" s="67" t="s">
        <v>1008</v>
      </c>
      <c r="B9" s="68"/>
      <c r="C9" s="69"/>
      <c r="D9" s="69"/>
    </row>
    <row r="10" spans="1:12" s="4" customFormat="1" ht="19.2" x14ac:dyDescent="0.45">
      <c r="A10" s="67" t="s">
        <v>762</v>
      </c>
      <c r="B10" s="68"/>
      <c r="C10" s="69"/>
      <c r="D10" s="69"/>
    </row>
    <row r="11" spans="1:12" s="4" customFormat="1" ht="19.2" x14ac:dyDescent="0.45">
      <c r="A11" s="67" t="s">
        <v>85</v>
      </c>
      <c r="B11" s="68"/>
      <c r="C11" s="70"/>
      <c r="D11" s="69"/>
    </row>
    <row r="12" spans="1:12" s="4" customFormat="1" ht="15" customHeight="1" x14ac:dyDescent="0.45">
      <c r="A12" s="67" t="s">
        <v>38</v>
      </c>
      <c r="B12" s="68"/>
      <c r="C12" s="70"/>
      <c r="D12" s="69"/>
    </row>
    <row r="13" spans="1:12" s="4" customFormat="1" ht="19.2" x14ac:dyDescent="0.45">
      <c r="A13" s="71" t="s">
        <v>1045</v>
      </c>
      <c r="B13" s="72"/>
      <c r="C13" s="73"/>
      <c r="D13" s="74"/>
      <c r="E13" s="10"/>
      <c r="F13" s="10"/>
      <c r="G13" s="10"/>
    </row>
    <row r="14" spans="1:12" s="4" customFormat="1" ht="19.2" x14ac:dyDescent="0.4">
      <c r="A14" s="744" t="s">
        <v>40</v>
      </c>
      <c r="B14" s="745"/>
      <c r="C14" s="746"/>
      <c r="D14" s="747"/>
      <c r="E14" s="1"/>
      <c r="F14" s="1"/>
      <c r="G14" s="1"/>
      <c r="H14" s="10"/>
      <c r="I14" s="10"/>
      <c r="J14" s="10"/>
      <c r="K14" s="10"/>
      <c r="L14" s="10"/>
    </row>
    <row r="15" spans="1:12" s="10" customFormat="1" ht="13.8" x14ac:dyDescent="0.25">
      <c r="A15" s="14"/>
      <c r="B15" s="715" t="s">
        <v>1039</v>
      </c>
      <c r="C15" s="16"/>
      <c r="D15" s="16"/>
      <c r="E15" s="17"/>
      <c r="F15" s="23"/>
      <c r="G15" s="23"/>
      <c r="H15" s="1"/>
      <c r="I15" s="1"/>
      <c r="J15" s="1"/>
      <c r="K15" s="1"/>
      <c r="L15" s="1"/>
    </row>
    <row r="16" spans="1:12" ht="18.600000000000001" customHeight="1" x14ac:dyDescent="0.25">
      <c r="A16" s="80">
        <v>90</v>
      </c>
      <c r="B16" s="167" t="s">
        <v>1040</v>
      </c>
      <c r="C16" s="653">
        <f>1307.57*1.27</f>
        <v>1660.6138999999998</v>
      </c>
      <c r="D16" s="678">
        <f>A16*C16</f>
        <v>149455.25099999999</v>
      </c>
      <c r="E16" s="17"/>
      <c r="H16" s="23"/>
      <c r="I16" s="23"/>
      <c r="J16" s="23"/>
      <c r="K16" s="23"/>
      <c r="L16" s="23"/>
    </row>
    <row r="17" spans="1:13" s="23" customFormat="1" ht="21.6" customHeight="1" x14ac:dyDescent="0.25">
      <c r="A17" s="80">
        <v>210</v>
      </c>
      <c r="B17" s="167" t="s">
        <v>1041</v>
      </c>
      <c r="C17" s="653">
        <f>1665*1.27</f>
        <v>2114.5500000000002</v>
      </c>
      <c r="D17" s="678">
        <f>A17*C17</f>
        <v>444055.50000000006</v>
      </c>
      <c r="E17" s="17"/>
      <c r="F17" s="1"/>
      <c r="G17" s="1"/>
    </row>
    <row r="18" spans="1:13" s="23" customFormat="1" ht="15.6" x14ac:dyDescent="0.3">
      <c r="A18" s="161"/>
      <c r="B18" s="682"/>
      <c r="C18" s="90" t="s">
        <v>49</v>
      </c>
      <c r="D18" s="87">
        <f>SUM(D15:D17)</f>
        <v>593510.75100000005</v>
      </c>
      <c r="E18" s="13"/>
      <c r="F18" s="1"/>
      <c r="G18" s="1"/>
      <c r="H18" s="1"/>
      <c r="I18" s="1"/>
      <c r="J18" s="1"/>
      <c r="K18" s="1"/>
      <c r="L18" s="1"/>
    </row>
    <row r="19" spans="1:13" s="23" customFormat="1" ht="15.6" x14ac:dyDescent="0.3">
      <c r="A19" s="161"/>
      <c r="B19" s="682"/>
      <c r="C19" s="90" t="s">
        <v>51</v>
      </c>
      <c r="D19" s="87">
        <f>D18*0.16</f>
        <v>94961.720160000012</v>
      </c>
      <c r="E19" s="13"/>
      <c r="F19" s="1"/>
      <c r="G19" s="1"/>
      <c r="H19" s="1"/>
      <c r="I19" s="1"/>
      <c r="J19" s="1"/>
      <c r="K19" s="1"/>
      <c r="L19" s="1"/>
    </row>
    <row r="20" spans="1:13" s="23" customFormat="1" ht="16.2" thickBot="1" x14ac:dyDescent="0.35">
      <c r="A20" s="161"/>
      <c r="B20" s="683"/>
      <c r="C20" s="90" t="s">
        <v>77</v>
      </c>
      <c r="D20" s="87">
        <f>D18+D19</f>
        <v>688472.47116000007</v>
      </c>
      <c r="E20" s="13"/>
      <c r="F20" s="1"/>
      <c r="G20" s="1"/>
      <c r="H20" s="1"/>
      <c r="I20" s="1"/>
      <c r="J20" s="1"/>
      <c r="K20" s="1"/>
      <c r="L20" s="1"/>
    </row>
    <row r="21" spans="1:13" s="23" customFormat="1" ht="16.2" thickBot="1" x14ac:dyDescent="0.3">
      <c r="A21" s="116"/>
      <c r="B21" s="802" t="s">
        <v>1046</v>
      </c>
      <c r="C21" s="803"/>
      <c r="D21" s="804"/>
      <c r="E21" s="13"/>
      <c r="F21" s="1"/>
      <c r="G21" s="1"/>
      <c r="H21" s="1"/>
      <c r="I21" s="1"/>
      <c r="J21" s="1"/>
      <c r="K21" s="1"/>
      <c r="L21" s="1"/>
      <c r="M21" s="1"/>
    </row>
    <row r="22" spans="1:13" s="23" customFormat="1" x14ac:dyDescent="0.25">
      <c r="A22" s="14"/>
      <c r="B22" s="715" t="s">
        <v>1038</v>
      </c>
      <c r="C22" s="16"/>
      <c r="D22" s="16"/>
      <c r="E22" s="1"/>
      <c r="F22" s="1"/>
      <c r="G22" s="1"/>
      <c r="H22" s="1"/>
      <c r="I22" s="1"/>
      <c r="J22" s="1"/>
      <c r="K22" s="1"/>
      <c r="L22" s="1"/>
      <c r="M22" s="1"/>
    </row>
    <row r="23" spans="1:13" s="23" customFormat="1" ht="42.75" customHeight="1" x14ac:dyDescent="0.25">
      <c r="A23" s="80">
        <v>90</v>
      </c>
      <c r="B23" s="305" t="s">
        <v>1040</v>
      </c>
      <c r="C23" s="653">
        <f>1078.5*1.29</f>
        <v>1391.2650000000001</v>
      </c>
      <c r="D23" s="678">
        <f>A23*C23</f>
        <v>125213.85</v>
      </c>
      <c r="E23" s="1"/>
      <c r="F23" s="1"/>
      <c r="G23" s="1"/>
      <c r="H23" s="1"/>
      <c r="I23" s="1"/>
      <c r="J23" s="1"/>
      <c r="K23" s="1"/>
      <c r="M23" s="1"/>
    </row>
    <row r="24" spans="1:13" s="23" customFormat="1" ht="17.399999999999999" customHeight="1" x14ac:dyDescent="0.25">
      <c r="A24" s="80">
        <v>210</v>
      </c>
      <c r="B24" s="167" t="s">
        <v>1041</v>
      </c>
      <c r="C24" s="653">
        <f>1328.17*1.29</f>
        <v>1713.3393000000001</v>
      </c>
      <c r="D24" s="678">
        <f>A24*C24</f>
        <v>359801.25300000003</v>
      </c>
      <c r="E24" s="1"/>
      <c r="F24" s="1"/>
      <c r="G24" s="1"/>
      <c r="H24" s="1"/>
      <c r="I24" s="1"/>
      <c r="J24" s="1"/>
      <c r="K24" s="1"/>
      <c r="L24" s="1"/>
      <c r="M24" s="1"/>
    </row>
    <row r="25" spans="1:13" s="23" customFormat="1" ht="15.6" x14ac:dyDescent="0.3">
      <c r="A25" s="161"/>
      <c r="B25" s="682"/>
      <c r="C25" s="90" t="s">
        <v>49</v>
      </c>
      <c r="D25" s="87">
        <f>SUM(D22:D24)</f>
        <v>485015.103</v>
      </c>
      <c r="E25" s="1"/>
      <c r="F25" s="1"/>
      <c r="G25" s="1"/>
      <c r="H25" s="1"/>
      <c r="I25" s="1"/>
      <c r="J25" s="1"/>
      <c r="K25" s="1"/>
      <c r="L25" s="1"/>
      <c r="M25" s="1"/>
    </row>
    <row r="26" spans="1:13" s="23" customFormat="1" ht="15.6" x14ac:dyDescent="0.3">
      <c r="A26" s="161"/>
      <c r="B26" s="682"/>
      <c r="C26" s="90" t="s">
        <v>51</v>
      </c>
      <c r="D26" s="87">
        <f>D25*0.16</f>
        <v>77602.41648</v>
      </c>
      <c r="E26" s="1"/>
      <c r="F26" s="1"/>
      <c r="G26" s="1"/>
      <c r="H26" s="1"/>
      <c r="I26" s="1"/>
      <c r="J26" s="1"/>
      <c r="K26" s="1"/>
      <c r="L26" s="1"/>
      <c r="M26" s="1"/>
    </row>
    <row r="27" spans="1:13" s="23" customFormat="1" ht="16.2" thickBot="1" x14ac:dyDescent="0.35">
      <c r="A27" s="161"/>
      <c r="B27" s="683"/>
      <c r="C27" s="90" t="s">
        <v>77</v>
      </c>
      <c r="D27" s="87">
        <f>D25+D26</f>
        <v>562617.51948000002</v>
      </c>
      <c r="E27" s="1"/>
      <c r="F27" s="1"/>
      <c r="G27" s="1"/>
      <c r="H27" s="1"/>
      <c r="I27" s="1"/>
      <c r="J27" s="1"/>
      <c r="K27" s="1"/>
      <c r="L27" s="1"/>
      <c r="M27" s="1"/>
    </row>
    <row r="28" spans="1:13" s="23" customFormat="1" ht="16.2" thickBot="1" x14ac:dyDescent="0.3">
      <c r="A28" s="116"/>
      <c r="B28" s="802" t="s">
        <v>1047</v>
      </c>
      <c r="C28" s="803"/>
      <c r="D28" s="804"/>
      <c r="E28" s="1"/>
      <c r="F28" s="1"/>
      <c r="G28" s="1"/>
      <c r="H28" s="1"/>
      <c r="I28" s="1"/>
      <c r="J28" s="1"/>
      <c r="K28" s="1"/>
      <c r="L28" s="1"/>
      <c r="M28" s="1"/>
    </row>
    <row r="29" spans="1:13" s="23" customFormat="1" x14ac:dyDescent="0.25">
      <c r="A29" s="14"/>
      <c r="B29" s="715" t="s">
        <v>1044</v>
      </c>
      <c r="C29" s="16"/>
      <c r="D29" s="16"/>
      <c r="E29" s="13"/>
      <c r="F29" s="1"/>
      <c r="G29" s="1"/>
      <c r="H29" s="1"/>
      <c r="I29" s="1"/>
      <c r="J29" s="1"/>
      <c r="K29" s="1"/>
      <c r="L29" s="1"/>
      <c r="M29" s="1"/>
    </row>
    <row r="30" spans="1:13" s="23" customFormat="1" ht="19.2" customHeight="1" x14ac:dyDescent="0.25">
      <c r="A30" s="80">
        <v>95</v>
      </c>
      <c r="B30" s="167" t="s">
        <v>1042</v>
      </c>
      <c r="C30" s="653">
        <f>1331.35*1.27</f>
        <v>1690.8145</v>
      </c>
      <c r="D30" s="678">
        <f>A30*C30</f>
        <v>160627.3775</v>
      </c>
      <c r="E30" s="13"/>
      <c r="F30" s="1"/>
      <c r="G30" s="1"/>
      <c r="H30" s="1"/>
      <c r="I30" s="1"/>
      <c r="J30" s="1"/>
      <c r="K30" s="1"/>
      <c r="L30" s="1"/>
      <c r="M30" s="1"/>
    </row>
    <row r="31" spans="1:13" ht="20.399999999999999" customHeight="1" x14ac:dyDescent="0.25">
      <c r="A31" s="80">
        <v>210</v>
      </c>
      <c r="B31" s="167" t="s">
        <v>1043</v>
      </c>
      <c r="C31" s="653">
        <f>1611.84*1.27</f>
        <v>2047.0367999999999</v>
      </c>
      <c r="D31" s="678">
        <f>A31*C31</f>
        <v>429877.72799999994</v>
      </c>
    </row>
    <row r="32" spans="1:13" ht="15.6" x14ac:dyDescent="0.3">
      <c r="A32" s="161"/>
      <c r="B32" s="682"/>
      <c r="C32" s="90" t="s">
        <v>49</v>
      </c>
      <c r="D32" s="87">
        <f>SUM(D29:D31)</f>
        <v>590505.10549999995</v>
      </c>
    </row>
    <row r="33" spans="1:4" ht="15.6" x14ac:dyDescent="0.3">
      <c r="A33" s="161"/>
      <c r="B33" s="682"/>
      <c r="C33" s="90" t="s">
        <v>51</v>
      </c>
      <c r="D33" s="87">
        <f>D32*0.16</f>
        <v>94480.816879999998</v>
      </c>
    </row>
    <row r="34" spans="1:4" ht="15.6" x14ac:dyDescent="0.3">
      <c r="A34" s="161"/>
      <c r="B34" s="683"/>
      <c r="C34" s="90" t="s">
        <v>77</v>
      </c>
      <c r="D34" s="87">
        <f>D32+D33</f>
        <v>684985.92237999989</v>
      </c>
    </row>
    <row r="35" spans="1:4" ht="16.2" thickBot="1" x14ac:dyDescent="0.3">
      <c r="A35" s="116"/>
      <c r="B35" s="811" t="s">
        <v>1048</v>
      </c>
      <c r="C35" s="803"/>
      <c r="D35" s="804"/>
    </row>
    <row r="36" spans="1:4" ht="15" x14ac:dyDescent="0.25">
      <c r="A36" s="116"/>
      <c r="B36" s="655" t="s">
        <v>876</v>
      </c>
      <c r="C36" s="163"/>
      <c r="D36" s="164"/>
    </row>
    <row r="37" spans="1:4" ht="13.8" x14ac:dyDescent="0.25">
      <c r="A37" s="34"/>
      <c r="B37" s="135" t="s">
        <v>15</v>
      </c>
      <c r="C37" s="165"/>
      <c r="D37" s="56"/>
    </row>
    <row r="38" spans="1:4" ht="13.8" x14ac:dyDescent="0.25">
      <c r="A38" s="34"/>
      <c r="B38" s="135" t="s">
        <v>17</v>
      </c>
      <c r="D38" s="56"/>
    </row>
    <row r="39" spans="1:4" ht="15" x14ac:dyDescent="0.25">
      <c r="A39" s="62"/>
      <c r="B39" s="191" t="s">
        <v>289</v>
      </c>
      <c r="D39" s="56"/>
    </row>
    <row r="40" spans="1:4" ht="17.25" customHeight="1" x14ac:dyDescent="0.25">
      <c r="A40" s="62"/>
      <c r="B40" s="191" t="s">
        <v>21</v>
      </c>
      <c r="D40" s="56"/>
    </row>
    <row r="41" spans="1:4" ht="15" x14ac:dyDescent="0.25">
      <c r="A41" s="62"/>
      <c r="B41" s="191" t="s">
        <v>60</v>
      </c>
      <c r="D41" s="56"/>
    </row>
    <row r="42" spans="1:4" ht="13.5" customHeight="1" x14ac:dyDescent="0.25">
      <c r="A42" s="62"/>
      <c r="B42" s="135" t="s">
        <v>23</v>
      </c>
    </row>
    <row r="43" spans="1:4" ht="27.6" x14ac:dyDescent="0.25">
      <c r="B43" s="187" t="s">
        <v>950</v>
      </c>
    </row>
    <row r="44" spans="1:4" ht="15" x14ac:dyDescent="0.25">
      <c r="A44" s="62"/>
      <c r="B44" s="187" t="s">
        <v>951</v>
      </c>
      <c r="C44" s="54"/>
      <c r="D44" s="58"/>
    </row>
    <row r="45" spans="1:4" ht="15" x14ac:dyDescent="0.25">
      <c r="A45" s="62"/>
      <c r="B45" s="135" t="s">
        <v>26</v>
      </c>
      <c r="C45" s="54"/>
      <c r="D45" s="58"/>
    </row>
    <row r="46" spans="1:4" ht="27.6" x14ac:dyDescent="0.25">
      <c r="A46" s="62"/>
      <c r="B46" s="189" t="s">
        <v>1049</v>
      </c>
      <c r="C46" s="54"/>
      <c r="D46" s="54"/>
    </row>
    <row r="47" spans="1:4" ht="15" x14ac:dyDescent="0.25">
      <c r="A47" s="62"/>
      <c r="B47" s="189" t="s">
        <v>28</v>
      </c>
      <c r="C47" s="54"/>
      <c r="D47" s="54"/>
    </row>
    <row r="48" spans="1:4" ht="18" customHeight="1" x14ac:dyDescent="0.25">
      <c r="A48" s="62"/>
      <c r="B48" s="135" t="s">
        <v>29</v>
      </c>
      <c r="D48" s="56"/>
    </row>
    <row r="49" spans="1:4" ht="13.8" x14ac:dyDescent="0.25">
      <c r="B49" s="190" t="s">
        <v>1050</v>
      </c>
      <c r="C49" s="54"/>
      <c r="D49" s="58"/>
    </row>
    <row r="50" spans="1:4" ht="15" x14ac:dyDescent="0.25">
      <c r="A50" s="62"/>
      <c r="B50" s="191" t="s">
        <v>31</v>
      </c>
      <c r="C50" s="54"/>
      <c r="D50" s="58"/>
    </row>
    <row r="51" spans="1:4" ht="15" x14ac:dyDescent="0.25">
      <c r="A51" s="62"/>
      <c r="B51" s="191" t="s">
        <v>32</v>
      </c>
      <c r="C51" s="54"/>
    </row>
    <row r="52" spans="1:4" ht="50.4" x14ac:dyDescent="0.25">
      <c r="A52" s="139" t="s">
        <v>0</v>
      </c>
      <c r="B52" s="193" t="s">
        <v>65</v>
      </c>
      <c r="C52" s="141"/>
      <c r="D52" s="1"/>
    </row>
    <row r="53" spans="1:4" x14ac:dyDescent="0.25">
      <c r="A53" s="142"/>
      <c r="B53" s="64"/>
      <c r="C53" s="64"/>
      <c r="D53" s="1"/>
    </row>
    <row r="54" spans="1:4" x14ac:dyDescent="0.25">
      <c r="A54" s="142"/>
      <c r="B54" s="64"/>
      <c r="C54" s="64"/>
      <c r="D54" s="1"/>
    </row>
    <row r="55" spans="1:4" x14ac:dyDescent="0.25">
      <c r="A55" s="142"/>
      <c r="B55" s="143"/>
      <c r="C55" s="64"/>
      <c r="D55" s="1"/>
    </row>
    <row r="56" spans="1:4" ht="15" x14ac:dyDescent="0.35">
      <c r="A56" s="144"/>
      <c r="B56" s="145"/>
      <c r="C56" s="64"/>
      <c r="D56" s="64"/>
    </row>
    <row r="57" spans="1:4" x14ac:dyDescent="0.25">
      <c r="A57" s="146" t="s">
        <v>0</v>
      </c>
    </row>
    <row r="58" spans="1:4" x14ac:dyDescent="0.25">
      <c r="A58" s="1" t="s">
        <v>0</v>
      </c>
    </row>
    <row r="61" spans="1:4" ht="12.75" customHeight="1" x14ac:dyDescent="0.25"/>
    <row r="65" ht="16.5" customHeight="1" x14ac:dyDescent="0.25"/>
    <row r="69" ht="15.75" customHeight="1" x14ac:dyDescent="0.25"/>
    <row r="70" ht="15" customHeight="1" x14ac:dyDescent="0.25"/>
  </sheetData>
  <mergeCells count="5">
    <mergeCell ref="B35:D35"/>
    <mergeCell ref="A4:D4"/>
    <mergeCell ref="A14:D14"/>
    <mergeCell ref="B21:D21"/>
    <mergeCell ref="B28:D28"/>
  </mergeCells>
  <printOptions horizontalCentered="1"/>
  <pageMargins left="0" right="0" top="0" bottom="0" header="0" footer="0"/>
  <pageSetup paperSize="9" scale="76" fitToHeight="0" orientation="portrait" r:id="rId1"/>
  <headerFooter alignWithMargins="0">
    <oddFooter>Página &amp;P de &amp;N</oddFooter>
  </headerFooter>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A50CD-C1FE-4D4F-8FEF-0A9A68778184}">
  <sheetPr>
    <tabColor theme="4" tint="-0.249977111117893"/>
    <pageSetUpPr fitToPage="1"/>
  </sheetPr>
  <dimension ref="A1:M70"/>
  <sheetViews>
    <sheetView topLeftCell="A10" zoomScale="85" zoomScaleNormal="85" workbookViewId="0">
      <selection activeCell="C16" sqref="C16"/>
    </sheetView>
  </sheetViews>
  <sheetFormatPr baseColWidth="10" defaultColWidth="11.44140625" defaultRowHeight="13.2" x14ac:dyDescent="0.25"/>
  <cols>
    <col min="1" max="1" width="6" style="1" customWidth="1"/>
    <col min="2" max="2" width="78.33203125" style="1" customWidth="1"/>
    <col min="3" max="3" width="14.5546875" style="3" bestFit="1"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1007</v>
      </c>
      <c r="B8" s="68"/>
      <c r="C8" s="69"/>
      <c r="D8" s="69"/>
    </row>
    <row r="9" spans="1:12" s="4" customFormat="1" ht="19.2" x14ac:dyDescent="0.45">
      <c r="A9" s="67" t="s">
        <v>1008</v>
      </c>
      <c r="B9" s="68"/>
      <c r="C9" s="69"/>
      <c r="D9" s="69"/>
    </row>
    <row r="10" spans="1:12" s="4" customFormat="1" ht="19.2" x14ac:dyDescent="0.45">
      <c r="A10" s="67" t="s">
        <v>762</v>
      </c>
      <c r="B10" s="68"/>
      <c r="C10" s="69"/>
      <c r="D10" s="69"/>
    </row>
    <row r="11" spans="1:12" s="4" customFormat="1" ht="19.2" x14ac:dyDescent="0.45">
      <c r="A11" s="67" t="s">
        <v>85</v>
      </c>
      <c r="B11" s="68"/>
      <c r="C11" s="70"/>
      <c r="D11" s="69"/>
    </row>
    <row r="12" spans="1:12" s="4" customFormat="1" ht="15" customHeight="1" x14ac:dyDescent="0.45">
      <c r="A12" s="67" t="s">
        <v>38</v>
      </c>
      <c r="B12" s="68"/>
      <c r="C12" s="70"/>
      <c r="D12" s="69"/>
    </row>
    <row r="13" spans="1:12" s="4" customFormat="1" ht="19.2" x14ac:dyDescent="0.45">
      <c r="A13" s="71" t="s">
        <v>1045</v>
      </c>
      <c r="B13" s="72"/>
      <c r="C13" s="73"/>
      <c r="D13" s="74"/>
      <c r="E13" s="10"/>
      <c r="F13" s="10"/>
      <c r="G13" s="10"/>
    </row>
    <row r="14" spans="1:12" s="4" customFormat="1" ht="19.2" x14ac:dyDescent="0.4">
      <c r="A14" s="744" t="s">
        <v>40</v>
      </c>
      <c r="B14" s="745"/>
      <c r="C14" s="746"/>
      <c r="D14" s="747"/>
      <c r="E14" s="1"/>
      <c r="F14" s="1"/>
      <c r="G14" s="1"/>
      <c r="H14" s="10"/>
      <c r="I14" s="10"/>
      <c r="J14" s="10"/>
      <c r="K14" s="10"/>
      <c r="L14" s="10"/>
    </row>
    <row r="15" spans="1:12" s="10" customFormat="1" ht="30" customHeight="1" x14ac:dyDescent="0.25">
      <c r="A15" s="14"/>
      <c r="B15" s="715" t="s">
        <v>1038</v>
      </c>
      <c r="C15" s="16"/>
      <c r="D15" s="16"/>
      <c r="E15" s="1"/>
      <c r="F15" s="1"/>
      <c r="G15" s="1"/>
      <c r="H15" s="1"/>
    </row>
    <row r="16" spans="1:12" ht="18.600000000000001" customHeight="1" x14ac:dyDescent="0.25">
      <c r="A16" s="80">
        <v>80</v>
      </c>
      <c r="B16" s="167" t="s">
        <v>1040</v>
      </c>
      <c r="C16" s="653">
        <f>860.19*1.29</f>
        <v>1109.6451000000002</v>
      </c>
      <c r="D16" s="678">
        <f>A16*C16</f>
        <v>88771.608000000007</v>
      </c>
      <c r="E16" s="23"/>
      <c r="F16" s="23"/>
      <c r="G16" s="23"/>
      <c r="H16" s="23"/>
    </row>
    <row r="17" spans="1:13" s="23" customFormat="1" ht="21.6" customHeight="1" x14ac:dyDescent="0.25">
      <c r="A17" s="80">
        <v>120</v>
      </c>
      <c r="B17" s="167" t="s">
        <v>1041</v>
      </c>
      <c r="C17" s="653">
        <f>1064.29*1.29</f>
        <v>1372.9340999999999</v>
      </c>
      <c r="D17" s="678">
        <f>A17*C17</f>
        <v>164752.092</v>
      </c>
    </row>
    <row r="18" spans="1:13" s="23" customFormat="1" ht="15.6" x14ac:dyDescent="0.3">
      <c r="A18" s="161"/>
      <c r="B18" s="682"/>
      <c r="C18" s="90" t="s">
        <v>49</v>
      </c>
      <c r="D18" s="87">
        <f>SUM(D15:D17)</f>
        <v>253523.7</v>
      </c>
      <c r="E18" s="1"/>
      <c r="F18" s="1"/>
      <c r="G18" s="1"/>
      <c r="H18" s="1"/>
    </row>
    <row r="19" spans="1:13" s="23" customFormat="1" ht="15.6" x14ac:dyDescent="0.3">
      <c r="A19" s="161"/>
      <c r="B19" s="682"/>
      <c r="C19" s="90" t="s">
        <v>51</v>
      </c>
      <c r="D19" s="87">
        <f>D18*0.16</f>
        <v>40563.792000000001</v>
      </c>
      <c r="E19" s="1"/>
      <c r="F19" s="1"/>
      <c r="G19" s="1"/>
      <c r="H19" s="1"/>
    </row>
    <row r="20" spans="1:13" s="23" customFormat="1" ht="16.2" thickBot="1" x14ac:dyDescent="0.35">
      <c r="A20" s="161"/>
      <c r="B20" s="683"/>
      <c r="C20" s="90" t="s">
        <v>77</v>
      </c>
      <c r="D20" s="87">
        <f>D18+D19</f>
        <v>294087.49200000003</v>
      </c>
      <c r="E20" s="1"/>
      <c r="F20" s="1"/>
      <c r="G20" s="1"/>
      <c r="H20" s="1"/>
    </row>
    <row r="21" spans="1:13" s="23" customFormat="1" ht="16.2" thickBot="1" x14ac:dyDescent="0.3">
      <c r="A21" s="116"/>
      <c r="B21" s="802" t="s">
        <v>1074</v>
      </c>
      <c r="C21" s="803"/>
      <c r="D21" s="804"/>
      <c r="E21" s="1"/>
      <c r="F21" s="1"/>
      <c r="G21" s="1"/>
      <c r="H21" s="1"/>
      <c r="I21" s="1"/>
    </row>
    <row r="22" spans="1:13" s="23" customFormat="1" ht="13.8" x14ac:dyDescent="0.25">
      <c r="A22" s="34"/>
      <c r="B22" s="135" t="s">
        <v>15</v>
      </c>
      <c r="C22" s="165"/>
      <c r="D22" s="56"/>
      <c r="E22" s="13"/>
      <c r="F22" s="1"/>
      <c r="G22" s="1"/>
      <c r="H22" s="1"/>
      <c r="I22" s="1"/>
      <c r="J22" s="1"/>
      <c r="K22" s="1"/>
      <c r="L22" s="1"/>
      <c r="M22" s="1"/>
    </row>
    <row r="23" spans="1:13" s="23" customFormat="1" ht="17.399999999999999" customHeight="1" x14ac:dyDescent="0.25">
      <c r="A23" s="34"/>
      <c r="B23" s="135" t="s">
        <v>17</v>
      </c>
      <c r="C23" s="3"/>
      <c r="D23" s="56"/>
      <c r="E23" s="1"/>
      <c r="F23" s="1"/>
      <c r="G23" s="1"/>
      <c r="H23" s="1"/>
      <c r="I23" s="1"/>
      <c r="J23" s="1"/>
      <c r="K23" s="1"/>
      <c r="L23" s="1"/>
      <c r="M23" s="1"/>
    </row>
    <row r="24" spans="1:13" s="23" customFormat="1" ht="17.399999999999999" customHeight="1" x14ac:dyDescent="0.25">
      <c r="A24" s="62"/>
      <c r="B24" s="191" t="s">
        <v>289</v>
      </c>
      <c r="C24" s="3"/>
      <c r="D24" s="56"/>
      <c r="E24" s="1"/>
      <c r="F24" s="1"/>
      <c r="G24" s="1"/>
      <c r="H24" s="1"/>
      <c r="I24" s="1"/>
      <c r="J24" s="1"/>
      <c r="K24" s="1"/>
      <c r="L24" s="1"/>
      <c r="M24" s="1"/>
    </row>
    <row r="25" spans="1:13" s="23" customFormat="1" ht="15" x14ac:dyDescent="0.25">
      <c r="A25" s="62"/>
      <c r="B25" s="191" t="s">
        <v>21</v>
      </c>
      <c r="C25" s="3"/>
      <c r="D25" s="56"/>
      <c r="E25" s="1"/>
      <c r="F25" s="1"/>
      <c r="G25" s="1"/>
      <c r="H25" s="1"/>
      <c r="I25" s="1"/>
      <c r="J25" s="1"/>
      <c r="K25" s="1"/>
      <c r="L25" s="1"/>
      <c r="M25" s="1"/>
    </row>
    <row r="26" spans="1:13" s="23" customFormat="1" ht="15" x14ac:dyDescent="0.25">
      <c r="A26" s="62"/>
      <c r="B26" s="191" t="s">
        <v>60</v>
      </c>
      <c r="C26" s="3"/>
      <c r="D26" s="56"/>
      <c r="E26" s="1"/>
      <c r="F26" s="1"/>
      <c r="G26" s="1"/>
      <c r="H26" s="1"/>
      <c r="I26" s="1"/>
      <c r="J26" s="1"/>
      <c r="K26" s="1"/>
      <c r="L26" s="1"/>
      <c r="M26" s="1"/>
    </row>
    <row r="27" spans="1:13" s="23" customFormat="1" ht="15" x14ac:dyDescent="0.25">
      <c r="A27" s="62"/>
      <c r="B27" s="135" t="s">
        <v>23</v>
      </c>
      <c r="C27" s="3"/>
      <c r="D27" s="3"/>
      <c r="E27" s="1"/>
      <c r="F27" s="1"/>
      <c r="G27" s="1"/>
      <c r="H27" s="1"/>
      <c r="I27" s="1"/>
      <c r="J27" s="1"/>
      <c r="K27" s="1"/>
      <c r="L27" s="1"/>
      <c r="M27" s="1"/>
    </row>
    <row r="28" spans="1:13" s="23" customFormat="1" ht="27.6" x14ac:dyDescent="0.25">
      <c r="A28" s="1"/>
      <c r="B28" s="187" t="s">
        <v>950</v>
      </c>
      <c r="C28" s="3"/>
      <c r="D28" s="3"/>
      <c r="E28" s="1"/>
      <c r="F28" s="1"/>
      <c r="G28" s="1"/>
      <c r="H28" s="1"/>
      <c r="I28" s="1"/>
      <c r="J28" s="1"/>
      <c r="K28" s="1"/>
      <c r="L28" s="1"/>
      <c r="M28" s="1"/>
    </row>
    <row r="29" spans="1:13" s="23" customFormat="1" ht="15" x14ac:dyDescent="0.25">
      <c r="A29" s="62"/>
      <c r="B29" s="187" t="s">
        <v>951</v>
      </c>
      <c r="C29" s="54"/>
      <c r="D29" s="58"/>
      <c r="E29" s="1"/>
      <c r="F29" s="1"/>
      <c r="G29" s="1"/>
      <c r="H29" s="1"/>
      <c r="I29" s="1"/>
      <c r="J29" s="1"/>
      <c r="K29" s="1"/>
      <c r="L29" s="1"/>
      <c r="M29" s="1"/>
    </row>
    <row r="30" spans="1:13" s="23" customFormat="1" ht="19.2" customHeight="1" x14ac:dyDescent="0.25">
      <c r="A30" s="62"/>
      <c r="B30" s="135" t="s">
        <v>26</v>
      </c>
      <c r="C30" s="54"/>
      <c r="D30" s="58"/>
      <c r="E30" s="1"/>
      <c r="F30" s="1"/>
      <c r="G30" s="1"/>
      <c r="H30" s="1"/>
      <c r="I30" s="1"/>
      <c r="J30" s="1"/>
      <c r="K30" s="1"/>
      <c r="L30" s="1"/>
      <c r="M30" s="1"/>
    </row>
    <row r="31" spans="1:13" ht="20.399999999999999" customHeight="1" x14ac:dyDescent="0.25">
      <c r="A31" s="62"/>
      <c r="B31" s="189" t="s">
        <v>1049</v>
      </c>
      <c r="C31" s="54"/>
      <c r="D31" s="54"/>
    </row>
    <row r="32" spans="1:13" ht="15" x14ac:dyDescent="0.25">
      <c r="A32" s="62"/>
      <c r="B32" s="189" t="s">
        <v>28</v>
      </c>
      <c r="C32" s="54"/>
      <c r="D32" s="54"/>
    </row>
    <row r="33" spans="1:4" ht="15" x14ac:dyDescent="0.25">
      <c r="A33" s="62"/>
      <c r="B33" s="135" t="s">
        <v>29</v>
      </c>
      <c r="D33" s="56"/>
    </row>
    <row r="34" spans="1:4" ht="13.8" x14ac:dyDescent="0.25">
      <c r="B34" s="190" t="s">
        <v>1050</v>
      </c>
      <c r="C34" s="54"/>
      <c r="D34" s="58"/>
    </row>
    <row r="35" spans="1:4" ht="15" x14ac:dyDescent="0.25">
      <c r="A35" s="62"/>
      <c r="B35" s="191" t="s">
        <v>31</v>
      </c>
      <c r="C35" s="54"/>
      <c r="D35" s="58"/>
    </row>
    <row r="36" spans="1:4" ht="15" x14ac:dyDescent="0.25">
      <c r="A36" s="62"/>
      <c r="B36" s="191" t="s">
        <v>32</v>
      </c>
      <c r="C36" s="54"/>
    </row>
    <row r="37" spans="1:4" ht="50.4" x14ac:dyDescent="0.25">
      <c r="A37" s="139" t="s">
        <v>0</v>
      </c>
      <c r="B37" s="193" t="s">
        <v>65</v>
      </c>
      <c r="C37" s="141"/>
      <c r="D37" s="1"/>
    </row>
    <row r="38" spans="1:4" x14ac:dyDescent="0.25">
      <c r="A38" s="142"/>
      <c r="B38" s="64"/>
      <c r="C38" s="64"/>
      <c r="D38" s="1"/>
    </row>
    <row r="39" spans="1:4" x14ac:dyDescent="0.25">
      <c r="A39" s="142"/>
      <c r="B39" s="64"/>
      <c r="C39" s="64"/>
      <c r="D39" s="1"/>
    </row>
    <row r="40" spans="1:4" ht="17.25" customHeight="1" x14ac:dyDescent="0.25">
      <c r="A40" s="142"/>
      <c r="B40" s="143"/>
      <c r="C40" s="64"/>
      <c r="D40" s="1"/>
    </row>
    <row r="41" spans="1:4" ht="15" x14ac:dyDescent="0.35">
      <c r="A41" s="144"/>
      <c r="B41" s="145"/>
      <c r="C41" s="64"/>
      <c r="D41" s="64"/>
    </row>
    <row r="42" spans="1:4" ht="13.5" customHeight="1" x14ac:dyDescent="0.25">
      <c r="A42" s="146" t="s">
        <v>0</v>
      </c>
    </row>
    <row r="43" spans="1:4" x14ac:dyDescent="0.25">
      <c r="A43" s="1" t="s">
        <v>0</v>
      </c>
    </row>
    <row r="48" spans="1:4" ht="18" customHeight="1" x14ac:dyDescent="0.25"/>
    <row r="61" ht="12.75" customHeight="1" x14ac:dyDescent="0.25"/>
    <row r="65" ht="16.5" customHeight="1" x14ac:dyDescent="0.25"/>
    <row r="69" ht="15.75" customHeight="1" x14ac:dyDescent="0.25"/>
    <row r="70" ht="15" customHeight="1" x14ac:dyDescent="0.25"/>
  </sheetData>
  <mergeCells count="3">
    <mergeCell ref="A4:D4"/>
    <mergeCell ref="A14:D14"/>
    <mergeCell ref="B21:D21"/>
  </mergeCells>
  <printOptions horizontalCentered="1"/>
  <pageMargins left="0" right="0" top="0" bottom="0" header="0" footer="0"/>
  <pageSetup paperSize="9" scale="76" fitToHeight="0" orientation="portrait" r:id="rId1"/>
  <headerFooter alignWithMargins="0">
    <oddFooter>Página &amp;P de &amp;N</oddFooter>
  </headerFooter>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3B61-C40C-4C70-98DE-A87747280B04}">
  <sheetPr>
    <tabColor theme="4" tint="-0.249977111117893"/>
    <pageSetUpPr fitToPage="1"/>
  </sheetPr>
  <dimension ref="A1:P59"/>
  <sheetViews>
    <sheetView topLeftCell="A13" zoomScale="85" zoomScaleNormal="85" workbookViewId="0">
      <selection activeCell="B17" sqref="B17"/>
    </sheetView>
  </sheetViews>
  <sheetFormatPr baseColWidth="10" defaultColWidth="11.44140625" defaultRowHeight="13.2" x14ac:dyDescent="0.25"/>
  <cols>
    <col min="1" max="1" width="6" style="1" customWidth="1"/>
    <col min="2" max="2" width="77.66406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332</v>
      </c>
      <c r="B8" s="68"/>
      <c r="C8" s="69"/>
      <c r="D8" s="69"/>
    </row>
    <row r="9" spans="1:16" s="4" customFormat="1" ht="19.2" x14ac:dyDescent="0.45">
      <c r="A9" s="67" t="s">
        <v>333</v>
      </c>
      <c r="B9" s="68"/>
      <c r="C9" s="69"/>
      <c r="D9" s="69"/>
    </row>
    <row r="10" spans="1:16" s="4" customFormat="1" ht="19.2" x14ac:dyDescent="0.45">
      <c r="A10" s="67" t="s">
        <v>334</v>
      </c>
      <c r="B10" s="68"/>
      <c r="C10" s="69"/>
      <c r="D10" s="69"/>
    </row>
    <row r="11" spans="1:16" s="4" customFormat="1" ht="19.2" x14ac:dyDescent="0.45">
      <c r="A11" s="67" t="s">
        <v>335</v>
      </c>
      <c r="B11" s="68"/>
      <c r="C11" s="70"/>
      <c r="D11" s="69"/>
    </row>
    <row r="12" spans="1:16" s="4" customFormat="1" ht="15" customHeight="1" x14ac:dyDescent="0.45">
      <c r="A12" s="67" t="s">
        <v>38</v>
      </c>
      <c r="B12" s="68"/>
      <c r="C12" s="70"/>
      <c r="D12" s="69"/>
    </row>
    <row r="13" spans="1:16" s="4" customFormat="1" ht="15" customHeight="1" x14ac:dyDescent="0.45">
      <c r="A13" s="71" t="s">
        <v>1076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407">
        <v>2</v>
      </c>
      <c r="B16" s="406" t="s">
        <v>1075</v>
      </c>
      <c r="C16" s="408">
        <v>2200</v>
      </c>
      <c r="D16" s="79">
        <f>A16*C16</f>
        <v>4400</v>
      </c>
      <c r="N16" s="23"/>
      <c r="O16" s="23"/>
      <c r="P16" s="23"/>
    </row>
    <row r="17" spans="1:16" s="23" customFormat="1" ht="15.6" x14ac:dyDescent="0.25">
      <c r="A17" s="404"/>
      <c r="B17" s="406" t="s">
        <v>1079</v>
      </c>
      <c r="C17" s="405"/>
      <c r="D17" s="79"/>
      <c r="E17" s="1"/>
      <c r="F17" s="1"/>
      <c r="G17" s="1"/>
      <c r="H17" s="1"/>
      <c r="I17" s="1"/>
      <c r="J17" s="1"/>
      <c r="K17" s="1"/>
      <c r="L17" s="1"/>
      <c r="M17" s="1"/>
    </row>
    <row r="18" spans="1:16" s="23" customFormat="1" ht="15.6" x14ac:dyDescent="0.3">
      <c r="A18" s="99"/>
      <c r="B18" s="85" t="s">
        <v>941</v>
      </c>
      <c r="C18" s="86" t="s">
        <v>49</v>
      </c>
      <c r="D18" s="87">
        <f>SUM(D15:D17)</f>
        <v>4400</v>
      </c>
      <c r="E18" s="1"/>
      <c r="F18" s="1"/>
      <c r="G18" s="1"/>
      <c r="H18" s="1"/>
      <c r="I18" s="1"/>
      <c r="J18" s="1"/>
      <c r="K18" s="1"/>
      <c r="L18" s="1"/>
      <c r="M18" s="1"/>
    </row>
    <row r="19" spans="1:16" s="23" customFormat="1" ht="15.6" x14ac:dyDescent="0.3">
      <c r="A19" s="99"/>
      <c r="B19" s="85"/>
      <c r="C19" s="90" t="s">
        <v>51</v>
      </c>
      <c r="D19" s="87">
        <f>D18*0.16</f>
        <v>704</v>
      </c>
      <c r="E19" s="13"/>
      <c r="F19" s="1"/>
      <c r="G19" s="1"/>
      <c r="H19" s="1"/>
      <c r="I19" s="1"/>
      <c r="J19" s="1"/>
      <c r="K19" s="1"/>
      <c r="L19" s="1"/>
      <c r="M19" s="1"/>
    </row>
    <row r="20" spans="1:16" s="23" customFormat="1" ht="19.95" customHeight="1" x14ac:dyDescent="0.25">
      <c r="A20" s="99"/>
      <c r="B20" s="100"/>
      <c r="C20" s="90" t="s">
        <v>52</v>
      </c>
      <c r="D20" s="87">
        <f>SUM(D18:D19)</f>
        <v>5104</v>
      </c>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3"/>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27.6" x14ac:dyDescent="0.25">
      <c r="A30" s="62"/>
      <c r="B30" s="333" t="s">
        <v>942</v>
      </c>
      <c r="C30" s="13"/>
      <c r="D30" s="1"/>
    </row>
    <row r="31" spans="1:16" ht="15" x14ac:dyDescent="0.25">
      <c r="A31" s="62"/>
      <c r="B31" s="334" t="s">
        <v>28</v>
      </c>
      <c r="C31" s="1"/>
      <c r="D31" s="1"/>
    </row>
    <row r="32" spans="1:16" ht="15" x14ac:dyDescent="0.25">
      <c r="A32" s="62"/>
      <c r="B32" s="130" t="s">
        <v>29</v>
      </c>
      <c r="C32" s="1"/>
      <c r="D32" s="1"/>
    </row>
    <row r="33" spans="1:4" ht="13.8" x14ac:dyDescent="0.25">
      <c r="B33" s="138" t="s">
        <v>943</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9" fitToWidth="0" orientation="portrait" r:id="rId1"/>
  <headerFooter alignWithMargins="0">
    <oddFooter>Página &amp;P de &amp;N</oddFooter>
  </headerFooter>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F1DD-0A4E-4C66-BB86-19D0D887E660}">
  <sheetPr>
    <tabColor theme="4" tint="-0.249977111117893"/>
    <pageSetUpPr fitToPage="1"/>
  </sheetPr>
  <dimension ref="A1:P59"/>
  <sheetViews>
    <sheetView topLeftCell="A4" zoomScale="85" zoomScaleNormal="85" workbookViewId="0">
      <selection activeCell="A37" sqref="A37"/>
    </sheetView>
  </sheetViews>
  <sheetFormatPr baseColWidth="10" defaultColWidth="11.44140625" defaultRowHeight="13.2" x14ac:dyDescent="0.25"/>
  <cols>
    <col min="1" max="1" width="6" style="1" customWidth="1"/>
    <col min="2" max="2" width="77.66406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1084</v>
      </c>
      <c r="B8" s="68"/>
      <c r="C8" s="69"/>
      <c r="D8" s="69"/>
    </row>
    <row r="9" spans="1:16" s="4" customFormat="1" ht="19.2" x14ac:dyDescent="0.45">
      <c r="A9" s="67" t="s">
        <v>978</v>
      </c>
      <c r="B9" s="68"/>
      <c r="C9" s="69"/>
      <c r="D9" s="69"/>
    </row>
    <row r="10" spans="1:16" s="4" customFormat="1" ht="19.2" x14ac:dyDescent="0.45">
      <c r="A10" s="67" t="s">
        <v>1085</v>
      </c>
      <c r="B10" s="68"/>
      <c r="C10" s="69"/>
      <c r="D10" s="69"/>
    </row>
    <row r="11" spans="1:16" s="4" customFormat="1" ht="19.2" x14ac:dyDescent="0.45">
      <c r="A11" s="67" t="s">
        <v>1086</v>
      </c>
      <c r="B11" s="68"/>
      <c r="C11" s="70"/>
      <c r="D11" s="69"/>
    </row>
    <row r="12" spans="1:16" s="4" customFormat="1" ht="15" customHeight="1" x14ac:dyDescent="0.45">
      <c r="A12" s="67" t="s">
        <v>38</v>
      </c>
      <c r="B12" s="68"/>
      <c r="C12" s="70"/>
      <c r="D12" s="69"/>
    </row>
    <row r="13" spans="1:16" s="4" customFormat="1" ht="15" customHeight="1" x14ac:dyDescent="0.45">
      <c r="A13" s="71" t="s">
        <v>1076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407">
        <v>2</v>
      </c>
      <c r="B16" s="406" t="s">
        <v>1075</v>
      </c>
      <c r="C16" s="408">
        <v>1800</v>
      </c>
      <c r="D16" s="79">
        <f>A16*C16</f>
        <v>3600</v>
      </c>
      <c r="N16" s="23"/>
      <c r="O16" s="23"/>
      <c r="P16" s="23"/>
    </row>
    <row r="17" spans="1:16" s="23" customFormat="1" ht="15.6" x14ac:dyDescent="0.25">
      <c r="A17" s="404"/>
      <c r="B17" s="406" t="s">
        <v>1079</v>
      </c>
      <c r="C17" s="405"/>
      <c r="D17" s="79"/>
      <c r="E17" s="1"/>
      <c r="F17" s="1"/>
      <c r="G17" s="1"/>
      <c r="H17" s="1"/>
      <c r="I17" s="1"/>
      <c r="J17" s="1"/>
      <c r="K17" s="1"/>
      <c r="L17" s="1"/>
      <c r="M17" s="1"/>
    </row>
    <row r="18" spans="1:16" s="23" customFormat="1" ht="15.6" x14ac:dyDescent="0.3">
      <c r="A18" s="99"/>
      <c r="B18" s="85" t="s">
        <v>941</v>
      </c>
      <c r="C18" s="86" t="s">
        <v>49</v>
      </c>
      <c r="D18" s="87">
        <f>SUM(D15:D17)</f>
        <v>3600</v>
      </c>
      <c r="E18" s="1"/>
      <c r="F18" s="1"/>
      <c r="G18" s="1"/>
      <c r="H18" s="1"/>
      <c r="I18" s="1"/>
      <c r="J18" s="1"/>
      <c r="K18" s="1"/>
      <c r="L18" s="1"/>
      <c r="M18" s="1"/>
    </row>
    <row r="19" spans="1:16" s="23" customFormat="1" ht="15.6" x14ac:dyDescent="0.3">
      <c r="A19" s="99"/>
      <c r="B19" s="85"/>
      <c r="C19" s="90" t="s">
        <v>51</v>
      </c>
      <c r="D19" s="87">
        <f>D18*0.16</f>
        <v>576</v>
      </c>
      <c r="E19" s="13"/>
      <c r="F19" s="1"/>
      <c r="G19" s="1"/>
      <c r="H19" s="1"/>
      <c r="I19" s="1"/>
      <c r="J19" s="1"/>
      <c r="K19" s="1"/>
      <c r="L19" s="1"/>
      <c r="M19" s="1"/>
    </row>
    <row r="20" spans="1:16" s="23" customFormat="1" ht="19.95" customHeight="1" x14ac:dyDescent="0.25">
      <c r="A20" s="99"/>
      <c r="B20" s="100"/>
      <c r="C20" s="90" t="s">
        <v>52</v>
      </c>
      <c r="D20" s="87">
        <f>SUM(D18:D19)</f>
        <v>4176</v>
      </c>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3"/>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27.6" x14ac:dyDescent="0.25">
      <c r="A30" s="62"/>
      <c r="B30" s="333" t="s">
        <v>942</v>
      </c>
      <c r="C30" s="13"/>
      <c r="D30" s="1"/>
    </row>
    <row r="31" spans="1:16" ht="15" x14ac:dyDescent="0.25">
      <c r="A31" s="62"/>
      <c r="B31" s="334" t="s">
        <v>28</v>
      </c>
      <c r="C31" s="1"/>
      <c r="D31" s="1"/>
    </row>
    <row r="32" spans="1:16" ht="15" x14ac:dyDescent="0.25">
      <c r="A32" s="62"/>
      <c r="B32" s="130" t="s">
        <v>29</v>
      </c>
      <c r="C32" s="1"/>
      <c r="D32" s="1"/>
    </row>
    <row r="33" spans="1:4" ht="13.8" x14ac:dyDescent="0.25">
      <c r="B33" s="138" t="s">
        <v>943</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9" fitToWidth="0" orientation="portrait" r:id="rId1"/>
  <headerFooter alignWithMargins="0">
    <oddFooter>Página &amp;P de &amp;N</oddFooter>
  </headerFooter>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3CB7F-3906-4078-A50C-6B89FB3D7A2E}">
  <sheetPr>
    <tabColor theme="4" tint="-0.249977111117893"/>
    <pageSetUpPr fitToPage="1"/>
  </sheetPr>
  <dimension ref="A1:P59"/>
  <sheetViews>
    <sheetView topLeftCell="A6" zoomScale="85" zoomScaleNormal="85" workbookViewId="0">
      <selection activeCell="D11" sqref="D11"/>
    </sheetView>
  </sheetViews>
  <sheetFormatPr baseColWidth="10" defaultColWidth="11.44140625" defaultRowHeight="13.2" x14ac:dyDescent="0.25"/>
  <cols>
    <col min="1" max="1" width="6" style="1" customWidth="1"/>
    <col min="2" max="2" width="77.66406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1080</v>
      </c>
      <c r="B8" s="68"/>
      <c r="C8" s="69"/>
      <c r="D8" s="69"/>
    </row>
    <row r="9" spans="1:16" s="4" customFormat="1" ht="19.2" x14ac:dyDescent="0.45">
      <c r="A9" s="67" t="s">
        <v>1081</v>
      </c>
      <c r="B9" s="68"/>
      <c r="C9" s="69"/>
      <c r="D9" s="69"/>
    </row>
    <row r="10" spans="1:16" s="4" customFormat="1" ht="19.2" x14ac:dyDescent="0.45">
      <c r="A10" s="67" t="s">
        <v>1082</v>
      </c>
      <c r="B10" s="68"/>
      <c r="C10" s="69"/>
      <c r="D10" s="69"/>
    </row>
    <row r="11" spans="1:16" s="4" customFormat="1" ht="19.2" x14ac:dyDescent="0.45">
      <c r="A11" s="67" t="s">
        <v>1083</v>
      </c>
      <c r="B11" s="68"/>
      <c r="C11" s="70"/>
      <c r="D11" s="69"/>
    </row>
    <row r="12" spans="1:16" s="4" customFormat="1" ht="15" customHeight="1" x14ac:dyDescent="0.45">
      <c r="A12" s="67" t="s">
        <v>38</v>
      </c>
      <c r="B12" s="68"/>
      <c r="C12" s="70"/>
      <c r="D12" s="69"/>
    </row>
    <row r="13" spans="1:16" s="4" customFormat="1" ht="15" customHeight="1" x14ac:dyDescent="0.45">
      <c r="A13" s="71" t="s">
        <v>1076</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407">
        <v>1</v>
      </c>
      <c r="B16" s="406" t="s">
        <v>1077</v>
      </c>
      <c r="C16" s="408">
        <v>6300</v>
      </c>
      <c r="D16" s="79">
        <f>A16*C16</f>
        <v>6300</v>
      </c>
      <c r="N16" s="23"/>
      <c r="O16" s="23"/>
      <c r="P16" s="23"/>
    </row>
    <row r="17" spans="1:16" s="23" customFormat="1" ht="15.6" x14ac:dyDescent="0.25">
      <c r="A17" s="404"/>
      <c r="B17" s="406" t="s">
        <v>1078</v>
      </c>
      <c r="C17" s="405"/>
      <c r="D17" s="79"/>
      <c r="E17" s="1"/>
      <c r="F17" s="1"/>
      <c r="G17" s="1"/>
      <c r="H17" s="1"/>
      <c r="I17" s="1"/>
      <c r="J17" s="1"/>
      <c r="K17" s="1"/>
      <c r="L17" s="1"/>
      <c r="M17" s="1"/>
    </row>
    <row r="18" spans="1:16" s="23" customFormat="1" ht="15.6" x14ac:dyDescent="0.3">
      <c r="A18" s="99"/>
      <c r="B18" s="85" t="s">
        <v>941</v>
      </c>
      <c r="C18" s="86" t="s">
        <v>49</v>
      </c>
      <c r="D18" s="87">
        <f>SUM(D15:D17)</f>
        <v>6300</v>
      </c>
      <c r="E18" s="1"/>
      <c r="F18" s="1"/>
      <c r="G18" s="1"/>
      <c r="H18" s="1"/>
      <c r="I18" s="1"/>
      <c r="J18" s="1"/>
      <c r="K18" s="1"/>
      <c r="L18" s="1"/>
      <c r="M18" s="1"/>
    </row>
    <row r="19" spans="1:16" s="23" customFormat="1" ht="15.6" x14ac:dyDescent="0.3">
      <c r="A19" s="99"/>
      <c r="B19" s="85"/>
      <c r="C19" s="90" t="s">
        <v>51</v>
      </c>
      <c r="D19" s="87">
        <f>D18*0.16</f>
        <v>1008</v>
      </c>
      <c r="E19" s="13"/>
      <c r="F19" s="1"/>
      <c r="G19" s="1"/>
      <c r="H19" s="1"/>
      <c r="I19" s="1"/>
      <c r="J19" s="1"/>
      <c r="K19" s="1"/>
      <c r="L19" s="1"/>
      <c r="M19" s="1"/>
    </row>
    <row r="20" spans="1:16" s="23" customFormat="1" ht="19.95" customHeight="1" x14ac:dyDescent="0.25">
      <c r="A20" s="99"/>
      <c r="B20" s="100"/>
      <c r="C20" s="90" t="s">
        <v>52</v>
      </c>
      <c r="D20" s="87">
        <f>SUM(D18:D19)</f>
        <v>7308</v>
      </c>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3"/>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27.6" x14ac:dyDescent="0.25">
      <c r="A30" s="62"/>
      <c r="B30" s="333" t="s">
        <v>942</v>
      </c>
      <c r="C30" s="13"/>
      <c r="D30" s="1"/>
    </row>
    <row r="31" spans="1:16" ht="15" x14ac:dyDescent="0.25">
      <c r="A31" s="62"/>
      <c r="B31" s="334" t="s">
        <v>28</v>
      </c>
      <c r="C31" s="1"/>
      <c r="D31" s="1"/>
    </row>
    <row r="32" spans="1:16" ht="15" x14ac:dyDescent="0.25">
      <c r="A32" s="62"/>
      <c r="B32" s="130" t="s">
        <v>29</v>
      </c>
      <c r="C32" s="1"/>
      <c r="D32" s="1"/>
    </row>
    <row r="33" spans="1:4" ht="13.8" x14ac:dyDescent="0.25">
      <c r="B33" s="138" t="s">
        <v>943</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9" fitToWidth="0" orientation="portrait" r:id="rId1"/>
  <headerFooter alignWithMargins="0">
    <oddFooter>Página &amp;P de &amp;N</oddFooter>
  </headerFooter>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58D0-1E1F-47A9-AE1A-8D8957707C12}">
  <sheetPr>
    <tabColor theme="4" tint="-0.249977111117893"/>
    <pageSetUpPr fitToPage="1"/>
  </sheetPr>
  <dimension ref="A1:G44"/>
  <sheetViews>
    <sheetView topLeftCell="A14" zoomScaleNormal="100" workbookViewId="0">
      <selection activeCell="A12" sqref="A12"/>
    </sheetView>
  </sheetViews>
  <sheetFormatPr baseColWidth="10" defaultColWidth="11.44140625" defaultRowHeight="13.2" x14ac:dyDescent="0.25"/>
  <cols>
    <col min="1" max="1" width="6" style="1" customWidth="1"/>
    <col min="2" max="2" width="100.33203125" style="1" customWidth="1"/>
    <col min="3" max="3" width="12.6640625" style="3" customWidth="1"/>
    <col min="4" max="4" width="14.5546875"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748"/>
      <c r="B4" s="748"/>
      <c r="C4" s="748"/>
      <c r="D4" s="748"/>
    </row>
    <row r="5" spans="1:7" s="4" customFormat="1" ht="16.8" x14ac:dyDescent="0.4">
      <c r="A5" s="5"/>
      <c r="C5" s="6"/>
      <c r="D5" s="6"/>
    </row>
    <row r="6" spans="1:7" s="4" customFormat="1" ht="16.8" x14ac:dyDescent="0.4">
      <c r="A6" s="5"/>
      <c r="C6" s="6"/>
      <c r="D6" s="6"/>
    </row>
    <row r="7" spans="1:7" s="4" customFormat="1" ht="16.8" x14ac:dyDescent="0.4">
      <c r="A7" s="5"/>
      <c r="C7" s="6"/>
      <c r="D7" s="6"/>
    </row>
    <row r="8" spans="1:7" s="4" customFormat="1" ht="16.8" x14ac:dyDescent="0.4">
      <c r="A8" s="5" t="s">
        <v>1087</v>
      </c>
      <c r="C8" s="6"/>
      <c r="D8" s="6"/>
    </row>
    <row r="9" spans="1:7" s="4" customFormat="1" ht="16.8" x14ac:dyDescent="0.4">
      <c r="A9" s="5" t="s">
        <v>849</v>
      </c>
      <c r="C9" s="6"/>
      <c r="D9" s="6"/>
    </row>
    <row r="10" spans="1:7" s="4" customFormat="1" ht="16.8" x14ac:dyDescent="0.4">
      <c r="A10" s="5" t="s">
        <v>664</v>
      </c>
      <c r="C10" s="6"/>
      <c r="D10" s="6"/>
    </row>
    <row r="11" spans="1:7" s="4" customFormat="1" ht="16.8" x14ac:dyDescent="0.4">
      <c r="A11" s="5" t="s">
        <v>271</v>
      </c>
      <c r="C11" s="7"/>
      <c r="D11" s="6"/>
    </row>
    <row r="12" spans="1:7" s="4" customFormat="1" ht="15" customHeight="1" x14ac:dyDescent="0.4">
      <c r="A12" s="8" t="s">
        <v>1076</v>
      </c>
      <c r="B12" s="9"/>
      <c r="C12" s="351"/>
      <c r="D12" s="352"/>
    </row>
    <row r="13" spans="1:7" s="4" customFormat="1" ht="15" customHeight="1" x14ac:dyDescent="0.4">
      <c r="A13" s="229" t="s">
        <v>38</v>
      </c>
      <c r="B13" s="230"/>
      <c r="C13" s="231"/>
      <c r="D13" s="232"/>
    </row>
    <row r="14" spans="1:7" s="4" customFormat="1" ht="26.4" x14ac:dyDescent="0.4">
      <c r="A14" s="11" t="s">
        <v>7</v>
      </c>
      <c r="B14" s="11" t="s">
        <v>8</v>
      </c>
      <c r="C14" s="12" t="s">
        <v>9</v>
      </c>
      <c r="D14" s="12" t="s">
        <v>10</v>
      </c>
      <c r="E14" s="1"/>
      <c r="F14" s="1"/>
      <c r="G14" s="1"/>
    </row>
    <row r="15" spans="1:7" s="10" customFormat="1" ht="13.8" x14ac:dyDescent="0.25">
      <c r="A15" s="14"/>
      <c r="B15" s="15"/>
      <c r="C15" s="16"/>
      <c r="D15" s="16"/>
      <c r="E15" s="1"/>
      <c r="F15" s="1"/>
      <c r="G15" s="1"/>
    </row>
    <row r="16" spans="1:7" x14ac:dyDescent="0.25">
      <c r="A16" s="243">
        <v>1</v>
      </c>
      <c r="B16" s="244" t="s">
        <v>468</v>
      </c>
      <c r="C16" s="238">
        <f>(6500)*(1.8)</f>
        <v>11700</v>
      </c>
      <c r="D16" s="239">
        <f>A16*C16</f>
        <v>11700</v>
      </c>
    </row>
    <row r="17" spans="1:7" s="23" customFormat="1" ht="15.75" customHeight="1" x14ac:dyDescent="0.25">
      <c r="A17" s="243">
        <v>1</v>
      </c>
      <c r="B17" s="244" t="s">
        <v>469</v>
      </c>
      <c r="C17" s="238">
        <f>(12500)*(1.4)</f>
        <v>17500</v>
      </c>
      <c r="D17" s="239">
        <f>A17*C17</f>
        <v>17500</v>
      </c>
      <c r="E17" s="1"/>
      <c r="F17" s="1"/>
      <c r="G17" s="1"/>
    </row>
    <row r="18" spans="1:7" ht="13.5" customHeight="1" x14ac:dyDescent="0.25">
      <c r="A18" s="247">
        <v>1</v>
      </c>
      <c r="B18" s="248" t="s">
        <v>793</v>
      </c>
      <c r="C18" s="510">
        <f>(1368*18)*1.3</f>
        <v>32011.200000000001</v>
      </c>
      <c r="D18" s="250">
        <f>A18*C18</f>
        <v>32011.200000000001</v>
      </c>
    </row>
    <row r="19" spans="1:7" ht="13.5" customHeight="1" x14ac:dyDescent="0.25">
      <c r="A19" s="534"/>
      <c r="B19" s="527"/>
      <c r="C19" s="533"/>
      <c r="D19" s="532"/>
    </row>
    <row r="20" spans="1:7" ht="13.5" customHeight="1" x14ac:dyDescent="0.25">
      <c r="A20" s="247">
        <v>1</v>
      </c>
      <c r="B20" s="248" t="s">
        <v>547</v>
      </c>
      <c r="C20" s="529">
        <v>35627</v>
      </c>
      <c r="D20" s="250">
        <f>A20*C20</f>
        <v>35627</v>
      </c>
    </row>
    <row r="21" spans="1:7" ht="13.5" customHeight="1" x14ac:dyDescent="0.25">
      <c r="A21" s="247">
        <v>1</v>
      </c>
      <c r="B21" s="248" t="s">
        <v>546</v>
      </c>
      <c r="C21" s="529">
        <v>37861</v>
      </c>
      <c r="D21" s="250">
        <f>A21*C21</f>
        <v>37861</v>
      </c>
    </row>
    <row r="22" spans="1:7" ht="13.5" customHeight="1" x14ac:dyDescent="0.25">
      <c r="A22" s="247">
        <v>1</v>
      </c>
      <c r="B22" s="248" t="s">
        <v>545</v>
      </c>
      <c r="C22" s="510">
        <f>(2576.78*21)*(1.3)</f>
        <v>70346.094000000012</v>
      </c>
      <c r="D22" s="250">
        <f>A22*C22</f>
        <v>70346.094000000012</v>
      </c>
    </row>
    <row r="23" spans="1:7" ht="13.5" customHeight="1" x14ac:dyDescent="0.25">
      <c r="A23" s="531">
        <v>1</v>
      </c>
      <c r="B23" s="530" t="s">
        <v>544</v>
      </c>
      <c r="C23" s="529">
        <f>9650*1.32</f>
        <v>12738</v>
      </c>
      <c r="D23" s="528">
        <f>A23*C23</f>
        <v>12738</v>
      </c>
    </row>
    <row r="24" spans="1:7" ht="13.5" customHeight="1" x14ac:dyDescent="0.25">
      <c r="A24" s="531"/>
      <c r="B24" s="530" t="s">
        <v>543</v>
      </c>
      <c r="C24" s="529"/>
      <c r="D24" s="528"/>
    </row>
    <row r="25" spans="1:7" ht="18" customHeight="1" x14ac:dyDescent="0.25">
      <c r="A25" s="527"/>
      <c r="B25" s="526"/>
      <c r="C25" s="525"/>
      <c r="D25" s="524"/>
    </row>
    <row r="26" spans="1:7" ht="13.8" x14ac:dyDescent="0.25">
      <c r="B26" s="135" t="s">
        <v>23</v>
      </c>
    </row>
    <row r="27" spans="1:7" ht="13.5" customHeight="1" x14ac:dyDescent="0.25">
      <c r="A27" s="62"/>
      <c r="B27" s="187" t="s">
        <v>24</v>
      </c>
    </row>
    <row r="28" spans="1:7" ht="41.4" x14ac:dyDescent="0.25">
      <c r="A28" s="62"/>
      <c r="B28" s="187" t="s">
        <v>542</v>
      </c>
      <c r="C28" s="54"/>
      <c r="D28" s="58"/>
    </row>
    <row r="29" spans="1:7" ht="15" x14ac:dyDescent="0.25">
      <c r="A29" s="62"/>
      <c r="B29" s="135" t="s">
        <v>26</v>
      </c>
      <c r="C29" s="54"/>
      <c r="D29" s="58"/>
    </row>
    <row r="30" spans="1:7" ht="15" x14ac:dyDescent="0.25">
      <c r="A30" s="62"/>
      <c r="B30" s="523" t="s">
        <v>541</v>
      </c>
      <c r="C30" s="54"/>
      <c r="D30" s="54"/>
    </row>
    <row r="31" spans="1:7" ht="15" x14ac:dyDescent="0.25">
      <c r="A31" s="62"/>
      <c r="B31" s="189" t="s">
        <v>28</v>
      </c>
      <c r="C31" s="54"/>
      <c r="D31" s="54"/>
    </row>
    <row r="32" spans="1:7" ht="13.8" x14ac:dyDescent="0.25">
      <c r="B32" s="135" t="s">
        <v>29</v>
      </c>
      <c r="D32" s="56"/>
    </row>
    <row r="33" spans="1:4" ht="15" x14ac:dyDescent="0.25">
      <c r="A33" s="62"/>
      <c r="B33" s="191" t="s">
        <v>540</v>
      </c>
      <c r="C33" s="54"/>
      <c r="D33" s="58"/>
    </row>
    <row r="34" spans="1:4" ht="15" x14ac:dyDescent="0.25">
      <c r="A34" s="62"/>
      <c r="B34" s="191" t="s">
        <v>31</v>
      </c>
      <c r="C34" s="54"/>
      <c r="D34" s="58"/>
    </row>
    <row r="35" spans="1:4" ht="15" x14ac:dyDescent="0.25">
      <c r="A35" s="62"/>
      <c r="B35" s="191" t="s">
        <v>32</v>
      </c>
      <c r="D35" s="64"/>
    </row>
    <row r="36" spans="1:4" ht="33.6" x14ac:dyDescent="0.4">
      <c r="A36" s="62"/>
      <c r="B36" s="217" t="s">
        <v>33</v>
      </c>
      <c r="C36" s="54"/>
      <c r="D36" s="54"/>
    </row>
    <row r="37" spans="1:4" ht="16.8" x14ac:dyDescent="0.4">
      <c r="A37" s="62"/>
      <c r="B37" s="522"/>
      <c r="C37" s="141"/>
      <c r="D37" s="141"/>
    </row>
    <row r="38" spans="1:4" ht="13.8" x14ac:dyDescent="0.25">
      <c r="A38" s="139" t="s">
        <v>0</v>
      </c>
      <c r="B38" s="64"/>
      <c r="C38" s="64"/>
      <c r="D38" s="1"/>
    </row>
    <row r="39" spans="1:4" ht="13.8" x14ac:dyDescent="0.25">
      <c r="A39" s="521"/>
      <c r="B39" s="64"/>
      <c r="C39" s="64"/>
      <c r="D39" s="1"/>
    </row>
    <row r="40" spans="1:4" x14ac:dyDescent="0.25">
      <c r="A40" s="142"/>
      <c r="B40" s="143"/>
      <c r="C40" s="64"/>
      <c r="D40" s="1"/>
    </row>
    <row r="41" spans="1:4" ht="15" x14ac:dyDescent="0.35">
      <c r="A41" s="142"/>
      <c r="B41" s="145"/>
      <c r="C41" s="64"/>
      <c r="D41" s="64"/>
    </row>
    <row r="42" spans="1:4" x14ac:dyDescent="0.25">
      <c r="A42" s="144"/>
    </row>
    <row r="43" spans="1:4" x14ac:dyDescent="0.25">
      <c r="A43" s="146" t="s">
        <v>0</v>
      </c>
    </row>
    <row r="44" spans="1:4" x14ac:dyDescent="0.25">
      <c r="A44" s="1" t="s">
        <v>0</v>
      </c>
    </row>
  </sheetData>
  <mergeCells count="1">
    <mergeCell ref="A4:D4"/>
  </mergeCells>
  <printOptions horizontalCentered="1"/>
  <pageMargins left="0.59055118110236227" right="0.59055118110236227" top="0.19685039370078741" bottom="0.19685039370078741" header="0.19685039370078741" footer="0.19685039370078741"/>
  <pageSetup paperSize="9" scale="65" fitToWidth="0" orientation="portrait" r:id="rId1"/>
  <headerFooter alignWithMargins="0">
    <oddFooter>Página &amp;P de &amp;N</oddFooter>
  </headerFooter>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7F0F-4152-4780-981F-36B4F9B4537A}">
  <sheetPr>
    <tabColor theme="4" tint="-0.249977111117893"/>
    <pageSetUpPr fitToPage="1"/>
  </sheetPr>
  <dimension ref="A1:P59"/>
  <sheetViews>
    <sheetView topLeftCell="A8" zoomScale="85" zoomScaleNormal="85" workbookViewId="0">
      <selection activeCell="B25" sqref="B25"/>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88671875" style="3" bestFit="1"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1034</v>
      </c>
      <c r="B8" s="68"/>
      <c r="C8" s="69"/>
      <c r="D8" s="69"/>
    </row>
    <row r="9" spans="1:16" s="4" customFormat="1" ht="19.2" x14ac:dyDescent="0.45">
      <c r="A9" s="67" t="s">
        <v>1035</v>
      </c>
      <c r="B9" s="68"/>
      <c r="C9" s="69"/>
      <c r="D9" s="69"/>
    </row>
    <row r="10" spans="1:16" s="4" customFormat="1" ht="19.2" x14ac:dyDescent="0.45">
      <c r="A10" s="67" t="s">
        <v>1036</v>
      </c>
      <c r="B10" s="68"/>
      <c r="C10" s="69"/>
      <c r="D10" s="69"/>
    </row>
    <row r="11" spans="1:16" s="4" customFormat="1" ht="19.2" x14ac:dyDescent="0.45">
      <c r="A11" s="67" t="s">
        <v>1037</v>
      </c>
      <c r="B11" s="68"/>
      <c r="C11" s="70"/>
      <c r="D11" s="69"/>
    </row>
    <row r="12" spans="1:16" s="4" customFormat="1" ht="15" customHeight="1" x14ac:dyDescent="0.45">
      <c r="A12" s="67" t="s">
        <v>38</v>
      </c>
      <c r="B12" s="68"/>
      <c r="C12" s="70"/>
      <c r="D12" s="69"/>
    </row>
    <row r="13" spans="1:16" s="4" customFormat="1" ht="15" customHeight="1" x14ac:dyDescent="0.45">
      <c r="A13" s="71" t="s">
        <v>1134</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60" x14ac:dyDescent="0.25">
      <c r="A16" s="103">
        <v>1</v>
      </c>
      <c r="B16" s="104" t="s">
        <v>1027</v>
      </c>
      <c r="C16" s="688">
        <v>13000</v>
      </c>
      <c r="D16" s="689">
        <f>A16*C16</f>
        <v>13000</v>
      </c>
      <c r="N16" s="23"/>
      <c r="O16" s="23"/>
      <c r="P16" s="23"/>
    </row>
    <row r="17" spans="1:16" s="23" customFormat="1" ht="30" x14ac:dyDescent="0.25">
      <c r="A17" s="103">
        <v>1</v>
      </c>
      <c r="B17" s="104" t="s">
        <v>116</v>
      </c>
      <c r="C17" s="105">
        <v>7200</v>
      </c>
      <c r="D17" s="79">
        <f t="shared" ref="D17" si="0">A17*C17</f>
        <v>7200</v>
      </c>
      <c r="E17" s="1"/>
      <c r="F17" s="1"/>
      <c r="G17" s="1"/>
      <c r="H17" s="1"/>
      <c r="I17" s="1"/>
      <c r="J17" s="1"/>
      <c r="K17" s="1"/>
      <c r="L17" s="1"/>
      <c r="M17" s="1"/>
    </row>
    <row r="18" spans="1:16" s="23" customFormat="1" ht="30" x14ac:dyDescent="0.25">
      <c r="A18" s="103">
        <v>1</v>
      </c>
      <c r="B18" s="104" t="s">
        <v>1107</v>
      </c>
      <c r="C18" s="688">
        <v>12000</v>
      </c>
      <c r="D18" s="689">
        <f t="shared" ref="D18:D20" si="1">A18*C18</f>
        <v>12000</v>
      </c>
      <c r="E18" s="1"/>
      <c r="F18" s="1"/>
      <c r="G18" s="1"/>
      <c r="H18" s="1"/>
      <c r="I18" s="1"/>
      <c r="J18" s="1"/>
      <c r="K18" s="1"/>
      <c r="L18" s="1"/>
      <c r="M18" s="1"/>
    </row>
    <row r="19" spans="1:16" s="23" customFormat="1" ht="30" x14ac:dyDescent="0.25">
      <c r="A19" s="80">
        <v>1</v>
      </c>
      <c r="B19" s="167" t="s">
        <v>1133</v>
      </c>
      <c r="C19" s="690">
        <v>1500</v>
      </c>
      <c r="D19" s="689">
        <f t="shared" si="1"/>
        <v>1500</v>
      </c>
      <c r="E19" s="1"/>
      <c r="F19" s="1"/>
      <c r="G19" s="1"/>
      <c r="H19" s="1"/>
      <c r="I19" s="1"/>
      <c r="J19" s="1"/>
      <c r="K19" s="1"/>
      <c r="L19" s="1"/>
      <c r="M19" s="1"/>
      <c r="N19" s="1"/>
    </row>
    <row r="20" spans="1:16" s="23" customFormat="1" ht="30" x14ac:dyDescent="0.25">
      <c r="A20" s="103">
        <v>1</v>
      </c>
      <c r="B20" s="167" t="s">
        <v>1108</v>
      </c>
      <c r="C20" s="690">
        <v>1800</v>
      </c>
      <c r="D20" s="689">
        <f t="shared" si="1"/>
        <v>1800</v>
      </c>
      <c r="E20" s="1"/>
      <c r="F20" s="1"/>
      <c r="G20" s="1"/>
      <c r="H20" s="1"/>
      <c r="I20" s="1"/>
      <c r="J20" s="1"/>
      <c r="K20" s="1"/>
      <c r="L20" s="1"/>
      <c r="M20" s="1"/>
      <c r="N20" s="1"/>
      <c r="O20" s="1"/>
      <c r="P20" s="1"/>
    </row>
    <row r="21" spans="1:16" ht="15.6" x14ac:dyDescent="0.3">
      <c r="A21" s="516"/>
      <c r="B21" s="517"/>
      <c r="C21" s="86" t="s">
        <v>49</v>
      </c>
      <c r="D21" s="87">
        <f>SUM(D16:D20)</f>
        <v>35500</v>
      </c>
    </row>
    <row r="22" spans="1:16" ht="15.6" x14ac:dyDescent="0.3">
      <c r="A22" s="516"/>
      <c r="B22" s="517"/>
      <c r="C22" s="90" t="s">
        <v>51</v>
      </c>
      <c r="D22" s="87">
        <f>D21*0.16</f>
        <v>5680</v>
      </c>
    </row>
    <row r="23" spans="1:16" ht="16.2" thickBot="1" x14ac:dyDescent="0.3">
      <c r="A23" s="516"/>
      <c r="B23" s="100"/>
      <c r="C23" s="90" t="s">
        <v>52</v>
      </c>
      <c r="D23" s="87">
        <f>SUM(D21:D22)</f>
        <v>41180</v>
      </c>
      <c r="O23" s="88"/>
      <c r="P23" s="88"/>
    </row>
    <row r="24" spans="1:16" s="88" customFormat="1" ht="16.2" thickBot="1" x14ac:dyDescent="0.3">
      <c r="A24" s="116"/>
      <c r="B24" s="186" t="s">
        <v>1135</v>
      </c>
      <c r="C24" s="36"/>
      <c r="D24" s="37"/>
      <c r="E24" s="1"/>
      <c r="F24" s="1"/>
      <c r="G24" s="1"/>
      <c r="H24" s="1"/>
      <c r="I24" s="1"/>
      <c r="J24" s="1"/>
      <c r="K24" s="1"/>
      <c r="L24" s="1"/>
      <c r="M24" s="1"/>
      <c r="N24" s="1"/>
      <c r="O24" s="1"/>
      <c r="P24" s="1"/>
    </row>
    <row r="25" spans="1:16" ht="13.8" x14ac:dyDescent="0.25">
      <c r="A25" s="34"/>
      <c r="B25" s="120" t="s">
        <v>15</v>
      </c>
      <c r="C25" s="121"/>
      <c r="D25" s="122"/>
    </row>
    <row r="26" spans="1:16" ht="15.6" x14ac:dyDescent="0.25">
      <c r="A26" s="34"/>
      <c r="B26" s="123"/>
      <c r="C26" s="1"/>
      <c r="D26" s="1"/>
    </row>
    <row r="27" spans="1:16" ht="13.8" x14ac:dyDescent="0.25">
      <c r="A27" s="34"/>
      <c r="B27" s="126" t="s">
        <v>17</v>
      </c>
      <c r="C27" s="1"/>
      <c r="D27" s="1"/>
    </row>
    <row r="28" spans="1:16" ht="15" x14ac:dyDescent="0.25">
      <c r="A28" s="62"/>
      <c r="B28" s="127" t="s">
        <v>19</v>
      </c>
      <c r="C28" s="1"/>
      <c r="D28" s="1"/>
    </row>
    <row r="29" spans="1:16" ht="15" x14ac:dyDescent="0.25">
      <c r="A29" s="62"/>
      <c r="B29" s="129" t="s">
        <v>60</v>
      </c>
      <c r="C29" s="1"/>
      <c r="D29" s="1"/>
    </row>
    <row r="30" spans="1:16" ht="15" x14ac:dyDescent="0.25">
      <c r="A30" s="62"/>
      <c r="B30" s="130" t="s">
        <v>23</v>
      </c>
      <c r="C30" s="13"/>
      <c r="D30" s="1"/>
    </row>
    <row r="31" spans="1:16" ht="27.6" x14ac:dyDescent="0.25">
      <c r="A31" s="62"/>
      <c r="B31" s="132" t="s">
        <v>62</v>
      </c>
      <c r="C31" s="13"/>
      <c r="D31" s="1"/>
    </row>
    <row r="32" spans="1:16" ht="15" x14ac:dyDescent="0.25">
      <c r="A32" s="62"/>
      <c r="B32" s="130" t="s">
        <v>26</v>
      </c>
      <c r="C32" s="13"/>
      <c r="D32" s="1"/>
    </row>
    <row r="33" spans="1:4" ht="15" x14ac:dyDescent="0.25">
      <c r="A33" s="62"/>
      <c r="B33" s="333" t="s">
        <v>961</v>
      </c>
      <c r="C33" s="13"/>
      <c r="D33" s="1"/>
    </row>
    <row r="34" spans="1:4" ht="15" x14ac:dyDescent="0.25">
      <c r="A34" s="62"/>
      <c r="B34" s="334" t="s">
        <v>28</v>
      </c>
      <c r="C34" s="1"/>
      <c r="D34" s="1"/>
    </row>
    <row r="35" spans="1:4" ht="15" x14ac:dyDescent="0.25">
      <c r="A35" s="62"/>
      <c r="B35" s="130" t="s">
        <v>29</v>
      </c>
      <c r="C35" s="1"/>
      <c r="D35" s="1"/>
    </row>
    <row r="36" spans="1:4" ht="13.8" x14ac:dyDescent="0.25">
      <c r="B36" s="138" t="s">
        <v>706</v>
      </c>
      <c r="C36" s="133"/>
      <c r="D36" s="134"/>
    </row>
    <row r="37" spans="1:4" ht="15" x14ac:dyDescent="0.25">
      <c r="A37" s="62"/>
      <c r="B37" s="127" t="s">
        <v>31</v>
      </c>
      <c r="C37" s="54"/>
      <c r="D37" s="58"/>
    </row>
    <row r="38" spans="1:4" ht="15" x14ac:dyDescent="0.25">
      <c r="A38" s="62"/>
      <c r="B38" s="127" t="s">
        <v>32</v>
      </c>
      <c r="C38" s="54"/>
    </row>
    <row r="39" spans="1:4" ht="50.4" x14ac:dyDescent="0.4">
      <c r="A39" s="139" t="s">
        <v>0</v>
      </c>
      <c r="B39" s="140" t="s">
        <v>65</v>
      </c>
      <c r="C39" s="141"/>
      <c r="D39" s="1"/>
    </row>
    <row r="40" spans="1:4" x14ac:dyDescent="0.25">
      <c r="A40" s="142"/>
      <c r="B40" s="64"/>
      <c r="C40" s="64"/>
      <c r="D40" s="1"/>
    </row>
    <row r="41" spans="1:4" x14ac:dyDescent="0.25">
      <c r="A41" s="142"/>
      <c r="B41" s="64"/>
      <c r="C41" s="64"/>
      <c r="D41" s="1"/>
    </row>
    <row r="42" spans="1:4" x14ac:dyDescent="0.25">
      <c r="A42" s="142"/>
      <c r="B42" s="143"/>
      <c r="C42" s="64"/>
      <c r="D42" s="1"/>
    </row>
    <row r="43" spans="1:4" ht="15" x14ac:dyDescent="0.35">
      <c r="A43" s="144"/>
      <c r="B43" s="145"/>
      <c r="C43" s="64"/>
      <c r="D43" s="64"/>
    </row>
    <row r="44" spans="1:4" x14ac:dyDescent="0.25">
      <c r="A44" s="146" t="s">
        <v>0</v>
      </c>
    </row>
    <row r="45" spans="1:4" x14ac:dyDescent="0.25">
      <c r="A45"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3" fitToWidth="0" orientation="portrait" r:id="rId1"/>
  <headerFooter alignWithMargins="0">
    <oddFooter>Página &amp;P de &amp;N</oddFooter>
  </headerFooter>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096D8-0BF9-46DF-A977-38B56B6A0AFC}">
  <sheetPr>
    <tabColor theme="4" tint="-0.249977111117893"/>
    <pageSetUpPr fitToPage="1"/>
  </sheetPr>
  <dimension ref="A1:P59"/>
  <sheetViews>
    <sheetView zoomScale="85" zoomScaleNormal="85" workbookViewId="0">
      <selection activeCell="C17" sqref="C17"/>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1110</v>
      </c>
      <c r="B8" s="68"/>
      <c r="C8" s="69"/>
      <c r="D8" s="69"/>
    </row>
    <row r="9" spans="1:16" s="4" customFormat="1" ht="19.2" x14ac:dyDescent="0.45">
      <c r="A9" s="67" t="s">
        <v>1111</v>
      </c>
      <c r="B9" s="68"/>
      <c r="C9" s="69"/>
      <c r="D9" s="69"/>
    </row>
    <row r="10" spans="1:16" s="4" customFormat="1" ht="19.2" x14ac:dyDescent="0.45">
      <c r="A10" s="67" t="s">
        <v>1112</v>
      </c>
      <c r="B10" s="68"/>
      <c r="C10" s="69"/>
      <c r="D10" s="69"/>
    </row>
    <row r="11" spans="1:16" s="4" customFormat="1" ht="19.2" x14ac:dyDescent="0.45">
      <c r="A11" s="67" t="s">
        <v>1113</v>
      </c>
      <c r="B11" s="68"/>
      <c r="C11" s="70"/>
      <c r="D11" s="69"/>
    </row>
    <row r="12" spans="1:16" s="4" customFormat="1" ht="15" customHeight="1" x14ac:dyDescent="0.45">
      <c r="A12" s="67" t="s">
        <v>38</v>
      </c>
      <c r="B12" s="68"/>
      <c r="C12" s="70"/>
      <c r="D12" s="69"/>
    </row>
    <row r="13" spans="1:16" s="4" customFormat="1" ht="15" customHeight="1" x14ac:dyDescent="0.45">
      <c r="A13" s="71" t="s">
        <v>1109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25">
      <c r="A16" s="103">
        <v>1</v>
      </c>
      <c r="B16" s="104" t="s">
        <v>1114</v>
      </c>
      <c r="C16" s="105">
        <f>(109344)*1.58</f>
        <v>172763.52000000002</v>
      </c>
      <c r="D16" s="79">
        <f t="shared" ref="D16:D17" si="0">A16*C16</f>
        <v>172763.52000000002</v>
      </c>
      <c r="E16" s="13"/>
      <c r="N16" s="23"/>
      <c r="O16" s="23"/>
      <c r="P16" s="23"/>
    </row>
    <row r="17" spans="1:16" s="23" customFormat="1" ht="15.6" x14ac:dyDescent="0.25">
      <c r="A17" s="103">
        <v>1</v>
      </c>
      <c r="B17" s="104" t="s">
        <v>1115</v>
      </c>
      <c r="C17" s="105">
        <f>(88998)*1.58</f>
        <v>140616.84</v>
      </c>
      <c r="D17" s="150">
        <f t="shared" si="0"/>
        <v>140616.84</v>
      </c>
      <c r="E17" s="13"/>
      <c r="F17" s="1"/>
      <c r="G17" s="1"/>
      <c r="H17" s="1"/>
      <c r="I17" s="1"/>
      <c r="J17" s="1"/>
      <c r="K17" s="1"/>
      <c r="L17" s="1"/>
      <c r="M17" s="1"/>
    </row>
    <row r="18" spans="1:16" s="23" customFormat="1" ht="15.6" x14ac:dyDescent="0.3">
      <c r="A18" s="516"/>
      <c r="B18" s="517"/>
      <c r="C18" s="86" t="s">
        <v>49</v>
      </c>
      <c r="D18" s="87">
        <f>SUM(D16:D17)</f>
        <v>313380.36</v>
      </c>
      <c r="E18" s="1"/>
      <c r="F18" s="1"/>
      <c r="G18" s="1"/>
      <c r="H18" s="1"/>
      <c r="I18" s="1"/>
      <c r="J18" s="1"/>
      <c r="K18" s="1"/>
      <c r="L18" s="1"/>
      <c r="M18"/>
    </row>
    <row r="19" spans="1:16" s="23" customFormat="1" ht="15.6" x14ac:dyDescent="0.3">
      <c r="A19" s="516"/>
      <c r="B19" s="517"/>
      <c r="C19" s="90" t="s">
        <v>51</v>
      </c>
      <c r="D19" s="87">
        <f>D18*0.16</f>
        <v>50140.857599999996</v>
      </c>
      <c r="E19" s="1"/>
      <c r="F19" s="1"/>
      <c r="G19" s="1"/>
      <c r="H19" s="1"/>
      <c r="I19" s="1"/>
      <c r="J19" s="1"/>
      <c r="K19" s="1"/>
      <c r="L19" s="1"/>
      <c r="M19" s="1"/>
    </row>
    <row r="20" spans="1:16" s="23" customFormat="1" ht="16.2" thickBot="1" x14ac:dyDescent="0.3">
      <c r="A20" s="516"/>
      <c r="B20" s="100"/>
      <c r="C20" s="90" t="s">
        <v>52</v>
      </c>
      <c r="D20" s="87">
        <f>SUM(D18:D19)</f>
        <v>363521.21759999997</v>
      </c>
      <c r="E20" s="1"/>
      <c r="F20" s="1"/>
      <c r="G20" s="1"/>
      <c r="H20" s="1"/>
      <c r="I20" s="1"/>
      <c r="J20" s="1"/>
      <c r="K20" s="1"/>
      <c r="L20" s="1"/>
      <c r="M20" s="1"/>
      <c r="N20" s="1"/>
      <c r="O20" s="1"/>
      <c r="P20" s="1"/>
    </row>
    <row r="21" spans="1:16" ht="16.2" thickBot="1" x14ac:dyDescent="0.3">
      <c r="A21" s="116"/>
      <c r="B21" s="186" t="s">
        <v>923</v>
      </c>
      <c r="C21" s="36"/>
      <c r="D21" s="37"/>
    </row>
    <row r="22" spans="1:16" ht="13.8" x14ac:dyDescent="0.25">
      <c r="A22" s="34"/>
      <c r="B22" s="120" t="s">
        <v>15</v>
      </c>
      <c r="C22" s="121"/>
      <c r="D22" s="122"/>
    </row>
    <row r="23" spans="1:16" ht="15.6" x14ac:dyDescent="0.25">
      <c r="A23" s="34"/>
      <c r="B23" s="123"/>
      <c r="C23" s="1"/>
      <c r="D23" s="1"/>
      <c r="O23" s="88"/>
      <c r="P23" s="88"/>
    </row>
    <row r="24" spans="1:16" s="88" customFormat="1" ht="13.8" x14ac:dyDescent="0.25">
      <c r="A24" s="34"/>
      <c r="B24" s="126" t="s">
        <v>17</v>
      </c>
      <c r="C24" s="1"/>
      <c r="D24" s="1"/>
      <c r="E24" s="1"/>
      <c r="F24" s="1"/>
      <c r="G24" s="1"/>
      <c r="H24" s="1"/>
      <c r="I24" s="1"/>
      <c r="J24" s="1"/>
      <c r="K24" s="1"/>
      <c r="L24" s="1"/>
      <c r="M24" s="1"/>
      <c r="N24" s="1"/>
      <c r="O24" s="1"/>
      <c r="P24" s="1"/>
    </row>
    <row r="25" spans="1:16" ht="15" x14ac:dyDescent="0.25">
      <c r="A25" s="62"/>
      <c r="B25" s="127" t="s">
        <v>79</v>
      </c>
      <c r="C25" s="1"/>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15" x14ac:dyDescent="0.25">
      <c r="A30" s="62"/>
      <c r="B30" s="333" t="s">
        <v>1116</v>
      </c>
      <c r="C30" s="13"/>
      <c r="D30" s="1"/>
    </row>
    <row r="31" spans="1:16" ht="15" x14ac:dyDescent="0.25">
      <c r="A31" s="62"/>
      <c r="B31" s="334" t="s">
        <v>28</v>
      </c>
      <c r="C31" s="1"/>
      <c r="D31" s="1"/>
    </row>
    <row r="32" spans="1:16" ht="15" x14ac:dyDescent="0.25">
      <c r="A32" s="62"/>
      <c r="B32" s="130" t="s">
        <v>29</v>
      </c>
      <c r="C32" s="1"/>
      <c r="D32" s="1"/>
    </row>
    <row r="33" spans="1:4" ht="13.8" x14ac:dyDescent="0.25">
      <c r="B33" s="138" t="s">
        <v>1117</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6" fitToWidth="0" orientation="portrait" r:id="rId1"/>
  <headerFooter alignWithMargins="0">
    <oddFooter>Página &amp;P de &amp;N</oddFooter>
  </headerFooter>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EF04-F92C-4151-84BF-5151FBE1B4B3}">
  <sheetPr>
    <tabColor theme="4" tint="-0.249977111117893"/>
    <pageSetUpPr fitToPage="1"/>
  </sheetPr>
  <dimension ref="A1:P59"/>
  <sheetViews>
    <sheetView topLeftCell="A5" zoomScale="85" zoomScaleNormal="85" workbookViewId="0">
      <selection activeCell="A14" sqref="A14:D14"/>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1110</v>
      </c>
      <c r="B8" s="68"/>
      <c r="C8" s="69"/>
      <c r="D8" s="69"/>
    </row>
    <row r="9" spans="1:16" s="4" customFormat="1" ht="19.2" x14ac:dyDescent="0.45">
      <c r="A9" s="67" t="s">
        <v>1111</v>
      </c>
      <c r="B9" s="68"/>
      <c r="C9" s="69"/>
      <c r="D9" s="69"/>
    </row>
    <row r="10" spans="1:16" s="4" customFormat="1" ht="19.2" x14ac:dyDescent="0.45">
      <c r="A10" s="67" t="s">
        <v>1112</v>
      </c>
      <c r="B10" s="68"/>
      <c r="C10" s="69"/>
      <c r="D10" s="69"/>
    </row>
    <row r="11" spans="1:16" s="4" customFormat="1" ht="19.2" x14ac:dyDescent="0.45">
      <c r="A11" s="67" t="s">
        <v>1113</v>
      </c>
      <c r="B11" s="68"/>
      <c r="C11" s="70"/>
      <c r="D11" s="69"/>
    </row>
    <row r="12" spans="1:16" s="4" customFormat="1" ht="15" customHeight="1" x14ac:dyDescent="0.45">
      <c r="A12" s="67" t="s">
        <v>38</v>
      </c>
      <c r="B12" s="68"/>
      <c r="C12" s="70"/>
      <c r="D12" s="69"/>
    </row>
    <row r="13" spans="1:16" s="4" customFormat="1" ht="15" customHeight="1" x14ac:dyDescent="0.45">
      <c r="A13" s="71" t="s">
        <v>1109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25">
      <c r="A16" s="103">
        <v>1</v>
      </c>
      <c r="B16" s="104" t="s">
        <v>913</v>
      </c>
      <c r="C16" s="105">
        <f>(5120*18)*1.33</f>
        <v>122572.8</v>
      </c>
      <c r="D16" s="79">
        <f t="shared" ref="D16:D17" si="0">A16*C16</f>
        <v>122572.8</v>
      </c>
      <c r="E16" s="13"/>
      <c r="N16" s="23"/>
      <c r="O16" s="23"/>
      <c r="P16" s="23"/>
    </row>
    <row r="17" spans="1:16" s="23" customFormat="1" ht="15.6" x14ac:dyDescent="0.25">
      <c r="A17" s="103">
        <v>1</v>
      </c>
      <c r="B17" s="104" t="s">
        <v>915</v>
      </c>
      <c r="C17" s="105">
        <f>(3019*18)*1.33</f>
        <v>72274.86</v>
      </c>
      <c r="D17" s="150">
        <f t="shared" si="0"/>
        <v>72274.86</v>
      </c>
      <c r="E17" s="13"/>
      <c r="F17" s="1"/>
      <c r="G17" s="1"/>
      <c r="H17" s="1"/>
      <c r="I17" s="1"/>
      <c r="J17" s="1"/>
      <c r="K17" s="1"/>
      <c r="L17" s="1"/>
      <c r="M17" s="1"/>
    </row>
    <row r="18" spans="1:16" s="23" customFormat="1" ht="15.6" x14ac:dyDescent="0.3">
      <c r="A18" s="516"/>
      <c r="B18" s="517"/>
      <c r="C18" s="86" t="s">
        <v>49</v>
      </c>
      <c r="D18" s="87">
        <f>SUM(D16:D17)</f>
        <v>194847.66</v>
      </c>
      <c r="E18" s="1"/>
      <c r="F18" s="1"/>
      <c r="G18" s="1"/>
      <c r="H18" s="1"/>
      <c r="I18" s="1"/>
      <c r="J18" s="1"/>
      <c r="K18" s="1"/>
      <c r="L18" s="1"/>
      <c r="M18"/>
    </row>
    <row r="19" spans="1:16" s="23" customFormat="1" ht="15.6" x14ac:dyDescent="0.3">
      <c r="A19" s="516"/>
      <c r="B19" s="517"/>
      <c r="C19" s="90" t="s">
        <v>51</v>
      </c>
      <c r="D19" s="87">
        <f>D18*0.16</f>
        <v>31175.625599999999</v>
      </c>
      <c r="E19" s="1"/>
      <c r="F19" s="1"/>
      <c r="G19" s="1"/>
      <c r="H19" s="1"/>
      <c r="I19" s="1"/>
      <c r="J19" s="1"/>
      <c r="K19" s="1"/>
      <c r="L19" s="1"/>
      <c r="M19" s="1"/>
    </row>
    <row r="20" spans="1:16" s="23" customFormat="1" ht="16.2" thickBot="1" x14ac:dyDescent="0.3">
      <c r="A20" s="516"/>
      <c r="B20" s="100"/>
      <c r="C20" s="90" t="s">
        <v>52</v>
      </c>
      <c r="D20" s="87">
        <f>SUM(D18:D19)</f>
        <v>226023.2856</v>
      </c>
      <c r="E20" s="1"/>
      <c r="F20" s="1"/>
      <c r="G20" s="1"/>
      <c r="H20" s="1"/>
      <c r="I20" s="1"/>
      <c r="J20" s="1"/>
      <c r="K20" s="1"/>
      <c r="L20" s="1"/>
      <c r="M20" s="1"/>
      <c r="N20" s="1"/>
      <c r="O20" s="1"/>
      <c r="P20" s="1"/>
    </row>
    <row r="21" spans="1:16" ht="16.2" thickBot="1" x14ac:dyDescent="0.3">
      <c r="A21" s="116"/>
      <c r="B21" s="186" t="s">
        <v>923</v>
      </c>
      <c r="C21" s="36"/>
      <c r="D21" s="37"/>
    </row>
    <row r="22" spans="1:16" ht="13.8" x14ac:dyDescent="0.25">
      <c r="A22" s="34"/>
      <c r="B22" s="120" t="s">
        <v>15</v>
      </c>
      <c r="C22" s="121"/>
      <c r="D22" s="122"/>
    </row>
    <row r="23" spans="1:16" ht="15.6" x14ac:dyDescent="0.25">
      <c r="A23" s="34"/>
      <c r="B23" s="123"/>
      <c r="C23" s="1"/>
      <c r="D23" s="1"/>
      <c r="O23" s="88"/>
      <c r="P23" s="88"/>
    </row>
    <row r="24" spans="1:16" s="88" customFormat="1" ht="13.8" x14ac:dyDescent="0.25">
      <c r="A24" s="34"/>
      <c r="B24" s="126" t="s">
        <v>17</v>
      </c>
      <c r="C24" s="1"/>
      <c r="D24" s="1"/>
      <c r="E24" s="1"/>
      <c r="F24" s="1"/>
      <c r="G24" s="1"/>
      <c r="H24" s="1"/>
      <c r="I24" s="1"/>
      <c r="J24" s="1"/>
      <c r="K24" s="1"/>
      <c r="L24" s="1"/>
      <c r="M24" s="1"/>
      <c r="N24" s="1"/>
      <c r="O24" s="1"/>
      <c r="P24" s="1"/>
    </row>
    <row r="25" spans="1:16" ht="15" x14ac:dyDescent="0.25">
      <c r="A25" s="62"/>
      <c r="B25" s="127" t="s">
        <v>19</v>
      </c>
      <c r="C25" s="1"/>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41.4" x14ac:dyDescent="0.25">
      <c r="A30" s="62"/>
      <c r="B30" s="333" t="s">
        <v>920</v>
      </c>
      <c r="C30" s="13"/>
      <c r="D30" s="1"/>
    </row>
    <row r="31" spans="1:16" ht="15" x14ac:dyDescent="0.25">
      <c r="A31" s="62"/>
      <c r="B31" s="334" t="s">
        <v>28</v>
      </c>
      <c r="C31" s="1"/>
      <c r="D31" s="1"/>
    </row>
    <row r="32" spans="1:16" ht="15" x14ac:dyDescent="0.25">
      <c r="A32" s="62"/>
      <c r="B32" s="130" t="s">
        <v>29</v>
      </c>
      <c r="C32" s="1"/>
      <c r="D32" s="1"/>
    </row>
    <row r="33" spans="1:4" ht="13.8" x14ac:dyDescent="0.25">
      <c r="B33" s="138" t="s">
        <v>64</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6" fitToWidth="0" orientation="portrait" r:id="rId1"/>
  <headerFooter alignWithMargins="0">
    <oddFooter>Página &amp;P de &amp;N</oddFooter>
  </headerFooter>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F1D96-D8E9-467A-A778-AF8088FDDA1C}">
  <sheetPr>
    <tabColor theme="4" tint="-0.249977111117893"/>
    <pageSetUpPr fitToPage="1"/>
  </sheetPr>
  <dimension ref="A1:P59"/>
  <sheetViews>
    <sheetView topLeftCell="A11" zoomScale="85" zoomScaleNormal="85" workbookViewId="0">
      <selection activeCell="B21" sqref="B21"/>
    </sheetView>
  </sheetViews>
  <sheetFormatPr baseColWidth="10" defaultColWidth="11.44140625" defaultRowHeight="13.2" x14ac:dyDescent="0.25"/>
  <cols>
    <col min="1" max="1" width="6" style="1" customWidth="1"/>
    <col min="2" max="2" width="70.8867187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1110</v>
      </c>
      <c r="B8" s="68"/>
      <c r="C8" s="69"/>
      <c r="D8" s="69"/>
    </row>
    <row r="9" spans="1:16" s="4" customFormat="1" ht="19.2" x14ac:dyDescent="0.45">
      <c r="A9" s="67" t="s">
        <v>1111</v>
      </c>
      <c r="B9" s="68"/>
      <c r="C9" s="69"/>
      <c r="D9" s="69"/>
    </row>
    <row r="10" spans="1:16" s="4" customFormat="1" ht="19.2" x14ac:dyDescent="0.45">
      <c r="A10" s="67" t="s">
        <v>1112</v>
      </c>
      <c r="B10" s="68"/>
      <c r="C10" s="69"/>
      <c r="D10" s="69"/>
    </row>
    <row r="11" spans="1:16" s="4" customFormat="1" ht="19.2" x14ac:dyDescent="0.45">
      <c r="A11" s="67" t="s">
        <v>1113</v>
      </c>
      <c r="B11" s="68"/>
      <c r="C11" s="70"/>
      <c r="D11" s="69"/>
    </row>
    <row r="12" spans="1:16" s="4" customFormat="1" ht="15" customHeight="1" x14ac:dyDescent="0.45">
      <c r="A12" s="67" t="s">
        <v>38</v>
      </c>
      <c r="B12" s="68"/>
      <c r="C12" s="70"/>
      <c r="D12" s="69"/>
    </row>
    <row r="13" spans="1:16" s="4" customFormat="1" ht="15" customHeight="1" x14ac:dyDescent="0.45">
      <c r="A13" s="71" t="s">
        <v>1121</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103">
        <v>1</v>
      </c>
      <c r="B16" s="104" t="s">
        <v>1118</v>
      </c>
      <c r="C16" s="105">
        <f>(177864)*1.33</f>
        <v>236559.12000000002</v>
      </c>
      <c r="D16" s="79">
        <f t="shared" ref="D16:D17" si="0">A16*C16</f>
        <v>236559.12000000002</v>
      </c>
      <c r="E16" s="13"/>
      <c r="N16" s="23"/>
      <c r="O16" s="23"/>
      <c r="P16" s="23"/>
    </row>
    <row r="17" spans="1:16" s="23" customFormat="1" ht="31.2" x14ac:dyDescent="0.25">
      <c r="A17" s="103">
        <v>1</v>
      </c>
      <c r="B17" s="104" t="s">
        <v>1119</v>
      </c>
      <c r="C17" s="105">
        <f>(111088)*1.42</f>
        <v>157744.95999999999</v>
      </c>
      <c r="D17" s="150">
        <f t="shared" si="0"/>
        <v>157744.95999999999</v>
      </c>
      <c r="E17" s="13"/>
      <c r="F17" s="1"/>
      <c r="G17" s="1"/>
      <c r="H17" s="1"/>
      <c r="I17" s="1"/>
      <c r="J17" s="1"/>
      <c r="K17" s="1"/>
      <c r="L17" s="1"/>
      <c r="M17" s="1"/>
    </row>
    <row r="18" spans="1:16" s="23" customFormat="1" ht="15.6" x14ac:dyDescent="0.3">
      <c r="A18" s="516"/>
      <c r="B18" s="517"/>
      <c r="C18" s="86" t="s">
        <v>49</v>
      </c>
      <c r="D18" s="87">
        <f>SUM(D16:D17)</f>
        <v>394304.08</v>
      </c>
      <c r="E18" s="1"/>
      <c r="F18" s="1"/>
      <c r="G18" s="1"/>
      <c r="H18" s="1"/>
      <c r="I18" s="1"/>
      <c r="J18" s="1"/>
      <c r="K18" s="1"/>
      <c r="L18" s="1"/>
      <c r="M18"/>
    </row>
    <row r="19" spans="1:16" s="23" customFormat="1" ht="15.6" x14ac:dyDescent="0.3">
      <c r="A19" s="516"/>
      <c r="B19" s="517"/>
      <c r="C19" s="90" t="s">
        <v>51</v>
      </c>
      <c r="D19" s="87">
        <f>D18*0.16</f>
        <v>63088.652800000003</v>
      </c>
      <c r="E19" s="1"/>
      <c r="F19" s="1"/>
      <c r="G19" s="1"/>
      <c r="H19" s="1"/>
      <c r="I19" s="1"/>
      <c r="J19" s="1"/>
      <c r="K19" s="1"/>
      <c r="L19" s="1"/>
      <c r="M19" s="1"/>
    </row>
    <row r="20" spans="1:16" s="23" customFormat="1" ht="16.2" thickBot="1" x14ac:dyDescent="0.3">
      <c r="A20" s="516"/>
      <c r="B20" s="100"/>
      <c r="C20" s="90" t="s">
        <v>52</v>
      </c>
      <c r="D20" s="87">
        <f>SUM(D18:D19)</f>
        <v>457392.7328</v>
      </c>
      <c r="E20" s="1"/>
      <c r="F20" s="1"/>
      <c r="G20" s="1"/>
      <c r="H20" s="1"/>
      <c r="I20" s="1"/>
      <c r="J20" s="1"/>
      <c r="K20" s="1"/>
      <c r="L20" s="1"/>
      <c r="M20" s="1"/>
      <c r="N20" s="1"/>
      <c r="O20" s="1"/>
      <c r="P20" s="1"/>
    </row>
    <row r="21" spans="1:16" ht="16.2" thickBot="1" x14ac:dyDescent="0.3">
      <c r="A21" s="116"/>
      <c r="B21" s="186" t="s">
        <v>1120</v>
      </c>
      <c r="C21" s="36"/>
      <c r="D21" s="37"/>
    </row>
    <row r="22" spans="1:16" ht="13.8" x14ac:dyDescent="0.25">
      <c r="A22" s="34"/>
      <c r="B22" s="120" t="s">
        <v>15</v>
      </c>
      <c r="C22" s="121"/>
      <c r="D22" s="122"/>
    </row>
    <row r="23" spans="1:16" ht="15.6" x14ac:dyDescent="0.25">
      <c r="A23" s="34"/>
      <c r="B23" s="123"/>
      <c r="C23" s="1"/>
      <c r="D23" s="1"/>
      <c r="O23" s="88"/>
      <c r="P23" s="88"/>
    </row>
    <row r="24" spans="1:16" s="88" customFormat="1" ht="13.8" x14ac:dyDescent="0.25">
      <c r="A24" s="34"/>
      <c r="B24" s="126" t="s">
        <v>17</v>
      </c>
      <c r="C24" s="1"/>
      <c r="D24" s="1"/>
      <c r="E24" s="1"/>
      <c r="F24" s="1"/>
      <c r="G24" s="1"/>
      <c r="H24" s="1"/>
      <c r="I24" s="1"/>
      <c r="J24" s="1"/>
      <c r="K24" s="1"/>
      <c r="L24" s="1"/>
      <c r="M24" s="1"/>
      <c r="N24" s="1"/>
      <c r="O24" s="1"/>
      <c r="P24" s="1"/>
    </row>
    <row r="25" spans="1:16" ht="15" x14ac:dyDescent="0.25">
      <c r="A25" s="62"/>
      <c r="B25" s="127" t="s">
        <v>79</v>
      </c>
      <c r="C25" s="1"/>
      <c r="D25" s="1"/>
    </row>
    <row r="26" spans="1:16" ht="15" x14ac:dyDescent="0.25">
      <c r="A26" s="62"/>
      <c r="B26" s="129" t="s">
        <v>60</v>
      </c>
      <c r="C26" s="1"/>
      <c r="D26" s="1"/>
    </row>
    <row r="27" spans="1:16" ht="15" x14ac:dyDescent="0.25">
      <c r="A27" s="62"/>
      <c r="B27" s="130" t="s">
        <v>23</v>
      </c>
      <c r="C27" s="13"/>
      <c r="D27" s="1"/>
    </row>
    <row r="28" spans="1:16" ht="27.6" x14ac:dyDescent="0.25">
      <c r="A28" s="46"/>
      <c r="B28" s="261" t="s">
        <v>172</v>
      </c>
      <c r="C28" s="53"/>
      <c r="D28" s="1"/>
    </row>
    <row r="29" spans="1:16" ht="13.8" x14ac:dyDescent="0.25">
      <c r="A29" s="51"/>
      <c r="B29" s="52" t="s">
        <v>23</v>
      </c>
      <c r="C29" s="53"/>
      <c r="D29" s="1"/>
    </row>
    <row r="30" spans="1:16" ht="41.4" x14ac:dyDescent="0.25">
      <c r="A30" s="51"/>
      <c r="B30" s="643" t="s">
        <v>779</v>
      </c>
      <c r="C30" s="53"/>
      <c r="D30" s="1"/>
    </row>
    <row r="31" spans="1:16" ht="55.2" x14ac:dyDescent="0.25">
      <c r="A31" s="51"/>
      <c r="B31" s="641" t="s">
        <v>780</v>
      </c>
      <c r="C31" s="53"/>
      <c r="D31" s="1"/>
    </row>
    <row r="32" spans="1:16" ht="55.2" x14ac:dyDescent="0.25">
      <c r="A32" s="51"/>
      <c r="B32" s="642" t="s">
        <v>781</v>
      </c>
      <c r="C32" s="53"/>
      <c r="D32" s="1"/>
    </row>
    <row r="33" spans="1:4" ht="13.8" x14ac:dyDescent="0.25">
      <c r="B33" s="138" t="s">
        <v>1117</v>
      </c>
      <c r="C33" s="133"/>
      <c r="D33" s="134"/>
    </row>
    <row r="34" spans="1:4" ht="15" x14ac:dyDescent="0.25">
      <c r="A34" s="62"/>
      <c r="B34" s="127" t="s">
        <v>31</v>
      </c>
      <c r="C34" s="54"/>
      <c r="D34" s="58"/>
    </row>
    <row r="35" spans="1:4" ht="15" x14ac:dyDescent="0.25">
      <c r="A35" s="62"/>
      <c r="B35" s="127" t="s">
        <v>1122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8" fitToWidth="0" orientation="portrait" r:id="rId1"/>
  <headerFooter alignWithMargins="0">
    <oddFooter>Página &amp;P de &amp;N</oddFooter>
  </headerFooter>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E716-9630-431E-B608-2713CBB51A2F}">
  <sheetPr>
    <tabColor theme="4" tint="-0.249977111117893"/>
    <pageSetUpPr fitToPage="1"/>
  </sheetPr>
  <dimension ref="A1:P59"/>
  <sheetViews>
    <sheetView topLeftCell="A9" zoomScale="85" zoomScaleNormal="85" workbookViewId="0">
      <selection activeCell="B29" sqref="B29"/>
    </sheetView>
  </sheetViews>
  <sheetFormatPr baseColWidth="10" defaultColWidth="11.44140625" defaultRowHeight="13.2" x14ac:dyDescent="0.25"/>
  <cols>
    <col min="1" max="1" width="6" style="1" customWidth="1"/>
    <col min="2" max="2" width="101.44140625" style="1" customWidth="1"/>
    <col min="3" max="3" width="15.21875" style="3" bestFit="1"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1034</v>
      </c>
      <c r="B8" s="68"/>
      <c r="C8" s="69"/>
      <c r="D8" s="69"/>
    </row>
    <row r="9" spans="1:16" s="4" customFormat="1" ht="19.2" x14ac:dyDescent="0.45">
      <c r="A9" s="67" t="s">
        <v>1035</v>
      </c>
      <c r="B9" s="68"/>
      <c r="C9" s="69"/>
      <c r="D9" s="69"/>
    </row>
    <row r="10" spans="1:16" s="4" customFormat="1" ht="19.2" x14ac:dyDescent="0.45">
      <c r="A10" s="67" t="s">
        <v>1036</v>
      </c>
      <c r="B10" s="68"/>
      <c r="C10" s="69"/>
      <c r="D10" s="69"/>
    </row>
    <row r="11" spans="1:16" s="4" customFormat="1" ht="19.2" x14ac:dyDescent="0.45">
      <c r="A11" s="67" t="s">
        <v>1037</v>
      </c>
      <c r="B11" s="68"/>
      <c r="C11" s="70"/>
      <c r="D11" s="69"/>
    </row>
    <row r="12" spans="1:16" s="4" customFormat="1" ht="15" customHeight="1" x14ac:dyDescent="0.45">
      <c r="A12" s="67" t="s">
        <v>38</v>
      </c>
      <c r="B12" s="68"/>
      <c r="C12" s="70"/>
      <c r="D12" s="69"/>
    </row>
    <row r="13" spans="1:16" s="4" customFormat="1" ht="15" customHeight="1" x14ac:dyDescent="0.45">
      <c r="A13" s="71" t="s">
        <v>1121</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407">
        <v>1</v>
      </c>
      <c r="B16" s="406" t="s">
        <v>1123</v>
      </c>
      <c r="C16" s="408">
        <v>58000</v>
      </c>
      <c r="D16" s="79">
        <f>A16*C16</f>
        <v>58000</v>
      </c>
      <c r="N16" s="23"/>
      <c r="O16" s="23"/>
      <c r="P16" s="23"/>
    </row>
    <row r="17" spans="1:16" s="23" customFormat="1" ht="15.6" x14ac:dyDescent="0.25">
      <c r="A17" s="404"/>
      <c r="B17" s="406" t="s">
        <v>936</v>
      </c>
      <c r="C17" s="405"/>
      <c r="D17" s="79"/>
      <c r="E17" s="1"/>
      <c r="F17" s="1"/>
      <c r="G17" s="1"/>
      <c r="H17" s="1"/>
      <c r="I17" s="1"/>
      <c r="J17" s="1"/>
      <c r="K17" s="1"/>
      <c r="L17" s="1"/>
      <c r="M17" s="1"/>
    </row>
    <row r="18" spans="1:16" s="23" customFormat="1" ht="15.6" x14ac:dyDescent="0.3">
      <c r="A18" s="404"/>
      <c r="B18" s="406" t="s">
        <v>937</v>
      </c>
      <c r="C18" s="405"/>
      <c r="D18" s="79"/>
      <c r="E18" s="1"/>
      <c r="F18" s="1"/>
      <c r="G18" s="1"/>
      <c r="H18" s="1"/>
      <c r="I18" s="1"/>
      <c r="J18" s="1"/>
      <c r="K18" s="1"/>
      <c r="L18" s="1"/>
      <c r="M18"/>
    </row>
    <row r="19" spans="1:16" s="23" customFormat="1" ht="15.6" x14ac:dyDescent="0.25">
      <c r="A19" s="103">
        <v>3</v>
      </c>
      <c r="B19" s="104" t="s">
        <v>938</v>
      </c>
      <c r="C19" s="105">
        <f>(260*18)*1.4</f>
        <v>6552</v>
      </c>
      <c r="D19" s="79">
        <f>A19*C19</f>
        <v>19656</v>
      </c>
      <c r="E19" s="1"/>
      <c r="F19" s="1"/>
      <c r="G19" s="1"/>
      <c r="H19" s="1"/>
      <c r="I19" s="1"/>
      <c r="J19" s="1"/>
      <c r="K19" s="1"/>
      <c r="L19" s="1"/>
      <c r="M19" s="1"/>
    </row>
    <row r="20" spans="1:16" s="23" customFormat="1" ht="19.95" customHeight="1" x14ac:dyDescent="0.25">
      <c r="A20" s="106">
        <v>2</v>
      </c>
      <c r="B20" s="107" t="s">
        <v>939</v>
      </c>
      <c r="C20" s="108">
        <f>2300*1.4</f>
        <v>3220</v>
      </c>
      <c r="D20" s="109">
        <f>A20*C20</f>
        <v>6440</v>
      </c>
      <c r="E20" s="1"/>
      <c r="F20" s="1"/>
      <c r="G20" s="1"/>
      <c r="H20" s="1"/>
      <c r="I20" s="1"/>
      <c r="J20" s="1"/>
      <c r="K20" s="1"/>
      <c r="L20" s="1"/>
      <c r="M20" s="1"/>
      <c r="N20" s="1"/>
      <c r="O20" s="1"/>
      <c r="P20" s="1"/>
    </row>
    <row r="21" spans="1:16" ht="15.6" x14ac:dyDescent="0.25">
      <c r="A21" s="80">
        <v>4</v>
      </c>
      <c r="B21" s="167" t="s">
        <v>940</v>
      </c>
      <c r="C21" s="105">
        <v>510</v>
      </c>
      <c r="D21" s="109">
        <f>A21*C21</f>
        <v>2040</v>
      </c>
      <c r="E21" s="13"/>
    </row>
    <row r="22" spans="1:16" ht="15.6" x14ac:dyDescent="0.3">
      <c r="A22" s="99"/>
      <c r="B22" s="85" t="s">
        <v>941</v>
      </c>
      <c r="C22" s="86" t="s">
        <v>49</v>
      </c>
      <c r="D22" s="87">
        <f>SUM(D15:D21)</f>
        <v>86136</v>
      </c>
    </row>
    <row r="23" spans="1:16" ht="15.6" x14ac:dyDescent="0.3">
      <c r="A23" s="99"/>
      <c r="B23" s="85" t="s">
        <v>1124</v>
      </c>
      <c r="C23" s="90" t="s">
        <v>51</v>
      </c>
      <c r="D23" s="87">
        <f>D22*0.16</f>
        <v>13781.76</v>
      </c>
      <c r="E23" s="13"/>
      <c r="O23" s="88"/>
      <c r="P23" s="88"/>
    </row>
    <row r="24" spans="1:16" s="88" customFormat="1" ht="15.6" x14ac:dyDescent="0.25">
      <c r="A24" s="99"/>
      <c r="B24" s="100" t="s">
        <v>1127</v>
      </c>
      <c r="C24" s="90" t="s">
        <v>52</v>
      </c>
      <c r="D24" s="87">
        <f>SUM(D22:D23)</f>
        <v>99917.759999999995</v>
      </c>
      <c r="E24" s="1"/>
      <c r="F24" s="1"/>
      <c r="G24" s="1"/>
      <c r="H24" s="1"/>
      <c r="I24" s="1"/>
      <c r="J24" s="1"/>
      <c r="K24" s="1"/>
      <c r="L24" s="1"/>
      <c r="M24" s="1"/>
      <c r="N24" s="1"/>
      <c r="O24" s="1"/>
      <c r="P24" s="1"/>
    </row>
    <row r="25" spans="1:16" ht="16.2" thickBot="1" x14ac:dyDescent="0.3">
      <c r="A25" s="34"/>
      <c r="B25" s="186" t="s">
        <v>1120</v>
      </c>
      <c r="C25" s="186"/>
      <c r="D25" s="186"/>
    </row>
    <row r="26" spans="1:16" ht="13.8" x14ac:dyDescent="0.25">
      <c r="A26" s="34"/>
      <c r="B26" s="120" t="s">
        <v>15</v>
      </c>
      <c r="C26" s="1"/>
      <c r="D26" s="1"/>
    </row>
    <row r="27" spans="1:16" ht="15.6" x14ac:dyDescent="0.25">
      <c r="A27" s="34"/>
      <c r="B27" s="123"/>
      <c r="C27" s="1"/>
      <c r="D27" s="1"/>
    </row>
    <row r="28" spans="1:16" ht="15" x14ac:dyDescent="0.25">
      <c r="A28" s="62"/>
      <c r="B28" s="126" t="s">
        <v>17</v>
      </c>
      <c r="C28" s="1"/>
      <c r="D28" s="1"/>
    </row>
    <row r="29" spans="1:16" ht="15" x14ac:dyDescent="0.25">
      <c r="A29" s="62"/>
      <c r="B29" s="127" t="s">
        <v>79</v>
      </c>
      <c r="C29" s="13"/>
      <c r="D29" s="1"/>
    </row>
    <row r="30" spans="1:16" ht="15" x14ac:dyDescent="0.25">
      <c r="A30" s="62"/>
      <c r="B30" s="128"/>
      <c r="C30" s="1"/>
      <c r="D30" s="1"/>
    </row>
    <row r="31" spans="1:16" ht="15" x14ac:dyDescent="0.25">
      <c r="A31" s="62"/>
      <c r="B31" s="129" t="s">
        <v>60</v>
      </c>
      <c r="C31" s="13"/>
      <c r="D31" s="1"/>
    </row>
    <row r="32" spans="1:16" ht="15" x14ac:dyDescent="0.25">
      <c r="A32" s="62"/>
      <c r="B32" s="130" t="s">
        <v>23</v>
      </c>
      <c r="C32" s="13"/>
      <c r="D32" s="1"/>
    </row>
    <row r="33" spans="1:4" ht="27.6" x14ac:dyDescent="0.25">
      <c r="A33" s="62"/>
      <c r="B33" s="132" t="s">
        <v>62</v>
      </c>
      <c r="C33" s="13"/>
      <c r="D33" s="1"/>
    </row>
    <row r="34" spans="1:4" ht="15" x14ac:dyDescent="0.25">
      <c r="A34" s="62"/>
      <c r="B34" s="130" t="s">
        <v>26</v>
      </c>
      <c r="C34" s="13"/>
      <c r="D34" s="1"/>
    </row>
    <row r="35" spans="1:4" ht="15" x14ac:dyDescent="0.25">
      <c r="A35" s="62"/>
      <c r="B35" s="333" t="s">
        <v>1125</v>
      </c>
      <c r="C35" s="1"/>
      <c r="D35" s="1"/>
    </row>
    <row r="36" spans="1:4" ht="15" x14ac:dyDescent="0.25">
      <c r="A36" s="62"/>
      <c r="B36" s="334" t="s">
        <v>28</v>
      </c>
      <c r="C36" s="1"/>
      <c r="D36" s="1"/>
    </row>
    <row r="37" spans="1:4" ht="13.8" x14ac:dyDescent="0.25">
      <c r="B37" s="130" t="s">
        <v>29</v>
      </c>
      <c r="C37" s="133"/>
      <c r="D37" s="134"/>
    </row>
    <row r="38" spans="1:4" ht="15" x14ac:dyDescent="0.25">
      <c r="A38" s="62"/>
      <c r="B38" s="138" t="s">
        <v>1126</v>
      </c>
      <c r="C38" s="54"/>
      <c r="D38" s="58"/>
    </row>
    <row r="39" spans="1:4" ht="15" x14ac:dyDescent="0.25">
      <c r="A39" s="62"/>
      <c r="B39" s="127" t="s">
        <v>31</v>
      </c>
      <c r="C39" s="54"/>
    </row>
    <row r="40" spans="1:4" ht="13.8" x14ac:dyDescent="0.25">
      <c r="A40" s="139" t="s">
        <v>0</v>
      </c>
      <c r="B40" s="127" t="s">
        <v>32</v>
      </c>
      <c r="C40" s="141"/>
      <c r="D40" s="1"/>
    </row>
    <row r="41" spans="1:4" ht="33.6" x14ac:dyDescent="0.4">
      <c r="A41" s="142"/>
      <c r="B41" s="140" t="s">
        <v>65</v>
      </c>
      <c r="C41" s="64"/>
      <c r="D41" s="1"/>
    </row>
    <row r="42" spans="1:4" x14ac:dyDescent="0.25">
      <c r="A42" s="142"/>
      <c r="B42" s="64"/>
      <c r="C42" s="64"/>
      <c r="D42" s="1"/>
    </row>
    <row r="43" spans="1:4" x14ac:dyDescent="0.25">
      <c r="A43" s="142"/>
      <c r="B43" s="64"/>
      <c r="C43" s="64"/>
      <c r="D43" s="1"/>
    </row>
    <row r="44" spans="1:4" x14ac:dyDescent="0.25">
      <c r="A44" s="144"/>
      <c r="B44" s="143"/>
      <c r="C44" s="64"/>
      <c r="D44" s="64"/>
    </row>
    <row r="45" spans="1:4" ht="15" x14ac:dyDescent="0.35">
      <c r="A45" s="146" t="s">
        <v>0</v>
      </c>
      <c r="B45" s="145"/>
    </row>
    <row r="46" spans="1:4" x14ac:dyDescent="0.25">
      <c r="A46"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7" fitToWidth="0" orientation="portrait" r:id="rId1"/>
  <headerFooter alignWithMargins="0">
    <oddFooter>Página &amp;P de &amp;N</oddFooter>
  </headerFooter>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3FB92-029D-4B46-9637-638B927785C5}">
  <sheetPr>
    <tabColor theme="4" tint="-0.249977111117893"/>
    <pageSetUpPr fitToPage="1"/>
  </sheetPr>
  <dimension ref="A1:P59"/>
  <sheetViews>
    <sheetView topLeftCell="A4" zoomScale="85" zoomScaleNormal="85" workbookViewId="0">
      <selection activeCell="B21" sqref="B21"/>
    </sheetView>
  </sheetViews>
  <sheetFormatPr baseColWidth="10" defaultColWidth="11.44140625" defaultRowHeight="13.2" x14ac:dyDescent="0.25"/>
  <cols>
    <col min="1" max="1" width="6" style="1" customWidth="1"/>
    <col min="2" max="2" width="102.7773437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1110</v>
      </c>
      <c r="B8" s="68"/>
      <c r="C8" s="69"/>
      <c r="D8" s="69"/>
    </row>
    <row r="9" spans="1:16" s="4" customFormat="1" ht="19.2" x14ac:dyDescent="0.45">
      <c r="A9" s="67" t="s">
        <v>1111</v>
      </c>
      <c r="B9" s="68"/>
      <c r="C9" s="69"/>
      <c r="D9" s="69"/>
    </row>
    <row r="10" spans="1:16" s="4" customFormat="1" ht="19.2" x14ac:dyDescent="0.45">
      <c r="A10" s="67" t="s">
        <v>1112</v>
      </c>
      <c r="B10" s="68"/>
      <c r="C10" s="69"/>
      <c r="D10" s="69"/>
    </row>
    <row r="11" spans="1:16" s="4" customFormat="1" ht="19.2" x14ac:dyDescent="0.45">
      <c r="A11" s="67" t="s">
        <v>1113</v>
      </c>
      <c r="B11" s="68"/>
      <c r="C11" s="70"/>
      <c r="D11" s="69"/>
    </row>
    <row r="12" spans="1:16" s="4" customFormat="1" ht="15" customHeight="1" x14ac:dyDescent="0.45">
      <c r="A12" s="67" t="s">
        <v>38</v>
      </c>
      <c r="B12" s="68"/>
      <c r="C12" s="70"/>
      <c r="D12" s="69"/>
    </row>
    <row r="13" spans="1:16" s="4" customFormat="1" ht="15" customHeight="1" x14ac:dyDescent="0.45">
      <c r="A13" s="71" t="s">
        <v>1121</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240">
        <v>1</v>
      </c>
      <c r="B16" s="591" t="s">
        <v>925</v>
      </c>
      <c r="C16" s="653">
        <v>31000</v>
      </c>
      <c r="D16" s="79">
        <f t="shared" ref="D16:D17" si="0">A16*C16</f>
        <v>31000</v>
      </c>
      <c r="N16" s="23"/>
      <c r="O16" s="23"/>
      <c r="P16" s="23"/>
    </row>
    <row r="17" spans="1:16" s="23" customFormat="1" ht="15.6" x14ac:dyDescent="0.25">
      <c r="A17" s="103">
        <v>1</v>
      </c>
      <c r="B17" s="104" t="s">
        <v>116</v>
      </c>
      <c r="C17" s="105">
        <v>9300</v>
      </c>
      <c r="D17" s="79">
        <f t="shared" si="0"/>
        <v>9300</v>
      </c>
      <c r="E17" s="13"/>
      <c r="F17" s="1"/>
      <c r="G17" s="1"/>
      <c r="H17" s="1"/>
      <c r="I17" s="1"/>
      <c r="J17" s="1"/>
      <c r="K17" s="1"/>
      <c r="L17" s="1"/>
      <c r="M17" s="1"/>
    </row>
    <row r="18" spans="1:16" s="23" customFormat="1" ht="15.6" x14ac:dyDescent="0.3">
      <c r="A18" s="516"/>
      <c r="B18" s="517"/>
      <c r="C18" s="86" t="s">
        <v>49</v>
      </c>
      <c r="D18" s="87">
        <f>SUM(D15:D17)</f>
        <v>40300</v>
      </c>
      <c r="E18" s="1"/>
      <c r="F18" s="1"/>
      <c r="G18" s="1"/>
      <c r="H18" s="1"/>
      <c r="I18" s="1"/>
      <c r="J18" s="1"/>
      <c r="K18" s="1"/>
      <c r="L18" s="1"/>
      <c r="M18"/>
    </row>
    <row r="19" spans="1:16" s="23" customFormat="1" ht="15.6" x14ac:dyDescent="0.3">
      <c r="A19" s="516"/>
      <c r="B19" s="517"/>
      <c r="C19" s="90" t="s">
        <v>51</v>
      </c>
      <c r="D19" s="87">
        <f>D18*0.16</f>
        <v>6448</v>
      </c>
      <c r="E19" s="13"/>
      <c r="F19" s="1"/>
      <c r="G19" s="1"/>
      <c r="H19" s="1"/>
      <c r="I19" s="1"/>
      <c r="J19" s="1"/>
      <c r="K19" s="1"/>
      <c r="L19" s="1"/>
      <c r="M19" s="1"/>
    </row>
    <row r="20" spans="1:16" s="23" customFormat="1" ht="19.95" customHeight="1" x14ac:dyDescent="0.25">
      <c r="A20" s="516"/>
      <c r="B20" s="100"/>
      <c r="C20" s="90" t="s">
        <v>52</v>
      </c>
      <c r="D20" s="87">
        <f>SUM(D18:D19)</f>
        <v>46748</v>
      </c>
      <c r="E20" s="1"/>
      <c r="F20" s="1"/>
      <c r="G20" s="1"/>
      <c r="H20" s="1"/>
      <c r="I20" s="1"/>
      <c r="J20" s="1"/>
      <c r="K20" s="1"/>
      <c r="L20" s="1"/>
      <c r="M20" s="1"/>
      <c r="N20" s="1"/>
      <c r="O20" s="1"/>
      <c r="P20" s="1"/>
    </row>
    <row r="21" spans="1:16" ht="16.2" thickBot="1" x14ac:dyDescent="0.3">
      <c r="A21" s="34"/>
      <c r="B21" s="186" t="s">
        <v>1130</v>
      </c>
      <c r="C21" s="186"/>
      <c r="D21" s="186"/>
    </row>
    <row r="22" spans="1:16" ht="13.8" x14ac:dyDescent="0.25">
      <c r="A22" s="34"/>
      <c r="B22" s="120" t="s">
        <v>15</v>
      </c>
      <c r="C22" s="1"/>
      <c r="D22" s="1"/>
    </row>
    <row r="23" spans="1:16" ht="15.6" x14ac:dyDescent="0.25">
      <c r="A23" s="34"/>
      <c r="B23" s="123"/>
      <c r="C23" s="1"/>
      <c r="D23" s="1"/>
      <c r="O23" s="88"/>
      <c r="P23" s="88"/>
    </row>
    <row r="24" spans="1:16" s="88" customFormat="1" ht="15" x14ac:dyDescent="0.25">
      <c r="A24" s="62"/>
      <c r="B24" s="126" t="s">
        <v>17</v>
      </c>
      <c r="C24" s="1"/>
      <c r="D24" s="1"/>
      <c r="E24" s="1"/>
      <c r="F24" s="1"/>
      <c r="G24" s="1"/>
      <c r="H24" s="1"/>
      <c r="I24" s="1"/>
      <c r="J24" s="1"/>
      <c r="K24" s="1"/>
      <c r="L24" s="1"/>
      <c r="M24" s="1"/>
      <c r="N24" s="1"/>
      <c r="O24" s="1"/>
      <c r="P24" s="1"/>
    </row>
    <row r="25" spans="1:16" ht="15" x14ac:dyDescent="0.25">
      <c r="A25" s="62"/>
      <c r="B25" s="127" t="s">
        <v>79</v>
      </c>
      <c r="C25" s="13"/>
      <c r="D25" s="1"/>
    </row>
    <row r="26" spans="1:16" ht="15" x14ac:dyDescent="0.25">
      <c r="A26" s="62"/>
      <c r="B26" s="128"/>
      <c r="C26" s="1"/>
      <c r="D26" s="1"/>
    </row>
    <row r="27" spans="1:16" ht="15" x14ac:dyDescent="0.25">
      <c r="A27" s="62"/>
      <c r="B27" s="129" t="s">
        <v>60</v>
      </c>
      <c r="C27" s="13"/>
      <c r="D27" s="1"/>
    </row>
    <row r="28" spans="1:16" ht="15" x14ac:dyDescent="0.25">
      <c r="A28" s="62"/>
      <c r="B28" s="130" t="s">
        <v>23</v>
      </c>
      <c r="C28" s="13"/>
      <c r="D28" s="1"/>
    </row>
    <row r="29" spans="1:16" ht="27.6" x14ac:dyDescent="0.25">
      <c r="A29" s="62"/>
      <c r="B29" s="132" t="s">
        <v>62</v>
      </c>
      <c r="C29" s="13"/>
      <c r="D29" s="1"/>
    </row>
    <row r="30" spans="1:16" ht="15" x14ac:dyDescent="0.25">
      <c r="A30" s="62"/>
      <c r="B30" s="130" t="s">
        <v>26</v>
      </c>
      <c r="C30" s="13"/>
      <c r="D30" s="1"/>
    </row>
    <row r="31" spans="1:16" ht="15" x14ac:dyDescent="0.25">
      <c r="A31" s="62"/>
      <c r="B31" s="333" t="s">
        <v>1125</v>
      </c>
      <c r="C31" s="1"/>
      <c r="D31" s="1"/>
    </row>
    <row r="32" spans="1:16" ht="15" x14ac:dyDescent="0.25">
      <c r="A32" s="62"/>
      <c r="B32" s="334" t="s">
        <v>28</v>
      </c>
      <c r="C32" s="1"/>
      <c r="D32" s="1"/>
    </row>
    <row r="33" spans="1:4" ht="13.8" x14ac:dyDescent="0.25">
      <c r="B33" s="130" t="s">
        <v>29</v>
      </c>
      <c r="C33" s="133"/>
      <c r="D33" s="134"/>
    </row>
    <row r="34" spans="1:4" ht="15" x14ac:dyDescent="0.25">
      <c r="A34" s="62"/>
      <c r="B34" s="138" t="s">
        <v>1128</v>
      </c>
      <c r="C34" s="54"/>
      <c r="D34" s="58"/>
    </row>
    <row r="35" spans="1:4" ht="15" x14ac:dyDescent="0.25">
      <c r="A35" s="62"/>
      <c r="B35" s="127" t="s">
        <v>31</v>
      </c>
      <c r="C35" s="54"/>
    </row>
    <row r="36" spans="1:4" ht="13.8" x14ac:dyDescent="0.25">
      <c r="A36" s="139" t="s">
        <v>0</v>
      </c>
      <c r="B36" s="127" t="s">
        <v>32</v>
      </c>
      <c r="C36" s="141"/>
      <c r="D36" s="1"/>
    </row>
    <row r="37" spans="1:4" ht="33.6" x14ac:dyDescent="0.4">
      <c r="A37" s="142"/>
      <c r="B37" s="140" t="s">
        <v>65</v>
      </c>
      <c r="C37" s="64"/>
      <c r="D37" s="1"/>
    </row>
    <row r="38" spans="1:4" x14ac:dyDescent="0.25">
      <c r="A38" s="142"/>
      <c r="B38" s="64"/>
      <c r="C38" s="64"/>
      <c r="D38" s="1"/>
    </row>
    <row r="39" spans="1:4" x14ac:dyDescent="0.25">
      <c r="A39" s="142"/>
      <c r="B39" s="64"/>
      <c r="C39" s="64"/>
      <c r="D39" s="1"/>
    </row>
    <row r="40" spans="1:4" x14ac:dyDescent="0.25">
      <c r="A40" s="144"/>
      <c r="B40" s="143"/>
      <c r="C40" s="64"/>
      <c r="D40" s="64"/>
    </row>
    <row r="41" spans="1:4" ht="15" x14ac:dyDescent="0.35">
      <c r="A41" s="146" t="s">
        <v>0</v>
      </c>
      <c r="B41" s="145"/>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8" fitToWidth="0" orientation="portrait" r:id="rId1"/>
  <headerFooter alignWithMargins="0">
    <oddFooter>Página &amp;P de &amp;N</oddFooter>
  </headerFooter>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E3AC4-A6C2-4DD2-A647-F4384240BF74}">
  <sheetPr>
    <tabColor theme="4" tint="-0.249977111117893"/>
    <pageSetUpPr fitToPage="1"/>
  </sheetPr>
  <dimension ref="A1:P59"/>
  <sheetViews>
    <sheetView topLeftCell="A8" zoomScale="85" zoomScaleNormal="85" workbookViewId="0">
      <selection activeCell="B26" sqref="B26"/>
    </sheetView>
  </sheetViews>
  <sheetFormatPr baseColWidth="10" defaultColWidth="11.44140625" defaultRowHeight="13.2" x14ac:dyDescent="0.25"/>
  <cols>
    <col min="1" max="1" width="6" style="1" customWidth="1"/>
    <col min="2" max="2" width="77.664062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1034</v>
      </c>
      <c r="B8" s="68"/>
      <c r="C8" s="69"/>
      <c r="D8" s="69"/>
    </row>
    <row r="9" spans="1:16" s="4" customFormat="1" ht="19.2" x14ac:dyDescent="0.45">
      <c r="A9" s="67" t="s">
        <v>1035</v>
      </c>
      <c r="B9" s="68"/>
      <c r="C9" s="69"/>
      <c r="D9" s="69"/>
    </row>
    <row r="10" spans="1:16" s="4" customFormat="1" ht="19.2" x14ac:dyDescent="0.45">
      <c r="A10" s="67" t="s">
        <v>1036</v>
      </c>
      <c r="B10" s="68"/>
      <c r="C10" s="69"/>
      <c r="D10" s="69"/>
    </row>
    <row r="11" spans="1:16" s="4" customFormat="1" ht="19.2" x14ac:dyDescent="0.45">
      <c r="A11" s="67" t="s">
        <v>1037</v>
      </c>
      <c r="B11" s="68"/>
      <c r="C11" s="70"/>
      <c r="D11" s="69"/>
    </row>
    <row r="12" spans="1:16" s="4" customFormat="1" ht="15" customHeight="1" x14ac:dyDescent="0.45">
      <c r="A12" s="67" t="s">
        <v>38</v>
      </c>
      <c r="B12" s="68"/>
      <c r="C12" s="70"/>
      <c r="D12" s="69"/>
    </row>
    <row r="13" spans="1:16" s="4" customFormat="1" ht="15" customHeight="1" x14ac:dyDescent="0.45">
      <c r="A13" s="71" t="s">
        <v>1121</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15.6" x14ac:dyDescent="0.3">
      <c r="A16" s="407">
        <v>1</v>
      </c>
      <c r="B16" s="406" t="s">
        <v>1129</v>
      </c>
      <c r="C16" s="408">
        <v>76000</v>
      </c>
      <c r="D16" s="79">
        <f>A16*C16</f>
        <v>76000</v>
      </c>
      <c r="N16" s="23"/>
      <c r="O16" s="23"/>
      <c r="P16" s="23"/>
    </row>
    <row r="17" spans="1:16" s="23" customFormat="1" ht="15.6" x14ac:dyDescent="0.25">
      <c r="A17" s="404"/>
      <c r="B17" s="406" t="s">
        <v>936</v>
      </c>
      <c r="C17" s="405"/>
      <c r="D17" s="79"/>
      <c r="E17" s="1"/>
      <c r="F17" s="1"/>
      <c r="G17" s="1"/>
      <c r="H17" s="1"/>
      <c r="I17" s="1"/>
      <c r="J17" s="1"/>
      <c r="K17" s="1"/>
      <c r="L17" s="1"/>
      <c r="M17" s="1"/>
    </row>
    <row r="18" spans="1:16" s="23" customFormat="1" ht="15.6" x14ac:dyDescent="0.3">
      <c r="A18" s="404"/>
      <c r="B18" s="406" t="s">
        <v>937</v>
      </c>
      <c r="C18" s="405"/>
      <c r="D18" s="79"/>
      <c r="E18" s="1"/>
      <c r="F18" s="1"/>
      <c r="G18" s="1"/>
      <c r="H18" s="1"/>
      <c r="I18" s="1"/>
      <c r="J18" s="1"/>
      <c r="K18" s="1"/>
      <c r="L18" s="1"/>
      <c r="M18"/>
    </row>
    <row r="19" spans="1:16" s="23" customFormat="1" ht="15.6" x14ac:dyDescent="0.25">
      <c r="A19" s="103">
        <v>4</v>
      </c>
      <c r="B19" s="104" t="s">
        <v>938</v>
      </c>
      <c r="C19" s="105">
        <f>(260*18)*1.4</f>
        <v>6552</v>
      </c>
      <c r="D19" s="79">
        <f>A19*C19</f>
        <v>26208</v>
      </c>
      <c r="E19" s="1"/>
      <c r="F19" s="1"/>
      <c r="G19" s="1"/>
      <c r="H19" s="1"/>
      <c r="I19" s="1"/>
      <c r="J19" s="1"/>
      <c r="K19" s="1"/>
      <c r="L19" s="1"/>
      <c r="M19" s="1"/>
    </row>
    <row r="20" spans="1:16" s="23" customFormat="1" ht="19.95" customHeight="1" x14ac:dyDescent="0.25">
      <c r="A20" s="106">
        <v>3</v>
      </c>
      <c r="B20" s="107" t="s">
        <v>939</v>
      </c>
      <c r="C20" s="108">
        <f>2300*1.4</f>
        <v>3220</v>
      </c>
      <c r="D20" s="109">
        <f>A20*C20</f>
        <v>9660</v>
      </c>
      <c r="E20" s="1"/>
      <c r="F20" s="1"/>
      <c r="G20" s="1"/>
      <c r="H20" s="1"/>
      <c r="I20" s="1"/>
      <c r="J20" s="1"/>
      <c r="K20" s="1"/>
      <c r="L20" s="1"/>
      <c r="M20" s="1"/>
      <c r="N20" s="1"/>
      <c r="O20" s="1"/>
      <c r="P20" s="1"/>
    </row>
    <row r="21" spans="1:16" ht="15.6" x14ac:dyDescent="0.25">
      <c r="A21" s="80">
        <v>4</v>
      </c>
      <c r="B21" s="167" t="s">
        <v>940</v>
      </c>
      <c r="C21" s="105">
        <v>510</v>
      </c>
      <c r="D21" s="109">
        <f>A21*C21</f>
        <v>2040</v>
      </c>
      <c r="E21" s="13"/>
    </row>
    <row r="22" spans="1:16" ht="15.6" x14ac:dyDescent="0.3">
      <c r="A22" s="99"/>
      <c r="B22" s="85" t="s">
        <v>941</v>
      </c>
      <c r="C22" s="86" t="s">
        <v>49</v>
      </c>
      <c r="D22" s="87">
        <f>SUM(D15:D21)</f>
        <v>113908</v>
      </c>
    </row>
    <row r="23" spans="1:16" ht="15.6" x14ac:dyDescent="0.3">
      <c r="A23" s="99"/>
      <c r="B23" s="85" t="s">
        <v>1124</v>
      </c>
      <c r="C23" s="90" t="s">
        <v>51</v>
      </c>
      <c r="D23" s="87">
        <f>D22*0.16</f>
        <v>18225.28</v>
      </c>
      <c r="E23" s="13"/>
      <c r="O23" s="88"/>
      <c r="P23" s="88"/>
    </row>
    <row r="24" spans="1:16" s="88" customFormat="1" ht="15.6" x14ac:dyDescent="0.25">
      <c r="A24" s="99"/>
      <c r="B24" s="100"/>
      <c r="C24" s="90" t="s">
        <v>52</v>
      </c>
      <c r="D24" s="87">
        <f>SUM(D22:D23)</f>
        <v>132133.28</v>
      </c>
      <c r="E24" s="1"/>
      <c r="F24" s="1"/>
      <c r="G24" s="1"/>
      <c r="H24" s="1"/>
      <c r="I24" s="1"/>
      <c r="J24" s="1"/>
      <c r="K24" s="1"/>
      <c r="L24" s="1"/>
      <c r="M24" s="1"/>
      <c r="N24" s="1"/>
      <c r="O24" s="1"/>
      <c r="P24" s="1"/>
    </row>
    <row r="25" spans="1:16" ht="16.2" thickBot="1" x14ac:dyDescent="0.3">
      <c r="A25" s="34"/>
      <c r="B25" s="186" t="s">
        <v>1131</v>
      </c>
      <c r="C25" s="186"/>
      <c r="D25" s="186"/>
    </row>
    <row r="26" spans="1:16" ht="13.8" x14ac:dyDescent="0.25">
      <c r="A26" s="34"/>
      <c r="B26" s="126" t="s">
        <v>17</v>
      </c>
      <c r="C26" s="1"/>
      <c r="D26" s="1"/>
    </row>
    <row r="27" spans="1:16" ht="15" x14ac:dyDescent="0.25">
      <c r="A27" s="62"/>
      <c r="B27" s="127" t="s">
        <v>79</v>
      </c>
      <c r="C27" s="1"/>
      <c r="D27" s="1"/>
    </row>
    <row r="28" spans="1:16" ht="15" x14ac:dyDescent="0.25">
      <c r="A28" s="62"/>
      <c r="B28" s="128"/>
      <c r="C28" s="13"/>
      <c r="D28" s="1"/>
    </row>
    <row r="29" spans="1:16" ht="15" x14ac:dyDescent="0.25">
      <c r="A29" s="62"/>
      <c r="B29" s="129" t="s">
        <v>60</v>
      </c>
      <c r="C29" s="1"/>
      <c r="D29" s="1"/>
    </row>
    <row r="30" spans="1:16" ht="15" x14ac:dyDescent="0.25">
      <c r="A30" s="62"/>
      <c r="B30" s="130" t="s">
        <v>23</v>
      </c>
      <c r="C30" s="13"/>
      <c r="D30" s="1"/>
    </row>
    <row r="31" spans="1:16" ht="27.6" x14ac:dyDescent="0.25">
      <c r="A31" s="62"/>
      <c r="B31" s="132" t="s">
        <v>62</v>
      </c>
      <c r="C31" s="13"/>
      <c r="D31" s="1"/>
    </row>
    <row r="32" spans="1:16" ht="15" x14ac:dyDescent="0.25">
      <c r="A32" s="62"/>
      <c r="B32" s="130" t="s">
        <v>26</v>
      </c>
      <c r="C32" s="13"/>
      <c r="D32" s="1"/>
    </row>
    <row r="33" spans="1:4" ht="27.6" x14ac:dyDescent="0.25">
      <c r="A33" s="62"/>
      <c r="B33" s="333" t="s">
        <v>1125</v>
      </c>
      <c r="C33" s="13"/>
      <c r="D33" s="1"/>
    </row>
    <row r="34" spans="1:4" ht="15" x14ac:dyDescent="0.25">
      <c r="A34" s="62"/>
      <c r="B34" s="334" t="s">
        <v>28</v>
      </c>
      <c r="C34" s="1"/>
      <c r="D34" s="1"/>
    </row>
    <row r="35" spans="1:4" ht="15" x14ac:dyDescent="0.25">
      <c r="A35" s="62"/>
      <c r="B35" s="130" t="s">
        <v>29</v>
      </c>
      <c r="C35" s="1"/>
      <c r="D35" s="1"/>
    </row>
    <row r="36" spans="1:4" ht="13.8" x14ac:dyDescent="0.25">
      <c r="B36" s="138" t="s">
        <v>1128</v>
      </c>
      <c r="C36" s="133"/>
      <c r="D36" s="134"/>
    </row>
    <row r="37" spans="1:4" ht="15" x14ac:dyDescent="0.25">
      <c r="A37" s="62"/>
      <c r="B37" s="127" t="s">
        <v>31</v>
      </c>
      <c r="C37" s="54"/>
      <c r="D37" s="58"/>
    </row>
    <row r="38" spans="1:4" ht="15" x14ac:dyDescent="0.25">
      <c r="A38" s="62"/>
      <c r="B38" s="127" t="s">
        <v>32</v>
      </c>
      <c r="C38" s="54"/>
    </row>
    <row r="39" spans="1:4" ht="50.4" x14ac:dyDescent="0.4">
      <c r="A39" s="139" t="s">
        <v>0</v>
      </c>
      <c r="B39" s="140" t="s">
        <v>65</v>
      </c>
      <c r="C39" s="141"/>
      <c r="D39" s="1"/>
    </row>
    <row r="40" spans="1:4" x14ac:dyDescent="0.25">
      <c r="A40" s="142"/>
      <c r="B40" s="64"/>
      <c r="C40" s="64"/>
      <c r="D40" s="1"/>
    </row>
    <row r="41" spans="1:4" x14ac:dyDescent="0.25">
      <c r="A41" s="142"/>
      <c r="B41" s="64"/>
      <c r="C41" s="64"/>
      <c r="D41" s="1"/>
    </row>
    <row r="42" spans="1:4" x14ac:dyDescent="0.25">
      <c r="A42" s="142"/>
      <c r="B42" s="143"/>
      <c r="C42" s="64"/>
      <c r="D42" s="1"/>
    </row>
    <row r="43" spans="1:4" ht="15" x14ac:dyDescent="0.35">
      <c r="A43" s="144"/>
      <c r="B43" s="145"/>
      <c r="C43" s="64"/>
      <c r="D43" s="64"/>
    </row>
    <row r="44" spans="1:4" x14ac:dyDescent="0.25">
      <c r="A44" s="146" t="s">
        <v>0</v>
      </c>
    </row>
    <row r="45" spans="1:4" x14ac:dyDescent="0.25">
      <c r="A45"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69" fitToWidth="0" orientation="portrait" r:id="rId1"/>
  <headerFooter alignWithMargins="0">
    <oddFooter>Página &amp;P de &amp;N</oddFooter>
  </headerFooter>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69B5E-FF09-47A6-8B00-F1C0AAF18AC3}">
  <sheetPr>
    <tabColor theme="4" tint="-0.249977111117893"/>
    <pageSetUpPr fitToPage="1"/>
  </sheetPr>
  <dimension ref="A1:P59"/>
  <sheetViews>
    <sheetView topLeftCell="A11" zoomScale="85" zoomScaleNormal="85" workbookViewId="0">
      <selection activeCell="A16" sqref="A16:D20"/>
    </sheetView>
  </sheetViews>
  <sheetFormatPr baseColWidth="10" defaultColWidth="11.44140625" defaultRowHeight="13.2" x14ac:dyDescent="0.25"/>
  <cols>
    <col min="1" max="1" width="6" style="1" customWidth="1"/>
    <col min="2" max="2" width="86.33203125" style="1" customWidth="1"/>
    <col min="3" max="3" width="15.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994</v>
      </c>
      <c r="B8" s="68"/>
      <c r="C8" s="69"/>
      <c r="D8" s="69"/>
    </row>
    <row r="9" spans="1:16" s="4" customFormat="1" ht="19.2" x14ac:dyDescent="0.45">
      <c r="A9" s="67" t="s">
        <v>995</v>
      </c>
      <c r="B9" s="68"/>
      <c r="C9" s="69"/>
      <c r="D9" s="69"/>
    </row>
    <row r="10" spans="1:16" s="4" customFormat="1" ht="19.2" x14ac:dyDescent="0.45">
      <c r="A10" s="67" t="s">
        <v>996</v>
      </c>
      <c r="B10" s="68"/>
      <c r="C10" s="69"/>
      <c r="D10" s="69"/>
    </row>
    <row r="11" spans="1:16" s="4" customFormat="1" ht="19.2" x14ac:dyDescent="0.45">
      <c r="A11" s="67" t="s">
        <v>997</v>
      </c>
      <c r="B11" s="68"/>
      <c r="C11" s="70"/>
      <c r="D11" s="69"/>
    </row>
    <row r="12" spans="1:16" s="4" customFormat="1" ht="15" customHeight="1" x14ac:dyDescent="0.45">
      <c r="A12" s="67" t="s">
        <v>38</v>
      </c>
      <c r="B12" s="68"/>
      <c r="C12" s="70"/>
      <c r="D12" s="69"/>
    </row>
    <row r="13" spans="1:16" s="4" customFormat="1" ht="15" customHeight="1" x14ac:dyDescent="0.45">
      <c r="A13" s="71" t="s">
        <v>989</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990</v>
      </c>
      <c r="C16" s="688">
        <f>300*95</f>
        <v>28500</v>
      </c>
      <c r="D16" s="689">
        <f>A16*C16</f>
        <v>28500</v>
      </c>
      <c r="N16" s="23"/>
      <c r="O16" s="23"/>
      <c r="P16" s="23"/>
    </row>
    <row r="17" spans="1:16" s="23" customFormat="1" ht="45" x14ac:dyDescent="0.25">
      <c r="A17" s="103">
        <v>1</v>
      </c>
      <c r="B17" s="104" t="s">
        <v>991</v>
      </c>
      <c r="C17" s="688">
        <f>300*95</f>
        <v>28500</v>
      </c>
      <c r="D17" s="689">
        <f>A17*C17</f>
        <v>28500</v>
      </c>
      <c r="E17" s="1"/>
      <c r="F17" s="1"/>
      <c r="G17" s="1"/>
      <c r="H17" s="1"/>
      <c r="I17" s="1"/>
      <c r="J17" s="1"/>
      <c r="K17" s="1"/>
      <c r="L17" s="1"/>
      <c r="M17" s="1"/>
    </row>
    <row r="18" spans="1:16" s="23" customFormat="1" ht="15.6" x14ac:dyDescent="0.25">
      <c r="A18" s="103">
        <v>2</v>
      </c>
      <c r="B18" s="104" t="s">
        <v>154</v>
      </c>
      <c r="C18" s="690">
        <f>1950*1.35</f>
        <v>2632.5</v>
      </c>
      <c r="D18" s="689">
        <f t="shared" ref="D18:D20" si="0">A18*C18</f>
        <v>5265</v>
      </c>
      <c r="E18" s="1"/>
      <c r="F18" s="1"/>
      <c r="G18" s="1"/>
      <c r="H18" s="1"/>
      <c r="I18" s="1"/>
      <c r="J18" s="1"/>
      <c r="K18" s="1"/>
      <c r="L18" s="1"/>
      <c r="M18" s="1"/>
    </row>
    <row r="19" spans="1:16" s="23" customFormat="1" ht="15.6" x14ac:dyDescent="0.25">
      <c r="A19" s="103">
        <v>1</v>
      </c>
      <c r="B19" s="104" t="s">
        <v>379</v>
      </c>
      <c r="C19" s="690">
        <v>8500</v>
      </c>
      <c r="D19" s="689">
        <f t="shared" si="0"/>
        <v>8500</v>
      </c>
      <c r="E19" s="1"/>
      <c r="F19" s="1"/>
      <c r="G19" s="1"/>
      <c r="H19" s="1"/>
      <c r="I19" s="1"/>
      <c r="J19" s="1"/>
      <c r="K19" s="1"/>
      <c r="L19" s="1"/>
      <c r="M19" s="1"/>
    </row>
    <row r="20" spans="1:16" s="23" customFormat="1" ht="20.399999999999999" customHeight="1" x14ac:dyDescent="0.25">
      <c r="A20" s="103">
        <v>1</v>
      </c>
      <c r="B20" s="167" t="s">
        <v>992</v>
      </c>
      <c r="C20" s="690">
        <v>4200</v>
      </c>
      <c r="D20" s="180">
        <f t="shared" si="0"/>
        <v>4200</v>
      </c>
      <c r="E20" s="1"/>
      <c r="F20" s="1"/>
      <c r="G20" s="1"/>
      <c r="H20" s="1"/>
      <c r="I20" s="1"/>
      <c r="J20" s="1"/>
      <c r="K20" s="1"/>
      <c r="L20" s="1"/>
      <c r="M20" s="1"/>
      <c r="O20" s="1"/>
      <c r="P20" s="1"/>
    </row>
    <row r="21" spans="1:16" ht="15.6" x14ac:dyDescent="0.3">
      <c r="A21" s="516"/>
      <c r="B21" s="706" t="s">
        <v>998</v>
      </c>
      <c r="C21" s="86" t="s">
        <v>49</v>
      </c>
      <c r="D21" s="87">
        <f>SUM(D16:D20)</f>
        <v>74965</v>
      </c>
    </row>
    <row r="22" spans="1:16" ht="15.6" x14ac:dyDescent="0.3">
      <c r="A22" s="516"/>
      <c r="B22" s="706" t="s">
        <v>999</v>
      </c>
      <c r="C22" s="90" t="s">
        <v>51</v>
      </c>
      <c r="D22" s="87">
        <f>D21*0.16</f>
        <v>11994.4</v>
      </c>
    </row>
    <row r="23" spans="1:16" ht="16.2" thickBot="1" x14ac:dyDescent="0.3">
      <c r="A23" s="516"/>
      <c r="B23" s="707" t="s">
        <v>1000</v>
      </c>
      <c r="C23" s="90" t="s">
        <v>52</v>
      </c>
      <c r="D23" s="87">
        <f>SUM(D21:D22)</f>
        <v>86959.4</v>
      </c>
      <c r="O23" s="88"/>
      <c r="P23" s="88"/>
    </row>
    <row r="24" spans="1:16" s="88" customFormat="1" ht="16.2" thickBot="1" x14ac:dyDescent="0.3">
      <c r="A24" s="116"/>
      <c r="B24" s="186" t="s">
        <v>1132</v>
      </c>
      <c r="C24" s="36"/>
      <c r="D24" s="37"/>
      <c r="E24" s="1"/>
      <c r="F24" s="1"/>
      <c r="G24" s="1"/>
      <c r="H24" s="1"/>
      <c r="I24" s="1"/>
      <c r="J24" s="1"/>
      <c r="K24" s="1"/>
      <c r="L24" s="1"/>
      <c r="M24" s="1"/>
      <c r="N24" s="1"/>
      <c r="O24" s="1"/>
      <c r="P24" s="1"/>
    </row>
    <row r="25" spans="1:16" ht="13.8" x14ac:dyDescent="0.25">
      <c r="A25" s="34"/>
      <c r="B25" s="120" t="s">
        <v>15</v>
      </c>
      <c r="C25" s="121"/>
      <c r="D25" s="122"/>
    </row>
    <row r="26" spans="1:16" ht="15.6" x14ac:dyDescent="0.25">
      <c r="A26" s="34"/>
      <c r="B26" s="123"/>
      <c r="C26" s="1"/>
      <c r="D26" s="1"/>
    </row>
    <row r="27" spans="1:16" ht="13.8" x14ac:dyDescent="0.25">
      <c r="A27" s="34"/>
      <c r="B27" s="126" t="s">
        <v>17</v>
      </c>
      <c r="C27" s="1"/>
      <c r="D27" s="1"/>
    </row>
    <row r="28" spans="1:16" ht="15" x14ac:dyDescent="0.25">
      <c r="A28" s="62"/>
      <c r="B28" s="127" t="s">
        <v>19</v>
      </c>
      <c r="C28" s="1"/>
      <c r="D28" s="1"/>
    </row>
    <row r="29" spans="1:16" ht="15" x14ac:dyDescent="0.25">
      <c r="A29" s="62"/>
      <c r="B29" s="129" t="s">
        <v>60</v>
      </c>
      <c r="C29" s="1"/>
      <c r="D29" s="1"/>
    </row>
    <row r="30" spans="1:16" ht="15" x14ac:dyDescent="0.25">
      <c r="A30" s="62"/>
      <c r="B30" s="130" t="s">
        <v>23</v>
      </c>
      <c r="C30" s="13"/>
      <c r="D30" s="1"/>
    </row>
    <row r="31" spans="1:16" ht="27.6" x14ac:dyDescent="0.25">
      <c r="A31" s="62"/>
      <c r="B31" s="132" t="s">
        <v>62</v>
      </c>
      <c r="C31" s="13"/>
      <c r="D31" s="1"/>
    </row>
    <row r="32" spans="1:16" ht="15" x14ac:dyDescent="0.25">
      <c r="A32" s="62"/>
      <c r="B32" s="130" t="s">
        <v>26</v>
      </c>
      <c r="C32" s="13"/>
      <c r="D32" s="1"/>
    </row>
    <row r="33" spans="1:4" ht="15" x14ac:dyDescent="0.25">
      <c r="A33" s="62"/>
      <c r="B33" s="333" t="s">
        <v>961</v>
      </c>
      <c r="C33" s="13"/>
      <c r="D33" s="1"/>
    </row>
    <row r="34" spans="1:4" ht="15" x14ac:dyDescent="0.25">
      <c r="A34" s="62"/>
      <c r="B34" s="334" t="s">
        <v>28</v>
      </c>
      <c r="C34" s="1"/>
      <c r="D34" s="1"/>
    </row>
    <row r="35" spans="1:4" ht="15" x14ac:dyDescent="0.25">
      <c r="A35" s="62"/>
      <c r="B35" s="130" t="s">
        <v>29</v>
      </c>
      <c r="C35" s="1"/>
      <c r="D35" s="1"/>
    </row>
    <row r="36" spans="1:4" ht="13.8" x14ac:dyDescent="0.25">
      <c r="B36" s="138" t="s">
        <v>1001</v>
      </c>
      <c r="C36" s="133"/>
      <c r="D36" s="134"/>
    </row>
    <row r="37" spans="1:4" ht="15" x14ac:dyDescent="0.25">
      <c r="A37" s="62"/>
      <c r="B37" s="127" t="s">
        <v>31</v>
      </c>
      <c r="C37" s="54"/>
      <c r="D37" s="58"/>
    </row>
    <row r="38" spans="1:4" ht="15" x14ac:dyDescent="0.25">
      <c r="A38" s="62"/>
      <c r="B38" s="127" t="s">
        <v>32</v>
      </c>
      <c r="C38" s="54"/>
    </row>
    <row r="39" spans="1:4" ht="50.4" x14ac:dyDescent="0.4">
      <c r="A39" s="139" t="s">
        <v>0</v>
      </c>
      <c r="B39" s="140" t="s">
        <v>65</v>
      </c>
      <c r="C39" s="141"/>
      <c r="D39" s="1"/>
    </row>
    <row r="40" spans="1:4" x14ac:dyDescent="0.25">
      <c r="A40" s="142"/>
      <c r="B40" s="64"/>
      <c r="C40" s="64"/>
      <c r="D40" s="1"/>
    </row>
    <row r="41" spans="1:4" x14ac:dyDescent="0.25">
      <c r="A41" s="142"/>
      <c r="B41" s="64"/>
      <c r="C41" s="64"/>
      <c r="D41" s="1"/>
    </row>
    <row r="42" spans="1:4" x14ac:dyDescent="0.25">
      <c r="A42" s="142"/>
      <c r="B42" s="143"/>
      <c r="C42" s="64"/>
      <c r="D42" s="1"/>
    </row>
    <row r="43" spans="1:4" ht="15" x14ac:dyDescent="0.35">
      <c r="A43" s="144"/>
      <c r="B43" s="145"/>
      <c r="C43" s="64"/>
      <c r="D43" s="64"/>
    </row>
    <row r="44" spans="1:4" x14ac:dyDescent="0.25">
      <c r="A44" s="146" t="s">
        <v>0</v>
      </c>
    </row>
    <row r="45" spans="1:4" x14ac:dyDescent="0.25">
      <c r="A45"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0" fitToWidth="0" orientation="portrait" r:id="rId1"/>
  <headerFooter alignWithMargins="0">
    <oddFooter>Página &amp;P de &amp;N</oddFooter>
  </headerFooter>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EC2B-358C-40F7-B9C7-92487324C33D}">
  <sheetPr>
    <tabColor theme="4" tint="-0.249977111117893"/>
  </sheetPr>
  <dimension ref="A1:P43"/>
  <sheetViews>
    <sheetView zoomScale="85" zoomScaleNormal="85" workbookViewId="0">
      <selection activeCell="A5" sqref="A5:B9"/>
    </sheetView>
  </sheetViews>
  <sheetFormatPr baseColWidth="10" defaultColWidth="11.44140625" defaultRowHeight="13.2" x14ac:dyDescent="0.25"/>
  <cols>
    <col min="1" max="1" width="6" style="1" customWidth="1"/>
    <col min="2" max="2" width="67.33203125" style="1" customWidth="1"/>
    <col min="3" max="3" width="14.10937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9.2" x14ac:dyDescent="0.45">
      <c r="A5" s="67" t="s">
        <v>927</v>
      </c>
      <c r="B5" s="68"/>
      <c r="C5" s="69"/>
      <c r="D5" s="69"/>
    </row>
    <row r="6" spans="1:16" s="4" customFormat="1" ht="19.2" x14ac:dyDescent="0.45">
      <c r="A6" s="67" t="s">
        <v>928</v>
      </c>
      <c r="B6" s="68"/>
      <c r="C6" s="69"/>
      <c r="D6" s="69"/>
    </row>
    <row r="7" spans="1:16" s="4" customFormat="1" ht="19.2" x14ac:dyDescent="0.45">
      <c r="A7" s="67" t="s">
        <v>930</v>
      </c>
      <c r="B7" s="68"/>
      <c r="C7" s="69"/>
      <c r="D7" s="69"/>
    </row>
    <row r="8" spans="1:16" s="4" customFormat="1" ht="19.2" x14ac:dyDescent="0.45">
      <c r="A8" s="67" t="s">
        <v>929</v>
      </c>
      <c r="B8" s="68"/>
      <c r="C8" s="70"/>
      <c r="D8" s="69"/>
    </row>
    <row r="9" spans="1:16" s="4" customFormat="1" ht="19.2" x14ac:dyDescent="0.45">
      <c r="A9" s="67" t="s">
        <v>294</v>
      </c>
      <c r="B9" s="68"/>
      <c r="C9" s="70"/>
      <c r="D9" s="69"/>
    </row>
    <row r="10" spans="1:16" s="4" customFormat="1" ht="19.2" x14ac:dyDescent="0.45">
      <c r="A10" s="67" t="s">
        <v>38</v>
      </c>
      <c r="B10" s="72"/>
      <c r="C10" s="73"/>
      <c r="D10" s="74"/>
      <c r="E10" s="10"/>
      <c r="F10" s="10"/>
      <c r="G10" s="10"/>
    </row>
    <row r="11" spans="1:16" s="4" customFormat="1" ht="19.2" x14ac:dyDescent="0.4">
      <c r="A11" s="744" t="s">
        <v>40</v>
      </c>
      <c r="B11" s="745"/>
      <c r="C11" s="746"/>
      <c r="D11" s="747"/>
      <c r="E11" s="1"/>
      <c r="F11" s="1"/>
      <c r="G11" s="1"/>
      <c r="H11" s="10"/>
      <c r="I11" s="10"/>
      <c r="J11" s="10"/>
      <c r="K11" s="10"/>
      <c r="L11" s="10"/>
      <c r="M11" s="10"/>
    </row>
    <row r="12" spans="1:16" s="4" customFormat="1" ht="15" customHeight="1" x14ac:dyDescent="0.4">
      <c r="A12" s="14"/>
      <c r="B12" s="15"/>
      <c r="C12" s="16"/>
      <c r="D12" s="16"/>
      <c r="E12" s="13"/>
      <c r="F12" s="1"/>
      <c r="G12" s="1"/>
      <c r="H12" s="1"/>
      <c r="I12" s="1"/>
      <c r="J12" s="1"/>
      <c r="K12" s="1"/>
      <c r="L12" s="1"/>
      <c r="M12" s="1"/>
    </row>
    <row r="13" spans="1:16" s="4" customFormat="1" ht="31.2" x14ac:dyDescent="0.4">
      <c r="A13" s="95">
        <v>1</v>
      </c>
      <c r="B13" s="96" t="s">
        <v>984</v>
      </c>
      <c r="C13" s="583">
        <f>(12107)*(1.3)</f>
        <v>15739.1</v>
      </c>
      <c r="D13" s="98">
        <f t="shared" ref="D13:D17" si="0">A13*C13</f>
        <v>15739.1</v>
      </c>
      <c r="E13" s="1"/>
      <c r="F13" s="1"/>
      <c r="G13" s="1"/>
      <c r="H13" s="1"/>
      <c r="I13" s="1"/>
      <c r="J13" s="1"/>
      <c r="K13" s="1"/>
      <c r="L13" s="1"/>
      <c r="M13" s="1"/>
    </row>
    <row r="14" spans="1:16" s="4" customFormat="1" ht="31.2" x14ac:dyDescent="0.4">
      <c r="A14" s="95">
        <v>1</v>
      </c>
      <c r="B14" s="96" t="s">
        <v>985</v>
      </c>
      <c r="C14" s="583">
        <f>(12107)*(1.4)</f>
        <v>16949.8</v>
      </c>
      <c r="D14" s="98">
        <f t="shared" si="0"/>
        <v>16949.8</v>
      </c>
      <c r="E14" s="1"/>
      <c r="F14" s="1"/>
      <c r="G14" s="1"/>
      <c r="H14" s="1"/>
      <c r="I14" s="1"/>
      <c r="J14" s="1"/>
      <c r="K14" s="1"/>
      <c r="L14" s="1"/>
      <c r="M14" s="1"/>
      <c r="N14" s="10"/>
      <c r="O14" s="10"/>
      <c r="P14" s="10"/>
    </row>
    <row r="15" spans="1:16" ht="31.2" x14ac:dyDescent="0.25">
      <c r="A15" s="103">
        <v>1</v>
      </c>
      <c r="B15" s="104" t="s">
        <v>612</v>
      </c>
      <c r="C15" s="583">
        <f>(1985*18*1.3)</f>
        <v>46449</v>
      </c>
      <c r="D15" s="83">
        <f t="shared" si="0"/>
        <v>46449</v>
      </c>
    </row>
    <row r="16" spans="1:16" ht="31.2" x14ac:dyDescent="0.25">
      <c r="A16" s="95">
        <v>1</v>
      </c>
      <c r="B16" s="96" t="s">
        <v>986</v>
      </c>
      <c r="C16" s="583">
        <f>(21584*1.35)</f>
        <v>29138.400000000001</v>
      </c>
      <c r="D16" s="98">
        <f t="shared" si="0"/>
        <v>29138.400000000001</v>
      </c>
    </row>
    <row r="17" spans="1:12" ht="46.2" x14ac:dyDescent="0.25">
      <c r="A17" s="106">
        <v>1</v>
      </c>
      <c r="B17" s="107" t="s">
        <v>987</v>
      </c>
      <c r="C17" s="701">
        <f>(1959*18.5)*1.34</f>
        <v>48563.61</v>
      </c>
      <c r="D17" s="702">
        <f t="shared" si="0"/>
        <v>48563.61</v>
      </c>
    </row>
    <row r="18" spans="1:12" ht="39.6" x14ac:dyDescent="0.25">
      <c r="A18" s="574"/>
      <c r="B18" s="575" t="s">
        <v>646</v>
      </c>
      <c r="C18" s="704"/>
      <c r="D18" s="705"/>
      <c r="E18" s="13"/>
    </row>
    <row r="19" spans="1:12" ht="13.8" x14ac:dyDescent="0.25">
      <c r="A19" s="88"/>
      <c r="B19" s="135" t="s">
        <v>23</v>
      </c>
      <c r="C19" s="703"/>
      <c r="D19" s="703"/>
      <c r="E19" s="88"/>
      <c r="F19" s="88"/>
      <c r="G19" s="88"/>
      <c r="H19" s="88"/>
      <c r="I19" s="88"/>
      <c r="J19" s="88"/>
      <c r="K19" s="88"/>
      <c r="L19" s="88"/>
    </row>
    <row r="20" spans="1:12" ht="15" x14ac:dyDescent="0.25">
      <c r="A20" s="288"/>
      <c r="B20" s="187" t="s">
        <v>983</v>
      </c>
      <c r="C20" s="578"/>
      <c r="D20" s="578"/>
      <c r="E20" s="88"/>
      <c r="F20" s="88"/>
      <c r="G20" s="88"/>
      <c r="H20" s="88"/>
      <c r="I20" s="88"/>
      <c r="J20" s="88"/>
      <c r="K20" s="88"/>
      <c r="L20" s="88"/>
    </row>
    <row r="21" spans="1:12" ht="55.2" x14ac:dyDescent="0.25">
      <c r="A21" s="288"/>
      <c r="B21" s="187" t="s">
        <v>542</v>
      </c>
      <c r="C21" s="579"/>
      <c r="D21" s="580"/>
      <c r="E21" s="88"/>
      <c r="F21" s="88"/>
      <c r="G21" s="88"/>
      <c r="H21" s="88"/>
      <c r="I21" s="88"/>
      <c r="J21" s="88"/>
      <c r="K21" s="88"/>
      <c r="L21" s="88"/>
    </row>
    <row r="22" spans="1:12" ht="15" x14ac:dyDescent="0.25">
      <c r="A22" s="288"/>
      <c r="B22" s="135" t="s">
        <v>26</v>
      </c>
      <c r="C22" s="579"/>
      <c r="D22" s="580"/>
      <c r="E22" s="88"/>
      <c r="F22" s="88"/>
      <c r="G22" s="88"/>
      <c r="H22" s="88"/>
      <c r="I22" s="88"/>
      <c r="J22" s="88"/>
      <c r="K22" s="88"/>
      <c r="L22" s="88"/>
    </row>
    <row r="23" spans="1:12" ht="15" x14ac:dyDescent="0.25">
      <c r="A23" s="288"/>
      <c r="B23" s="523" t="s">
        <v>981</v>
      </c>
      <c r="C23" s="579"/>
      <c r="D23" s="579"/>
      <c r="E23" s="88"/>
      <c r="F23" s="88"/>
      <c r="G23" s="88"/>
      <c r="H23" s="88"/>
      <c r="I23" s="88"/>
      <c r="J23" s="88"/>
      <c r="K23" s="88"/>
      <c r="L23" s="88"/>
    </row>
    <row r="24" spans="1:12" ht="15" x14ac:dyDescent="0.25">
      <c r="A24" s="288"/>
      <c r="B24" s="189" t="s">
        <v>982</v>
      </c>
      <c r="C24" s="579"/>
      <c r="D24" s="579"/>
      <c r="E24" s="88"/>
      <c r="F24" s="88"/>
      <c r="G24" s="88"/>
      <c r="H24" s="88"/>
      <c r="I24" s="88"/>
      <c r="J24" s="88"/>
      <c r="K24" s="88"/>
      <c r="L24" s="88"/>
    </row>
    <row r="25" spans="1:12" ht="13.8" x14ac:dyDescent="0.25">
      <c r="A25" s="88"/>
      <c r="B25" s="135" t="s">
        <v>29</v>
      </c>
      <c r="C25" s="578"/>
      <c r="D25" s="581"/>
      <c r="E25" s="88"/>
      <c r="F25" s="88"/>
      <c r="G25" s="88"/>
      <c r="H25" s="88"/>
      <c r="I25" s="88"/>
      <c r="J25" s="88"/>
      <c r="K25" s="88"/>
      <c r="L25" s="88"/>
    </row>
    <row r="26" spans="1:12" ht="15" x14ac:dyDescent="0.25">
      <c r="A26" s="288"/>
      <c r="B26" s="191" t="s">
        <v>540</v>
      </c>
      <c r="C26" s="579"/>
      <c r="D26" s="580"/>
      <c r="E26" s="88"/>
      <c r="F26" s="88"/>
      <c r="G26" s="88"/>
      <c r="H26" s="88"/>
      <c r="I26" s="88"/>
      <c r="J26" s="88"/>
      <c r="K26" s="88"/>
      <c r="L26" s="88"/>
    </row>
    <row r="27" spans="1:12" ht="15" x14ac:dyDescent="0.25">
      <c r="A27" s="288"/>
      <c r="B27" s="191" t="s">
        <v>31</v>
      </c>
      <c r="C27" s="579"/>
      <c r="D27" s="580"/>
      <c r="E27" s="88"/>
      <c r="F27" s="88"/>
      <c r="G27" s="88"/>
      <c r="H27" s="88"/>
      <c r="I27" s="88"/>
      <c r="J27" s="88"/>
      <c r="K27" s="88"/>
      <c r="L27" s="88"/>
    </row>
    <row r="28" spans="1:12" ht="15" x14ac:dyDescent="0.25">
      <c r="A28" s="288"/>
      <c r="B28" s="191" t="s">
        <v>32</v>
      </c>
      <c r="C28" s="578"/>
      <c r="D28" s="582"/>
      <c r="E28" s="88"/>
      <c r="F28" s="88"/>
      <c r="G28" s="88"/>
      <c r="H28" s="88"/>
      <c r="I28" s="88"/>
      <c r="J28" s="88"/>
      <c r="K28" s="88"/>
      <c r="L28" s="88"/>
    </row>
    <row r="29" spans="1:12" ht="50.4" x14ac:dyDescent="0.25">
      <c r="A29" s="288"/>
      <c r="B29" s="193" t="s">
        <v>33</v>
      </c>
      <c r="C29" s="579"/>
      <c r="D29" s="579"/>
      <c r="E29" s="88"/>
      <c r="F29" s="88"/>
      <c r="G29" s="88"/>
      <c r="H29" s="88"/>
      <c r="I29" s="88"/>
      <c r="J29" s="88"/>
      <c r="K29" s="88"/>
      <c r="L29" s="88"/>
    </row>
    <row r="30" spans="1:12" x14ac:dyDescent="0.25">
      <c r="A30" s="88"/>
      <c r="B30" s="88"/>
      <c r="C30" s="578"/>
      <c r="D30" s="578"/>
      <c r="E30" s="88"/>
      <c r="F30" s="88"/>
      <c r="G30" s="88"/>
      <c r="H30" s="88"/>
      <c r="I30" s="88"/>
      <c r="J30" s="88"/>
      <c r="K30" s="88"/>
      <c r="L30" s="88"/>
    </row>
    <row r="31" spans="1:12" x14ac:dyDescent="0.25">
      <c r="A31" s="88"/>
      <c r="B31" s="88"/>
      <c r="C31" s="578"/>
      <c r="D31" s="578"/>
      <c r="E31" s="88"/>
      <c r="F31" s="88"/>
      <c r="G31" s="88"/>
      <c r="H31" s="88"/>
      <c r="I31" s="88"/>
      <c r="J31" s="88"/>
      <c r="K31" s="88"/>
      <c r="L31" s="88"/>
    </row>
    <row r="32" spans="1:12" x14ac:dyDescent="0.25">
      <c r="A32" s="88"/>
      <c r="B32" s="88"/>
      <c r="C32" s="578"/>
      <c r="D32" s="578"/>
      <c r="E32" s="88"/>
      <c r="F32" s="88"/>
      <c r="G32" s="88"/>
      <c r="H32" s="88"/>
      <c r="I32" s="88"/>
      <c r="J32" s="88"/>
      <c r="K32" s="88"/>
      <c r="L32" s="88"/>
    </row>
    <row r="33" spans="1:12" x14ac:dyDescent="0.25">
      <c r="A33" s="88"/>
      <c r="B33" s="88"/>
      <c r="C33" s="578"/>
      <c r="D33" s="578"/>
      <c r="E33" s="88"/>
      <c r="F33" s="88"/>
      <c r="G33" s="88"/>
      <c r="H33" s="88"/>
      <c r="I33" s="88"/>
      <c r="J33" s="88"/>
      <c r="K33" s="88"/>
      <c r="L33" s="88"/>
    </row>
    <row r="34" spans="1:12" ht="12.75" customHeight="1" x14ac:dyDescent="0.25">
      <c r="A34" s="88"/>
      <c r="B34" s="88"/>
      <c r="C34" s="578"/>
      <c r="D34" s="578"/>
      <c r="E34" s="88"/>
      <c r="F34" s="88"/>
      <c r="G34" s="88"/>
      <c r="H34" s="88"/>
      <c r="I34" s="88"/>
      <c r="J34" s="88"/>
      <c r="K34" s="88"/>
      <c r="L34" s="88"/>
    </row>
    <row r="35" spans="1:12" x14ac:dyDescent="0.25">
      <c r="A35" s="88"/>
      <c r="B35" s="88"/>
      <c r="C35" s="578"/>
      <c r="D35" s="578"/>
      <c r="E35" s="88"/>
      <c r="F35" s="88"/>
      <c r="G35" s="88"/>
      <c r="H35" s="88"/>
      <c r="I35" s="88"/>
      <c r="J35" s="88"/>
      <c r="K35" s="88"/>
      <c r="L35" s="88"/>
    </row>
    <row r="36" spans="1:12" x14ac:dyDescent="0.25">
      <c r="A36" s="88"/>
      <c r="B36" s="88"/>
      <c r="C36" s="578"/>
      <c r="D36" s="578"/>
      <c r="E36" s="88"/>
      <c r="F36" s="88"/>
      <c r="G36" s="88"/>
      <c r="H36" s="88"/>
      <c r="I36" s="88"/>
      <c r="J36" s="88"/>
      <c r="K36" s="88"/>
      <c r="L36" s="88"/>
    </row>
    <row r="37" spans="1:12" x14ac:dyDescent="0.25">
      <c r="A37" s="88"/>
      <c r="B37" s="88"/>
      <c r="C37" s="578"/>
      <c r="D37" s="578"/>
    </row>
    <row r="42" spans="1:12" ht="15.75" customHeight="1" x14ac:dyDescent="0.25"/>
    <row r="43" spans="1:12" ht="15" customHeight="1" x14ac:dyDescent="0.25"/>
  </sheetData>
  <mergeCells count="2">
    <mergeCell ref="A4:D4"/>
    <mergeCell ref="A11:D11"/>
  </mergeCells>
  <printOptions horizontalCentered="1"/>
  <pageMargins left="0" right="0" top="0" bottom="0" header="0" footer="0"/>
  <pageSetup paperSize="9" orientation="portrait" r:id="rId1"/>
  <headerFooter alignWithMargins="0">
    <oddFooter>Página &amp;P de &amp;N</oddFooter>
  </headerFooter>
  <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703B-7A1A-4EDC-8EE3-AF09973F7728}">
  <sheetPr>
    <tabColor theme="4" tint="-0.249977111117893"/>
  </sheetPr>
  <dimension ref="A1:P43"/>
  <sheetViews>
    <sheetView topLeftCell="A7" zoomScale="85" zoomScaleNormal="85" workbookViewId="0">
      <selection activeCell="A16" sqref="A16"/>
    </sheetView>
  </sheetViews>
  <sheetFormatPr baseColWidth="10" defaultColWidth="11.44140625" defaultRowHeight="13.2" x14ac:dyDescent="0.25"/>
  <cols>
    <col min="1" max="1" width="6" style="1" customWidth="1"/>
    <col min="2" max="2" width="67.33203125" style="1" customWidth="1"/>
    <col min="3" max="3" width="14.10937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9.2" x14ac:dyDescent="0.45">
      <c r="A5" s="67" t="s">
        <v>927</v>
      </c>
      <c r="B5" s="68"/>
      <c r="C5" s="69"/>
      <c r="D5" s="69"/>
    </row>
    <row r="6" spans="1:16" s="4" customFormat="1" ht="19.2" x14ac:dyDescent="0.45">
      <c r="A6" s="67" t="s">
        <v>928</v>
      </c>
      <c r="B6" s="68"/>
      <c r="C6" s="69"/>
      <c r="D6" s="69"/>
    </row>
    <row r="7" spans="1:16" s="4" customFormat="1" ht="19.2" x14ac:dyDescent="0.45">
      <c r="A7" s="67" t="s">
        <v>930</v>
      </c>
      <c r="B7" s="68"/>
      <c r="C7" s="69"/>
      <c r="D7" s="69"/>
    </row>
    <row r="8" spans="1:16" s="4" customFormat="1" ht="19.2" x14ac:dyDescent="0.45">
      <c r="A8" s="67" t="s">
        <v>929</v>
      </c>
      <c r="B8" s="68"/>
      <c r="C8" s="70"/>
      <c r="D8" s="69"/>
    </row>
    <row r="9" spans="1:16" s="4" customFormat="1" ht="19.2" x14ac:dyDescent="0.45">
      <c r="A9" s="67" t="s">
        <v>294</v>
      </c>
      <c r="B9" s="68"/>
      <c r="C9" s="70"/>
      <c r="D9" s="69"/>
    </row>
    <row r="10" spans="1:16" s="4" customFormat="1" ht="19.2" x14ac:dyDescent="0.45">
      <c r="A10" s="67" t="s">
        <v>1140</v>
      </c>
      <c r="B10" s="72"/>
      <c r="C10" s="73"/>
      <c r="D10" s="74"/>
      <c r="E10" s="10"/>
      <c r="F10" s="10"/>
      <c r="G10" s="10"/>
    </row>
    <row r="11" spans="1:16" s="4" customFormat="1" ht="19.2" x14ac:dyDescent="0.4">
      <c r="A11" s="744" t="s">
        <v>40</v>
      </c>
      <c r="B11" s="745"/>
      <c r="C11" s="746"/>
      <c r="D11" s="747"/>
      <c r="E11" s="1"/>
      <c r="F11" s="1"/>
      <c r="G11" s="1"/>
      <c r="H11" s="10"/>
      <c r="I11" s="10"/>
      <c r="J11" s="10"/>
      <c r="K11" s="10"/>
      <c r="L11" s="10"/>
      <c r="M11" s="10"/>
    </row>
    <row r="12" spans="1:16" s="4" customFormat="1" ht="15" customHeight="1" x14ac:dyDescent="0.4">
      <c r="A12" s="14"/>
      <c r="B12" s="15"/>
      <c r="C12" s="16"/>
      <c r="D12" s="16"/>
      <c r="E12" s="13"/>
      <c r="F12" s="1"/>
      <c r="G12" s="1"/>
      <c r="H12" s="1"/>
      <c r="I12" s="1"/>
      <c r="J12" s="1"/>
      <c r="K12" s="1"/>
      <c r="L12" s="1"/>
      <c r="M12" s="1"/>
    </row>
    <row r="13" spans="1:16" s="4" customFormat="1" ht="31.2" x14ac:dyDescent="0.4">
      <c r="A13" s="95">
        <v>1</v>
      </c>
      <c r="B13" s="96" t="s">
        <v>1136</v>
      </c>
      <c r="C13" s="583">
        <f>(10054)*(1.33)</f>
        <v>13371.820000000002</v>
      </c>
      <c r="D13" s="98">
        <f t="shared" ref="D13:D16" si="0">A13*C13</f>
        <v>13371.820000000002</v>
      </c>
      <c r="E13" s="1"/>
      <c r="F13" s="1"/>
      <c r="G13" s="1"/>
      <c r="H13" s="1"/>
      <c r="I13" s="1"/>
      <c r="J13" s="1"/>
      <c r="K13" s="1"/>
      <c r="L13" s="1"/>
      <c r="M13" s="1"/>
    </row>
    <row r="14" spans="1:16" s="4" customFormat="1" ht="31.2" x14ac:dyDescent="0.4">
      <c r="A14" s="103">
        <v>1</v>
      </c>
      <c r="B14" s="104" t="s">
        <v>1137</v>
      </c>
      <c r="C14" s="583">
        <f>(2414*18*1.3)</f>
        <v>56487.6</v>
      </c>
      <c r="D14" s="83">
        <f t="shared" si="0"/>
        <v>56487.6</v>
      </c>
      <c r="E14" s="1"/>
      <c r="F14" s="1"/>
      <c r="G14" s="1"/>
      <c r="H14" s="1"/>
      <c r="I14" s="1"/>
      <c r="J14" s="1"/>
      <c r="K14" s="1"/>
      <c r="L14" s="1"/>
      <c r="M14" s="1"/>
      <c r="N14" s="10"/>
      <c r="O14" s="10"/>
      <c r="P14" s="10"/>
    </row>
    <row r="15" spans="1:16" ht="31.2" x14ac:dyDescent="0.25">
      <c r="A15" s="95">
        <v>1</v>
      </c>
      <c r="B15" s="96" t="s">
        <v>1138</v>
      </c>
      <c r="C15" s="583">
        <f>(20543*1.35)</f>
        <v>27733.050000000003</v>
      </c>
      <c r="D15" s="98">
        <f t="shared" si="0"/>
        <v>27733.050000000003</v>
      </c>
    </row>
    <row r="16" spans="1:16" ht="46.2" x14ac:dyDescent="0.25">
      <c r="A16" s="106">
        <v>1</v>
      </c>
      <c r="B16" s="107" t="s">
        <v>1139</v>
      </c>
      <c r="C16" s="169">
        <f>(1725*18.5)*1.34</f>
        <v>42762.75</v>
      </c>
      <c r="D16" s="109">
        <f t="shared" si="0"/>
        <v>42762.75</v>
      </c>
    </row>
    <row r="17" spans="1:12" ht="39.6" x14ac:dyDescent="0.25">
      <c r="A17" s="574"/>
      <c r="B17" s="575" t="s">
        <v>646</v>
      </c>
      <c r="C17" s="704"/>
      <c r="D17" s="705"/>
      <c r="E17" s="13"/>
    </row>
    <row r="18" spans="1:12" ht="13.8" x14ac:dyDescent="0.25">
      <c r="A18" s="88"/>
      <c r="B18" s="135" t="s">
        <v>23</v>
      </c>
      <c r="C18" s="703"/>
      <c r="D18" s="703"/>
      <c r="E18" s="88"/>
      <c r="F18" s="88"/>
      <c r="G18" s="88"/>
      <c r="H18" s="88"/>
      <c r="I18" s="88"/>
      <c r="J18" s="88"/>
      <c r="K18" s="88"/>
      <c r="L18" s="88"/>
    </row>
    <row r="19" spans="1:12" ht="15" x14ac:dyDescent="0.25">
      <c r="A19" s="288"/>
      <c r="B19" s="187" t="s">
        <v>983</v>
      </c>
      <c r="C19" s="578"/>
      <c r="D19" s="578"/>
      <c r="E19" s="88"/>
      <c r="F19" s="88"/>
      <c r="G19" s="88"/>
      <c r="H19" s="88"/>
      <c r="I19" s="88"/>
      <c r="J19" s="88"/>
      <c r="K19" s="88"/>
      <c r="L19" s="88"/>
    </row>
    <row r="20" spans="1:12" ht="55.2" x14ac:dyDescent="0.25">
      <c r="A20" s="288"/>
      <c r="B20" s="187" t="s">
        <v>542</v>
      </c>
      <c r="C20" s="579"/>
      <c r="D20" s="580"/>
      <c r="E20" s="88"/>
      <c r="F20" s="88"/>
      <c r="G20" s="88"/>
      <c r="H20" s="88"/>
      <c r="I20" s="88"/>
      <c r="J20" s="88"/>
      <c r="K20" s="88"/>
      <c r="L20" s="88"/>
    </row>
    <row r="21" spans="1:12" ht="15" x14ac:dyDescent="0.25">
      <c r="A21" s="288"/>
      <c r="B21" s="135" t="s">
        <v>26</v>
      </c>
      <c r="C21" s="579"/>
      <c r="D21" s="580"/>
      <c r="E21" s="88"/>
      <c r="F21" s="88"/>
      <c r="G21" s="88"/>
      <c r="H21" s="88"/>
      <c r="I21" s="88"/>
      <c r="J21" s="88"/>
      <c r="K21" s="88"/>
      <c r="L21" s="88"/>
    </row>
    <row r="22" spans="1:12" ht="15" x14ac:dyDescent="0.25">
      <c r="A22" s="288"/>
      <c r="B22" s="523" t="s">
        <v>981</v>
      </c>
      <c r="C22" s="579"/>
      <c r="D22" s="579"/>
      <c r="E22" s="88"/>
      <c r="F22" s="88"/>
      <c r="G22" s="88"/>
      <c r="H22" s="88"/>
      <c r="I22" s="88"/>
      <c r="J22" s="88"/>
      <c r="K22" s="88"/>
      <c r="L22" s="88"/>
    </row>
    <row r="23" spans="1:12" ht="15" x14ac:dyDescent="0.25">
      <c r="A23" s="288"/>
      <c r="B23" s="189" t="s">
        <v>982</v>
      </c>
      <c r="C23" s="579"/>
      <c r="D23" s="579"/>
      <c r="E23" s="88"/>
      <c r="F23" s="88"/>
      <c r="G23" s="88"/>
      <c r="H23" s="88"/>
      <c r="I23" s="88"/>
      <c r="J23" s="88"/>
      <c r="K23" s="88"/>
      <c r="L23" s="88"/>
    </row>
    <row r="24" spans="1:12" ht="13.8" x14ac:dyDescent="0.25">
      <c r="A24" s="88"/>
      <c r="B24" s="135" t="s">
        <v>29</v>
      </c>
      <c r="C24" s="578"/>
      <c r="D24" s="581"/>
      <c r="E24" s="88"/>
      <c r="F24" s="88"/>
      <c r="G24" s="88"/>
      <c r="H24" s="88"/>
      <c r="I24" s="88"/>
      <c r="J24" s="88"/>
      <c r="K24" s="88"/>
      <c r="L24" s="88"/>
    </row>
    <row r="25" spans="1:12" ht="15" x14ac:dyDescent="0.25">
      <c r="A25" s="288"/>
      <c r="B25" s="191" t="s">
        <v>540</v>
      </c>
      <c r="C25" s="579"/>
      <c r="D25" s="580"/>
      <c r="E25" s="88"/>
      <c r="F25" s="88"/>
      <c r="G25" s="88"/>
      <c r="H25" s="88"/>
      <c r="I25" s="88"/>
      <c r="J25" s="88"/>
      <c r="K25" s="88"/>
      <c r="L25" s="88"/>
    </row>
    <row r="26" spans="1:12" ht="15" x14ac:dyDescent="0.25">
      <c r="A26" s="288"/>
      <c r="B26" s="191" t="s">
        <v>31</v>
      </c>
      <c r="C26" s="579"/>
      <c r="D26" s="580"/>
      <c r="E26" s="88"/>
      <c r="F26" s="88"/>
      <c r="G26" s="88"/>
      <c r="H26" s="88"/>
      <c r="I26" s="88"/>
      <c r="J26" s="88"/>
      <c r="K26" s="88"/>
      <c r="L26" s="88"/>
    </row>
    <row r="27" spans="1:12" ht="15" x14ac:dyDescent="0.25">
      <c r="A27" s="288"/>
      <c r="B27" s="191" t="s">
        <v>32</v>
      </c>
      <c r="C27" s="578"/>
      <c r="D27" s="582"/>
      <c r="E27" s="88"/>
      <c r="F27" s="88"/>
      <c r="G27" s="88"/>
      <c r="H27" s="88"/>
      <c r="I27" s="88"/>
      <c r="J27" s="88"/>
      <c r="K27" s="88"/>
      <c r="L27" s="88"/>
    </row>
    <row r="28" spans="1:12" ht="50.4" x14ac:dyDescent="0.25">
      <c r="A28" s="288"/>
      <c r="B28" s="193" t="s">
        <v>33</v>
      </c>
      <c r="C28" s="579"/>
      <c r="D28" s="579"/>
      <c r="E28" s="88"/>
      <c r="F28" s="88"/>
      <c r="G28" s="88"/>
      <c r="H28" s="88"/>
      <c r="I28" s="88"/>
      <c r="J28" s="88"/>
      <c r="K28" s="88"/>
      <c r="L28" s="88"/>
    </row>
    <row r="29" spans="1:12" x14ac:dyDescent="0.25">
      <c r="A29" s="88"/>
      <c r="B29" s="88"/>
      <c r="C29" s="578"/>
      <c r="D29" s="578"/>
      <c r="E29" s="88"/>
      <c r="F29" s="88"/>
      <c r="G29" s="88"/>
      <c r="H29" s="88"/>
      <c r="I29" s="88"/>
      <c r="J29" s="88"/>
      <c r="K29" s="88"/>
      <c r="L29" s="88"/>
    </row>
    <row r="30" spans="1:12" x14ac:dyDescent="0.25">
      <c r="A30" s="88"/>
      <c r="B30" s="88"/>
      <c r="C30" s="578"/>
      <c r="D30" s="578"/>
      <c r="E30" s="88"/>
      <c r="F30" s="88"/>
      <c r="G30" s="88"/>
      <c r="H30" s="88"/>
      <c r="I30" s="88"/>
      <c r="J30" s="88"/>
      <c r="K30" s="88"/>
      <c r="L30" s="88"/>
    </row>
    <row r="31" spans="1:12" x14ac:dyDescent="0.25">
      <c r="A31" s="88"/>
      <c r="B31" s="88"/>
      <c r="C31" s="578"/>
      <c r="D31" s="578"/>
      <c r="E31" s="88"/>
      <c r="F31" s="88"/>
      <c r="G31" s="88"/>
      <c r="H31" s="88"/>
      <c r="I31" s="88"/>
      <c r="J31" s="88"/>
      <c r="K31" s="88"/>
      <c r="L31" s="88"/>
    </row>
    <row r="32" spans="1:12" x14ac:dyDescent="0.25">
      <c r="A32" s="88"/>
      <c r="B32" s="88"/>
      <c r="C32" s="578"/>
      <c r="D32" s="578"/>
      <c r="E32" s="88"/>
      <c r="F32" s="88"/>
      <c r="G32" s="88"/>
      <c r="H32" s="88"/>
      <c r="I32" s="88"/>
      <c r="J32" s="88"/>
      <c r="K32" s="88"/>
      <c r="L32" s="88"/>
    </row>
    <row r="33" spans="1:12" x14ac:dyDescent="0.25">
      <c r="A33" s="88"/>
      <c r="B33" s="88"/>
      <c r="C33" s="578"/>
      <c r="D33" s="578"/>
      <c r="E33" s="88"/>
      <c r="F33" s="88"/>
      <c r="G33" s="88"/>
      <c r="H33" s="88"/>
      <c r="I33" s="88"/>
      <c r="J33" s="88"/>
      <c r="K33" s="88"/>
      <c r="L33" s="88"/>
    </row>
    <row r="34" spans="1:12" ht="12.75" customHeight="1" x14ac:dyDescent="0.25">
      <c r="A34" s="88"/>
      <c r="B34" s="88"/>
      <c r="C34" s="578"/>
      <c r="D34" s="578"/>
      <c r="E34" s="88"/>
      <c r="F34" s="88"/>
      <c r="G34" s="88"/>
      <c r="H34" s="88"/>
      <c r="I34" s="88"/>
      <c r="J34" s="88"/>
      <c r="K34" s="88"/>
      <c r="L34" s="88"/>
    </row>
    <row r="35" spans="1:12" x14ac:dyDescent="0.25">
      <c r="A35" s="88"/>
      <c r="B35" s="88"/>
      <c r="C35" s="578"/>
      <c r="D35" s="578"/>
      <c r="E35" s="88"/>
      <c r="F35" s="88"/>
      <c r="G35" s="88"/>
      <c r="H35" s="88"/>
      <c r="I35" s="88"/>
      <c r="J35" s="88"/>
      <c r="K35" s="88"/>
      <c r="L35" s="88"/>
    </row>
    <row r="36" spans="1:12" x14ac:dyDescent="0.25">
      <c r="A36" s="88"/>
      <c r="B36" s="88"/>
      <c r="C36" s="578"/>
      <c r="D36" s="578"/>
    </row>
    <row r="42" spans="1:12" ht="15.75" customHeight="1" x14ac:dyDescent="0.25"/>
    <row r="43" spans="1:12" ht="15" customHeight="1" x14ac:dyDescent="0.25"/>
  </sheetData>
  <mergeCells count="2">
    <mergeCell ref="A4:D4"/>
    <mergeCell ref="A11:D11"/>
  </mergeCells>
  <printOptions horizontalCentered="1"/>
  <pageMargins left="0" right="0" top="0" bottom="0" header="0" footer="0"/>
  <pageSetup paperSize="9" orientation="portrait" r:id="rId1"/>
  <headerFooter alignWithMargins="0">
    <oddFooter>Página &amp;P de &amp;N</oddFooter>
  </headerFooter>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BCE0E-354D-46F2-A1DB-9445FC87CBEE}">
  <sheetPr>
    <tabColor theme="4" tint="-0.249977111117893"/>
  </sheetPr>
  <dimension ref="A1:P43"/>
  <sheetViews>
    <sheetView topLeftCell="A14" zoomScale="85" zoomScaleNormal="85" workbookViewId="0">
      <selection activeCell="R10" sqref="R10"/>
    </sheetView>
  </sheetViews>
  <sheetFormatPr baseColWidth="10" defaultColWidth="11.44140625" defaultRowHeight="13.2" x14ac:dyDescent="0.25"/>
  <cols>
    <col min="1" max="1" width="6" style="1" customWidth="1"/>
    <col min="2" max="2" width="67.33203125" style="1" customWidth="1"/>
    <col min="3" max="3" width="14.109375" style="3" customWidth="1"/>
    <col min="4" max="4" width="14.55468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959</v>
      </c>
      <c r="B8" s="68"/>
      <c r="C8" s="69"/>
      <c r="D8" s="69"/>
    </row>
    <row r="9" spans="1:16" s="4" customFormat="1" ht="19.2" x14ac:dyDescent="0.45">
      <c r="A9" s="67" t="s">
        <v>965</v>
      </c>
      <c r="B9" s="68"/>
      <c r="C9" s="69"/>
      <c r="D9" s="69"/>
    </row>
    <row r="10" spans="1:16" s="4" customFormat="1" ht="19.2" x14ac:dyDescent="0.45">
      <c r="A10" s="67" t="s">
        <v>960</v>
      </c>
      <c r="B10" s="68"/>
      <c r="C10" s="69"/>
      <c r="D10" s="69"/>
    </row>
    <row r="11" spans="1:16" s="4" customFormat="1" ht="19.2" x14ac:dyDescent="0.45">
      <c r="A11" s="67" t="s">
        <v>386</v>
      </c>
      <c r="B11" s="68"/>
      <c r="C11" s="70"/>
      <c r="D11" s="69"/>
    </row>
    <row r="12" spans="1:16" s="4" customFormat="1" ht="15" customHeight="1" x14ac:dyDescent="0.45">
      <c r="A12" s="67" t="s">
        <v>38</v>
      </c>
      <c r="B12" s="68"/>
      <c r="C12" s="70"/>
      <c r="D12" s="69"/>
    </row>
    <row r="13" spans="1:16" s="4" customFormat="1" ht="15" customHeight="1" x14ac:dyDescent="0.45">
      <c r="A13" s="71" t="s">
        <v>980</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ht="13.5" customHeight="1" x14ac:dyDescent="0.25">
      <c r="A15" s="537"/>
      <c r="B15" s="537"/>
      <c r="C15" s="117"/>
      <c r="D15" s="536"/>
    </row>
    <row r="16" spans="1:16" x14ac:dyDescent="0.25">
      <c r="A16" s="11" t="s">
        <v>7</v>
      </c>
      <c r="B16" s="11" t="s">
        <v>8</v>
      </c>
      <c r="C16" s="12" t="s">
        <v>9</v>
      </c>
      <c r="D16" s="12" t="s">
        <v>10</v>
      </c>
      <c r="E16" s="13"/>
    </row>
    <row r="17" spans="1:12" x14ac:dyDescent="0.25">
      <c r="A17" s="14"/>
      <c r="B17" s="15"/>
      <c r="C17" s="16"/>
      <c r="D17" s="16"/>
      <c r="E17" s="13"/>
    </row>
    <row r="18" spans="1:12" ht="30" x14ac:dyDescent="0.25">
      <c r="A18" s="95">
        <v>1</v>
      </c>
      <c r="B18" s="96" t="s">
        <v>962</v>
      </c>
      <c r="C18" s="583">
        <f>(788*18)*1.35+3000</f>
        <v>22148.400000000001</v>
      </c>
      <c r="D18" s="98">
        <f t="shared" ref="D18:D19" si="0">A18*C18</f>
        <v>22148.400000000001</v>
      </c>
    </row>
    <row r="19" spans="1:12" ht="15.6" x14ac:dyDescent="0.25">
      <c r="A19" s="103">
        <v>1</v>
      </c>
      <c r="B19" s="104" t="s">
        <v>963</v>
      </c>
      <c r="C19" s="583">
        <f>(220*18)*1.4</f>
        <v>5544</v>
      </c>
      <c r="D19" s="83">
        <f t="shared" si="0"/>
        <v>5544</v>
      </c>
    </row>
    <row r="20" spans="1:12" ht="15.6" x14ac:dyDescent="0.3">
      <c r="A20" s="516"/>
      <c r="B20" s="517"/>
      <c r="C20" s="86" t="s">
        <v>49</v>
      </c>
      <c r="D20" s="87">
        <f>SUM(D10:D19)</f>
        <v>27692.400000000001</v>
      </c>
    </row>
    <row r="21" spans="1:12" ht="15.6" x14ac:dyDescent="0.3">
      <c r="A21" s="516"/>
      <c r="B21" s="517"/>
      <c r="C21" s="90" t="s">
        <v>51</v>
      </c>
      <c r="D21" s="87">
        <f>D20*0.16</f>
        <v>4430.7840000000006</v>
      </c>
    </row>
    <row r="22" spans="1:12" ht="16.2" thickBot="1" x14ac:dyDescent="0.3">
      <c r="A22" s="516"/>
      <c r="B22" s="100"/>
      <c r="C22" s="90" t="s">
        <v>52</v>
      </c>
      <c r="D22" s="87">
        <f>SUM(D20:D21)</f>
        <v>32123.184000000001</v>
      </c>
    </row>
    <row r="23" spans="1:12" ht="16.2" thickBot="1" x14ac:dyDescent="0.3">
      <c r="A23" s="116"/>
      <c r="B23" s="186" t="s">
        <v>966</v>
      </c>
      <c r="C23" s="36"/>
      <c r="D23" s="37"/>
      <c r="E23" s="88"/>
      <c r="F23" s="88"/>
      <c r="G23" s="88"/>
      <c r="H23" s="88"/>
      <c r="I23" s="88"/>
      <c r="J23" s="88"/>
      <c r="K23" s="88"/>
      <c r="L23" s="88"/>
    </row>
    <row r="24" spans="1:12" ht="75" x14ac:dyDescent="0.25">
      <c r="A24" s="676">
        <v>1</v>
      </c>
      <c r="B24" s="591" t="s">
        <v>925</v>
      </c>
      <c r="C24" s="168">
        <v>28000</v>
      </c>
      <c r="D24" s="678">
        <f>A24*C24</f>
        <v>28000</v>
      </c>
      <c r="E24" s="88"/>
      <c r="F24" s="88"/>
      <c r="G24" s="88"/>
      <c r="H24" s="88"/>
      <c r="I24" s="88"/>
      <c r="J24" s="88"/>
      <c r="K24" s="88"/>
      <c r="L24" s="88"/>
    </row>
    <row r="25" spans="1:12" ht="13.8" x14ac:dyDescent="0.25">
      <c r="A25" s="88"/>
      <c r="B25" s="135" t="s">
        <v>23</v>
      </c>
      <c r="C25" s="578"/>
      <c r="D25" s="578"/>
      <c r="E25" s="88"/>
      <c r="F25" s="88"/>
      <c r="G25" s="88"/>
      <c r="H25" s="88"/>
      <c r="I25" s="88"/>
      <c r="J25" s="88"/>
      <c r="K25" s="88"/>
      <c r="L25" s="88"/>
    </row>
    <row r="26" spans="1:12" ht="27.6" x14ac:dyDescent="0.25">
      <c r="A26" s="288"/>
      <c r="B26" s="187" t="s">
        <v>24</v>
      </c>
      <c r="C26" s="578"/>
      <c r="D26" s="578"/>
      <c r="E26" s="88"/>
      <c r="F26" s="88"/>
      <c r="G26" s="88"/>
      <c r="H26" s="88"/>
      <c r="I26" s="88"/>
      <c r="J26" s="88"/>
      <c r="K26" s="88"/>
      <c r="L26" s="88"/>
    </row>
    <row r="27" spans="1:12" ht="41.4" x14ac:dyDescent="0.25">
      <c r="A27" s="288"/>
      <c r="B27" s="187" t="s">
        <v>25</v>
      </c>
      <c r="C27" s="579"/>
      <c r="D27" s="580"/>
      <c r="E27" s="88"/>
      <c r="F27" s="88"/>
      <c r="G27" s="88"/>
      <c r="H27" s="88"/>
      <c r="I27" s="88"/>
      <c r="J27" s="88"/>
      <c r="K27" s="88"/>
      <c r="L27" s="88"/>
    </row>
    <row r="28" spans="1:12" ht="15" x14ac:dyDescent="0.25">
      <c r="A28" s="288"/>
      <c r="B28" s="135" t="s">
        <v>26</v>
      </c>
      <c r="C28" s="737" t="s">
        <v>18</v>
      </c>
      <c r="D28" s="737">
        <f>D22+D24</f>
        <v>60123.184000000001</v>
      </c>
      <c r="E28" s="88"/>
      <c r="F28" s="88"/>
      <c r="G28" s="88"/>
      <c r="H28" s="88"/>
      <c r="I28" s="88"/>
      <c r="J28" s="88"/>
      <c r="K28" s="88"/>
      <c r="L28" s="88"/>
    </row>
    <row r="29" spans="1:12" ht="15" x14ac:dyDescent="0.25">
      <c r="A29" s="288"/>
      <c r="B29" s="523" t="s">
        <v>964</v>
      </c>
      <c r="C29" s="579"/>
      <c r="D29" s="579"/>
      <c r="E29" s="88"/>
      <c r="F29" s="88"/>
      <c r="G29" s="88"/>
      <c r="H29" s="88"/>
      <c r="I29" s="88"/>
      <c r="J29" s="88"/>
      <c r="K29" s="88"/>
      <c r="L29" s="88"/>
    </row>
    <row r="30" spans="1:12" ht="15" x14ac:dyDescent="0.25">
      <c r="A30" s="288"/>
      <c r="B30" s="189" t="s">
        <v>28</v>
      </c>
      <c r="C30" s="579"/>
      <c r="D30" s="579"/>
      <c r="E30" s="88"/>
      <c r="F30" s="88"/>
      <c r="G30" s="88"/>
      <c r="H30" s="88"/>
      <c r="I30" s="88"/>
      <c r="J30" s="88"/>
      <c r="K30" s="88"/>
      <c r="L30" s="88"/>
    </row>
    <row r="31" spans="1:12" ht="13.8" x14ac:dyDescent="0.25">
      <c r="A31" s="88"/>
      <c r="B31" s="135" t="s">
        <v>29</v>
      </c>
      <c r="C31" s="578"/>
      <c r="D31" s="581"/>
      <c r="E31" s="88"/>
      <c r="F31" s="88"/>
      <c r="G31" s="88"/>
      <c r="H31" s="88"/>
      <c r="I31" s="88"/>
      <c r="J31" s="88"/>
      <c r="K31" s="88"/>
      <c r="L31" s="88"/>
    </row>
    <row r="32" spans="1:12" ht="15" x14ac:dyDescent="0.25">
      <c r="A32" s="288"/>
      <c r="B32" s="191" t="s">
        <v>540</v>
      </c>
      <c r="C32" s="579"/>
      <c r="D32" s="580"/>
      <c r="E32" s="88"/>
      <c r="F32" s="88"/>
      <c r="G32" s="88"/>
      <c r="H32" s="88"/>
      <c r="I32" s="88"/>
      <c r="J32" s="88"/>
      <c r="K32" s="88"/>
      <c r="L32" s="88"/>
    </row>
    <row r="33" spans="1:12" ht="15" x14ac:dyDescent="0.25">
      <c r="A33" s="288"/>
      <c r="B33" s="191" t="s">
        <v>31</v>
      </c>
      <c r="C33" s="579"/>
      <c r="D33" s="580"/>
      <c r="E33" s="88"/>
      <c r="F33" s="88"/>
      <c r="G33" s="88"/>
      <c r="H33" s="88"/>
      <c r="I33" s="88"/>
      <c r="J33" s="88"/>
      <c r="K33" s="88"/>
      <c r="L33" s="88"/>
    </row>
    <row r="34" spans="1:12" ht="12.75" customHeight="1" x14ac:dyDescent="0.25">
      <c r="A34" s="288"/>
      <c r="B34" s="191" t="s">
        <v>32</v>
      </c>
      <c r="C34" s="578"/>
      <c r="D34" s="582"/>
      <c r="E34" s="88"/>
      <c r="F34" s="88"/>
      <c r="G34" s="88"/>
      <c r="H34" s="88"/>
      <c r="I34" s="88"/>
      <c r="J34" s="88"/>
      <c r="K34" s="88"/>
      <c r="L34" s="88"/>
    </row>
    <row r="35" spans="1:12" ht="50.4" x14ac:dyDescent="0.25">
      <c r="A35" s="288"/>
      <c r="B35" s="193" t="s">
        <v>33</v>
      </c>
      <c r="C35" s="579"/>
      <c r="D35" s="579"/>
      <c r="E35" s="88"/>
      <c r="F35" s="88"/>
      <c r="G35" s="88"/>
      <c r="H35" s="88"/>
      <c r="I35" s="88"/>
      <c r="J35" s="88"/>
      <c r="K35" s="88"/>
      <c r="L35" s="88"/>
    </row>
    <row r="36" spans="1:12" x14ac:dyDescent="0.25">
      <c r="A36" s="88"/>
      <c r="B36" s="88"/>
      <c r="C36" s="578"/>
      <c r="D36" s="578"/>
      <c r="E36" s="88"/>
      <c r="F36" s="88"/>
      <c r="G36" s="88"/>
      <c r="H36" s="88"/>
      <c r="I36" s="88"/>
      <c r="J36" s="88"/>
      <c r="K36" s="88"/>
      <c r="L36" s="88"/>
    </row>
    <row r="37" spans="1:12" x14ac:dyDescent="0.25">
      <c r="A37" s="88"/>
      <c r="B37" s="88"/>
      <c r="C37" s="578"/>
      <c r="D37" s="578"/>
      <c r="E37" s="88"/>
      <c r="F37" s="88"/>
      <c r="G37" s="88"/>
      <c r="H37" s="88"/>
      <c r="I37" s="88"/>
      <c r="J37" s="88"/>
      <c r="K37" s="88"/>
      <c r="L37" s="88"/>
    </row>
    <row r="38" spans="1:12" x14ac:dyDescent="0.25">
      <c r="A38" s="88"/>
      <c r="B38" s="88"/>
      <c r="C38" s="578"/>
      <c r="D38" s="578"/>
      <c r="E38" s="88"/>
      <c r="F38" s="88"/>
      <c r="G38" s="88"/>
      <c r="H38" s="88"/>
      <c r="I38" s="88"/>
      <c r="J38" s="88"/>
      <c r="K38" s="88"/>
      <c r="L38" s="88"/>
    </row>
    <row r="39" spans="1:12" x14ac:dyDescent="0.25">
      <c r="A39" s="88"/>
      <c r="B39" s="88"/>
      <c r="C39" s="578"/>
      <c r="D39" s="578"/>
      <c r="E39" s="88"/>
      <c r="F39" s="88"/>
      <c r="G39" s="88"/>
      <c r="H39" s="88"/>
      <c r="I39" s="88"/>
      <c r="J39" s="88"/>
      <c r="K39" s="88"/>
      <c r="L39" s="88"/>
    </row>
    <row r="40" spans="1:12" x14ac:dyDescent="0.25">
      <c r="A40" s="88"/>
      <c r="B40" s="88"/>
      <c r="C40" s="578"/>
      <c r="D40" s="578"/>
    </row>
    <row r="41" spans="1:12" x14ac:dyDescent="0.25">
      <c r="A41" s="88"/>
      <c r="B41" s="88"/>
      <c r="C41" s="578"/>
      <c r="D41" s="578"/>
    </row>
    <row r="42" spans="1:12" ht="15.75" customHeight="1" x14ac:dyDescent="0.25">
      <c r="A42" s="88"/>
      <c r="B42" s="88"/>
      <c r="C42" s="578"/>
      <c r="D42" s="578"/>
    </row>
    <row r="43" spans="1:12" ht="15" customHeight="1" x14ac:dyDescent="0.25">
      <c r="A43" s="88"/>
      <c r="B43" s="88"/>
      <c r="C43" s="578"/>
      <c r="D43" s="578"/>
    </row>
  </sheetData>
  <mergeCells count="2">
    <mergeCell ref="A4:D4"/>
    <mergeCell ref="A14:D14"/>
  </mergeCells>
  <printOptions horizontalCentered="1"/>
  <pageMargins left="0" right="0" top="0" bottom="0" header="0" footer="0"/>
  <pageSetup paperSize="9" orientation="portrait" r:id="rId1"/>
  <headerFooter alignWithMargins="0">
    <oddFooter>Página &amp;P de &amp;N</oddFooter>
  </headerFooter>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21B31-EBB9-4A86-B0DB-C3ECA074817F}">
  <sheetPr>
    <tabColor theme="4" tint="-0.249977111117893"/>
    <pageSetUpPr fitToPage="1"/>
  </sheetPr>
  <dimension ref="A1:P59"/>
  <sheetViews>
    <sheetView topLeftCell="A3" zoomScale="85" zoomScaleNormal="85" workbookViewId="0">
      <selection activeCell="D23" sqref="D23"/>
    </sheetView>
  </sheetViews>
  <sheetFormatPr baseColWidth="10" defaultColWidth="11.44140625" defaultRowHeight="13.2" x14ac:dyDescent="0.25"/>
  <cols>
    <col min="1" max="1" width="6" style="1" customWidth="1"/>
    <col min="2" max="2" width="102.7773437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1143</v>
      </c>
      <c r="B8" s="68"/>
      <c r="C8" s="69"/>
      <c r="D8" s="69"/>
    </row>
    <row r="9" spans="1:16" s="4" customFormat="1" ht="19.2" x14ac:dyDescent="0.45">
      <c r="A9" s="67" t="s">
        <v>1144</v>
      </c>
      <c r="B9" s="68"/>
      <c r="C9" s="69"/>
      <c r="D9" s="69"/>
    </row>
    <row r="10" spans="1:16" s="4" customFormat="1" ht="19.2" x14ac:dyDescent="0.45">
      <c r="A10" s="67" t="s">
        <v>1145</v>
      </c>
      <c r="B10" s="68"/>
      <c r="C10" s="69"/>
      <c r="D10" s="69"/>
    </row>
    <row r="11" spans="1:16" s="4" customFormat="1" ht="19.2" x14ac:dyDescent="0.45">
      <c r="A11" s="67" t="s">
        <v>1146</v>
      </c>
      <c r="B11" s="68"/>
      <c r="C11" s="70"/>
      <c r="D11" s="69"/>
    </row>
    <row r="12" spans="1:16" s="4" customFormat="1" ht="15" customHeight="1" x14ac:dyDescent="0.45">
      <c r="A12" s="67" t="s">
        <v>38</v>
      </c>
      <c r="B12" s="68"/>
      <c r="C12" s="70"/>
      <c r="D12" s="69"/>
    </row>
    <row r="13" spans="1:16" s="4" customFormat="1" ht="15" customHeight="1" x14ac:dyDescent="0.45">
      <c r="A13" s="71" t="s">
        <v>1147</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240">
        <v>1</v>
      </c>
      <c r="B16" s="591" t="s">
        <v>1141</v>
      </c>
      <c r="C16" s="653">
        <v>54000</v>
      </c>
      <c r="D16" s="79">
        <f t="shared" ref="D16:D17" si="0">A16*C16</f>
        <v>54000</v>
      </c>
      <c r="N16" s="23"/>
      <c r="O16" s="23"/>
      <c r="P16" s="23"/>
    </row>
    <row r="17" spans="1:16" s="23" customFormat="1" ht="15.6" x14ac:dyDescent="0.25">
      <c r="A17" s="103">
        <v>1</v>
      </c>
      <c r="B17" s="104" t="s">
        <v>116</v>
      </c>
      <c r="C17" s="105">
        <v>7500</v>
      </c>
      <c r="D17" s="79">
        <f t="shared" si="0"/>
        <v>7500</v>
      </c>
      <c r="E17" s="13"/>
      <c r="F17" s="1"/>
      <c r="G17" s="1"/>
      <c r="H17" s="1"/>
      <c r="I17" s="1"/>
      <c r="J17" s="1"/>
      <c r="K17" s="1"/>
      <c r="L17" s="1"/>
      <c r="M17" s="1"/>
    </row>
    <row r="18" spans="1:16" s="23" customFormat="1" ht="15.6" x14ac:dyDescent="0.3">
      <c r="A18" s="516"/>
      <c r="B18" s="738" t="s">
        <v>1148</v>
      </c>
      <c r="C18" s="86" t="s">
        <v>49</v>
      </c>
      <c r="D18" s="87">
        <f>SUM(D15:D17)</f>
        <v>61500</v>
      </c>
      <c r="E18" s="1"/>
      <c r="F18" s="1"/>
      <c r="G18" s="1"/>
      <c r="H18" s="1"/>
      <c r="I18" s="1"/>
      <c r="J18" s="1"/>
      <c r="K18" s="1"/>
      <c r="L18" s="1"/>
      <c r="M18"/>
    </row>
    <row r="19" spans="1:16" s="23" customFormat="1" ht="15.6" x14ac:dyDescent="0.3">
      <c r="A19" s="516"/>
      <c r="B19" s="738"/>
      <c r="C19" s="90" t="s">
        <v>51</v>
      </c>
      <c r="D19" s="87">
        <f>D18*0.16</f>
        <v>9840</v>
      </c>
      <c r="E19" s="13"/>
      <c r="F19" s="1"/>
      <c r="G19" s="1"/>
      <c r="H19" s="1"/>
      <c r="I19" s="1"/>
      <c r="J19" s="1"/>
      <c r="K19" s="1"/>
      <c r="L19" s="1"/>
      <c r="M19" s="1"/>
    </row>
    <row r="20" spans="1:16" s="23" customFormat="1" ht="19.95" customHeight="1" x14ac:dyDescent="0.25">
      <c r="A20" s="516"/>
      <c r="B20" s="100"/>
      <c r="C20" s="90" t="s">
        <v>52</v>
      </c>
      <c r="D20" s="87">
        <f>SUM(D18:D19)</f>
        <v>71340</v>
      </c>
      <c r="E20" s="1"/>
      <c r="F20" s="1"/>
      <c r="G20" s="1"/>
      <c r="H20" s="1"/>
      <c r="I20" s="1"/>
      <c r="J20" s="1"/>
      <c r="K20" s="1"/>
      <c r="L20" s="1"/>
      <c r="M20" s="1"/>
      <c r="N20" s="1"/>
      <c r="O20" s="1"/>
      <c r="P20" s="1"/>
    </row>
    <row r="21" spans="1:16" ht="16.2" thickBot="1" x14ac:dyDescent="0.3">
      <c r="A21" s="34"/>
      <c r="B21" s="186" t="s">
        <v>1142</v>
      </c>
      <c r="C21" s="186"/>
      <c r="D21" s="186"/>
    </row>
    <row r="22" spans="1:16" ht="13.8" x14ac:dyDescent="0.25">
      <c r="A22" s="34"/>
      <c r="B22" s="120" t="s">
        <v>15</v>
      </c>
      <c r="C22" s="1"/>
      <c r="D22" s="1"/>
    </row>
    <row r="23" spans="1:16" ht="15.6" x14ac:dyDescent="0.25">
      <c r="A23" s="34"/>
      <c r="B23" s="123"/>
      <c r="C23" s="1"/>
      <c r="D23" s="1"/>
      <c r="O23" s="88"/>
      <c r="P23" s="88"/>
    </row>
    <row r="24" spans="1:16" s="88" customFormat="1" ht="15" x14ac:dyDescent="0.25">
      <c r="A24" s="62"/>
      <c r="B24" s="126" t="s">
        <v>17</v>
      </c>
      <c r="C24" s="1"/>
      <c r="D24" s="1"/>
      <c r="E24" s="1"/>
      <c r="F24" s="1"/>
      <c r="G24" s="1"/>
      <c r="H24" s="1"/>
      <c r="I24" s="1"/>
      <c r="J24" s="1"/>
      <c r="K24" s="1"/>
      <c r="L24" s="1"/>
      <c r="M24" s="1"/>
      <c r="N24" s="1"/>
      <c r="O24" s="1"/>
      <c r="P24" s="1"/>
    </row>
    <row r="25" spans="1:16" ht="15" x14ac:dyDescent="0.25">
      <c r="A25" s="62"/>
      <c r="B25" s="127" t="s">
        <v>79</v>
      </c>
      <c r="C25" s="13"/>
      <c r="D25" s="1"/>
    </row>
    <row r="26" spans="1:16" ht="15" x14ac:dyDescent="0.25">
      <c r="A26" s="62"/>
      <c r="B26" s="128"/>
      <c r="C26" s="1"/>
      <c r="D26" s="1"/>
    </row>
    <row r="27" spans="1:16" ht="15" x14ac:dyDescent="0.25">
      <c r="A27" s="62"/>
      <c r="B27" s="129" t="s">
        <v>60</v>
      </c>
      <c r="C27" s="13"/>
      <c r="D27" s="1"/>
    </row>
    <row r="28" spans="1:16" ht="15" x14ac:dyDescent="0.25">
      <c r="A28" s="62"/>
      <c r="B28" s="130" t="s">
        <v>23</v>
      </c>
      <c r="C28" s="13"/>
      <c r="D28" s="1"/>
    </row>
    <row r="29" spans="1:16" ht="27.6" x14ac:dyDescent="0.25">
      <c r="A29" s="62"/>
      <c r="B29" s="132" t="s">
        <v>62</v>
      </c>
      <c r="C29" s="13"/>
      <c r="D29" s="1"/>
    </row>
    <row r="30" spans="1:16" ht="15" x14ac:dyDescent="0.25">
      <c r="A30" s="62"/>
      <c r="B30" s="130" t="s">
        <v>26</v>
      </c>
      <c r="C30" s="13"/>
      <c r="D30" s="1"/>
    </row>
    <row r="31" spans="1:16" ht="15" x14ac:dyDescent="0.25">
      <c r="A31" s="62"/>
      <c r="B31" s="333" t="s">
        <v>1125</v>
      </c>
      <c r="C31" s="1"/>
      <c r="D31" s="1"/>
    </row>
    <row r="32" spans="1:16" ht="15" x14ac:dyDescent="0.25">
      <c r="A32" s="62"/>
      <c r="B32" s="334" t="s">
        <v>28</v>
      </c>
      <c r="C32" s="1"/>
      <c r="D32" s="1"/>
    </row>
    <row r="33" spans="1:4" ht="13.8" x14ac:dyDescent="0.25">
      <c r="B33" s="130" t="s">
        <v>29</v>
      </c>
      <c r="C33" s="133"/>
      <c r="D33" s="134"/>
    </row>
    <row r="34" spans="1:4" ht="15" x14ac:dyDescent="0.25">
      <c r="A34" s="62"/>
      <c r="B34" s="138" t="s">
        <v>1128</v>
      </c>
      <c r="C34" s="54"/>
      <c r="D34" s="58"/>
    </row>
    <row r="35" spans="1:4" ht="15" x14ac:dyDescent="0.25">
      <c r="A35" s="62"/>
      <c r="B35" s="127" t="s">
        <v>31</v>
      </c>
      <c r="C35" s="54"/>
    </row>
    <row r="36" spans="1:4" ht="13.8" x14ac:dyDescent="0.25">
      <c r="A36" s="139" t="s">
        <v>0</v>
      </c>
      <c r="B36" s="127" t="s">
        <v>32</v>
      </c>
      <c r="C36" s="141"/>
      <c r="D36" s="1"/>
    </row>
    <row r="37" spans="1:4" ht="33.6" x14ac:dyDescent="0.4">
      <c r="A37" s="142"/>
      <c r="B37" s="140" t="s">
        <v>65</v>
      </c>
      <c r="C37" s="64"/>
      <c r="D37" s="1"/>
    </row>
    <row r="38" spans="1:4" x14ac:dyDescent="0.25">
      <c r="A38" s="142"/>
      <c r="B38" s="64"/>
      <c r="C38" s="64"/>
      <c r="D38" s="1"/>
    </row>
    <row r="39" spans="1:4" x14ac:dyDescent="0.25">
      <c r="A39" s="142"/>
      <c r="B39" s="64"/>
      <c r="C39" s="64"/>
      <c r="D39" s="1"/>
    </row>
    <row r="40" spans="1:4" x14ac:dyDescent="0.25">
      <c r="A40" s="144"/>
      <c r="B40" s="143"/>
      <c r="C40" s="64"/>
      <c r="D40" s="64"/>
    </row>
    <row r="41" spans="1:4" ht="15" x14ac:dyDescent="0.35">
      <c r="A41" s="146" t="s">
        <v>0</v>
      </c>
      <c r="B41" s="145"/>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fitToWidth="0" orientation="portrait" r:id="rId1"/>
  <headerFooter alignWithMargins="0">
    <oddFooter>Página &amp;P de &amp;N</oddFooter>
  </headerFooter>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10B5-C928-4CDD-8A17-C1C2F6B249B0}">
  <sheetPr>
    <tabColor theme="4" tint="-0.249977111117893"/>
    <pageSetUpPr fitToPage="1"/>
  </sheetPr>
  <dimension ref="A1:P59"/>
  <sheetViews>
    <sheetView topLeftCell="A17" zoomScale="85" zoomScaleNormal="85" workbookViewId="0">
      <selection activeCell="A16" sqref="A16:D17"/>
    </sheetView>
  </sheetViews>
  <sheetFormatPr baseColWidth="10" defaultColWidth="11.44140625" defaultRowHeight="13.2" x14ac:dyDescent="0.25"/>
  <cols>
    <col min="1" max="1" width="6" style="1" customWidth="1"/>
    <col min="2" max="2" width="77.6640625" style="1" customWidth="1"/>
    <col min="3" max="3" width="15.21875" style="3" bestFit="1"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1163</v>
      </c>
      <c r="B8" s="68"/>
      <c r="C8" s="69"/>
      <c r="D8" s="69"/>
    </row>
    <row r="9" spans="1:16" s="4" customFormat="1" ht="19.2" x14ac:dyDescent="0.45">
      <c r="A9" s="67" t="s">
        <v>1164</v>
      </c>
      <c r="B9" s="68"/>
      <c r="C9" s="69"/>
      <c r="D9" s="69"/>
    </row>
    <row r="10" spans="1:16" s="4" customFormat="1" ht="19.2" x14ac:dyDescent="0.45">
      <c r="A10" s="67" t="s">
        <v>1082</v>
      </c>
      <c r="B10" s="68"/>
      <c r="C10" s="69"/>
      <c r="D10" s="69"/>
    </row>
    <row r="11" spans="1:16" s="4" customFormat="1" ht="19.2" x14ac:dyDescent="0.45">
      <c r="A11" s="67" t="s">
        <v>1083</v>
      </c>
      <c r="B11" s="68"/>
      <c r="C11" s="70"/>
      <c r="D11" s="69"/>
    </row>
    <row r="12" spans="1:16" s="4" customFormat="1" ht="15" customHeight="1" x14ac:dyDescent="0.45">
      <c r="A12" s="67" t="s">
        <v>38</v>
      </c>
      <c r="B12" s="68"/>
      <c r="C12" s="70"/>
      <c r="D12" s="69"/>
    </row>
    <row r="13" spans="1:16" s="4" customFormat="1" ht="15" customHeight="1" x14ac:dyDescent="0.45">
      <c r="A13" s="71" t="s">
        <v>1165</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990</v>
      </c>
      <c r="C16" s="688">
        <f>300*80</f>
        <v>24000</v>
      </c>
      <c r="D16" s="689">
        <f>A16*C16</f>
        <v>24000</v>
      </c>
      <c r="N16" s="23"/>
      <c r="O16" s="23"/>
      <c r="P16" s="23"/>
    </row>
    <row r="17" spans="1:16" s="23" customFormat="1" ht="60" x14ac:dyDescent="0.25">
      <c r="A17" s="103">
        <v>1</v>
      </c>
      <c r="B17" s="104" t="s">
        <v>1156</v>
      </c>
      <c r="C17" s="105"/>
      <c r="D17" s="79"/>
      <c r="E17" s="1"/>
      <c r="F17" s="1"/>
      <c r="G17" s="1"/>
      <c r="H17" s="1"/>
      <c r="I17" s="1"/>
      <c r="J17" s="1"/>
      <c r="K17" s="1"/>
      <c r="L17" s="1"/>
      <c r="M17" s="1"/>
    </row>
    <row r="18" spans="1:16" s="23" customFormat="1" ht="15.6" x14ac:dyDescent="0.3">
      <c r="A18" s="407">
        <v>1</v>
      </c>
      <c r="B18" s="406" t="s">
        <v>1166</v>
      </c>
      <c r="C18" s="408">
        <v>68000</v>
      </c>
      <c r="D18" s="79">
        <f>A18*C18</f>
        <v>68000</v>
      </c>
      <c r="E18" s="1"/>
      <c r="F18" s="1"/>
      <c r="G18" s="1"/>
      <c r="H18" s="1"/>
      <c r="I18" s="1"/>
      <c r="J18" s="1"/>
      <c r="K18" s="1"/>
      <c r="L18" s="1"/>
      <c r="M18"/>
    </row>
    <row r="19" spans="1:16" s="23" customFormat="1" ht="15.6" x14ac:dyDescent="0.25">
      <c r="A19" s="404"/>
      <c r="B19" s="406" t="s">
        <v>936</v>
      </c>
      <c r="C19" s="405"/>
      <c r="D19" s="79"/>
      <c r="E19" s="1"/>
      <c r="F19" s="1"/>
      <c r="G19" s="1"/>
      <c r="H19" s="1"/>
      <c r="I19" s="1"/>
      <c r="J19" s="1"/>
      <c r="K19" s="1"/>
      <c r="L19" s="1"/>
      <c r="M19" s="1"/>
    </row>
    <row r="20" spans="1:16" s="23" customFormat="1" ht="19.95" customHeight="1" x14ac:dyDescent="0.25">
      <c r="A20" s="404"/>
      <c r="B20" s="406" t="s">
        <v>937</v>
      </c>
      <c r="C20" s="405"/>
      <c r="D20" s="79"/>
      <c r="E20" s="1"/>
      <c r="F20" s="1"/>
      <c r="G20" s="1"/>
      <c r="H20" s="1"/>
      <c r="I20" s="1"/>
      <c r="J20" s="1"/>
      <c r="K20" s="1"/>
      <c r="L20" s="1"/>
      <c r="M20" s="1"/>
      <c r="N20" s="1"/>
      <c r="O20" s="1"/>
      <c r="P20" s="1"/>
    </row>
    <row r="21" spans="1:16" ht="15.6" x14ac:dyDescent="0.25">
      <c r="A21" s="103">
        <v>3</v>
      </c>
      <c r="B21" s="104" t="s">
        <v>938</v>
      </c>
      <c r="C21" s="105">
        <f>(260*18)*1.4</f>
        <v>6552</v>
      </c>
      <c r="D21" s="79">
        <f>A21*C21</f>
        <v>19656</v>
      </c>
    </row>
    <row r="22" spans="1:16" ht="15.6" x14ac:dyDescent="0.25">
      <c r="A22" s="106">
        <v>2</v>
      </c>
      <c r="B22" s="107" t="s">
        <v>939</v>
      </c>
      <c r="C22" s="108">
        <f>2300*1.4</f>
        <v>3220</v>
      </c>
      <c r="D22" s="109">
        <f>A22*C22</f>
        <v>6440</v>
      </c>
      <c r="E22" s="13"/>
    </row>
    <row r="23" spans="1:16" ht="15.6" x14ac:dyDescent="0.25">
      <c r="A23" s="80">
        <v>4</v>
      </c>
      <c r="B23" s="167" t="s">
        <v>940</v>
      </c>
      <c r="C23" s="105">
        <v>510</v>
      </c>
      <c r="D23" s="109">
        <f>A23*C23</f>
        <v>2040</v>
      </c>
      <c r="O23" s="88"/>
      <c r="P23" s="88"/>
    </row>
    <row r="24" spans="1:16" s="88" customFormat="1" ht="31.2" x14ac:dyDescent="0.25">
      <c r="A24" s="740">
        <v>1</v>
      </c>
      <c r="B24" s="740" t="s">
        <v>1169</v>
      </c>
      <c r="C24" s="742"/>
      <c r="D24" s="741"/>
      <c r="E24" s="13"/>
      <c r="F24" s="1"/>
      <c r="G24" s="1"/>
      <c r="H24" s="1"/>
      <c r="I24" s="1"/>
      <c r="J24" s="1"/>
      <c r="K24" s="1"/>
      <c r="L24" s="1"/>
      <c r="M24" s="1"/>
      <c r="N24" s="1"/>
      <c r="O24" s="1"/>
      <c r="P24" s="1"/>
    </row>
    <row r="25" spans="1:16" ht="45" x14ac:dyDescent="0.25">
      <c r="A25" s="103">
        <v>1</v>
      </c>
      <c r="B25" s="104" t="s">
        <v>991</v>
      </c>
      <c r="C25" s="688">
        <f>300*80</f>
        <v>24000</v>
      </c>
      <c r="D25" s="689">
        <f>A25*C25</f>
        <v>24000</v>
      </c>
      <c r="E25" s="13"/>
    </row>
    <row r="26" spans="1:16" ht="15.6" x14ac:dyDescent="0.25">
      <c r="A26" s="103">
        <v>2</v>
      </c>
      <c r="B26" s="104" t="s">
        <v>154</v>
      </c>
      <c r="C26" s="690">
        <f>1950*1.35</f>
        <v>2632.5</v>
      </c>
      <c r="D26" s="689">
        <f t="shared" ref="D26:D28" si="0">A26*C26</f>
        <v>5265</v>
      </c>
    </row>
    <row r="27" spans="1:16" ht="15.6" x14ac:dyDescent="0.25">
      <c r="A27" s="103">
        <v>1</v>
      </c>
      <c r="B27" s="104" t="s">
        <v>379</v>
      </c>
      <c r="C27" s="690">
        <v>6250</v>
      </c>
      <c r="D27" s="689">
        <f t="shared" si="0"/>
        <v>6250</v>
      </c>
    </row>
    <row r="28" spans="1:16" ht="30" x14ac:dyDescent="0.25">
      <c r="A28" s="103">
        <v>1</v>
      </c>
      <c r="B28" s="167" t="s">
        <v>992</v>
      </c>
      <c r="C28" s="690">
        <v>2100</v>
      </c>
      <c r="D28" s="180">
        <f t="shared" si="0"/>
        <v>2100</v>
      </c>
    </row>
    <row r="29" spans="1:16" ht="15.6" x14ac:dyDescent="0.3">
      <c r="A29" s="99"/>
      <c r="B29" s="85" t="s">
        <v>941</v>
      </c>
      <c r="C29" s="86" t="s">
        <v>49</v>
      </c>
      <c r="D29" s="87">
        <f>SUM(D16:D28)</f>
        <v>157751</v>
      </c>
    </row>
    <row r="30" spans="1:16" ht="15.6" x14ac:dyDescent="0.3">
      <c r="A30" s="99"/>
      <c r="B30" s="85" t="s">
        <v>1168</v>
      </c>
      <c r="C30" s="90" t="s">
        <v>51</v>
      </c>
      <c r="D30" s="87">
        <f>D29*0.16</f>
        <v>25240.16</v>
      </c>
    </row>
    <row r="31" spans="1:16" ht="15.6" x14ac:dyDescent="0.25">
      <c r="A31" s="99"/>
      <c r="B31" s="100"/>
      <c r="C31" s="90" t="s">
        <v>52</v>
      </c>
      <c r="D31" s="87">
        <f>SUM(D29:D30)</f>
        <v>182991.16</v>
      </c>
    </row>
    <row r="32" spans="1:16" ht="16.2" thickBot="1" x14ac:dyDescent="0.3">
      <c r="A32" s="34"/>
      <c r="B32" s="186" t="s">
        <v>1167</v>
      </c>
      <c r="C32" s="186"/>
      <c r="D32" s="186"/>
    </row>
    <row r="33" spans="1:4" ht="13.8" x14ac:dyDescent="0.25">
      <c r="A33" s="34"/>
      <c r="B33" s="126" t="s">
        <v>17</v>
      </c>
      <c r="C33" s="1"/>
      <c r="D33" s="1"/>
    </row>
    <row r="34" spans="1:4" ht="15" x14ac:dyDescent="0.25">
      <c r="A34" s="62"/>
      <c r="B34" s="127" t="s">
        <v>79</v>
      </c>
      <c r="C34" s="1"/>
      <c r="D34" s="1"/>
    </row>
    <row r="35" spans="1:4" ht="15" x14ac:dyDescent="0.25">
      <c r="A35" s="62"/>
      <c r="B35" s="128"/>
      <c r="C35" s="13"/>
      <c r="D35" s="1"/>
    </row>
    <row r="36" spans="1:4" ht="15" x14ac:dyDescent="0.25">
      <c r="A36" s="62"/>
      <c r="B36" s="129" t="s">
        <v>60</v>
      </c>
      <c r="C36" s="1"/>
      <c r="D36" s="1"/>
    </row>
    <row r="37" spans="1:4" ht="15" x14ac:dyDescent="0.25">
      <c r="A37" s="62"/>
      <c r="B37" s="130" t="s">
        <v>23</v>
      </c>
      <c r="C37" s="13"/>
      <c r="D37" s="1"/>
    </row>
    <row r="38" spans="1:4" ht="27.6" x14ac:dyDescent="0.25">
      <c r="A38" s="62"/>
      <c r="B38" s="132" t="s">
        <v>62</v>
      </c>
      <c r="C38" s="13"/>
      <c r="D38" s="1"/>
    </row>
    <row r="39" spans="1:4" ht="15" x14ac:dyDescent="0.25">
      <c r="A39" s="62"/>
      <c r="B39" s="130" t="s">
        <v>26</v>
      </c>
      <c r="C39" s="13"/>
      <c r="D39" s="1"/>
    </row>
    <row r="40" spans="1:4" ht="27.6" x14ac:dyDescent="0.25">
      <c r="A40" s="62"/>
      <c r="B40" s="333" t="s">
        <v>1170</v>
      </c>
      <c r="C40" s="13"/>
      <c r="D40" s="1"/>
    </row>
    <row r="41" spans="1:4" ht="15" x14ac:dyDescent="0.25">
      <c r="A41" s="62"/>
      <c r="B41" s="334" t="s">
        <v>28</v>
      </c>
      <c r="C41" s="1"/>
      <c r="D41" s="1"/>
    </row>
    <row r="42" spans="1:4" ht="15" x14ac:dyDescent="0.25">
      <c r="A42" s="62"/>
      <c r="B42" s="130" t="s">
        <v>29</v>
      </c>
      <c r="C42" s="1"/>
      <c r="D42" s="1"/>
    </row>
    <row r="43" spans="1:4" ht="13.8" x14ac:dyDescent="0.25">
      <c r="B43" s="138" t="s">
        <v>1162</v>
      </c>
      <c r="C43" s="133"/>
      <c r="D43" s="134"/>
    </row>
    <row r="44" spans="1:4" ht="15" x14ac:dyDescent="0.25">
      <c r="A44" s="62"/>
      <c r="B44" s="127" t="s">
        <v>31</v>
      </c>
      <c r="C44" s="54"/>
      <c r="D44" s="58"/>
    </row>
    <row r="45" spans="1:4" ht="15" x14ac:dyDescent="0.25">
      <c r="A45" s="62"/>
      <c r="B45" s="127" t="s">
        <v>32</v>
      </c>
      <c r="C45" s="54"/>
    </row>
    <row r="46" spans="1:4" ht="50.4" x14ac:dyDescent="0.4">
      <c r="A46" s="139" t="s">
        <v>0</v>
      </c>
      <c r="B46" s="140" t="s">
        <v>65</v>
      </c>
      <c r="C46" s="141"/>
      <c r="D46" s="1"/>
    </row>
    <row r="47" spans="1:4" x14ac:dyDescent="0.25">
      <c r="A47" s="142"/>
      <c r="B47" s="64"/>
      <c r="C47" s="64"/>
      <c r="D47" s="1"/>
    </row>
    <row r="48" spans="1:4" x14ac:dyDescent="0.25">
      <c r="A48" s="142"/>
      <c r="B48" s="64"/>
      <c r="C48" s="64"/>
      <c r="D48" s="1"/>
    </row>
    <row r="49" spans="1:4" x14ac:dyDescent="0.25">
      <c r="A49" s="142"/>
      <c r="B49" s="143"/>
      <c r="C49" s="64"/>
      <c r="D49" s="1"/>
    </row>
    <row r="50" spans="1:4" ht="12.75" customHeight="1" x14ac:dyDescent="0.35">
      <c r="A50" s="144"/>
      <c r="B50" s="145"/>
      <c r="C50" s="64"/>
      <c r="D50" s="64"/>
    </row>
    <row r="51" spans="1:4" x14ac:dyDescent="0.25">
      <c r="A51" s="146" t="s">
        <v>0</v>
      </c>
    </row>
    <row r="52" spans="1:4" x14ac:dyDescent="0.25">
      <c r="A52" s="1" t="s">
        <v>0</v>
      </c>
    </row>
    <row r="58" spans="1:4" ht="15.75" customHeight="1" x14ac:dyDescent="0.25"/>
    <row r="59" spans="1:4" ht="15" customHeight="1" x14ac:dyDescent="0.25"/>
  </sheetData>
  <mergeCells count="2">
    <mergeCell ref="A4:D4"/>
    <mergeCell ref="A14:D14"/>
  </mergeCells>
  <printOptions horizontalCentered="1"/>
  <pageMargins left="0.25" right="0.25" top="0.75" bottom="0.75" header="0.3" footer="0.3"/>
  <pageSetup paperSize="9" scale="60" fitToWidth="0" orientation="portrait" r:id="rId1"/>
  <headerFooter alignWithMargins="0">
    <oddFooter>Página &amp;P de &amp;N</oddFooter>
  </headerFooter>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679EC-2D2B-4857-8A17-E7E86D045F26}">
  <sheetPr>
    <tabColor theme="4" tint="-0.249977111117893"/>
    <pageSetUpPr fitToPage="1"/>
  </sheetPr>
  <dimension ref="A1:M70"/>
  <sheetViews>
    <sheetView topLeftCell="A5" zoomScale="85" zoomScaleNormal="85" workbookViewId="0">
      <selection activeCell="B23" sqref="B23"/>
    </sheetView>
  </sheetViews>
  <sheetFormatPr baseColWidth="10" defaultColWidth="11.44140625" defaultRowHeight="13.2" x14ac:dyDescent="0.25"/>
  <cols>
    <col min="1" max="1" width="6" style="1" customWidth="1"/>
    <col min="2" max="2" width="96.886718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871</v>
      </c>
      <c r="B8" s="68"/>
      <c r="C8" s="69"/>
      <c r="D8" s="69"/>
    </row>
    <row r="9" spans="1:12" s="4" customFormat="1" ht="19.2" x14ac:dyDescent="0.45">
      <c r="A9" s="67" t="s">
        <v>872</v>
      </c>
      <c r="B9" s="68"/>
      <c r="C9" s="69"/>
      <c r="D9" s="69"/>
    </row>
    <row r="10" spans="1:12" s="4" customFormat="1" ht="19.2" x14ac:dyDescent="0.45">
      <c r="A10" s="67" t="s">
        <v>873</v>
      </c>
      <c r="B10" s="68"/>
      <c r="C10" s="69"/>
      <c r="D10" s="69"/>
    </row>
    <row r="11" spans="1:12" s="4" customFormat="1" ht="19.2" x14ac:dyDescent="0.45">
      <c r="A11" s="67" t="s">
        <v>85</v>
      </c>
      <c r="B11" s="68"/>
      <c r="C11" s="70"/>
      <c r="D11" s="69"/>
    </row>
    <row r="12" spans="1:12" s="4" customFormat="1" ht="15" customHeight="1" x14ac:dyDescent="0.45">
      <c r="A12" s="67" t="s">
        <v>38</v>
      </c>
      <c r="B12" s="68"/>
      <c r="C12" s="70"/>
      <c r="D12" s="69"/>
    </row>
    <row r="13" spans="1:12" s="4" customFormat="1" ht="19.2" x14ac:dyDescent="0.45">
      <c r="A13" s="71" t="s">
        <v>874</v>
      </c>
      <c r="B13" s="72"/>
      <c r="C13" s="73"/>
      <c r="D13" s="74"/>
      <c r="E13" s="10"/>
      <c r="F13" s="10"/>
      <c r="G13" s="10"/>
    </row>
    <row r="14" spans="1:12" s="4" customFormat="1" ht="19.2" x14ac:dyDescent="0.4">
      <c r="A14" s="758" t="s">
        <v>40</v>
      </c>
      <c r="B14" s="759"/>
      <c r="C14" s="760"/>
      <c r="D14" s="761"/>
      <c r="E14" s="1"/>
      <c r="F14" s="1"/>
      <c r="G14" s="1"/>
      <c r="H14" s="10"/>
      <c r="I14" s="10"/>
      <c r="J14" s="10"/>
      <c r="K14" s="10"/>
      <c r="L14" s="10"/>
    </row>
    <row r="15" spans="1:12" s="10" customFormat="1" ht="13.8" x14ac:dyDescent="0.25">
      <c r="A15" s="197"/>
      <c r="B15" s="198"/>
      <c r="C15" s="199"/>
      <c r="D15" s="199"/>
      <c r="E15" s="17"/>
      <c r="F15" s="23"/>
      <c r="G15" s="23"/>
      <c r="H15" s="1"/>
      <c r="I15" s="1"/>
      <c r="J15" s="1"/>
      <c r="K15" s="1"/>
      <c r="L15" s="1"/>
    </row>
    <row r="16" spans="1:12" ht="90.6" x14ac:dyDescent="0.25">
      <c r="A16" s="491">
        <v>1</v>
      </c>
      <c r="B16" s="485" t="s">
        <v>877</v>
      </c>
      <c r="C16" s="486">
        <v>65000</v>
      </c>
      <c r="D16" s="489">
        <f>A16*C16</f>
        <v>65000</v>
      </c>
      <c r="E16" s="17"/>
      <c r="H16" s="23"/>
      <c r="I16" s="23"/>
      <c r="J16" s="23"/>
      <c r="K16" s="23"/>
      <c r="L16" s="23"/>
    </row>
    <row r="17" spans="1:13" s="23" customFormat="1" ht="15.6" x14ac:dyDescent="0.25">
      <c r="A17" s="492">
        <v>24</v>
      </c>
      <c r="B17" s="493" t="s">
        <v>867</v>
      </c>
      <c r="C17" s="654">
        <v>900</v>
      </c>
      <c r="D17" s="489">
        <f>A17*C17</f>
        <v>21600</v>
      </c>
      <c r="E17" s="17"/>
      <c r="F17" s="1"/>
      <c r="G17" s="1"/>
    </row>
    <row r="18" spans="1:13" s="23" customFormat="1" ht="15.6" x14ac:dyDescent="0.3">
      <c r="A18" s="487"/>
      <c r="B18" s="499"/>
      <c r="C18" s="488"/>
      <c r="D18" s="490"/>
      <c r="E18" s="13"/>
      <c r="F18" s="1"/>
      <c r="G18" s="1"/>
      <c r="H18" s="1"/>
      <c r="I18" s="1"/>
      <c r="J18" s="1"/>
      <c r="K18" s="1"/>
      <c r="L18" s="1"/>
    </row>
    <row r="19" spans="1:13" s="23" customFormat="1" ht="15.6" x14ac:dyDescent="0.3">
      <c r="A19" s="161"/>
      <c r="B19" s="500" t="s">
        <v>868</v>
      </c>
      <c r="C19" s="496" t="s">
        <v>49</v>
      </c>
      <c r="D19" s="490">
        <f>SUM(D15:D18)</f>
        <v>86600</v>
      </c>
      <c r="E19" s="13"/>
      <c r="F19" s="1"/>
      <c r="G19" s="1"/>
      <c r="H19" s="1"/>
      <c r="I19" s="1"/>
      <c r="J19" s="1"/>
      <c r="K19" s="1"/>
      <c r="L19" s="1"/>
    </row>
    <row r="20" spans="1:13" s="23" customFormat="1" ht="21" customHeight="1" x14ac:dyDescent="0.3">
      <c r="A20" s="161"/>
      <c r="B20" s="500" t="s">
        <v>870</v>
      </c>
      <c r="C20" s="497" t="s">
        <v>51</v>
      </c>
      <c r="D20" s="171">
        <v>0</v>
      </c>
      <c r="E20" s="13"/>
      <c r="F20" s="1"/>
      <c r="G20" s="1"/>
      <c r="H20" s="1"/>
      <c r="I20" s="1"/>
      <c r="J20" s="1"/>
      <c r="K20" s="1"/>
      <c r="L20" s="1"/>
    </row>
    <row r="21" spans="1:13" s="23" customFormat="1" ht="16.2" thickBot="1" x14ac:dyDescent="0.35">
      <c r="A21" s="161"/>
      <c r="B21" s="500" t="s">
        <v>869</v>
      </c>
      <c r="C21" s="498" t="s">
        <v>77</v>
      </c>
      <c r="D21" s="174">
        <f>D19+D20</f>
        <v>86600</v>
      </c>
      <c r="E21" s="13"/>
      <c r="F21" s="1"/>
      <c r="G21" s="1"/>
      <c r="H21" s="1"/>
      <c r="I21" s="1"/>
      <c r="J21" s="1"/>
      <c r="K21" s="1"/>
      <c r="L21" s="1"/>
      <c r="M21" s="1"/>
    </row>
    <row r="22" spans="1:13" s="23" customFormat="1" ht="16.2" thickBot="1" x14ac:dyDescent="0.3">
      <c r="A22" s="116"/>
      <c r="B22" s="788" t="s">
        <v>875</v>
      </c>
      <c r="C22" s="789"/>
      <c r="D22" s="790"/>
      <c r="E22" s="1"/>
      <c r="F22" s="1"/>
      <c r="G22" s="1"/>
      <c r="H22" s="1"/>
      <c r="I22" s="1"/>
      <c r="J22" s="1"/>
      <c r="K22" s="1"/>
      <c r="L22" s="1"/>
      <c r="M22" s="1"/>
    </row>
    <row r="23" spans="1:13" s="23" customFormat="1" x14ac:dyDescent="0.25">
      <c r="A23" s="34"/>
      <c r="B23" s="655" t="s">
        <v>876</v>
      </c>
      <c r="C23" s="163"/>
      <c r="D23" s="164"/>
      <c r="E23" s="1"/>
      <c r="F23" s="1"/>
      <c r="G23" s="1"/>
      <c r="H23" s="1"/>
      <c r="I23" s="1"/>
      <c r="J23" s="1"/>
      <c r="K23" s="1"/>
      <c r="L23" s="1"/>
      <c r="M23" s="1"/>
    </row>
    <row r="24" spans="1:13" s="23" customFormat="1" ht="13.8" x14ac:dyDescent="0.25">
      <c r="A24" s="34"/>
      <c r="B24" s="135" t="s">
        <v>15</v>
      </c>
      <c r="C24" s="165"/>
      <c r="D24" s="56"/>
      <c r="E24" s="1"/>
      <c r="F24" s="1"/>
      <c r="G24" s="1"/>
      <c r="H24" s="1"/>
      <c r="I24" s="1"/>
      <c r="J24" s="1"/>
      <c r="K24" s="1"/>
      <c r="L24" s="1"/>
      <c r="M24" s="1"/>
    </row>
    <row r="25" spans="1:13" s="23" customFormat="1" ht="15" x14ac:dyDescent="0.25">
      <c r="A25" s="62"/>
      <c r="B25" s="135" t="s">
        <v>17</v>
      </c>
      <c r="C25" s="3"/>
      <c r="D25" s="56"/>
      <c r="E25" s="1"/>
      <c r="F25" s="1"/>
      <c r="G25" s="1"/>
      <c r="H25" s="1"/>
      <c r="I25" s="1"/>
      <c r="J25" s="1"/>
      <c r="K25" s="1"/>
      <c r="L25" s="1"/>
      <c r="M25" s="1"/>
    </row>
    <row r="26" spans="1:13" s="23" customFormat="1" ht="15" x14ac:dyDescent="0.25">
      <c r="A26" s="62"/>
      <c r="B26" s="191" t="s">
        <v>289</v>
      </c>
      <c r="C26" s="3"/>
      <c r="D26" s="56"/>
      <c r="E26" s="1"/>
      <c r="F26" s="1"/>
      <c r="G26" s="1"/>
      <c r="H26" s="1"/>
      <c r="I26" s="1"/>
      <c r="J26" s="1"/>
      <c r="K26" s="1"/>
      <c r="L26" s="1"/>
      <c r="M26" s="1"/>
    </row>
    <row r="27" spans="1:13" s="23" customFormat="1" ht="15" x14ac:dyDescent="0.25">
      <c r="A27" s="62"/>
      <c r="B27" s="191" t="s">
        <v>21</v>
      </c>
      <c r="C27" s="3"/>
      <c r="D27" s="56"/>
      <c r="E27" s="1"/>
      <c r="F27" s="1"/>
      <c r="G27" s="1"/>
      <c r="H27" s="1"/>
      <c r="I27" s="1"/>
      <c r="J27" s="1"/>
      <c r="K27" s="1"/>
      <c r="L27" s="1"/>
      <c r="M27" s="1"/>
    </row>
    <row r="28" spans="1:13" s="23" customFormat="1" ht="15" x14ac:dyDescent="0.25">
      <c r="A28" s="62"/>
      <c r="B28" s="191" t="s">
        <v>60</v>
      </c>
      <c r="C28" s="3"/>
      <c r="D28" s="56"/>
      <c r="E28" s="1"/>
      <c r="F28" s="1"/>
      <c r="G28" s="1"/>
      <c r="H28" s="1"/>
      <c r="I28" s="1"/>
      <c r="J28" s="1"/>
      <c r="K28" s="1"/>
      <c r="L28" s="1"/>
      <c r="M28" s="1"/>
    </row>
    <row r="29" spans="1:13" s="23" customFormat="1" ht="13.8" x14ac:dyDescent="0.25">
      <c r="A29" s="1"/>
      <c r="B29" s="135" t="s">
        <v>23</v>
      </c>
      <c r="C29" s="3"/>
      <c r="D29" s="3"/>
      <c r="E29" s="1"/>
      <c r="F29" s="1"/>
      <c r="G29" s="1"/>
      <c r="H29" s="1"/>
      <c r="I29" s="1"/>
      <c r="J29" s="1"/>
      <c r="K29" s="1"/>
      <c r="L29" s="1"/>
      <c r="M29" s="1"/>
    </row>
    <row r="30" spans="1:13" s="23" customFormat="1" ht="15" x14ac:dyDescent="0.25">
      <c r="A30" s="62"/>
      <c r="B30" s="187" t="s">
        <v>450</v>
      </c>
      <c r="C30" s="3"/>
      <c r="D30" s="3"/>
      <c r="E30" s="13"/>
      <c r="F30" s="1"/>
      <c r="G30" s="1"/>
      <c r="H30" s="1"/>
      <c r="I30" s="1"/>
      <c r="J30" s="1"/>
      <c r="K30" s="1"/>
      <c r="L30" s="1"/>
      <c r="M30" s="1"/>
    </row>
    <row r="31" spans="1:13" ht="27.6" x14ac:dyDescent="0.25">
      <c r="A31" s="62"/>
      <c r="B31" s="187" t="s">
        <v>62</v>
      </c>
      <c r="C31" s="54"/>
      <c r="D31" s="58"/>
      <c r="E31" s="13"/>
    </row>
    <row r="32" spans="1:13" ht="15" x14ac:dyDescent="0.25">
      <c r="A32" s="62"/>
      <c r="B32" s="135" t="s">
        <v>26</v>
      </c>
      <c r="C32" s="54"/>
      <c r="D32" s="58"/>
    </row>
    <row r="33" spans="1:4" ht="15" x14ac:dyDescent="0.25">
      <c r="A33" s="62"/>
      <c r="B33" s="189" t="s">
        <v>567</v>
      </c>
      <c r="C33" s="54"/>
      <c r="D33" s="54"/>
    </row>
    <row r="34" spans="1:4" ht="15" x14ac:dyDescent="0.25">
      <c r="A34" s="62"/>
      <c r="B34" s="189" t="s">
        <v>28</v>
      </c>
      <c r="C34" s="54"/>
      <c r="D34" s="54"/>
    </row>
    <row r="35" spans="1:4" ht="13.8" x14ac:dyDescent="0.25">
      <c r="B35" s="135" t="s">
        <v>29</v>
      </c>
      <c r="D35" s="56"/>
    </row>
    <row r="36" spans="1:4" ht="15" x14ac:dyDescent="0.25">
      <c r="A36" s="62"/>
      <c r="B36" s="190" t="s">
        <v>81</v>
      </c>
      <c r="C36" s="54"/>
      <c r="D36" s="58"/>
    </row>
    <row r="37" spans="1:4" ht="15" x14ac:dyDescent="0.25">
      <c r="A37" s="62"/>
      <c r="B37" s="191" t="s">
        <v>31</v>
      </c>
      <c r="C37" s="54"/>
      <c r="D37" s="58"/>
    </row>
    <row r="38" spans="1:4" ht="13.8" x14ac:dyDescent="0.25">
      <c r="A38" s="139" t="s">
        <v>0</v>
      </c>
      <c r="B38" s="191" t="s">
        <v>32</v>
      </c>
      <c r="C38" s="54"/>
    </row>
    <row r="39" spans="1:4" ht="50.4" x14ac:dyDescent="0.25">
      <c r="A39" s="142"/>
      <c r="B39" s="193" t="s">
        <v>65</v>
      </c>
      <c r="C39" s="141"/>
      <c r="D39" s="1"/>
    </row>
    <row r="40" spans="1:4" ht="17.25" customHeight="1" x14ac:dyDescent="0.25">
      <c r="A40" s="142"/>
      <c r="B40" s="64"/>
      <c r="C40" s="64"/>
      <c r="D40" s="1"/>
    </row>
    <row r="41" spans="1:4" x14ac:dyDescent="0.25">
      <c r="A41" s="142"/>
      <c r="B41" s="64"/>
      <c r="C41" s="64"/>
      <c r="D41" s="1"/>
    </row>
    <row r="42" spans="1:4" ht="13.5" customHeight="1" x14ac:dyDescent="0.25">
      <c r="A42" s="144"/>
      <c r="B42" s="143"/>
      <c r="C42" s="64"/>
      <c r="D42" s="1"/>
    </row>
    <row r="43" spans="1:4" ht="15" x14ac:dyDescent="0.35">
      <c r="A43" s="146" t="s">
        <v>0</v>
      </c>
      <c r="B43" s="145"/>
      <c r="C43" s="64"/>
      <c r="D43" s="64"/>
    </row>
    <row r="44" spans="1:4" x14ac:dyDescent="0.25">
      <c r="A44" s="1" t="s">
        <v>0</v>
      </c>
    </row>
    <row r="48" spans="1:4" ht="18" customHeight="1" x14ac:dyDescent="0.25"/>
    <row r="61" ht="12.75" customHeight="1" x14ac:dyDescent="0.25"/>
    <row r="65" ht="16.5" customHeight="1" x14ac:dyDescent="0.25"/>
    <row r="69" ht="15.75" customHeight="1" x14ac:dyDescent="0.25"/>
    <row r="70" ht="15" customHeight="1" x14ac:dyDescent="0.25"/>
  </sheetData>
  <mergeCells count="3">
    <mergeCell ref="A4:D4"/>
    <mergeCell ref="A14:D14"/>
    <mergeCell ref="B22:D22"/>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07AD5-66A5-486E-98A6-83E1CBB67CEF}">
  <sheetPr>
    <tabColor theme="4" tint="-0.249977111117893"/>
    <pageSetUpPr fitToPage="1"/>
  </sheetPr>
  <dimension ref="A1:M70"/>
  <sheetViews>
    <sheetView topLeftCell="A7" zoomScale="85" zoomScaleNormal="85" workbookViewId="0">
      <selection activeCell="B23" sqref="B23"/>
    </sheetView>
  </sheetViews>
  <sheetFormatPr baseColWidth="10" defaultColWidth="11.44140625" defaultRowHeight="13.2" x14ac:dyDescent="0.25"/>
  <cols>
    <col min="1" max="1" width="6" style="1" customWidth="1"/>
    <col min="2" max="2" width="96.886718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871</v>
      </c>
      <c r="B8" s="68"/>
      <c r="C8" s="69"/>
      <c r="D8" s="69"/>
    </row>
    <row r="9" spans="1:12" s="4" customFormat="1" ht="19.2" x14ac:dyDescent="0.45">
      <c r="A9" s="67" t="s">
        <v>872</v>
      </c>
      <c r="B9" s="68"/>
      <c r="C9" s="69"/>
      <c r="D9" s="69"/>
    </row>
    <row r="10" spans="1:12" s="4" customFormat="1" ht="19.2" x14ac:dyDescent="0.45">
      <c r="A10" s="67" t="s">
        <v>873</v>
      </c>
      <c r="B10" s="68"/>
      <c r="C10" s="69"/>
      <c r="D10" s="69"/>
    </row>
    <row r="11" spans="1:12" s="4" customFormat="1" ht="19.2" x14ac:dyDescent="0.45">
      <c r="A11" s="67" t="s">
        <v>85</v>
      </c>
      <c r="B11" s="68"/>
      <c r="C11" s="70"/>
      <c r="D11" s="69"/>
    </row>
    <row r="12" spans="1:12" s="4" customFormat="1" ht="15" customHeight="1" x14ac:dyDescent="0.45">
      <c r="A12" s="67" t="s">
        <v>38</v>
      </c>
      <c r="B12" s="68"/>
      <c r="C12" s="70"/>
      <c r="D12" s="69"/>
    </row>
    <row r="13" spans="1:12" s="4" customFormat="1" ht="19.2" x14ac:dyDescent="0.45">
      <c r="A13" s="71" t="s">
        <v>874</v>
      </c>
      <c r="B13" s="72"/>
      <c r="C13" s="73"/>
      <c r="D13" s="74"/>
      <c r="E13" s="10"/>
      <c r="F13" s="10"/>
      <c r="G13" s="10"/>
    </row>
    <row r="14" spans="1:12" s="4" customFormat="1" ht="19.2" x14ac:dyDescent="0.4">
      <c r="A14" s="758" t="s">
        <v>40</v>
      </c>
      <c r="B14" s="759"/>
      <c r="C14" s="760"/>
      <c r="D14" s="761"/>
      <c r="E14" s="1"/>
      <c r="F14" s="1"/>
      <c r="G14" s="1"/>
      <c r="H14" s="10"/>
      <c r="I14" s="10"/>
      <c r="J14" s="10"/>
      <c r="K14" s="10"/>
      <c r="L14" s="10"/>
    </row>
    <row r="15" spans="1:12" s="10" customFormat="1" ht="13.8" x14ac:dyDescent="0.25">
      <c r="A15" s="197"/>
      <c r="B15" s="198"/>
      <c r="C15" s="199"/>
      <c r="D15" s="199"/>
      <c r="E15" s="17"/>
      <c r="F15" s="23"/>
      <c r="G15" s="23"/>
      <c r="H15" s="1"/>
      <c r="I15" s="1"/>
      <c r="J15" s="1"/>
      <c r="K15" s="1"/>
      <c r="L15" s="1"/>
    </row>
    <row r="16" spans="1:12" ht="90.6" x14ac:dyDescent="0.25">
      <c r="A16" s="491">
        <v>1</v>
      </c>
      <c r="B16" s="485" t="s">
        <v>878</v>
      </c>
      <c r="C16" s="486">
        <v>38000</v>
      </c>
      <c r="D16" s="489">
        <f>A16*C16</f>
        <v>38000</v>
      </c>
      <c r="E16" s="17"/>
      <c r="H16" s="23"/>
      <c r="I16" s="23"/>
      <c r="J16" s="23"/>
      <c r="K16" s="23"/>
      <c r="L16" s="23"/>
    </row>
    <row r="17" spans="1:13" s="23" customFormat="1" ht="15.6" x14ac:dyDescent="0.25">
      <c r="A17" s="492">
        <v>1</v>
      </c>
      <c r="B17" s="493" t="s">
        <v>867</v>
      </c>
      <c r="C17" s="654">
        <v>900</v>
      </c>
      <c r="D17" s="489"/>
      <c r="E17" s="17"/>
      <c r="F17" s="1"/>
      <c r="G17" s="1"/>
    </row>
    <row r="18" spans="1:13" s="23" customFormat="1" ht="15.6" x14ac:dyDescent="0.3">
      <c r="A18" s="487"/>
      <c r="B18" s="499"/>
      <c r="C18" s="488"/>
      <c r="D18" s="490"/>
      <c r="E18" s="13"/>
      <c r="F18" s="1"/>
      <c r="G18" s="1"/>
      <c r="H18" s="1"/>
      <c r="I18" s="1"/>
      <c r="J18" s="1"/>
      <c r="K18" s="1"/>
      <c r="L18" s="1"/>
    </row>
    <row r="19" spans="1:13" s="23" customFormat="1" ht="15.6" x14ac:dyDescent="0.3">
      <c r="A19" s="161"/>
      <c r="B19" s="500" t="s">
        <v>868</v>
      </c>
      <c r="C19" s="496" t="s">
        <v>49</v>
      </c>
      <c r="D19" s="490">
        <f>SUM(D15:D18)</f>
        <v>38000</v>
      </c>
      <c r="E19" s="13"/>
      <c r="F19" s="1"/>
      <c r="G19" s="1"/>
      <c r="H19" s="1"/>
      <c r="I19" s="1"/>
      <c r="J19" s="1"/>
      <c r="K19" s="1"/>
      <c r="L19" s="1"/>
    </row>
    <row r="20" spans="1:13" s="23" customFormat="1" ht="21" customHeight="1" x14ac:dyDescent="0.3">
      <c r="A20" s="161"/>
      <c r="B20" s="500" t="s">
        <v>870</v>
      </c>
      <c r="C20" s="497" t="s">
        <v>51</v>
      </c>
      <c r="D20" s="171">
        <v>0</v>
      </c>
      <c r="E20" s="13"/>
      <c r="F20" s="1"/>
      <c r="G20" s="1"/>
      <c r="H20" s="1"/>
      <c r="I20" s="1"/>
      <c r="J20" s="1"/>
      <c r="K20" s="1"/>
      <c r="L20" s="1"/>
    </row>
    <row r="21" spans="1:13" s="23" customFormat="1" ht="16.2" thickBot="1" x14ac:dyDescent="0.35">
      <c r="A21" s="161"/>
      <c r="B21" s="500" t="s">
        <v>869</v>
      </c>
      <c r="C21" s="498" t="s">
        <v>77</v>
      </c>
      <c r="D21" s="174">
        <f>D19+D20</f>
        <v>38000</v>
      </c>
      <c r="E21" s="13"/>
      <c r="F21" s="1"/>
      <c r="G21" s="1"/>
      <c r="H21" s="1"/>
      <c r="I21" s="1"/>
      <c r="J21" s="1"/>
      <c r="K21" s="1"/>
      <c r="L21" s="1"/>
      <c r="M21" s="1"/>
    </row>
    <row r="22" spans="1:13" s="23" customFormat="1" ht="16.2" thickBot="1" x14ac:dyDescent="0.3">
      <c r="A22" s="116"/>
      <c r="B22" s="788" t="s">
        <v>875</v>
      </c>
      <c r="C22" s="789"/>
      <c r="D22" s="790"/>
      <c r="E22" s="1"/>
      <c r="F22" s="1"/>
      <c r="G22" s="1"/>
      <c r="H22" s="1"/>
      <c r="I22" s="1"/>
      <c r="J22" s="1"/>
      <c r="K22" s="1"/>
      <c r="L22" s="1"/>
      <c r="M22" s="1"/>
    </row>
    <row r="23" spans="1:13" s="23" customFormat="1" x14ac:dyDescent="0.25">
      <c r="A23" s="34"/>
      <c r="B23" s="655" t="s">
        <v>876</v>
      </c>
      <c r="C23" s="163"/>
      <c r="D23" s="164"/>
      <c r="E23" s="1"/>
      <c r="F23" s="1"/>
      <c r="G23" s="1"/>
      <c r="H23" s="1"/>
      <c r="I23" s="1"/>
      <c r="J23" s="1"/>
      <c r="K23" s="1"/>
      <c r="L23" s="1"/>
      <c r="M23" s="1"/>
    </row>
    <row r="24" spans="1:13" s="23" customFormat="1" ht="13.8" x14ac:dyDescent="0.25">
      <c r="A24" s="34"/>
      <c r="B24" s="135" t="s">
        <v>15</v>
      </c>
      <c r="C24" s="165"/>
      <c r="D24" s="56"/>
      <c r="E24" s="1"/>
      <c r="F24" s="1"/>
      <c r="G24" s="1"/>
      <c r="H24" s="1"/>
      <c r="I24" s="1"/>
      <c r="J24" s="1"/>
      <c r="K24" s="1"/>
      <c r="L24" s="1"/>
      <c r="M24" s="1"/>
    </row>
    <row r="25" spans="1:13" s="23" customFormat="1" ht="15" x14ac:dyDescent="0.25">
      <c r="A25" s="62"/>
      <c r="B25" s="135" t="s">
        <v>17</v>
      </c>
      <c r="C25" s="3"/>
      <c r="D25" s="56"/>
      <c r="E25" s="1"/>
      <c r="F25" s="1"/>
      <c r="G25" s="1"/>
      <c r="H25" s="1"/>
      <c r="I25" s="1"/>
      <c r="J25" s="1"/>
      <c r="K25" s="1"/>
      <c r="L25" s="1"/>
      <c r="M25" s="1"/>
    </row>
    <row r="26" spans="1:13" s="23" customFormat="1" ht="15" x14ac:dyDescent="0.25">
      <c r="A26" s="62"/>
      <c r="B26" s="191" t="s">
        <v>289</v>
      </c>
      <c r="C26" s="3"/>
      <c r="D26" s="56"/>
      <c r="E26" s="1"/>
      <c r="F26" s="1"/>
      <c r="G26" s="1"/>
      <c r="H26" s="1"/>
      <c r="I26" s="1"/>
      <c r="J26" s="1"/>
      <c r="K26" s="1"/>
      <c r="L26" s="1"/>
      <c r="M26" s="1"/>
    </row>
    <row r="27" spans="1:13" s="23" customFormat="1" ht="15" x14ac:dyDescent="0.25">
      <c r="A27" s="62"/>
      <c r="B27" s="191" t="s">
        <v>21</v>
      </c>
      <c r="C27" s="3"/>
      <c r="D27" s="56"/>
      <c r="E27" s="1"/>
      <c r="F27" s="1"/>
      <c r="G27" s="1"/>
      <c r="H27" s="1"/>
      <c r="I27" s="1"/>
      <c r="J27" s="1"/>
      <c r="K27" s="1"/>
      <c r="L27" s="1"/>
      <c r="M27" s="1"/>
    </row>
    <row r="28" spans="1:13" s="23" customFormat="1" ht="15" x14ac:dyDescent="0.25">
      <c r="A28" s="62"/>
      <c r="B28" s="191" t="s">
        <v>60</v>
      </c>
      <c r="C28" s="3"/>
      <c r="D28" s="56"/>
      <c r="E28" s="1"/>
      <c r="F28" s="1"/>
      <c r="G28" s="1"/>
      <c r="H28" s="1"/>
      <c r="I28" s="1"/>
      <c r="J28" s="1"/>
      <c r="K28" s="1"/>
      <c r="L28" s="1"/>
      <c r="M28" s="1"/>
    </row>
    <row r="29" spans="1:13" s="23" customFormat="1" ht="13.8" x14ac:dyDescent="0.25">
      <c r="A29" s="1"/>
      <c r="B29" s="135" t="s">
        <v>23</v>
      </c>
      <c r="C29" s="3"/>
      <c r="D29" s="3"/>
      <c r="E29" s="1"/>
      <c r="F29" s="1"/>
      <c r="G29" s="1"/>
      <c r="H29" s="1"/>
      <c r="I29" s="1"/>
      <c r="J29" s="1"/>
      <c r="K29" s="1"/>
      <c r="L29" s="1"/>
      <c r="M29" s="1"/>
    </row>
    <row r="30" spans="1:13" s="23" customFormat="1" ht="15" x14ac:dyDescent="0.25">
      <c r="A30" s="62"/>
      <c r="B30" s="187" t="s">
        <v>450</v>
      </c>
      <c r="C30" s="3"/>
      <c r="D30" s="3"/>
      <c r="E30" s="13"/>
      <c r="F30" s="1"/>
      <c r="G30" s="1"/>
      <c r="H30" s="1"/>
      <c r="I30" s="1"/>
      <c r="J30" s="1"/>
      <c r="K30" s="1"/>
      <c r="L30" s="1"/>
      <c r="M30" s="1"/>
    </row>
    <row r="31" spans="1:13" ht="27.6" x14ac:dyDescent="0.25">
      <c r="A31" s="62"/>
      <c r="B31" s="187" t="s">
        <v>62</v>
      </c>
      <c r="C31" s="54"/>
      <c r="D31" s="58"/>
      <c r="E31" s="13"/>
    </row>
    <row r="32" spans="1:13" ht="15" x14ac:dyDescent="0.25">
      <c r="A32" s="62"/>
      <c r="B32" s="135" t="s">
        <v>26</v>
      </c>
      <c r="C32" s="54"/>
      <c r="D32" s="58"/>
    </row>
    <row r="33" spans="1:4" ht="15" x14ac:dyDescent="0.25">
      <c r="A33" s="62"/>
      <c r="B33" s="189" t="s">
        <v>567</v>
      </c>
      <c r="C33" s="54"/>
      <c r="D33" s="54"/>
    </row>
    <row r="34" spans="1:4" ht="15" x14ac:dyDescent="0.25">
      <c r="A34" s="62"/>
      <c r="B34" s="189" t="s">
        <v>28</v>
      </c>
      <c r="C34" s="54"/>
      <c r="D34" s="54"/>
    </row>
    <row r="35" spans="1:4" ht="13.8" x14ac:dyDescent="0.25">
      <c r="B35" s="135" t="s">
        <v>29</v>
      </c>
      <c r="D35" s="56"/>
    </row>
    <row r="36" spans="1:4" ht="15" x14ac:dyDescent="0.25">
      <c r="A36" s="62"/>
      <c r="B36" s="190" t="s">
        <v>81</v>
      </c>
      <c r="C36" s="54"/>
      <c r="D36" s="58"/>
    </row>
    <row r="37" spans="1:4" ht="15" x14ac:dyDescent="0.25">
      <c r="A37" s="62"/>
      <c r="B37" s="191" t="s">
        <v>31</v>
      </c>
      <c r="C37" s="54"/>
      <c r="D37" s="58"/>
    </row>
    <row r="38" spans="1:4" ht="13.8" x14ac:dyDescent="0.25">
      <c r="A38" s="139" t="s">
        <v>0</v>
      </c>
      <c r="B38" s="191" t="s">
        <v>32</v>
      </c>
      <c r="C38" s="54"/>
    </row>
    <row r="39" spans="1:4" ht="50.4" x14ac:dyDescent="0.25">
      <c r="A39" s="142"/>
      <c r="B39" s="193" t="s">
        <v>65</v>
      </c>
      <c r="C39" s="141"/>
      <c r="D39" s="1"/>
    </row>
    <row r="40" spans="1:4" ht="17.25" customHeight="1" x14ac:dyDescent="0.25">
      <c r="A40" s="142"/>
      <c r="B40" s="64"/>
      <c r="C40" s="64"/>
      <c r="D40" s="1"/>
    </row>
    <row r="41" spans="1:4" x14ac:dyDescent="0.25">
      <c r="A41" s="142"/>
      <c r="B41" s="64"/>
      <c r="C41" s="64"/>
      <c r="D41" s="1"/>
    </row>
    <row r="42" spans="1:4" ht="13.5" customHeight="1" x14ac:dyDescent="0.25">
      <c r="A42" s="144"/>
      <c r="B42" s="143"/>
      <c r="C42" s="64"/>
      <c r="D42" s="1"/>
    </row>
    <row r="43" spans="1:4" ht="15" x14ac:dyDescent="0.35">
      <c r="A43" s="146" t="s">
        <v>0</v>
      </c>
      <c r="B43" s="145"/>
      <c r="C43" s="64"/>
      <c r="D43" s="64"/>
    </row>
    <row r="44" spans="1:4" x14ac:dyDescent="0.25">
      <c r="A44" s="1" t="s">
        <v>0</v>
      </c>
    </row>
    <row r="48" spans="1:4" ht="18" customHeight="1" x14ac:dyDescent="0.25"/>
    <row r="61" ht="12.75" customHeight="1" x14ac:dyDescent="0.25"/>
    <row r="65" ht="16.5" customHeight="1" x14ac:dyDescent="0.25"/>
    <row r="69" ht="15.75" customHeight="1" x14ac:dyDescent="0.25"/>
    <row r="70" ht="15" customHeight="1" x14ac:dyDescent="0.25"/>
  </sheetData>
  <mergeCells count="3">
    <mergeCell ref="A4:D4"/>
    <mergeCell ref="A14:D14"/>
    <mergeCell ref="B22:D22"/>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AB91-C641-4009-9C67-EB32EE84663C}">
  <sheetPr>
    <tabColor theme="4" tint="-0.249977111117893"/>
    <pageSetUpPr fitToPage="1"/>
  </sheetPr>
  <dimension ref="A1:M70"/>
  <sheetViews>
    <sheetView topLeftCell="A7" zoomScale="85" zoomScaleNormal="85" workbookViewId="0">
      <selection activeCell="B34" sqref="B34"/>
    </sheetView>
  </sheetViews>
  <sheetFormatPr baseColWidth="10" defaultColWidth="11.44140625" defaultRowHeight="13.2" x14ac:dyDescent="0.25"/>
  <cols>
    <col min="1" max="1" width="6" style="1" customWidth="1"/>
    <col min="2" max="2" width="96.886718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871</v>
      </c>
      <c r="B8" s="68"/>
      <c r="C8" s="69"/>
      <c r="D8" s="69"/>
    </row>
    <row r="9" spans="1:12" s="4" customFormat="1" ht="19.2" x14ac:dyDescent="0.45">
      <c r="A9" s="67" t="s">
        <v>872</v>
      </c>
      <c r="B9" s="68"/>
      <c r="C9" s="69"/>
      <c r="D9" s="69"/>
    </row>
    <row r="10" spans="1:12" s="4" customFormat="1" ht="19.2" x14ac:dyDescent="0.45">
      <c r="A10" s="67" t="s">
        <v>873</v>
      </c>
      <c r="B10" s="68"/>
      <c r="C10" s="69"/>
      <c r="D10" s="69"/>
    </row>
    <row r="11" spans="1:12" s="4" customFormat="1" ht="19.2" x14ac:dyDescent="0.45">
      <c r="A11" s="67" t="s">
        <v>85</v>
      </c>
      <c r="B11" s="68"/>
      <c r="C11" s="70"/>
      <c r="D11" s="69"/>
    </row>
    <row r="12" spans="1:12" s="4" customFormat="1" ht="15" customHeight="1" x14ac:dyDescent="0.45">
      <c r="A12" s="67" t="s">
        <v>38</v>
      </c>
      <c r="B12" s="68"/>
      <c r="C12" s="70"/>
      <c r="D12" s="69"/>
    </row>
    <row r="13" spans="1:12" s="4" customFormat="1" ht="19.2" x14ac:dyDescent="0.45">
      <c r="A13" s="71" t="s">
        <v>883</v>
      </c>
      <c r="B13" s="72"/>
      <c r="C13" s="73"/>
      <c r="D13" s="74"/>
      <c r="E13" s="10"/>
      <c r="F13" s="10"/>
      <c r="G13" s="10"/>
    </row>
    <row r="14" spans="1:12" s="4" customFormat="1" ht="19.2" x14ac:dyDescent="0.4">
      <c r="A14" s="758" t="s">
        <v>40</v>
      </c>
      <c r="B14" s="759"/>
      <c r="C14" s="760"/>
      <c r="D14" s="761"/>
      <c r="E14" s="1"/>
      <c r="F14" s="1"/>
      <c r="G14" s="1"/>
      <c r="H14" s="10"/>
      <c r="I14" s="10"/>
      <c r="J14" s="10"/>
      <c r="K14" s="10"/>
      <c r="L14" s="10"/>
    </row>
    <row r="15" spans="1:12" s="10" customFormat="1" ht="13.8" x14ac:dyDescent="0.25">
      <c r="A15" s="197"/>
      <c r="B15" s="198"/>
      <c r="C15" s="199"/>
      <c r="D15" s="199"/>
      <c r="E15" s="17"/>
      <c r="F15" s="23"/>
      <c r="G15" s="23"/>
      <c r="H15" s="1"/>
      <c r="I15" s="1"/>
      <c r="J15" s="1"/>
      <c r="K15" s="1"/>
      <c r="L15" s="1"/>
    </row>
    <row r="16" spans="1:12" ht="90.6" x14ac:dyDescent="0.25">
      <c r="A16" s="491">
        <v>1</v>
      </c>
      <c r="B16" s="485" t="s">
        <v>877</v>
      </c>
      <c r="C16" s="486">
        <v>71300</v>
      </c>
      <c r="D16" s="489">
        <f>A16*C16</f>
        <v>71300</v>
      </c>
      <c r="E16" s="17"/>
      <c r="H16" s="23"/>
      <c r="I16" s="23"/>
      <c r="J16" s="23"/>
      <c r="K16" s="23"/>
      <c r="L16" s="23"/>
    </row>
    <row r="17" spans="1:13" s="23" customFormat="1" ht="15.6" x14ac:dyDescent="0.25">
      <c r="A17" s="492">
        <v>24</v>
      </c>
      <c r="B17" s="493" t="s">
        <v>867</v>
      </c>
      <c r="C17" s="654">
        <v>960</v>
      </c>
      <c r="D17" s="489">
        <f>A17*C17</f>
        <v>23040</v>
      </c>
      <c r="E17" s="17"/>
      <c r="F17" s="1"/>
      <c r="G17" s="1"/>
    </row>
    <row r="18" spans="1:13" s="23" customFormat="1" ht="15.6" x14ac:dyDescent="0.3">
      <c r="A18" s="487"/>
      <c r="B18" s="499"/>
      <c r="C18" s="488"/>
      <c r="D18" s="490"/>
      <c r="E18" s="13"/>
      <c r="F18" s="1"/>
      <c r="G18" s="1"/>
      <c r="H18" s="1"/>
      <c r="I18" s="1"/>
      <c r="J18" s="1"/>
      <c r="K18" s="1"/>
      <c r="L18" s="1"/>
    </row>
    <row r="19" spans="1:13" s="23" customFormat="1" ht="15.6" x14ac:dyDescent="0.3">
      <c r="A19" s="161"/>
      <c r="B19" s="500" t="s">
        <v>868</v>
      </c>
      <c r="C19" s="496" t="s">
        <v>49</v>
      </c>
      <c r="D19" s="490">
        <f>SUM(D15:D18)</f>
        <v>94340</v>
      </c>
      <c r="E19" s="13"/>
      <c r="F19" s="1"/>
      <c r="G19" s="1"/>
      <c r="H19" s="1"/>
      <c r="I19" s="1"/>
      <c r="J19" s="1"/>
      <c r="K19" s="1"/>
      <c r="L19" s="1"/>
    </row>
    <row r="20" spans="1:13" s="23" customFormat="1" ht="21" customHeight="1" x14ac:dyDescent="0.3">
      <c r="A20" s="161"/>
      <c r="B20" s="500" t="s">
        <v>870</v>
      </c>
      <c r="C20" s="497" t="s">
        <v>51</v>
      </c>
      <c r="D20" s="171">
        <f>D19*0.16</f>
        <v>15094.4</v>
      </c>
      <c r="E20" s="13"/>
      <c r="F20" s="1"/>
      <c r="G20" s="1"/>
      <c r="H20" s="1"/>
      <c r="I20" s="1"/>
      <c r="J20" s="1"/>
      <c r="K20" s="1"/>
      <c r="L20" s="1"/>
    </row>
    <row r="21" spans="1:13" s="23" customFormat="1" ht="16.2" thickBot="1" x14ac:dyDescent="0.35">
      <c r="A21" s="161"/>
      <c r="B21" s="500" t="s">
        <v>869</v>
      </c>
      <c r="C21" s="498" t="s">
        <v>77</v>
      </c>
      <c r="D21" s="174">
        <f>D19+D20</f>
        <v>109434.4</v>
      </c>
      <c r="E21" s="13"/>
      <c r="F21" s="1"/>
      <c r="G21" s="1"/>
      <c r="H21" s="1"/>
      <c r="I21" s="1"/>
      <c r="J21" s="1"/>
      <c r="K21" s="1"/>
      <c r="L21" s="1"/>
      <c r="M21" s="1"/>
    </row>
    <row r="22" spans="1:13" s="23" customFormat="1" ht="16.2" thickBot="1" x14ac:dyDescent="0.3">
      <c r="A22" s="116"/>
      <c r="B22" s="788" t="s">
        <v>885</v>
      </c>
      <c r="C22" s="789"/>
      <c r="D22" s="790"/>
      <c r="E22" s="1"/>
      <c r="F22" s="1"/>
      <c r="G22" s="1"/>
      <c r="H22" s="1"/>
      <c r="I22" s="1"/>
      <c r="J22" s="1"/>
      <c r="K22" s="1"/>
      <c r="L22" s="1"/>
      <c r="M22" s="1"/>
    </row>
    <row r="23" spans="1:13" s="23" customFormat="1" x14ac:dyDescent="0.25">
      <c r="A23" s="34"/>
      <c r="B23" s="655" t="s">
        <v>876</v>
      </c>
      <c r="C23" s="163"/>
      <c r="D23" s="164"/>
      <c r="E23" s="1"/>
      <c r="F23" s="1"/>
      <c r="G23" s="1"/>
      <c r="H23" s="1"/>
      <c r="I23" s="1"/>
      <c r="J23" s="1"/>
      <c r="K23" s="1"/>
      <c r="L23" s="1"/>
      <c r="M23" s="1"/>
    </row>
    <row r="24" spans="1:13" s="23" customFormat="1" ht="13.8" x14ac:dyDescent="0.25">
      <c r="A24" s="34"/>
      <c r="B24" s="135" t="s">
        <v>15</v>
      </c>
      <c r="C24" s="165"/>
      <c r="D24" s="56"/>
      <c r="E24" s="1"/>
      <c r="F24" s="1"/>
      <c r="G24" s="1"/>
      <c r="H24" s="1"/>
      <c r="I24" s="1"/>
      <c r="J24" s="1"/>
      <c r="K24" s="1"/>
      <c r="L24" s="1"/>
      <c r="M24" s="1"/>
    </row>
    <row r="25" spans="1:13" s="23" customFormat="1" ht="15" x14ac:dyDescent="0.25">
      <c r="A25" s="62"/>
      <c r="B25" s="135" t="s">
        <v>17</v>
      </c>
      <c r="C25" s="3"/>
      <c r="D25" s="56"/>
      <c r="E25" s="1"/>
      <c r="F25" s="1"/>
      <c r="G25" s="1"/>
      <c r="H25" s="1"/>
      <c r="I25" s="1"/>
      <c r="J25" s="1"/>
      <c r="K25" s="1"/>
      <c r="L25" s="1"/>
      <c r="M25" s="1"/>
    </row>
    <row r="26" spans="1:13" s="23" customFormat="1" ht="15" x14ac:dyDescent="0.25">
      <c r="A26" s="62"/>
      <c r="B26" s="191" t="s">
        <v>289</v>
      </c>
      <c r="C26" s="3"/>
      <c r="D26" s="56"/>
      <c r="E26" s="1"/>
      <c r="F26" s="1"/>
      <c r="G26" s="1"/>
      <c r="H26" s="1"/>
      <c r="I26" s="1"/>
      <c r="J26" s="1"/>
      <c r="K26" s="1"/>
      <c r="L26" s="1"/>
      <c r="M26" s="1"/>
    </row>
    <row r="27" spans="1:13" s="23" customFormat="1" ht="15" x14ac:dyDescent="0.25">
      <c r="A27" s="62"/>
      <c r="B27" s="191" t="s">
        <v>21</v>
      </c>
      <c r="C27" s="3"/>
      <c r="D27" s="56"/>
      <c r="E27" s="1"/>
      <c r="F27" s="1"/>
      <c r="G27" s="1"/>
      <c r="H27" s="1"/>
      <c r="I27" s="1"/>
      <c r="J27" s="1"/>
      <c r="K27" s="1"/>
      <c r="L27" s="1"/>
      <c r="M27" s="1"/>
    </row>
    <row r="28" spans="1:13" s="23" customFormat="1" ht="15" x14ac:dyDescent="0.25">
      <c r="A28" s="62"/>
      <c r="B28" s="191" t="s">
        <v>60</v>
      </c>
      <c r="C28" s="3"/>
      <c r="D28" s="56"/>
      <c r="E28" s="1"/>
      <c r="F28" s="1"/>
      <c r="G28" s="1"/>
      <c r="H28" s="1"/>
      <c r="I28" s="1"/>
      <c r="J28" s="1"/>
      <c r="K28" s="1"/>
      <c r="L28" s="1"/>
      <c r="M28" s="1"/>
    </row>
    <row r="29" spans="1:13" s="23" customFormat="1" ht="13.8" x14ac:dyDescent="0.25">
      <c r="A29" s="1"/>
      <c r="B29" s="135" t="s">
        <v>23</v>
      </c>
      <c r="C29" s="3"/>
      <c r="D29" s="3"/>
      <c r="E29" s="1"/>
      <c r="F29" s="1"/>
      <c r="G29" s="1"/>
      <c r="H29" s="1"/>
      <c r="I29" s="1"/>
      <c r="J29" s="1"/>
      <c r="K29" s="1"/>
      <c r="L29" s="1"/>
      <c r="M29" s="1"/>
    </row>
    <row r="30" spans="1:13" s="23" customFormat="1" ht="15" x14ac:dyDescent="0.25">
      <c r="A30" s="62"/>
      <c r="B30" s="187" t="s">
        <v>450</v>
      </c>
      <c r="C30" s="3"/>
      <c r="D30" s="3"/>
      <c r="E30" s="13"/>
      <c r="F30" s="1"/>
      <c r="G30" s="1"/>
      <c r="H30" s="1"/>
      <c r="I30" s="1"/>
      <c r="J30" s="1"/>
      <c r="K30" s="1"/>
      <c r="L30" s="1"/>
      <c r="M30" s="1"/>
    </row>
    <row r="31" spans="1:13" ht="27.6" x14ac:dyDescent="0.25">
      <c r="A31" s="62"/>
      <c r="B31" s="187" t="s">
        <v>62</v>
      </c>
      <c r="C31" s="54"/>
      <c r="D31" s="58"/>
      <c r="E31" s="13"/>
    </row>
    <row r="32" spans="1:13" ht="15" x14ac:dyDescent="0.25">
      <c r="A32" s="62"/>
      <c r="B32" s="135" t="s">
        <v>26</v>
      </c>
      <c r="C32" s="54"/>
      <c r="D32" s="58"/>
    </row>
    <row r="33" spans="1:4" ht="15" x14ac:dyDescent="0.25">
      <c r="A33" s="62"/>
      <c r="B33" s="189" t="s">
        <v>1174</v>
      </c>
      <c r="C33" s="54"/>
      <c r="D33" s="54"/>
    </row>
    <row r="34" spans="1:4" ht="15" x14ac:dyDescent="0.25">
      <c r="A34" s="62"/>
      <c r="B34" s="189" t="s">
        <v>28</v>
      </c>
      <c r="C34" s="54"/>
      <c r="D34" s="54"/>
    </row>
    <row r="35" spans="1:4" ht="13.8" x14ac:dyDescent="0.25">
      <c r="B35" s="135" t="s">
        <v>29</v>
      </c>
      <c r="D35" s="56"/>
    </row>
    <row r="36" spans="1:4" ht="15" x14ac:dyDescent="0.25">
      <c r="A36" s="62"/>
      <c r="B36" s="190" t="s">
        <v>1173</v>
      </c>
      <c r="C36" s="54"/>
      <c r="D36" s="58"/>
    </row>
    <row r="37" spans="1:4" ht="15" x14ac:dyDescent="0.25">
      <c r="A37" s="62"/>
      <c r="B37" s="191" t="s">
        <v>31</v>
      </c>
      <c r="C37" s="54"/>
      <c r="D37" s="58"/>
    </row>
    <row r="38" spans="1:4" ht="13.8" x14ac:dyDescent="0.25">
      <c r="A38" s="139" t="s">
        <v>0</v>
      </c>
      <c r="B38" s="191" t="s">
        <v>32</v>
      </c>
      <c r="C38" s="54"/>
    </row>
    <row r="39" spans="1:4" ht="50.4" x14ac:dyDescent="0.25">
      <c r="A39" s="142"/>
      <c r="B39" s="193" t="s">
        <v>65</v>
      </c>
      <c r="C39" s="141"/>
      <c r="D39" s="1"/>
    </row>
    <row r="40" spans="1:4" ht="17.25" customHeight="1" x14ac:dyDescent="0.25">
      <c r="A40" s="142"/>
      <c r="B40" s="64"/>
      <c r="C40" s="64"/>
      <c r="D40" s="1"/>
    </row>
    <row r="41" spans="1:4" x14ac:dyDescent="0.25">
      <c r="A41" s="142"/>
      <c r="B41" s="64"/>
      <c r="C41" s="64"/>
      <c r="D41" s="1"/>
    </row>
    <row r="42" spans="1:4" ht="13.5" customHeight="1" x14ac:dyDescent="0.25">
      <c r="A42" s="144"/>
      <c r="B42" s="143"/>
      <c r="C42" s="64"/>
      <c r="D42" s="1"/>
    </row>
    <row r="43" spans="1:4" ht="15" x14ac:dyDescent="0.35">
      <c r="A43" s="146" t="s">
        <v>0</v>
      </c>
      <c r="B43" s="145"/>
      <c r="C43" s="64"/>
      <c r="D43" s="64"/>
    </row>
    <row r="44" spans="1:4" x14ac:dyDescent="0.25">
      <c r="A44" s="1" t="s">
        <v>0</v>
      </c>
    </row>
    <row r="48" spans="1:4" ht="18" customHeight="1" x14ac:dyDescent="0.25"/>
    <row r="61" ht="12.75" customHeight="1" x14ac:dyDescent="0.25"/>
    <row r="65" ht="16.5" customHeight="1" x14ac:dyDescent="0.25"/>
    <row r="69" ht="15.75" customHeight="1" x14ac:dyDescent="0.25"/>
    <row r="70" ht="15" customHeight="1" x14ac:dyDescent="0.25"/>
  </sheetData>
  <mergeCells count="3">
    <mergeCell ref="A4:D4"/>
    <mergeCell ref="A14:D14"/>
    <mergeCell ref="B22:D22"/>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C0D1D-28E9-48D7-80CF-0CDED3F3259F}">
  <sheetPr>
    <tabColor theme="4" tint="-0.249977111117893"/>
    <pageSetUpPr fitToPage="1"/>
  </sheetPr>
  <dimension ref="A1:M70"/>
  <sheetViews>
    <sheetView topLeftCell="A11" zoomScale="85" zoomScaleNormal="85" workbookViewId="0">
      <selection activeCell="L19" sqref="L19"/>
    </sheetView>
  </sheetViews>
  <sheetFormatPr baseColWidth="10" defaultColWidth="11.44140625" defaultRowHeight="13.2" x14ac:dyDescent="0.25"/>
  <cols>
    <col min="1" max="1" width="6" style="1" customWidth="1"/>
    <col min="2" max="2" width="96.88671875" style="1" customWidth="1"/>
    <col min="3" max="3" width="12.6640625" style="3" customWidth="1"/>
    <col min="4" max="4" width="14.5546875" style="3" customWidth="1"/>
    <col min="5" max="5" width="0.33203125" style="1" customWidth="1"/>
    <col min="6" max="11" width="11.44140625" style="1" hidden="1" customWidth="1"/>
    <col min="12" max="16384" width="11.44140625" style="1"/>
  </cols>
  <sheetData>
    <row r="1" spans="1:12" ht="81" customHeight="1" x14ac:dyDescent="0.25">
      <c r="A1" s="1" t="s">
        <v>0</v>
      </c>
      <c r="C1" s="2"/>
    </row>
    <row r="2" spans="1:12" ht="9" customHeight="1" x14ac:dyDescent="0.25">
      <c r="C2" s="2"/>
    </row>
    <row r="3" spans="1:12" ht="9" customHeight="1" x14ac:dyDescent="0.25">
      <c r="C3" s="2"/>
    </row>
    <row r="4" spans="1:12" s="4" customFormat="1" ht="16.8" x14ac:dyDescent="0.4">
      <c r="A4" s="748"/>
      <c r="B4" s="748"/>
      <c r="C4" s="748"/>
      <c r="D4" s="748"/>
    </row>
    <row r="5" spans="1:12" s="4" customFormat="1" ht="16.8" x14ac:dyDescent="0.4">
      <c r="A5" s="5"/>
      <c r="C5" s="6"/>
      <c r="D5" s="6"/>
    </row>
    <row r="6" spans="1:12" s="4" customFormat="1" ht="16.8" x14ac:dyDescent="0.4">
      <c r="A6" s="5"/>
      <c r="C6" s="6"/>
      <c r="D6" s="6"/>
    </row>
    <row r="7" spans="1:12" s="4" customFormat="1" ht="16.8" x14ac:dyDescent="0.4">
      <c r="A7" s="5"/>
      <c r="C7" s="6"/>
      <c r="D7" s="6"/>
    </row>
    <row r="8" spans="1:12" s="4" customFormat="1" ht="19.2" x14ac:dyDescent="0.45">
      <c r="A8" s="67" t="s">
        <v>871</v>
      </c>
      <c r="B8" s="68"/>
      <c r="C8" s="69"/>
      <c r="D8" s="69"/>
    </row>
    <row r="9" spans="1:12" s="4" customFormat="1" ht="19.2" x14ac:dyDescent="0.45">
      <c r="A9" s="67" t="s">
        <v>872</v>
      </c>
      <c r="B9" s="68"/>
      <c r="C9" s="69"/>
      <c r="D9" s="69"/>
    </row>
    <row r="10" spans="1:12" s="4" customFormat="1" ht="19.2" x14ac:dyDescent="0.45">
      <c r="A10" s="67" t="s">
        <v>873</v>
      </c>
      <c r="B10" s="68"/>
      <c r="C10" s="69"/>
      <c r="D10" s="69"/>
    </row>
    <row r="11" spans="1:12" s="4" customFormat="1" ht="19.2" x14ac:dyDescent="0.45">
      <c r="A11" s="67" t="s">
        <v>85</v>
      </c>
      <c r="B11" s="68"/>
      <c r="C11" s="70"/>
      <c r="D11" s="69"/>
    </row>
    <row r="12" spans="1:12" s="4" customFormat="1" ht="15" customHeight="1" x14ac:dyDescent="0.45">
      <c r="A12" s="67" t="s">
        <v>38</v>
      </c>
      <c r="B12" s="68"/>
      <c r="C12" s="70"/>
      <c r="D12" s="69"/>
    </row>
    <row r="13" spans="1:12" s="4" customFormat="1" ht="19.2" x14ac:dyDescent="0.45">
      <c r="A13" s="71" t="s">
        <v>883</v>
      </c>
      <c r="B13" s="72"/>
      <c r="C13" s="73"/>
      <c r="D13" s="74"/>
      <c r="E13" s="10"/>
      <c r="F13" s="10"/>
      <c r="G13" s="10"/>
    </row>
    <row r="14" spans="1:12" s="4" customFormat="1" ht="19.2" x14ac:dyDescent="0.4">
      <c r="A14" s="758" t="s">
        <v>40</v>
      </c>
      <c r="B14" s="759"/>
      <c r="C14" s="760"/>
      <c r="D14" s="761"/>
      <c r="E14" s="1"/>
      <c r="F14" s="1"/>
      <c r="G14" s="1"/>
      <c r="H14" s="10"/>
      <c r="I14" s="10"/>
      <c r="J14" s="10"/>
      <c r="K14" s="10"/>
      <c r="L14" s="10"/>
    </row>
    <row r="15" spans="1:12" s="10" customFormat="1" ht="13.8" x14ac:dyDescent="0.25">
      <c r="A15" s="197"/>
      <c r="B15" s="198"/>
      <c r="C15" s="199"/>
      <c r="D15" s="199"/>
      <c r="E15" s="17"/>
      <c r="F15" s="23"/>
      <c r="G15" s="23"/>
      <c r="H15" s="1"/>
      <c r="I15" s="1"/>
      <c r="J15" s="1"/>
      <c r="K15" s="1"/>
      <c r="L15" s="1"/>
    </row>
    <row r="16" spans="1:12" ht="90.6" x14ac:dyDescent="0.25">
      <c r="A16" s="491">
        <v>1</v>
      </c>
      <c r="B16" s="485" t="s">
        <v>878</v>
      </c>
      <c r="C16" s="486">
        <v>39000</v>
      </c>
      <c r="D16" s="489">
        <f>A16*C16</f>
        <v>39000</v>
      </c>
      <c r="E16" s="17"/>
      <c r="H16" s="23"/>
      <c r="I16" s="23"/>
      <c r="J16" s="23"/>
      <c r="K16" s="23"/>
      <c r="L16" s="23"/>
    </row>
    <row r="17" spans="1:13" s="23" customFormat="1" ht="15.6" x14ac:dyDescent="0.25">
      <c r="A17" s="492">
        <v>0</v>
      </c>
      <c r="B17" s="493" t="s">
        <v>867</v>
      </c>
      <c r="C17" s="654">
        <v>700</v>
      </c>
      <c r="D17" s="489">
        <f t="shared" ref="D17:D18" si="0">A17*C17</f>
        <v>0</v>
      </c>
      <c r="E17" s="17"/>
      <c r="F17" s="1"/>
      <c r="G17" s="1"/>
    </row>
    <row r="18" spans="1:13" s="23" customFormat="1" ht="30" x14ac:dyDescent="0.25">
      <c r="A18" s="492"/>
      <c r="B18" s="743" t="s">
        <v>1171</v>
      </c>
      <c r="C18" s="654">
        <v>7600</v>
      </c>
      <c r="D18" s="489">
        <f t="shared" si="0"/>
        <v>0</v>
      </c>
      <c r="E18" s="17"/>
      <c r="F18" s="1"/>
      <c r="G18" s="1"/>
    </row>
    <row r="19" spans="1:13" s="23" customFormat="1" ht="15.6" x14ac:dyDescent="0.3">
      <c r="A19" s="487"/>
      <c r="B19" s="499"/>
      <c r="C19" s="488"/>
      <c r="D19" s="490"/>
      <c r="E19" s="13"/>
      <c r="F19" s="1"/>
      <c r="G19" s="1"/>
      <c r="H19" s="1"/>
      <c r="I19" s="1"/>
      <c r="J19" s="1"/>
      <c r="K19" s="1"/>
      <c r="L19" s="1"/>
    </row>
    <row r="20" spans="1:13" s="23" customFormat="1" ht="21" customHeight="1" x14ac:dyDescent="0.3">
      <c r="A20" s="161"/>
      <c r="B20" s="500" t="s">
        <v>868</v>
      </c>
      <c r="C20" s="496" t="s">
        <v>49</v>
      </c>
      <c r="D20" s="490">
        <f>SUM(D15:D19)</f>
        <v>39000</v>
      </c>
      <c r="E20" s="13"/>
      <c r="F20" s="1"/>
      <c r="G20" s="1"/>
      <c r="H20" s="1"/>
      <c r="I20" s="1"/>
      <c r="J20" s="1"/>
      <c r="K20" s="1"/>
      <c r="L20" s="1"/>
    </row>
    <row r="21" spans="1:13" s="23" customFormat="1" ht="15.6" x14ac:dyDescent="0.3">
      <c r="A21" s="161"/>
      <c r="B21" s="500" t="s">
        <v>870</v>
      </c>
      <c r="C21" s="497" t="s">
        <v>51</v>
      </c>
      <c r="D21" s="171">
        <f>D20*0.16</f>
        <v>6240</v>
      </c>
      <c r="E21" s="13"/>
      <c r="F21" s="1"/>
      <c r="G21" s="1"/>
      <c r="H21" s="1"/>
      <c r="I21" s="1"/>
      <c r="J21" s="1"/>
      <c r="K21" s="1"/>
      <c r="L21" s="1"/>
      <c r="M21" s="1"/>
    </row>
    <row r="22" spans="1:13" s="23" customFormat="1" ht="16.2" thickBot="1" x14ac:dyDescent="0.35">
      <c r="A22" s="161"/>
      <c r="B22" s="500" t="s">
        <v>869</v>
      </c>
      <c r="C22" s="498" t="s">
        <v>77</v>
      </c>
      <c r="D22" s="174">
        <f>D20+D21</f>
        <v>45240</v>
      </c>
      <c r="E22" s="13"/>
      <c r="F22" s="1"/>
      <c r="G22" s="1"/>
      <c r="H22" s="1"/>
      <c r="I22" s="1"/>
      <c r="J22" s="1"/>
      <c r="K22" s="1"/>
      <c r="L22" s="1"/>
      <c r="M22" s="1"/>
    </row>
    <row r="23" spans="1:13" s="23" customFormat="1" ht="16.2" thickBot="1" x14ac:dyDescent="0.3">
      <c r="A23" s="116"/>
      <c r="B23" s="788" t="s">
        <v>1175</v>
      </c>
      <c r="C23" s="789"/>
      <c r="D23" s="790"/>
      <c r="E23" s="1"/>
      <c r="F23" s="1"/>
      <c r="G23" s="1"/>
      <c r="H23" s="1"/>
      <c r="I23" s="1"/>
      <c r="J23" s="1"/>
      <c r="K23" s="1"/>
      <c r="L23" s="1"/>
      <c r="M23" s="1"/>
    </row>
    <row r="24" spans="1:13" s="23" customFormat="1" x14ac:dyDescent="0.25">
      <c r="A24" s="34"/>
      <c r="B24" s="655" t="s">
        <v>876</v>
      </c>
      <c r="C24" s="163"/>
      <c r="D24" s="164"/>
      <c r="E24" s="1"/>
      <c r="F24" s="1"/>
      <c r="G24" s="1"/>
      <c r="H24" s="1"/>
      <c r="I24" s="1"/>
      <c r="J24" s="1"/>
      <c r="K24" s="1"/>
      <c r="L24" s="1"/>
      <c r="M24" s="1"/>
    </row>
    <row r="25" spans="1:13" s="23" customFormat="1" ht="13.8" x14ac:dyDescent="0.25">
      <c r="A25" s="34"/>
      <c r="B25" s="135" t="s">
        <v>15</v>
      </c>
      <c r="C25" s="165"/>
      <c r="D25" s="56"/>
      <c r="E25" s="1"/>
      <c r="F25" s="1"/>
      <c r="G25" s="1"/>
      <c r="H25" s="1"/>
      <c r="I25" s="1"/>
      <c r="J25" s="1"/>
      <c r="K25" s="1"/>
      <c r="L25" s="1"/>
      <c r="M25" s="1"/>
    </row>
    <row r="26" spans="1:13" s="23" customFormat="1" ht="15" x14ac:dyDescent="0.25">
      <c r="A26" s="62"/>
      <c r="B26" s="135" t="s">
        <v>17</v>
      </c>
      <c r="C26" s="3"/>
      <c r="D26" s="56"/>
      <c r="E26" s="1"/>
      <c r="F26" s="1"/>
      <c r="G26" s="1"/>
      <c r="H26" s="1"/>
      <c r="I26" s="1"/>
      <c r="J26" s="1"/>
      <c r="K26" s="1"/>
      <c r="L26" s="1"/>
      <c r="M26" s="1"/>
    </row>
    <row r="27" spans="1:13" s="23" customFormat="1" ht="15" x14ac:dyDescent="0.25">
      <c r="A27" s="62"/>
      <c r="B27" s="191" t="s">
        <v>289</v>
      </c>
      <c r="C27" s="3"/>
      <c r="D27" s="56"/>
      <c r="E27" s="1"/>
      <c r="F27" s="1"/>
      <c r="G27" s="1"/>
      <c r="H27" s="1"/>
      <c r="I27" s="1"/>
      <c r="J27" s="1"/>
      <c r="K27" s="1"/>
      <c r="L27" s="1"/>
      <c r="M27" s="1"/>
    </row>
    <row r="28" spans="1:13" s="23" customFormat="1" ht="15" x14ac:dyDescent="0.25">
      <c r="A28" s="62"/>
      <c r="B28" s="191" t="s">
        <v>21</v>
      </c>
      <c r="C28" s="3"/>
      <c r="D28" s="56"/>
      <c r="E28" s="1"/>
      <c r="F28" s="1"/>
      <c r="G28" s="1"/>
      <c r="H28" s="1"/>
      <c r="I28" s="1"/>
      <c r="J28" s="1"/>
      <c r="K28" s="1"/>
      <c r="L28" s="1"/>
      <c r="M28" s="1"/>
    </row>
    <row r="29" spans="1:13" s="23" customFormat="1" ht="15" x14ac:dyDescent="0.25">
      <c r="A29" s="62"/>
      <c r="B29" s="191" t="s">
        <v>60</v>
      </c>
      <c r="C29" s="3"/>
      <c r="D29" s="56"/>
      <c r="E29" s="1"/>
      <c r="F29" s="1"/>
      <c r="G29" s="1"/>
      <c r="H29" s="1"/>
      <c r="I29" s="1"/>
      <c r="J29" s="1"/>
      <c r="K29" s="1"/>
      <c r="L29" s="1"/>
      <c r="M29" s="1"/>
    </row>
    <row r="30" spans="1:13" s="23" customFormat="1" ht="13.8" x14ac:dyDescent="0.25">
      <c r="A30" s="1"/>
      <c r="B30" s="135" t="s">
        <v>23</v>
      </c>
      <c r="C30" s="3"/>
      <c r="D30" s="3"/>
      <c r="E30" s="1"/>
      <c r="F30" s="1"/>
      <c r="G30" s="1"/>
      <c r="H30" s="1"/>
      <c r="I30" s="1"/>
      <c r="J30" s="1"/>
      <c r="K30" s="1"/>
      <c r="L30" s="1"/>
      <c r="M30" s="1"/>
    </row>
    <row r="31" spans="1:13" ht="15" x14ac:dyDescent="0.25">
      <c r="A31" s="62"/>
      <c r="B31" s="187" t="s">
        <v>450</v>
      </c>
      <c r="E31" s="13"/>
    </row>
    <row r="32" spans="1:13" ht="27.6" x14ac:dyDescent="0.25">
      <c r="A32" s="62"/>
      <c r="B32" s="187" t="s">
        <v>62</v>
      </c>
      <c r="C32" s="54"/>
      <c r="D32" s="58"/>
      <c r="E32" s="13"/>
    </row>
    <row r="33" spans="1:4" ht="15" x14ac:dyDescent="0.25">
      <c r="A33" s="62"/>
      <c r="B33" s="135" t="s">
        <v>26</v>
      </c>
      <c r="C33" s="54"/>
      <c r="D33" s="58"/>
    </row>
    <row r="34" spans="1:4" ht="27.6" x14ac:dyDescent="0.25">
      <c r="A34" s="62"/>
      <c r="B34" s="189" t="s">
        <v>1172</v>
      </c>
      <c r="C34" s="54"/>
      <c r="D34" s="54"/>
    </row>
    <row r="35" spans="1:4" ht="15" x14ac:dyDescent="0.25">
      <c r="A35" s="62"/>
      <c r="B35" s="189" t="s">
        <v>28</v>
      </c>
      <c r="C35" s="54"/>
      <c r="D35" s="54"/>
    </row>
    <row r="36" spans="1:4" ht="13.8" x14ac:dyDescent="0.25">
      <c r="B36" s="135" t="s">
        <v>29</v>
      </c>
      <c r="D36" s="56"/>
    </row>
    <row r="37" spans="1:4" ht="15" x14ac:dyDescent="0.25">
      <c r="A37" s="62"/>
      <c r="B37" s="190" t="s">
        <v>706</v>
      </c>
      <c r="C37" s="54"/>
      <c r="D37" s="58"/>
    </row>
    <row r="38" spans="1:4" ht="15" x14ac:dyDescent="0.25">
      <c r="A38" s="62"/>
      <c r="B38" s="191" t="s">
        <v>31</v>
      </c>
      <c r="C38" s="54"/>
      <c r="D38" s="58"/>
    </row>
    <row r="39" spans="1:4" ht="13.8" x14ac:dyDescent="0.25">
      <c r="A39" s="139" t="s">
        <v>0</v>
      </c>
      <c r="B39" s="191" t="s">
        <v>32</v>
      </c>
      <c r="C39" s="54"/>
    </row>
    <row r="40" spans="1:4" ht="17.25" customHeight="1" x14ac:dyDescent="0.25">
      <c r="A40" s="142"/>
      <c r="B40" s="193" t="s">
        <v>65</v>
      </c>
      <c r="C40" s="141"/>
      <c r="D40" s="1"/>
    </row>
    <row r="41" spans="1:4" x14ac:dyDescent="0.25">
      <c r="A41" s="142"/>
      <c r="B41" s="64"/>
      <c r="C41" s="64"/>
      <c r="D41" s="1"/>
    </row>
    <row r="42" spans="1:4" ht="13.5" customHeight="1" x14ac:dyDescent="0.25">
      <c r="A42" s="142"/>
      <c r="B42" s="64"/>
      <c r="C42" s="64"/>
      <c r="D42" s="1"/>
    </row>
    <row r="43" spans="1:4" x14ac:dyDescent="0.25">
      <c r="A43" s="144"/>
      <c r="B43" s="143"/>
      <c r="C43" s="64"/>
      <c r="D43" s="1"/>
    </row>
    <row r="44" spans="1:4" ht="15" x14ac:dyDescent="0.35">
      <c r="A44" s="146" t="s">
        <v>0</v>
      </c>
      <c r="B44" s="145"/>
      <c r="C44" s="64"/>
      <c r="D44" s="64"/>
    </row>
    <row r="45" spans="1:4" x14ac:dyDescent="0.25">
      <c r="A45" s="1" t="s">
        <v>0</v>
      </c>
    </row>
    <row r="48" spans="1:4" ht="18" customHeight="1" x14ac:dyDescent="0.25"/>
    <row r="61" ht="12.75" customHeight="1" x14ac:dyDescent="0.25"/>
    <row r="65" ht="16.5" customHeight="1" x14ac:dyDescent="0.25"/>
    <row r="69" ht="15.75" customHeight="1" x14ac:dyDescent="0.25"/>
    <row r="70" ht="15" customHeight="1" x14ac:dyDescent="0.25"/>
  </sheetData>
  <mergeCells count="3">
    <mergeCell ref="A4:D4"/>
    <mergeCell ref="A14:D14"/>
    <mergeCell ref="B23:D23"/>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F710-14DC-45B5-9C62-F25D1A92F1EA}">
  <sheetPr>
    <tabColor theme="4" tint="-0.249977111117893"/>
    <pageSetUpPr fitToPage="1"/>
  </sheetPr>
  <dimension ref="A1:P59"/>
  <sheetViews>
    <sheetView zoomScale="85" zoomScaleNormal="85" workbookViewId="0">
      <selection activeCell="A17" sqref="A17:D17"/>
    </sheetView>
  </sheetViews>
  <sheetFormatPr baseColWidth="10" defaultColWidth="11.44140625" defaultRowHeight="13.2" x14ac:dyDescent="0.25"/>
  <cols>
    <col min="1" max="1" width="6" style="1" customWidth="1"/>
    <col min="2" max="2" width="82.77734375" style="1" customWidth="1"/>
    <col min="3" max="3" width="13.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749" t="s">
        <v>970</v>
      </c>
      <c r="B8" s="750"/>
      <c r="C8" s="69"/>
      <c r="D8" s="69"/>
    </row>
    <row r="9" spans="1:16" s="4" customFormat="1" ht="19.2" x14ac:dyDescent="0.45">
      <c r="A9" s="749" t="s">
        <v>971</v>
      </c>
      <c r="B9" s="750"/>
      <c r="C9" s="69"/>
      <c r="D9" s="69"/>
    </row>
    <row r="10" spans="1:16" s="4" customFormat="1" ht="19.2" x14ac:dyDescent="0.45">
      <c r="A10" s="749" t="s">
        <v>972</v>
      </c>
      <c r="B10" s="750"/>
      <c r="C10" s="69"/>
      <c r="D10" s="69"/>
    </row>
    <row r="11" spans="1:16" s="4" customFormat="1" ht="19.2" x14ac:dyDescent="0.45">
      <c r="A11" s="749" t="s">
        <v>1150</v>
      </c>
      <c r="B11" s="750"/>
      <c r="C11" s="70"/>
      <c r="D11" s="69"/>
    </row>
    <row r="12" spans="1:16" s="4" customFormat="1" ht="15" customHeight="1" x14ac:dyDescent="0.45">
      <c r="A12" s="67" t="s">
        <v>38</v>
      </c>
      <c r="B12" s="68"/>
      <c r="C12" s="70"/>
      <c r="D12" s="69"/>
    </row>
    <row r="13" spans="1:16" s="4" customFormat="1" ht="15" customHeight="1" x14ac:dyDescent="0.45">
      <c r="A13" s="71" t="s">
        <v>1151</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240">
        <v>1</v>
      </c>
      <c r="B16" s="591" t="s">
        <v>1149</v>
      </c>
      <c r="C16" s="653">
        <f>115000</f>
        <v>115000</v>
      </c>
      <c r="D16" s="79">
        <f t="shared" ref="D16:D17" si="0">A16*C16</f>
        <v>115000</v>
      </c>
      <c r="N16" s="23"/>
      <c r="O16" s="23"/>
      <c r="P16" s="23"/>
    </row>
    <row r="17" spans="1:16" s="23" customFormat="1" ht="45" x14ac:dyDescent="0.25">
      <c r="A17" s="103">
        <v>1</v>
      </c>
      <c r="B17" s="104" t="s">
        <v>1156</v>
      </c>
      <c r="C17" s="105">
        <v>7000</v>
      </c>
      <c r="D17" s="79">
        <f t="shared" si="0"/>
        <v>7000</v>
      </c>
      <c r="E17" s="13"/>
      <c r="F17" s="1"/>
      <c r="G17" s="1"/>
      <c r="H17" s="1"/>
      <c r="I17" s="1"/>
      <c r="J17" s="1"/>
      <c r="K17" s="1"/>
      <c r="L17" s="1"/>
      <c r="M17" s="1"/>
    </row>
    <row r="18" spans="1:16" s="23" customFormat="1" ht="15.6" x14ac:dyDescent="0.3">
      <c r="A18" s="103">
        <v>1</v>
      </c>
      <c r="B18" s="104" t="s">
        <v>1155</v>
      </c>
      <c r="C18" s="327">
        <v>1030</v>
      </c>
      <c r="D18" s="79"/>
      <c r="E18" s="13"/>
      <c r="F18" s="1"/>
      <c r="G18" s="1"/>
      <c r="H18" s="1"/>
      <c r="I18" s="1"/>
      <c r="J18" s="1"/>
      <c r="K18" s="1"/>
      <c r="L18" s="1"/>
      <c r="M18"/>
    </row>
    <row r="19" spans="1:16" s="23" customFormat="1" ht="15.6" x14ac:dyDescent="0.3">
      <c r="A19" s="516"/>
      <c r="B19" s="738" t="s">
        <v>1160</v>
      </c>
      <c r="C19" s="86" t="s">
        <v>49</v>
      </c>
      <c r="D19" s="87">
        <f>SUM(D15:D17)</f>
        <v>122000</v>
      </c>
      <c r="E19" s="1"/>
      <c r="F19" s="1"/>
      <c r="G19" s="1"/>
      <c r="H19" s="1"/>
      <c r="I19" s="1"/>
      <c r="J19" s="1"/>
      <c r="K19" s="1"/>
      <c r="L19" s="1"/>
      <c r="M19" s="1"/>
    </row>
    <row r="20" spans="1:16" s="23" customFormat="1" ht="15.6" x14ac:dyDescent="0.3">
      <c r="A20" s="516"/>
      <c r="B20" s="738" t="s">
        <v>1159</v>
      </c>
      <c r="C20" s="90" t="s">
        <v>51</v>
      </c>
      <c r="D20" s="87">
        <f>D19*0.16</f>
        <v>19520</v>
      </c>
      <c r="E20" s="13"/>
      <c r="F20" s="1"/>
      <c r="G20" s="1"/>
      <c r="H20" s="1"/>
      <c r="I20" s="1"/>
      <c r="J20" s="1"/>
      <c r="K20" s="1"/>
      <c r="L20" s="1"/>
      <c r="M20" s="1"/>
      <c r="N20" s="1"/>
      <c r="O20" s="1"/>
      <c r="P20" s="1"/>
    </row>
    <row r="21" spans="1:16" ht="15.6" x14ac:dyDescent="0.25">
      <c r="A21" s="516"/>
      <c r="B21" s="739" t="s">
        <v>1152</v>
      </c>
      <c r="C21" s="90" t="s">
        <v>52</v>
      </c>
      <c r="D21" s="87">
        <f>SUM(D19:D20)</f>
        <v>141520</v>
      </c>
    </row>
    <row r="22" spans="1:16" ht="16.2" thickBot="1" x14ac:dyDescent="0.3">
      <c r="A22" s="34"/>
      <c r="B22" s="186" t="s">
        <v>1153</v>
      </c>
      <c r="C22" s="186"/>
      <c r="D22" s="186"/>
    </row>
    <row r="23" spans="1:16" ht="13.8" x14ac:dyDescent="0.25">
      <c r="A23" s="34"/>
      <c r="B23" s="120" t="s">
        <v>15</v>
      </c>
      <c r="C23" s="1"/>
      <c r="D23" s="1"/>
      <c r="O23" s="88"/>
      <c r="P23" s="88"/>
    </row>
    <row r="24" spans="1:16" s="88" customFormat="1" ht="15.6" x14ac:dyDescent="0.25">
      <c r="A24" s="34"/>
      <c r="B24" s="123"/>
      <c r="C24" s="1"/>
      <c r="D24" s="1"/>
      <c r="E24" s="1"/>
      <c r="F24" s="1"/>
      <c r="G24" s="1"/>
      <c r="H24" s="1"/>
      <c r="I24" s="1"/>
      <c r="J24" s="1"/>
      <c r="K24" s="1"/>
      <c r="L24" s="1"/>
      <c r="M24" s="1"/>
      <c r="N24" s="1"/>
      <c r="O24" s="1"/>
      <c r="P24" s="1"/>
    </row>
    <row r="25" spans="1:16" ht="15" x14ac:dyDescent="0.25">
      <c r="A25" s="62"/>
      <c r="B25" s="126" t="s">
        <v>17</v>
      </c>
      <c r="C25" s="1"/>
      <c r="D25" s="1"/>
    </row>
    <row r="26" spans="1:16" ht="15" x14ac:dyDescent="0.25">
      <c r="A26" s="62"/>
      <c r="B26" s="127" t="s">
        <v>79</v>
      </c>
      <c r="C26" s="13"/>
      <c r="D26" s="1"/>
    </row>
    <row r="27" spans="1:16" ht="15" x14ac:dyDescent="0.25">
      <c r="A27" s="62"/>
      <c r="B27" s="128"/>
      <c r="C27" s="1"/>
      <c r="D27" s="1"/>
    </row>
    <row r="28" spans="1:16" ht="15" x14ac:dyDescent="0.25">
      <c r="A28" s="62"/>
      <c r="B28" s="129" t="s">
        <v>60</v>
      </c>
      <c r="C28" s="13"/>
      <c r="D28" s="1"/>
    </row>
    <row r="29" spans="1:16" ht="15" x14ac:dyDescent="0.25">
      <c r="A29" s="62"/>
      <c r="B29" s="130" t="s">
        <v>23</v>
      </c>
      <c r="C29" s="13"/>
      <c r="D29" s="1"/>
    </row>
    <row r="30" spans="1:16" ht="27.6" x14ac:dyDescent="0.25">
      <c r="A30" s="62"/>
      <c r="B30" s="132" t="s">
        <v>62</v>
      </c>
      <c r="C30" s="13"/>
      <c r="D30" s="1"/>
    </row>
    <row r="31" spans="1:16" ht="15" x14ac:dyDescent="0.25">
      <c r="A31" s="62"/>
      <c r="B31" s="130" t="s">
        <v>26</v>
      </c>
      <c r="C31" s="13"/>
      <c r="D31" s="1"/>
    </row>
    <row r="32" spans="1:16" ht="27.6" x14ac:dyDescent="0.25">
      <c r="A32" s="62"/>
      <c r="B32" s="333" t="s">
        <v>1161</v>
      </c>
      <c r="C32" s="1"/>
      <c r="D32" s="1"/>
    </row>
    <row r="33" spans="1:4" ht="15" x14ac:dyDescent="0.25">
      <c r="A33" s="62"/>
      <c r="B33" s="334" t="s">
        <v>28</v>
      </c>
      <c r="C33" s="1"/>
      <c r="D33" s="1"/>
    </row>
    <row r="34" spans="1:4" ht="13.8" x14ac:dyDescent="0.25">
      <c r="B34" s="130" t="s">
        <v>29</v>
      </c>
      <c r="C34" s="133"/>
      <c r="D34" s="134"/>
    </row>
    <row r="35" spans="1:4" ht="15" x14ac:dyDescent="0.25">
      <c r="A35" s="62"/>
      <c r="B35" s="138" t="s">
        <v>1162</v>
      </c>
      <c r="C35" s="54"/>
      <c r="D35" s="58"/>
    </row>
    <row r="36" spans="1:4" ht="15" x14ac:dyDescent="0.25">
      <c r="A36" s="62"/>
      <c r="B36" s="127" t="s">
        <v>31</v>
      </c>
      <c r="C36" s="54"/>
    </row>
    <row r="37" spans="1:4" ht="13.8" x14ac:dyDescent="0.25">
      <c r="A37" s="139" t="s">
        <v>0</v>
      </c>
      <c r="B37" s="127" t="s">
        <v>32</v>
      </c>
      <c r="C37" s="141"/>
      <c r="D37" s="1"/>
    </row>
    <row r="38" spans="1:4" ht="50.4" x14ac:dyDescent="0.4">
      <c r="A38" s="142"/>
      <c r="B38" s="140" t="s">
        <v>65</v>
      </c>
      <c r="C38" s="64"/>
      <c r="D38" s="1"/>
    </row>
    <row r="39" spans="1:4" x14ac:dyDescent="0.25">
      <c r="A39" s="142"/>
      <c r="B39" s="64"/>
      <c r="C39" s="64"/>
      <c r="D39" s="1"/>
    </row>
    <row r="40" spans="1:4" x14ac:dyDescent="0.25">
      <c r="A40" s="142"/>
      <c r="B40" s="64"/>
      <c r="C40" s="64"/>
      <c r="D40" s="1"/>
    </row>
    <row r="41" spans="1:4" x14ac:dyDescent="0.25">
      <c r="A41" s="144"/>
      <c r="B41" s="143"/>
      <c r="C41" s="64"/>
      <c r="D41" s="64"/>
    </row>
    <row r="42" spans="1:4" ht="15" x14ac:dyDescent="0.35">
      <c r="A42" s="146" t="s">
        <v>0</v>
      </c>
      <c r="B42" s="145"/>
    </row>
    <row r="43" spans="1:4" x14ac:dyDescent="0.25">
      <c r="A43" s="1" t="s">
        <v>0</v>
      </c>
    </row>
    <row r="50" ht="12.75" customHeight="1" x14ac:dyDescent="0.25"/>
    <row r="58" ht="15.75" customHeight="1" x14ac:dyDescent="0.25"/>
    <row r="59" ht="15" customHeight="1" x14ac:dyDescent="0.25"/>
  </sheetData>
  <mergeCells count="6">
    <mergeCell ref="A4:D4"/>
    <mergeCell ref="A14:D14"/>
    <mergeCell ref="A8:B8"/>
    <mergeCell ref="A9:B9"/>
    <mergeCell ref="A10:B10"/>
    <mergeCell ref="A11:B11"/>
  </mergeCells>
  <printOptions horizontalCentered="1"/>
  <pageMargins left="0.25" right="0.25" top="0.75" bottom="0.75" header="0.3" footer="0.3"/>
  <pageSetup paperSize="9" scale="84" fitToWidth="0" orientation="portrait" r:id="rId1"/>
  <headerFooter alignWithMargins="0">
    <oddFooter>Página &amp;P de &amp;N</oddFooter>
  </headerFooter>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DED8-AC91-4D28-9BFB-C2A59E12E02D}">
  <sheetPr>
    <tabColor theme="4" tint="-0.249977111117893"/>
    <pageSetUpPr fitToPage="1"/>
  </sheetPr>
  <dimension ref="A1:P59"/>
  <sheetViews>
    <sheetView topLeftCell="A11" zoomScale="85" zoomScaleNormal="85" workbookViewId="0">
      <selection activeCell="A17" sqref="A17:D17"/>
    </sheetView>
  </sheetViews>
  <sheetFormatPr baseColWidth="10" defaultColWidth="11.44140625" defaultRowHeight="13.2" x14ac:dyDescent="0.25"/>
  <cols>
    <col min="1" max="1" width="6" style="1" customWidth="1"/>
    <col min="2" max="2" width="76.77734375" style="1" customWidth="1"/>
    <col min="3" max="3" width="13.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749" t="s">
        <v>970</v>
      </c>
      <c r="B8" s="750"/>
      <c r="C8" s="69"/>
      <c r="D8" s="69"/>
    </row>
    <row r="9" spans="1:16" s="4" customFormat="1" ht="19.2" x14ac:dyDescent="0.45">
      <c r="A9" s="749" t="s">
        <v>971</v>
      </c>
      <c r="B9" s="750"/>
      <c r="C9" s="69"/>
      <c r="D9" s="69"/>
    </row>
    <row r="10" spans="1:16" s="4" customFormat="1" ht="19.2" x14ac:dyDescent="0.45">
      <c r="A10" s="749" t="s">
        <v>972</v>
      </c>
      <c r="B10" s="750"/>
      <c r="C10" s="69"/>
      <c r="D10" s="69"/>
    </row>
    <row r="11" spans="1:16" s="4" customFormat="1" ht="19.2" x14ac:dyDescent="0.45">
      <c r="A11" s="749" t="s">
        <v>1154</v>
      </c>
      <c r="B11" s="750"/>
      <c r="C11" s="70"/>
      <c r="D11" s="69"/>
    </row>
    <row r="12" spans="1:16" s="4" customFormat="1" ht="15" customHeight="1" x14ac:dyDescent="0.45">
      <c r="A12" s="67" t="s">
        <v>38</v>
      </c>
      <c r="B12" s="68"/>
      <c r="C12" s="70"/>
      <c r="D12" s="69"/>
    </row>
    <row r="13" spans="1:16" s="4" customFormat="1" ht="15" customHeight="1" x14ac:dyDescent="0.45">
      <c r="A13" s="71" t="s">
        <v>1151</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60" x14ac:dyDescent="0.25">
      <c r="A16" s="240">
        <v>1</v>
      </c>
      <c r="B16" s="591" t="s">
        <v>1149</v>
      </c>
      <c r="C16" s="653">
        <v>121500</v>
      </c>
      <c r="D16" s="79">
        <f t="shared" ref="D16:D17" si="0">A16*C16</f>
        <v>121500</v>
      </c>
      <c r="N16" s="23"/>
      <c r="O16" s="23"/>
      <c r="P16" s="23"/>
    </row>
    <row r="17" spans="1:16" s="23" customFormat="1" ht="30" x14ac:dyDescent="0.25">
      <c r="A17" s="103">
        <v>1</v>
      </c>
      <c r="B17" s="104" t="s">
        <v>116</v>
      </c>
      <c r="C17" s="105">
        <v>7000</v>
      </c>
      <c r="D17" s="79">
        <f t="shared" si="0"/>
        <v>7000</v>
      </c>
      <c r="E17" s="13"/>
      <c r="F17" s="1"/>
      <c r="G17" s="1"/>
      <c r="H17" s="1"/>
      <c r="I17" s="1"/>
      <c r="J17" s="1"/>
      <c r="K17" s="1"/>
      <c r="L17" s="1"/>
      <c r="M17" s="1"/>
    </row>
    <row r="18" spans="1:16" s="23" customFormat="1" ht="15.6" x14ac:dyDescent="0.3">
      <c r="A18" s="103">
        <v>1</v>
      </c>
      <c r="B18" s="104" t="s">
        <v>1155</v>
      </c>
      <c r="C18" s="327">
        <v>1030</v>
      </c>
      <c r="D18" s="79"/>
      <c r="E18" s="1"/>
      <c r="F18" s="1"/>
      <c r="G18" s="1"/>
      <c r="H18" s="1"/>
      <c r="I18" s="1"/>
      <c r="J18" s="1"/>
      <c r="K18" s="1"/>
      <c r="L18" s="1"/>
      <c r="M18"/>
    </row>
    <row r="19" spans="1:16" s="23" customFormat="1" ht="15.6" x14ac:dyDescent="0.3">
      <c r="A19" s="516"/>
      <c r="B19" s="738" t="s">
        <v>1160</v>
      </c>
      <c r="C19" s="86" t="s">
        <v>49</v>
      </c>
      <c r="D19" s="87">
        <f>SUM(D15:D17)</f>
        <v>128500</v>
      </c>
      <c r="E19" s="13"/>
      <c r="F19" s="1"/>
      <c r="G19" s="1"/>
      <c r="H19" s="1"/>
      <c r="I19" s="1"/>
      <c r="J19" s="1"/>
      <c r="K19" s="1"/>
      <c r="L19" s="1"/>
      <c r="M19" s="1"/>
    </row>
    <row r="20" spans="1:16" s="23" customFormat="1" ht="19.95" customHeight="1" x14ac:dyDescent="0.3">
      <c r="A20" s="516"/>
      <c r="B20" s="738" t="s">
        <v>1159</v>
      </c>
      <c r="C20" s="90" t="s">
        <v>51</v>
      </c>
      <c r="D20" s="87">
        <f>D19*0.16</f>
        <v>20560</v>
      </c>
      <c r="E20" s="1"/>
      <c r="F20" s="1"/>
      <c r="G20" s="1"/>
      <c r="H20" s="1"/>
      <c r="I20" s="1"/>
      <c r="J20" s="1"/>
      <c r="K20" s="1"/>
      <c r="L20" s="1"/>
      <c r="M20" s="1"/>
      <c r="N20" s="1"/>
      <c r="O20" s="1"/>
      <c r="P20" s="1"/>
    </row>
    <row r="21" spans="1:16" ht="15.6" x14ac:dyDescent="0.25">
      <c r="A21" s="516"/>
      <c r="B21" s="739" t="s">
        <v>1152</v>
      </c>
      <c r="C21" s="90" t="s">
        <v>52</v>
      </c>
      <c r="D21" s="87">
        <f>SUM(D19:D20)</f>
        <v>149060</v>
      </c>
    </row>
    <row r="22" spans="1:16" ht="16.2" thickBot="1" x14ac:dyDescent="0.3">
      <c r="A22" s="34"/>
      <c r="B22" s="186" t="s">
        <v>1157</v>
      </c>
      <c r="C22" s="186"/>
      <c r="D22" s="186"/>
    </row>
    <row r="23" spans="1:16" ht="13.8" x14ac:dyDescent="0.25">
      <c r="A23" s="34"/>
      <c r="B23" s="120" t="s">
        <v>15</v>
      </c>
      <c r="C23" s="1"/>
      <c r="D23" s="1"/>
      <c r="O23" s="88"/>
      <c r="P23" s="88"/>
    </row>
    <row r="24" spans="1:16" s="88" customFormat="1" ht="15.6" x14ac:dyDescent="0.25">
      <c r="A24" s="34"/>
      <c r="B24" s="123"/>
      <c r="C24" s="1"/>
      <c r="D24" s="1"/>
      <c r="E24" s="1"/>
      <c r="F24" s="1"/>
      <c r="G24" s="1"/>
      <c r="H24" s="1"/>
      <c r="I24" s="1"/>
      <c r="J24" s="1"/>
      <c r="K24" s="1"/>
      <c r="L24" s="1"/>
      <c r="M24" s="1"/>
      <c r="N24" s="1"/>
      <c r="O24" s="1"/>
      <c r="P24" s="1"/>
    </row>
    <row r="25" spans="1:16" ht="15" x14ac:dyDescent="0.25">
      <c r="A25" s="62"/>
      <c r="B25" s="126" t="s">
        <v>17</v>
      </c>
      <c r="C25" s="1"/>
      <c r="D25" s="1"/>
    </row>
    <row r="26" spans="1:16" ht="15" x14ac:dyDescent="0.25">
      <c r="A26" s="62"/>
      <c r="B26" s="127" t="s">
        <v>79</v>
      </c>
      <c r="C26" s="13"/>
      <c r="D26" s="1"/>
    </row>
    <row r="27" spans="1:16" ht="15" x14ac:dyDescent="0.25">
      <c r="A27" s="62"/>
      <c r="B27" s="128"/>
      <c r="C27" s="1"/>
      <c r="D27" s="1"/>
    </row>
    <row r="28" spans="1:16" ht="15" x14ac:dyDescent="0.25">
      <c r="A28" s="62"/>
      <c r="B28" s="129" t="s">
        <v>60</v>
      </c>
      <c r="C28" s="13"/>
      <c r="D28" s="1"/>
    </row>
    <row r="29" spans="1:16" ht="15" x14ac:dyDescent="0.25">
      <c r="A29" s="62"/>
      <c r="B29" s="130" t="s">
        <v>23</v>
      </c>
      <c r="C29" s="13"/>
      <c r="D29" s="1"/>
    </row>
    <row r="30" spans="1:16" ht="27.6" x14ac:dyDescent="0.25">
      <c r="A30" s="62"/>
      <c r="B30" s="132" t="s">
        <v>62</v>
      </c>
      <c r="C30" s="13"/>
      <c r="D30" s="1"/>
    </row>
    <row r="31" spans="1:16" ht="15" x14ac:dyDescent="0.25">
      <c r="A31" s="62"/>
      <c r="B31" s="130" t="s">
        <v>26</v>
      </c>
      <c r="C31" s="13"/>
      <c r="D31" s="1"/>
    </row>
    <row r="32" spans="1:16" ht="27.6" x14ac:dyDescent="0.25">
      <c r="A32" s="62"/>
      <c r="B32" s="333" t="s">
        <v>1161</v>
      </c>
      <c r="C32" s="1"/>
      <c r="D32" s="1"/>
    </row>
    <row r="33" spans="1:4" ht="15" x14ac:dyDescent="0.25">
      <c r="A33" s="62"/>
      <c r="B33" s="334" t="s">
        <v>28</v>
      </c>
      <c r="C33" s="1"/>
      <c r="D33" s="1"/>
    </row>
    <row r="34" spans="1:4" ht="13.8" x14ac:dyDescent="0.25">
      <c r="B34" s="130" t="s">
        <v>29</v>
      </c>
      <c r="C34" s="133"/>
      <c r="D34" s="134"/>
    </row>
    <row r="35" spans="1:4" ht="15" x14ac:dyDescent="0.25">
      <c r="A35" s="62"/>
      <c r="B35" s="138" t="s">
        <v>1162</v>
      </c>
      <c r="C35" s="54"/>
      <c r="D35" s="58"/>
    </row>
    <row r="36" spans="1:4" ht="15" x14ac:dyDescent="0.25">
      <c r="A36" s="62"/>
      <c r="B36" s="127" t="s">
        <v>31</v>
      </c>
      <c r="C36" s="54"/>
    </row>
    <row r="37" spans="1:4" ht="13.8" x14ac:dyDescent="0.25">
      <c r="A37" s="139" t="s">
        <v>0</v>
      </c>
      <c r="B37" s="127" t="s">
        <v>32</v>
      </c>
      <c r="C37" s="141"/>
      <c r="D37" s="1"/>
    </row>
    <row r="38" spans="1:4" ht="50.4" x14ac:dyDescent="0.4">
      <c r="A38" s="142"/>
      <c r="B38" s="140" t="s">
        <v>65</v>
      </c>
      <c r="C38" s="64"/>
      <c r="D38" s="1"/>
    </row>
    <row r="39" spans="1:4" x14ac:dyDescent="0.25">
      <c r="A39" s="142"/>
      <c r="B39" s="64"/>
      <c r="C39" s="64"/>
      <c r="D39" s="1"/>
    </row>
    <row r="40" spans="1:4" x14ac:dyDescent="0.25">
      <c r="A40" s="142"/>
      <c r="B40" s="64"/>
      <c r="C40" s="64"/>
      <c r="D40" s="1"/>
    </row>
    <row r="41" spans="1:4" x14ac:dyDescent="0.25">
      <c r="A41" s="144"/>
      <c r="B41" s="143"/>
      <c r="C41" s="64"/>
      <c r="D41" s="64"/>
    </row>
    <row r="42" spans="1:4" ht="15" x14ac:dyDescent="0.35">
      <c r="A42" s="146" t="s">
        <v>0</v>
      </c>
      <c r="B42" s="145"/>
    </row>
    <row r="43" spans="1:4" x14ac:dyDescent="0.25">
      <c r="A43" s="1" t="s">
        <v>0</v>
      </c>
    </row>
    <row r="50" ht="12.75" customHeight="1" x14ac:dyDescent="0.25"/>
    <row r="58" ht="15.75" customHeight="1" x14ac:dyDescent="0.25"/>
    <row r="59" ht="15" customHeight="1" x14ac:dyDescent="0.25"/>
  </sheetData>
  <mergeCells count="6">
    <mergeCell ref="A14:D14"/>
    <mergeCell ref="A4:D4"/>
    <mergeCell ref="A8:B8"/>
    <mergeCell ref="A9:B9"/>
    <mergeCell ref="A10:B10"/>
    <mergeCell ref="A11:B11"/>
  </mergeCells>
  <printOptions horizontalCentered="1"/>
  <pageMargins left="0.25" right="0.25" top="0.75" bottom="0.75" header="0.3" footer="0.3"/>
  <pageSetup paperSize="9" fitToWidth="0" orientation="portrait" r:id="rId1"/>
  <headerFooter alignWithMargins="0">
    <oddFooter>Página &amp;P de &amp;N</oddFooter>
  </headerFooter>
  <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123A5-5E8F-458B-9CBD-8C8F0BC13098}">
  <sheetPr>
    <tabColor theme="4" tint="-0.249977111117893"/>
    <pageSetUpPr fitToPage="1"/>
  </sheetPr>
  <dimension ref="A1:P59"/>
  <sheetViews>
    <sheetView topLeftCell="A4" zoomScale="85" zoomScaleNormal="85" workbookViewId="0">
      <selection activeCell="A17" sqref="A17:D17"/>
    </sheetView>
  </sheetViews>
  <sheetFormatPr baseColWidth="10" defaultColWidth="11.44140625" defaultRowHeight="13.2" x14ac:dyDescent="0.25"/>
  <cols>
    <col min="1" max="1" width="6" style="1" customWidth="1"/>
    <col min="2" max="2" width="79.33203125" style="1" customWidth="1"/>
    <col min="3" max="3" width="13.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749" t="s">
        <v>970</v>
      </c>
      <c r="B8" s="750"/>
      <c r="C8" s="69"/>
      <c r="D8" s="69"/>
    </row>
    <row r="9" spans="1:16" s="4" customFormat="1" ht="19.2" x14ac:dyDescent="0.45">
      <c r="A9" s="749" t="s">
        <v>971</v>
      </c>
      <c r="B9" s="750"/>
      <c r="C9" s="69"/>
      <c r="D9" s="69"/>
    </row>
    <row r="10" spans="1:16" s="4" customFormat="1" ht="19.2" x14ac:dyDescent="0.45">
      <c r="A10" s="749" t="s">
        <v>972</v>
      </c>
      <c r="B10" s="750"/>
      <c r="C10" s="69"/>
      <c r="D10" s="69"/>
    </row>
    <row r="11" spans="1:16" s="4" customFormat="1" ht="19.2" x14ac:dyDescent="0.45">
      <c r="A11" s="749" t="s">
        <v>1150</v>
      </c>
      <c r="B11" s="750"/>
      <c r="C11" s="70"/>
      <c r="D11" s="69"/>
    </row>
    <row r="12" spans="1:16" s="4" customFormat="1" ht="15" customHeight="1" x14ac:dyDescent="0.45">
      <c r="A12" s="67" t="s">
        <v>38</v>
      </c>
      <c r="B12" s="68"/>
      <c r="C12" s="70"/>
      <c r="D12" s="69"/>
    </row>
    <row r="13" spans="1:16" s="4" customFormat="1" ht="15" customHeight="1" x14ac:dyDescent="0.45">
      <c r="A13" s="71" t="s">
        <v>1151</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240">
        <v>1</v>
      </c>
      <c r="B16" s="591" t="s">
        <v>1149</v>
      </c>
      <c r="C16" s="653">
        <f>((200*80)*2)+7100*6+17000</f>
        <v>91600</v>
      </c>
      <c r="D16" s="79">
        <f t="shared" ref="D16:D17" si="0">A16*C16</f>
        <v>91600</v>
      </c>
      <c r="N16" s="23"/>
      <c r="O16" s="23"/>
      <c r="P16" s="23"/>
    </row>
    <row r="17" spans="1:16" s="23" customFormat="1" ht="60" x14ac:dyDescent="0.25">
      <c r="A17" s="103">
        <v>1</v>
      </c>
      <c r="B17" s="104" t="s">
        <v>1156</v>
      </c>
      <c r="C17" s="105">
        <v>7000</v>
      </c>
      <c r="D17" s="79">
        <f t="shared" si="0"/>
        <v>7000</v>
      </c>
      <c r="E17" s="13"/>
      <c r="F17" s="1"/>
      <c r="G17" s="1"/>
      <c r="H17" s="1"/>
      <c r="I17" s="1"/>
      <c r="J17" s="1"/>
      <c r="K17" s="1"/>
      <c r="L17" s="1"/>
      <c r="M17" s="1"/>
    </row>
    <row r="18" spans="1:16" s="23" customFormat="1" ht="15.6" x14ac:dyDescent="0.3">
      <c r="A18" s="103">
        <v>1</v>
      </c>
      <c r="B18" s="104" t="s">
        <v>1155</v>
      </c>
      <c r="C18" s="327">
        <v>1030</v>
      </c>
      <c r="D18" s="79"/>
      <c r="E18" s="13"/>
      <c r="F18" s="1"/>
      <c r="G18" s="1"/>
      <c r="H18" s="1"/>
      <c r="I18" s="1"/>
      <c r="J18" s="1"/>
      <c r="K18" s="1"/>
      <c r="L18" s="1"/>
      <c r="M18"/>
    </row>
    <row r="19" spans="1:16" s="23" customFormat="1" ht="15.6" x14ac:dyDescent="0.3">
      <c r="A19" s="103"/>
      <c r="B19" s="104"/>
      <c r="C19" s="327"/>
      <c r="D19" s="79"/>
      <c r="E19" s="13"/>
      <c r="F19" s="1"/>
      <c r="G19" s="1"/>
      <c r="H19" s="1"/>
      <c r="I19" s="1"/>
      <c r="J19" s="1"/>
      <c r="K19" s="1"/>
      <c r="L19" s="1"/>
      <c r="M19"/>
    </row>
    <row r="20" spans="1:16" s="23" customFormat="1" ht="15.6" x14ac:dyDescent="0.3">
      <c r="A20" s="103"/>
      <c r="B20" s="104"/>
      <c r="C20" s="327"/>
      <c r="D20" s="79"/>
      <c r="E20" s="13"/>
      <c r="F20" s="1"/>
      <c r="G20" s="1"/>
      <c r="H20" s="1"/>
      <c r="I20" s="1"/>
      <c r="J20" s="1"/>
      <c r="K20" s="1"/>
      <c r="L20" s="1"/>
      <c r="M20"/>
      <c r="N20" s="1"/>
      <c r="O20" s="1"/>
      <c r="P20" s="1"/>
    </row>
    <row r="21" spans="1:16" ht="15.6" x14ac:dyDescent="0.3">
      <c r="A21" s="516"/>
      <c r="B21" s="738" t="s">
        <v>1160</v>
      </c>
      <c r="C21" s="86" t="s">
        <v>49</v>
      </c>
      <c r="D21" s="87">
        <f>SUM(D15:D17)</f>
        <v>98600</v>
      </c>
    </row>
    <row r="22" spans="1:16" ht="15.6" x14ac:dyDescent="0.3">
      <c r="A22" s="516"/>
      <c r="B22" s="738" t="s">
        <v>1159</v>
      </c>
      <c r="C22" s="90" t="s">
        <v>51</v>
      </c>
      <c r="D22" s="87">
        <f>D21*0.16</f>
        <v>15776</v>
      </c>
      <c r="E22" s="13"/>
    </row>
    <row r="23" spans="1:16" ht="15.6" x14ac:dyDescent="0.25">
      <c r="A23" s="516"/>
      <c r="B23" s="739" t="s">
        <v>1152</v>
      </c>
      <c r="C23" s="90" t="s">
        <v>52</v>
      </c>
      <c r="D23" s="87">
        <f>SUM(D21:D22)</f>
        <v>114376</v>
      </c>
      <c r="O23" s="88"/>
      <c r="P23" s="88"/>
    </row>
    <row r="24" spans="1:16" s="88" customFormat="1" ht="16.2" thickBot="1" x14ac:dyDescent="0.3">
      <c r="A24" s="34"/>
      <c r="B24" s="186" t="s">
        <v>1158</v>
      </c>
      <c r="C24" s="186"/>
      <c r="D24" s="186"/>
      <c r="E24" s="1"/>
      <c r="F24" s="1"/>
      <c r="G24" s="1"/>
      <c r="H24" s="1"/>
      <c r="I24" s="1"/>
      <c r="J24" s="1"/>
      <c r="K24" s="1"/>
      <c r="L24" s="1"/>
      <c r="M24" s="1"/>
      <c r="N24" s="1"/>
      <c r="O24" s="1"/>
      <c r="P24" s="1"/>
    </row>
    <row r="25" spans="1:16" ht="13.8" x14ac:dyDescent="0.25">
      <c r="A25" s="34"/>
      <c r="B25" s="120" t="s">
        <v>15</v>
      </c>
      <c r="C25" s="1"/>
      <c r="D25" s="1"/>
    </row>
    <row r="26" spans="1:16" ht="15.6" x14ac:dyDescent="0.25">
      <c r="A26" s="34"/>
      <c r="B26" s="123"/>
      <c r="C26" s="1"/>
      <c r="D26" s="1"/>
    </row>
    <row r="27" spans="1:16" ht="15" x14ac:dyDescent="0.25">
      <c r="A27" s="62"/>
      <c r="B27" s="126" t="s">
        <v>17</v>
      </c>
      <c r="C27" s="1"/>
      <c r="D27" s="1"/>
    </row>
    <row r="28" spans="1:16" ht="15" x14ac:dyDescent="0.25">
      <c r="A28" s="62"/>
      <c r="B28" s="127" t="s">
        <v>79</v>
      </c>
      <c r="C28" s="13"/>
      <c r="D28" s="1"/>
    </row>
    <row r="29" spans="1:16" ht="15" x14ac:dyDescent="0.25">
      <c r="A29" s="62"/>
      <c r="B29" s="128"/>
      <c r="C29" s="1"/>
      <c r="D29" s="1"/>
    </row>
    <row r="30" spans="1:16" ht="15" x14ac:dyDescent="0.25">
      <c r="A30" s="62"/>
      <c r="B30" s="129" t="s">
        <v>60</v>
      </c>
      <c r="C30" s="13"/>
      <c r="D30" s="1"/>
    </row>
    <row r="31" spans="1:16" ht="15" x14ac:dyDescent="0.25">
      <c r="A31" s="62"/>
      <c r="B31" s="130" t="s">
        <v>23</v>
      </c>
      <c r="C31" s="13"/>
      <c r="D31" s="1"/>
    </row>
    <row r="32" spans="1:16" ht="27.6" x14ac:dyDescent="0.25">
      <c r="A32" s="62"/>
      <c r="B32" s="132" t="s">
        <v>62</v>
      </c>
      <c r="C32" s="13"/>
      <c r="D32" s="1"/>
    </row>
    <row r="33" spans="1:4" ht="15" x14ac:dyDescent="0.25">
      <c r="A33" s="62"/>
      <c r="B33" s="130" t="s">
        <v>26</v>
      </c>
      <c r="C33" s="13"/>
      <c r="D33" s="1"/>
    </row>
    <row r="34" spans="1:4" ht="27.6" x14ac:dyDescent="0.25">
      <c r="A34" s="62"/>
      <c r="B34" s="333" t="s">
        <v>1161</v>
      </c>
      <c r="C34" s="1"/>
      <c r="D34" s="1"/>
    </row>
    <row r="35" spans="1:4" ht="15" x14ac:dyDescent="0.25">
      <c r="A35" s="62"/>
      <c r="B35" s="334" t="s">
        <v>28</v>
      </c>
      <c r="C35" s="1"/>
      <c r="D35" s="1"/>
    </row>
    <row r="36" spans="1:4" ht="13.8" x14ac:dyDescent="0.25">
      <c r="B36" s="130" t="s">
        <v>29</v>
      </c>
      <c r="C36" s="133"/>
      <c r="D36" s="134"/>
    </row>
    <row r="37" spans="1:4" ht="15" x14ac:dyDescent="0.25">
      <c r="A37" s="62"/>
      <c r="B37" s="138" t="s">
        <v>1162</v>
      </c>
      <c r="C37" s="54"/>
      <c r="D37" s="58"/>
    </row>
    <row r="38" spans="1:4" ht="15" x14ac:dyDescent="0.25">
      <c r="A38" s="62"/>
      <c r="B38" s="127" t="s">
        <v>31</v>
      </c>
      <c r="C38" s="54"/>
    </row>
    <row r="39" spans="1:4" ht="13.8" x14ac:dyDescent="0.25">
      <c r="A39" s="139" t="s">
        <v>0</v>
      </c>
      <c r="B39" s="127" t="s">
        <v>32</v>
      </c>
      <c r="C39" s="141"/>
      <c r="D39" s="1"/>
    </row>
    <row r="40" spans="1:4" ht="50.4" x14ac:dyDescent="0.4">
      <c r="A40" s="142"/>
      <c r="B40" s="140" t="s">
        <v>65</v>
      </c>
      <c r="C40" s="64"/>
      <c r="D40" s="1"/>
    </row>
    <row r="41" spans="1:4" x14ac:dyDescent="0.25">
      <c r="A41" s="142"/>
      <c r="B41" s="64"/>
      <c r="C41" s="64"/>
      <c r="D41" s="1"/>
    </row>
    <row r="42" spans="1:4" x14ac:dyDescent="0.25">
      <c r="A42" s="142"/>
      <c r="B42" s="64"/>
      <c r="C42" s="64"/>
      <c r="D42" s="1"/>
    </row>
    <row r="43" spans="1:4" x14ac:dyDescent="0.25">
      <c r="A43" s="144"/>
      <c r="B43" s="143"/>
      <c r="C43" s="64"/>
      <c r="D43" s="64"/>
    </row>
    <row r="44" spans="1:4" ht="15" x14ac:dyDescent="0.35">
      <c r="A44" s="146" t="s">
        <v>0</v>
      </c>
      <c r="B44" s="145"/>
    </row>
    <row r="45" spans="1:4" x14ac:dyDescent="0.25">
      <c r="A45" s="1" t="s">
        <v>0</v>
      </c>
    </row>
    <row r="50" ht="12.75" customHeight="1" x14ac:dyDescent="0.25"/>
    <row r="58" ht="15.75" customHeight="1" x14ac:dyDescent="0.25"/>
    <row r="59" ht="15" customHeight="1" x14ac:dyDescent="0.25"/>
  </sheetData>
  <mergeCells count="6">
    <mergeCell ref="A14:D14"/>
    <mergeCell ref="A4:D4"/>
    <mergeCell ref="A8:B8"/>
    <mergeCell ref="A9:B9"/>
    <mergeCell ref="A10:B10"/>
    <mergeCell ref="A11:B11"/>
  </mergeCells>
  <printOptions horizontalCentered="1"/>
  <pageMargins left="0.25" right="0.25" top="0.75" bottom="0.75" header="0.3" footer="0.3"/>
  <pageSetup paperSize="9" fitToWidth="0" orientation="portrait" r:id="rId1"/>
  <headerFooter alignWithMargins="0">
    <oddFooter>Página &amp;P de &amp;N</oddFooter>
  </headerFooter>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4CC3-3B85-459B-BA74-8906495A2335}">
  <sheetPr>
    <tabColor theme="4" tint="-0.249977111117893"/>
    <pageSetUpPr fitToPage="1"/>
  </sheetPr>
  <dimension ref="A1:P59"/>
  <sheetViews>
    <sheetView topLeftCell="A14" zoomScale="85" zoomScaleNormal="85" workbookViewId="0">
      <selection activeCell="A12" sqref="A12"/>
    </sheetView>
  </sheetViews>
  <sheetFormatPr baseColWidth="10" defaultColWidth="11.44140625" defaultRowHeight="13.2" x14ac:dyDescent="0.25"/>
  <cols>
    <col min="1" max="1" width="6" style="1" customWidth="1"/>
    <col min="2" max="2" width="82.77734375" style="1" customWidth="1"/>
    <col min="3" max="3" width="13.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749" t="s">
        <v>970</v>
      </c>
      <c r="B8" s="750"/>
      <c r="C8" s="69"/>
      <c r="D8" s="69"/>
    </row>
    <row r="9" spans="1:16" s="4" customFormat="1" ht="19.2" x14ac:dyDescent="0.45">
      <c r="A9" s="749" t="s">
        <v>971</v>
      </c>
      <c r="B9" s="750"/>
      <c r="C9" s="69"/>
      <c r="D9" s="69"/>
    </row>
    <row r="10" spans="1:16" s="4" customFormat="1" ht="19.2" x14ac:dyDescent="0.45">
      <c r="A10" s="749" t="s">
        <v>972</v>
      </c>
      <c r="B10" s="750"/>
      <c r="C10" s="69"/>
      <c r="D10" s="69"/>
    </row>
    <row r="11" spans="1:16" s="4" customFormat="1" ht="19.2" x14ac:dyDescent="0.45">
      <c r="A11" s="749" t="s">
        <v>1184</v>
      </c>
      <c r="B11" s="750"/>
      <c r="C11" s="70"/>
      <c r="D11" s="69"/>
    </row>
    <row r="12" spans="1:16" s="4" customFormat="1" ht="15" customHeight="1" x14ac:dyDescent="0.45">
      <c r="A12" s="67" t="s">
        <v>38</v>
      </c>
      <c r="B12" s="68"/>
      <c r="C12" s="70"/>
      <c r="D12" s="69"/>
    </row>
    <row r="13" spans="1:16" s="4" customFormat="1" ht="15" customHeight="1" x14ac:dyDescent="0.45">
      <c r="A13" s="71" t="s">
        <v>1182</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1179</v>
      </c>
      <c r="C16" s="688">
        <v>11500</v>
      </c>
      <c r="D16" s="689">
        <f>A16*C16</f>
        <v>11500</v>
      </c>
      <c r="N16" s="23"/>
      <c r="O16" s="23"/>
      <c r="P16" s="23"/>
    </row>
    <row r="17" spans="1:16" s="23" customFormat="1" ht="45" x14ac:dyDescent="0.25">
      <c r="A17" s="240">
        <v>1</v>
      </c>
      <c r="B17" s="591" t="s">
        <v>1149</v>
      </c>
      <c r="C17" s="653">
        <f>((200*80)*2)+7100*6+14000</f>
        <v>88600</v>
      </c>
      <c r="D17" s="79">
        <f t="shared" ref="D17:D21" si="0">A17*C17</f>
        <v>88600</v>
      </c>
      <c r="E17" s="13"/>
      <c r="F17" s="1"/>
      <c r="G17" s="1"/>
      <c r="H17" s="1"/>
      <c r="I17" s="1"/>
      <c r="J17" s="1"/>
      <c r="K17" s="1"/>
      <c r="L17" s="1"/>
      <c r="M17" s="1"/>
    </row>
    <row r="18" spans="1:16" s="23" customFormat="1" ht="45" x14ac:dyDescent="0.3">
      <c r="A18" s="103">
        <v>1</v>
      </c>
      <c r="B18" s="104" t="s">
        <v>1156</v>
      </c>
      <c r="C18" s="105">
        <v>7000</v>
      </c>
      <c r="D18" s="79">
        <f t="shared" si="0"/>
        <v>7000</v>
      </c>
      <c r="E18" s="13"/>
      <c r="F18" s="1"/>
      <c r="G18" s="1"/>
      <c r="H18" s="1"/>
      <c r="I18" s="1"/>
      <c r="J18" s="1"/>
      <c r="K18" s="1"/>
      <c r="L18" s="1"/>
      <c r="M18"/>
    </row>
    <row r="19" spans="1:16" s="23" customFormat="1" ht="15.6" x14ac:dyDescent="0.25">
      <c r="A19" s="103">
        <v>0</v>
      </c>
      <c r="B19" s="104" t="s">
        <v>1155</v>
      </c>
      <c r="C19" s="327">
        <v>750</v>
      </c>
      <c r="D19" s="79">
        <f t="shared" si="0"/>
        <v>0</v>
      </c>
      <c r="E19" s="1"/>
      <c r="F19" s="1"/>
      <c r="G19" s="1"/>
      <c r="H19" s="1"/>
      <c r="I19" s="1"/>
      <c r="J19" s="1"/>
      <c r="K19" s="1"/>
      <c r="L19" s="1"/>
      <c r="M19" s="1"/>
    </row>
    <row r="20" spans="1:16" s="23" customFormat="1" ht="45" x14ac:dyDescent="0.25">
      <c r="A20" s="103">
        <v>1</v>
      </c>
      <c r="B20" s="104" t="s">
        <v>1180</v>
      </c>
      <c r="C20" s="688">
        <v>11500</v>
      </c>
      <c r="D20" s="79">
        <f t="shared" si="0"/>
        <v>11500</v>
      </c>
      <c r="E20" s="13"/>
      <c r="F20" s="1"/>
      <c r="G20" s="1"/>
      <c r="H20" s="1"/>
      <c r="I20" s="1"/>
      <c r="J20" s="1"/>
      <c r="K20" s="1"/>
      <c r="L20" s="1"/>
      <c r="M20" s="1"/>
      <c r="N20" s="1"/>
      <c r="O20" s="1"/>
      <c r="P20" s="1"/>
    </row>
    <row r="21" spans="1:16" ht="30" x14ac:dyDescent="0.25">
      <c r="A21" s="103">
        <v>0</v>
      </c>
      <c r="B21" s="104" t="s">
        <v>1176</v>
      </c>
      <c r="C21" s="327">
        <v>48300</v>
      </c>
      <c r="D21" s="79">
        <f t="shared" si="0"/>
        <v>0</v>
      </c>
    </row>
    <row r="22" spans="1:16" ht="15.6" x14ac:dyDescent="0.3">
      <c r="A22" s="516"/>
      <c r="B22" s="738" t="s">
        <v>1160</v>
      </c>
      <c r="C22" s="86" t="s">
        <v>49</v>
      </c>
      <c r="D22" s="87">
        <f>SUM(D15:D21)</f>
        <v>118600</v>
      </c>
    </row>
    <row r="23" spans="1:16" ht="15.6" x14ac:dyDescent="0.3">
      <c r="A23" s="516"/>
      <c r="B23" s="738" t="s">
        <v>1159</v>
      </c>
      <c r="C23" s="90" t="s">
        <v>51</v>
      </c>
      <c r="D23" s="87">
        <f>D22*0.16</f>
        <v>18976</v>
      </c>
      <c r="O23" s="88"/>
      <c r="P23" s="88"/>
    </row>
    <row r="24" spans="1:16" s="88" customFormat="1" ht="15.6" x14ac:dyDescent="0.25">
      <c r="A24" s="516"/>
      <c r="B24" s="739" t="s">
        <v>1152</v>
      </c>
      <c r="C24" s="90" t="s">
        <v>52</v>
      </c>
      <c r="D24" s="87">
        <f>SUM(D22:D23)</f>
        <v>137576</v>
      </c>
      <c r="E24" s="1"/>
      <c r="F24" s="1"/>
      <c r="G24" s="1"/>
      <c r="H24" s="1"/>
      <c r="I24" s="1"/>
      <c r="J24" s="1"/>
      <c r="K24" s="1"/>
      <c r="L24" s="1"/>
      <c r="M24" s="1"/>
      <c r="N24" s="1"/>
      <c r="O24" s="1"/>
      <c r="P24" s="1"/>
    </row>
    <row r="25" spans="1:16" ht="16.2" thickBot="1" x14ac:dyDescent="0.3">
      <c r="A25" s="34"/>
      <c r="B25" s="186" t="s">
        <v>1183</v>
      </c>
      <c r="C25" s="186"/>
      <c r="D25" s="186"/>
    </row>
    <row r="26" spans="1:16" ht="13.8" x14ac:dyDescent="0.25">
      <c r="A26" s="34"/>
      <c r="B26" s="120" t="s">
        <v>15</v>
      </c>
      <c r="C26" s="1"/>
      <c r="D26" s="1"/>
    </row>
    <row r="27" spans="1:16" ht="15.6" x14ac:dyDescent="0.25">
      <c r="A27" s="34"/>
      <c r="B27" s="123"/>
      <c r="C27" s="1"/>
      <c r="D27" s="1"/>
    </row>
    <row r="28" spans="1:16" ht="15" x14ac:dyDescent="0.25">
      <c r="A28" s="62"/>
      <c r="B28" s="126" t="s">
        <v>17</v>
      </c>
      <c r="C28" s="1"/>
      <c r="D28" s="1"/>
    </row>
    <row r="29" spans="1:16" ht="15" x14ac:dyDescent="0.25">
      <c r="A29" s="62"/>
      <c r="B29" s="127" t="s">
        <v>79</v>
      </c>
      <c r="C29" s="13"/>
      <c r="D29" s="1"/>
    </row>
    <row r="30" spans="1:16" ht="15" x14ac:dyDescent="0.25">
      <c r="A30" s="62"/>
      <c r="B30" s="128"/>
      <c r="C30" s="1"/>
      <c r="D30" s="1"/>
    </row>
    <row r="31" spans="1:16" ht="15" x14ac:dyDescent="0.25">
      <c r="A31" s="62"/>
      <c r="B31" s="129" t="s">
        <v>60</v>
      </c>
      <c r="C31" s="13"/>
      <c r="D31" s="1"/>
    </row>
    <row r="32" spans="1:16" ht="15" x14ac:dyDescent="0.25">
      <c r="A32" s="62"/>
      <c r="B32" s="130" t="s">
        <v>23</v>
      </c>
      <c r="C32" s="13"/>
      <c r="D32" s="1"/>
    </row>
    <row r="33" spans="1:4" ht="27.6" x14ac:dyDescent="0.25">
      <c r="A33" s="62"/>
      <c r="B33" s="132" t="s">
        <v>62</v>
      </c>
      <c r="C33" s="13"/>
      <c r="D33" s="1"/>
    </row>
    <row r="34" spans="1:4" ht="15" x14ac:dyDescent="0.25">
      <c r="A34" s="62"/>
      <c r="B34" s="130" t="s">
        <v>26</v>
      </c>
      <c r="C34" s="13"/>
      <c r="D34" s="1"/>
    </row>
    <row r="35" spans="1:4" ht="27.6" x14ac:dyDescent="0.25">
      <c r="A35" s="62"/>
      <c r="B35" s="333" t="s">
        <v>1161</v>
      </c>
      <c r="C35" s="1"/>
      <c r="D35" s="1"/>
    </row>
    <row r="36" spans="1:4" ht="15" x14ac:dyDescent="0.25">
      <c r="A36" s="62"/>
      <c r="B36" s="334" t="s">
        <v>28</v>
      </c>
      <c r="C36" s="1"/>
      <c r="D36" s="1"/>
    </row>
    <row r="37" spans="1:4" ht="13.8" x14ac:dyDescent="0.25">
      <c r="B37" s="130" t="s">
        <v>29</v>
      </c>
      <c r="C37" s="133"/>
      <c r="D37" s="134"/>
    </row>
    <row r="38" spans="1:4" ht="15" x14ac:dyDescent="0.25">
      <c r="A38" s="62"/>
      <c r="B38" s="138" t="s">
        <v>1162</v>
      </c>
      <c r="C38" s="54"/>
      <c r="D38" s="58"/>
    </row>
    <row r="39" spans="1:4" ht="15" x14ac:dyDescent="0.25">
      <c r="A39" s="62"/>
      <c r="B39" s="127" t="s">
        <v>31</v>
      </c>
      <c r="C39" s="54"/>
    </row>
    <row r="40" spans="1:4" ht="13.8" x14ac:dyDescent="0.25">
      <c r="A40" s="139" t="s">
        <v>0</v>
      </c>
      <c r="B40" s="127" t="s">
        <v>32</v>
      </c>
      <c r="C40" s="141"/>
      <c r="D40" s="1"/>
    </row>
    <row r="41" spans="1:4" ht="50.4" x14ac:dyDescent="0.4">
      <c r="A41" s="142"/>
      <c r="B41" s="140" t="s">
        <v>65</v>
      </c>
      <c r="C41" s="64"/>
      <c r="D41" s="1"/>
    </row>
    <row r="42" spans="1:4" x14ac:dyDescent="0.25">
      <c r="A42" s="142"/>
      <c r="B42" s="64"/>
      <c r="C42" s="64"/>
      <c r="D42" s="1"/>
    </row>
    <row r="43" spans="1:4" x14ac:dyDescent="0.25">
      <c r="A43" s="142"/>
      <c r="B43" s="64"/>
      <c r="C43" s="64"/>
      <c r="D43" s="1"/>
    </row>
    <row r="44" spans="1:4" x14ac:dyDescent="0.25">
      <c r="A44" s="144"/>
      <c r="B44" s="143"/>
      <c r="C44" s="64"/>
      <c r="D44" s="64"/>
    </row>
    <row r="45" spans="1:4" ht="15" x14ac:dyDescent="0.35">
      <c r="A45" s="146" t="s">
        <v>0</v>
      </c>
      <c r="B45" s="145"/>
    </row>
    <row r="46" spans="1:4" x14ac:dyDescent="0.25">
      <c r="A46" s="1" t="s">
        <v>0</v>
      </c>
    </row>
    <row r="50" ht="12.75" customHeight="1" x14ac:dyDescent="0.25"/>
    <row r="58" ht="15.75" customHeight="1" x14ac:dyDescent="0.25"/>
    <row r="59" ht="15" customHeight="1" x14ac:dyDescent="0.25"/>
  </sheetData>
  <mergeCells count="6">
    <mergeCell ref="A14:D14"/>
    <mergeCell ref="A4:D4"/>
    <mergeCell ref="A8:B8"/>
    <mergeCell ref="A9:B9"/>
    <mergeCell ref="A10:B10"/>
    <mergeCell ref="A11:B11"/>
  </mergeCells>
  <printOptions horizontalCentered="1"/>
  <pageMargins left="0.25" right="0.25" top="0.75" bottom="0.75" header="0.3" footer="0.3"/>
  <pageSetup paperSize="9" scale="72" fitToWidth="0" orientation="portrait" r:id="rId1"/>
  <headerFooter alignWithMargins="0">
    <oddFooter>Página &amp;P de &amp;N</oddFooter>
  </headerFooter>
  <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40AE7-EFA1-438A-B9EB-6DA74C0C7305}">
  <sheetPr>
    <tabColor theme="4" tint="-0.249977111117893"/>
    <pageSetUpPr fitToPage="1"/>
  </sheetPr>
  <dimension ref="A1:P59"/>
  <sheetViews>
    <sheetView topLeftCell="A10" zoomScale="85" zoomScaleNormal="85" workbookViewId="0">
      <selection activeCell="A12" sqref="A12"/>
    </sheetView>
  </sheetViews>
  <sheetFormatPr baseColWidth="10" defaultColWidth="11.44140625" defaultRowHeight="13.2" x14ac:dyDescent="0.25"/>
  <cols>
    <col min="1" max="1" width="6" style="1" customWidth="1"/>
    <col min="2" max="2" width="76.77734375" style="1" customWidth="1"/>
    <col min="3" max="3" width="13.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749" t="s">
        <v>970</v>
      </c>
      <c r="B8" s="750"/>
      <c r="C8" s="69"/>
      <c r="D8" s="69"/>
    </row>
    <row r="9" spans="1:16" s="4" customFormat="1" ht="19.2" x14ac:dyDescent="0.45">
      <c r="A9" s="749" t="s">
        <v>971</v>
      </c>
      <c r="B9" s="750"/>
      <c r="C9" s="69"/>
      <c r="D9" s="69"/>
    </row>
    <row r="10" spans="1:16" s="4" customFormat="1" ht="19.2" x14ac:dyDescent="0.45">
      <c r="A10" s="749" t="s">
        <v>972</v>
      </c>
      <c r="B10" s="750"/>
      <c r="C10" s="69"/>
      <c r="D10" s="69"/>
    </row>
    <row r="11" spans="1:16" s="4" customFormat="1" ht="19.2" x14ac:dyDescent="0.45">
      <c r="A11" s="749" t="s">
        <v>1185</v>
      </c>
      <c r="B11" s="750"/>
      <c r="C11" s="70"/>
      <c r="D11" s="69"/>
    </row>
    <row r="12" spans="1:16" s="4" customFormat="1" ht="15" customHeight="1" x14ac:dyDescent="0.45">
      <c r="A12" s="67" t="s">
        <v>38</v>
      </c>
      <c r="B12" s="68"/>
      <c r="C12" s="70"/>
      <c r="D12" s="69"/>
    </row>
    <row r="13" spans="1:16" s="4" customFormat="1" ht="15" customHeight="1" x14ac:dyDescent="0.45">
      <c r="A13" s="71" t="s">
        <v>1182</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1179</v>
      </c>
      <c r="C16" s="688">
        <f>110*80</f>
        <v>8800</v>
      </c>
      <c r="D16" s="689">
        <f>A16*C16</f>
        <v>8800</v>
      </c>
      <c r="N16" s="23"/>
      <c r="O16" s="23"/>
      <c r="P16" s="23"/>
    </row>
    <row r="17" spans="1:16" s="23" customFormat="1" ht="60" x14ac:dyDescent="0.25">
      <c r="A17" s="240">
        <v>1</v>
      </c>
      <c r="B17" s="591" t="s">
        <v>1178</v>
      </c>
      <c r="C17" s="653">
        <f>((200*80)*2)+7100*5</f>
        <v>67500</v>
      </c>
      <c r="D17" s="79">
        <f t="shared" ref="D17:D21" si="0">A17*C17</f>
        <v>67500</v>
      </c>
      <c r="E17" s="13"/>
      <c r="F17" s="1"/>
      <c r="G17" s="1"/>
      <c r="H17" s="1"/>
      <c r="I17" s="1"/>
      <c r="J17" s="1"/>
      <c r="K17" s="1"/>
      <c r="L17" s="1"/>
      <c r="M17" s="1"/>
    </row>
    <row r="18" spans="1:16" s="23" customFormat="1" ht="60" x14ac:dyDescent="0.3">
      <c r="A18" s="103">
        <v>1</v>
      </c>
      <c r="B18" s="104" t="s">
        <v>1156</v>
      </c>
      <c r="C18" s="105">
        <v>7000</v>
      </c>
      <c r="D18" s="79">
        <f t="shared" si="0"/>
        <v>7000</v>
      </c>
      <c r="E18" s="1"/>
      <c r="F18" s="1"/>
      <c r="G18" s="1"/>
      <c r="H18" s="1"/>
      <c r="I18" s="1"/>
      <c r="J18" s="1"/>
      <c r="K18" s="1"/>
      <c r="L18" s="1"/>
      <c r="M18"/>
    </row>
    <row r="19" spans="1:16" s="23" customFormat="1" ht="15.6" x14ac:dyDescent="0.25">
      <c r="A19" s="103">
        <v>0</v>
      </c>
      <c r="B19" s="104" t="s">
        <v>1155</v>
      </c>
      <c r="C19" s="327">
        <v>750</v>
      </c>
      <c r="D19" s="79">
        <f t="shared" si="0"/>
        <v>0</v>
      </c>
      <c r="E19" s="13"/>
      <c r="F19" s="1"/>
      <c r="G19" s="1"/>
      <c r="H19" s="1"/>
      <c r="I19" s="1"/>
      <c r="J19" s="1"/>
      <c r="K19" s="1"/>
      <c r="L19" s="1"/>
      <c r="M19" s="1"/>
    </row>
    <row r="20" spans="1:16" s="23" customFormat="1" ht="45" x14ac:dyDescent="0.25">
      <c r="A20" s="103">
        <v>1</v>
      </c>
      <c r="B20" s="104" t="s">
        <v>1180</v>
      </c>
      <c r="C20" s="688">
        <f>110*80</f>
        <v>8800</v>
      </c>
      <c r="D20" s="79">
        <f t="shared" si="0"/>
        <v>8800</v>
      </c>
      <c r="E20" s="1"/>
      <c r="F20" s="1"/>
      <c r="G20" s="1"/>
      <c r="H20" s="1"/>
      <c r="I20" s="1"/>
      <c r="J20" s="1"/>
      <c r="K20" s="1"/>
      <c r="L20" s="1"/>
      <c r="M20" s="1"/>
      <c r="N20" s="1"/>
      <c r="O20" s="1"/>
      <c r="P20" s="1"/>
    </row>
    <row r="21" spans="1:16" ht="30" x14ac:dyDescent="0.25">
      <c r="A21" s="103">
        <v>0</v>
      </c>
      <c r="B21" s="104" t="s">
        <v>1176</v>
      </c>
      <c r="C21" s="327">
        <v>35400</v>
      </c>
      <c r="D21" s="79">
        <f t="shared" si="0"/>
        <v>0</v>
      </c>
    </row>
    <row r="22" spans="1:16" ht="15.6" x14ac:dyDescent="0.3">
      <c r="A22" s="516"/>
      <c r="B22" s="738" t="s">
        <v>1160</v>
      </c>
      <c r="C22" s="86" t="s">
        <v>49</v>
      </c>
      <c r="D22" s="87">
        <f>SUM(D15:D21)</f>
        <v>92100</v>
      </c>
    </row>
    <row r="23" spans="1:16" ht="15.6" x14ac:dyDescent="0.3">
      <c r="A23" s="516"/>
      <c r="B23" s="738" t="s">
        <v>1159</v>
      </c>
      <c r="C23" s="90" t="s">
        <v>51</v>
      </c>
      <c r="D23" s="87">
        <f>D22*0.16</f>
        <v>14736</v>
      </c>
      <c r="O23" s="88"/>
      <c r="P23" s="88"/>
    </row>
    <row r="24" spans="1:16" s="88" customFormat="1" ht="15.6" x14ac:dyDescent="0.25">
      <c r="A24" s="516"/>
      <c r="B24" s="739" t="s">
        <v>1152</v>
      </c>
      <c r="C24" s="90" t="s">
        <v>52</v>
      </c>
      <c r="D24" s="87">
        <f>SUM(D22:D23)</f>
        <v>106836</v>
      </c>
      <c r="E24" s="1"/>
      <c r="F24" s="1"/>
      <c r="G24" s="1"/>
      <c r="H24" s="1"/>
      <c r="I24" s="1"/>
      <c r="J24" s="1"/>
      <c r="K24" s="1"/>
      <c r="L24" s="1"/>
      <c r="M24" s="1"/>
      <c r="N24" s="1"/>
      <c r="O24" s="1"/>
      <c r="P24" s="1"/>
    </row>
    <row r="25" spans="1:16" ht="16.2" thickBot="1" x14ac:dyDescent="0.3">
      <c r="A25" s="34"/>
      <c r="B25" s="186" t="s">
        <v>1181</v>
      </c>
      <c r="C25" s="186"/>
      <c r="D25" s="186"/>
    </row>
    <row r="26" spans="1:16" ht="13.8" x14ac:dyDescent="0.25">
      <c r="A26" s="34"/>
      <c r="B26" s="120" t="s">
        <v>15</v>
      </c>
      <c r="C26" s="1"/>
      <c r="D26" s="1"/>
    </row>
    <row r="27" spans="1:16" ht="15.6" x14ac:dyDescent="0.25">
      <c r="A27" s="34"/>
      <c r="B27" s="123"/>
      <c r="C27" s="1"/>
      <c r="D27" s="1"/>
    </row>
    <row r="28" spans="1:16" ht="15" x14ac:dyDescent="0.25">
      <c r="A28" s="62"/>
      <c r="B28" s="126" t="s">
        <v>17</v>
      </c>
      <c r="C28" s="1"/>
      <c r="D28" s="1"/>
    </row>
    <row r="29" spans="1:16" ht="15" x14ac:dyDescent="0.25">
      <c r="A29" s="62"/>
      <c r="B29" s="127" t="s">
        <v>79</v>
      </c>
      <c r="C29" s="13"/>
      <c r="D29" s="1"/>
    </row>
    <row r="30" spans="1:16" ht="15" x14ac:dyDescent="0.25">
      <c r="A30" s="62"/>
      <c r="B30" s="128"/>
      <c r="C30" s="1"/>
      <c r="D30" s="1"/>
    </row>
    <row r="31" spans="1:16" ht="15" x14ac:dyDescent="0.25">
      <c r="A31" s="62"/>
      <c r="B31" s="129" t="s">
        <v>60</v>
      </c>
      <c r="C31" s="13"/>
      <c r="D31" s="1"/>
    </row>
    <row r="32" spans="1:16" ht="15" x14ac:dyDescent="0.25">
      <c r="A32" s="62"/>
      <c r="B32" s="130" t="s">
        <v>23</v>
      </c>
      <c r="C32" s="13"/>
      <c r="D32" s="1"/>
    </row>
    <row r="33" spans="1:4" ht="27.6" x14ac:dyDescent="0.25">
      <c r="A33" s="62"/>
      <c r="B33" s="132" t="s">
        <v>62</v>
      </c>
      <c r="C33" s="13"/>
      <c r="D33" s="1"/>
    </row>
    <row r="34" spans="1:4" ht="15" x14ac:dyDescent="0.25">
      <c r="A34" s="62"/>
      <c r="B34" s="130" t="s">
        <v>26</v>
      </c>
      <c r="C34" s="13"/>
      <c r="D34" s="1"/>
    </row>
    <row r="35" spans="1:4" ht="27.6" x14ac:dyDescent="0.25">
      <c r="A35" s="62"/>
      <c r="B35" s="333" t="s">
        <v>1161</v>
      </c>
      <c r="C35" s="1"/>
      <c r="D35" s="1"/>
    </row>
    <row r="36" spans="1:4" ht="15" x14ac:dyDescent="0.25">
      <c r="A36" s="62"/>
      <c r="B36" s="334" t="s">
        <v>28</v>
      </c>
      <c r="C36" s="1"/>
      <c r="D36" s="1"/>
    </row>
    <row r="37" spans="1:4" ht="13.8" x14ac:dyDescent="0.25">
      <c r="B37" s="130" t="s">
        <v>29</v>
      </c>
      <c r="C37" s="133"/>
      <c r="D37" s="134"/>
    </row>
    <row r="38" spans="1:4" ht="15" x14ac:dyDescent="0.25">
      <c r="A38" s="62"/>
      <c r="B38" s="138" t="s">
        <v>1162</v>
      </c>
      <c r="C38" s="54"/>
      <c r="D38" s="58"/>
    </row>
    <row r="39" spans="1:4" ht="15" x14ac:dyDescent="0.25">
      <c r="A39" s="62"/>
      <c r="B39" s="127" t="s">
        <v>31</v>
      </c>
      <c r="C39" s="54"/>
    </row>
    <row r="40" spans="1:4" ht="13.8" x14ac:dyDescent="0.25">
      <c r="A40" s="139" t="s">
        <v>0</v>
      </c>
      <c r="B40" s="127" t="s">
        <v>32</v>
      </c>
      <c r="C40" s="141"/>
      <c r="D40" s="1"/>
    </row>
    <row r="41" spans="1:4" ht="50.4" x14ac:dyDescent="0.4">
      <c r="A41" s="142"/>
      <c r="B41" s="140" t="s">
        <v>65</v>
      </c>
      <c r="C41" s="64"/>
      <c r="D41" s="1"/>
    </row>
    <row r="42" spans="1:4" x14ac:dyDescent="0.25">
      <c r="A42" s="142"/>
      <c r="B42" s="64"/>
      <c r="C42" s="64"/>
      <c r="D42" s="1"/>
    </row>
    <row r="43" spans="1:4" x14ac:dyDescent="0.25">
      <c r="A43" s="142"/>
      <c r="B43" s="64"/>
      <c r="C43" s="64"/>
      <c r="D43" s="1"/>
    </row>
    <row r="44" spans="1:4" x14ac:dyDescent="0.25">
      <c r="A44" s="144"/>
      <c r="B44" s="143"/>
      <c r="C44" s="64"/>
      <c r="D44" s="64"/>
    </row>
    <row r="45" spans="1:4" ht="15" x14ac:dyDescent="0.35">
      <c r="A45" s="146" t="s">
        <v>0</v>
      </c>
      <c r="B45" s="145"/>
    </row>
    <row r="46" spans="1:4" x14ac:dyDescent="0.25">
      <c r="A46" s="1" t="s">
        <v>0</v>
      </c>
    </row>
    <row r="50" ht="12.75" customHeight="1" x14ac:dyDescent="0.25"/>
    <row r="58" ht="15.75" customHeight="1" x14ac:dyDescent="0.25"/>
    <row r="59" ht="15" customHeight="1" x14ac:dyDescent="0.25"/>
  </sheetData>
  <mergeCells count="6">
    <mergeCell ref="A14:D14"/>
    <mergeCell ref="A4:D4"/>
    <mergeCell ref="A8:B8"/>
    <mergeCell ref="A9:B9"/>
    <mergeCell ref="A10:B10"/>
    <mergeCell ref="A11:B11"/>
  </mergeCells>
  <printOptions horizontalCentered="1"/>
  <pageMargins left="0.25" right="0.25" top="0.75" bottom="0.75" header="0.3" footer="0.3"/>
  <pageSetup paperSize="9" scale="70" fitToWidth="0" orientation="portrait" r:id="rId1"/>
  <headerFooter alignWithMargins="0">
    <oddFooter>Página &amp;P de &amp;N</oddFooter>
  </headerFooter>
  <drawing r:id="rId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53C6-2F84-4A88-BBB4-26D47D46F131}">
  <sheetPr>
    <tabColor theme="4" tint="-0.249977111117893"/>
    <pageSetUpPr fitToPage="1"/>
  </sheetPr>
  <dimension ref="A1:P59"/>
  <sheetViews>
    <sheetView topLeftCell="A13" zoomScale="85" zoomScaleNormal="85" workbookViewId="0">
      <selection activeCell="C18" sqref="C18"/>
    </sheetView>
  </sheetViews>
  <sheetFormatPr baseColWidth="10" defaultColWidth="11.44140625" defaultRowHeight="13.2" x14ac:dyDescent="0.25"/>
  <cols>
    <col min="1" max="1" width="6" style="1" customWidth="1"/>
    <col min="2" max="2" width="79.33203125" style="1" customWidth="1"/>
    <col min="3" max="3" width="13.55468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749" t="s">
        <v>970</v>
      </c>
      <c r="B8" s="750"/>
      <c r="C8" s="69"/>
      <c r="D8" s="69"/>
    </row>
    <row r="9" spans="1:16" s="4" customFormat="1" ht="19.2" x14ac:dyDescent="0.45">
      <c r="A9" s="749" t="s">
        <v>971</v>
      </c>
      <c r="B9" s="750"/>
      <c r="C9" s="69"/>
      <c r="D9" s="69"/>
    </row>
    <row r="10" spans="1:16" s="4" customFormat="1" ht="19.2" x14ac:dyDescent="0.45">
      <c r="A10" s="749" t="s">
        <v>972</v>
      </c>
      <c r="B10" s="750"/>
      <c r="C10" s="69"/>
      <c r="D10" s="69"/>
    </row>
    <row r="11" spans="1:16" s="4" customFormat="1" ht="19.2" x14ac:dyDescent="0.45">
      <c r="A11" s="749" t="s">
        <v>1186</v>
      </c>
      <c r="B11" s="750"/>
      <c r="C11" s="70"/>
      <c r="D11" s="69"/>
    </row>
    <row r="12" spans="1:16" s="4" customFormat="1" ht="15" customHeight="1" x14ac:dyDescent="0.45">
      <c r="A12" s="67" t="s">
        <v>38</v>
      </c>
      <c r="B12" s="68"/>
      <c r="C12" s="70"/>
      <c r="D12" s="69"/>
    </row>
    <row r="13" spans="1:16" s="4" customFormat="1" ht="15" customHeight="1" x14ac:dyDescent="0.45">
      <c r="A13" s="71" t="s">
        <v>1182</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45" x14ac:dyDescent="0.25">
      <c r="A16" s="103">
        <v>1</v>
      </c>
      <c r="B16" s="104" t="s">
        <v>1179</v>
      </c>
      <c r="C16" s="688">
        <v>12800</v>
      </c>
      <c r="D16" s="689">
        <f>A16*C16</f>
        <v>12800</v>
      </c>
      <c r="M16" s="23"/>
      <c r="N16" s="23"/>
      <c r="O16" s="23"/>
    </row>
    <row r="17" spans="1:16" s="23" customFormat="1" ht="45" x14ac:dyDescent="0.25">
      <c r="A17" s="240">
        <v>1</v>
      </c>
      <c r="B17" s="591" t="s">
        <v>1149</v>
      </c>
      <c r="C17" s="653">
        <f>((200*80)*2)+7100*6+14000</f>
        <v>88600</v>
      </c>
      <c r="D17" s="79">
        <f t="shared" ref="D17:D21" si="0">A17*C17</f>
        <v>88600</v>
      </c>
      <c r="E17" s="13"/>
      <c r="F17" s="1"/>
      <c r="G17" s="1"/>
      <c r="H17" s="1"/>
      <c r="I17" s="1"/>
      <c r="J17" s="1"/>
      <c r="K17" s="1"/>
      <c r="L17" s="1"/>
    </row>
    <row r="18" spans="1:16" s="23" customFormat="1" ht="60" x14ac:dyDescent="0.25">
      <c r="A18" s="103">
        <v>1</v>
      </c>
      <c r="B18" s="104" t="s">
        <v>1156</v>
      </c>
      <c r="C18" s="105">
        <v>7000</v>
      </c>
      <c r="D18" s="79">
        <f t="shared" si="0"/>
        <v>7000</v>
      </c>
      <c r="E18" s="13"/>
      <c r="F18" s="1"/>
      <c r="G18" s="1"/>
      <c r="H18" s="1"/>
      <c r="I18" s="1"/>
      <c r="J18" s="1"/>
      <c r="K18" s="1"/>
      <c r="L18" s="1"/>
    </row>
    <row r="19" spans="1:16" s="23" customFormat="1" ht="15.6" x14ac:dyDescent="0.25">
      <c r="A19" s="103">
        <v>0</v>
      </c>
      <c r="B19" s="104" t="s">
        <v>1155</v>
      </c>
      <c r="C19" s="327">
        <v>750</v>
      </c>
      <c r="D19" s="79">
        <f t="shared" si="0"/>
        <v>0</v>
      </c>
      <c r="E19" s="13"/>
      <c r="F19" s="1"/>
      <c r="G19" s="1"/>
      <c r="H19" s="1"/>
      <c r="I19" s="1"/>
      <c r="J19" s="1"/>
      <c r="K19" s="1"/>
      <c r="L19" s="1"/>
      <c r="M19" s="1"/>
      <c r="N19" s="1"/>
    </row>
    <row r="20" spans="1:16" s="23" customFormat="1" ht="45" x14ac:dyDescent="0.25">
      <c r="A20" s="103">
        <v>1</v>
      </c>
      <c r="B20" s="104" t="s">
        <v>1180</v>
      </c>
      <c r="C20" s="688">
        <v>12800</v>
      </c>
      <c r="D20" s="79">
        <f t="shared" si="0"/>
        <v>12800</v>
      </c>
      <c r="E20" s="1"/>
      <c r="F20" s="1"/>
      <c r="G20" s="1"/>
      <c r="H20" s="1"/>
      <c r="I20" s="1"/>
      <c r="J20" s="1"/>
      <c r="K20" s="1"/>
      <c r="L20" s="1"/>
      <c r="M20" s="1"/>
      <c r="N20" s="1"/>
      <c r="O20" s="1"/>
      <c r="P20" s="1"/>
    </row>
    <row r="21" spans="1:16" ht="30" x14ac:dyDescent="0.25">
      <c r="A21" s="103">
        <v>0</v>
      </c>
      <c r="B21" s="104" t="s">
        <v>1176</v>
      </c>
      <c r="C21" s="327">
        <v>48300</v>
      </c>
      <c r="D21" s="79">
        <f t="shared" si="0"/>
        <v>0</v>
      </c>
      <c r="E21" s="13"/>
    </row>
    <row r="22" spans="1:16" ht="15.6" x14ac:dyDescent="0.3">
      <c r="A22" s="516"/>
      <c r="B22" s="738" t="s">
        <v>1160</v>
      </c>
      <c r="C22" s="86" t="s">
        <v>49</v>
      </c>
      <c r="D22" s="87">
        <f>SUM(D15:D21)</f>
        <v>121200</v>
      </c>
      <c r="O22" s="88"/>
    </row>
    <row r="23" spans="1:16" ht="15.6" x14ac:dyDescent="0.3">
      <c r="A23" s="516"/>
      <c r="B23" s="738" t="s">
        <v>1159</v>
      </c>
      <c r="C23" s="90" t="s">
        <v>51</v>
      </c>
      <c r="D23" s="87">
        <f>D22*0.16</f>
        <v>19392</v>
      </c>
      <c r="P23" s="88"/>
    </row>
    <row r="24" spans="1:16" s="88" customFormat="1" ht="15.6" x14ac:dyDescent="0.25">
      <c r="A24" s="516"/>
      <c r="B24" s="739" t="s">
        <v>1152</v>
      </c>
      <c r="C24" s="90" t="s">
        <v>52</v>
      </c>
      <c r="D24" s="87">
        <f>SUM(D22:D23)</f>
        <v>140592</v>
      </c>
      <c r="E24" s="1"/>
      <c r="F24" s="1"/>
      <c r="G24" s="1"/>
      <c r="H24" s="1"/>
      <c r="I24" s="1"/>
      <c r="J24" s="1"/>
      <c r="K24" s="1"/>
      <c r="L24" s="1"/>
      <c r="M24" s="1"/>
      <c r="N24" s="1"/>
      <c r="O24" s="1"/>
      <c r="P24" s="1"/>
    </row>
    <row r="25" spans="1:16" ht="16.2" thickBot="1" x14ac:dyDescent="0.3">
      <c r="A25" s="34"/>
      <c r="B25" s="186" t="s">
        <v>1177</v>
      </c>
      <c r="C25" s="186"/>
      <c r="D25" s="186"/>
    </row>
    <row r="26" spans="1:16" ht="13.8" x14ac:dyDescent="0.25">
      <c r="A26" s="34"/>
      <c r="B26" s="120" t="s">
        <v>15</v>
      </c>
      <c r="C26" s="1"/>
      <c r="D26" s="1"/>
    </row>
    <row r="27" spans="1:16" ht="15.6" x14ac:dyDescent="0.25">
      <c r="A27" s="34"/>
      <c r="B27" s="123"/>
      <c r="C27" s="1"/>
      <c r="D27" s="1"/>
    </row>
    <row r="28" spans="1:16" ht="15" x14ac:dyDescent="0.25">
      <c r="A28" s="62"/>
      <c r="B28" s="126" t="s">
        <v>17</v>
      </c>
      <c r="C28" s="1"/>
      <c r="D28" s="1"/>
    </row>
    <row r="29" spans="1:16" ht="15" x14ac:dyDescent="0.25">
      <c r="A29" s="62"/>
      <c r="B29" s="127" t="s">
        <v>79</v>
      </c>
      <c r="C29" s="13"/>
      <c r="D29" s="1"/>
    </row>
    <row r="30" spans="1:16" ht="15" x14ac:dyDescent="0.25">
      <c r="A30" s="62"/>
      <c r="B30" s="128"/>
      <c r="C30" s="1"/>
      <c r="D30" s="1"/>
    </row>
    <row r="31" spans="1:16" ht="15" x14ac:dyDescent="0.25">
      <c r="A31" s="62"/>
      <c r="B31" s="129" t="s">
        <v>60</v>
      </c>
      <c r="C31" s="13"/>
      <c r="D31" s="1"/>
    </row>
    <row r="32" spans="1:16" ht="15" x14ac:dyDescent="0.25">
      <c r="A32" s="62"/>
      <c r="B32" s="130" t="s">
        <v>23</v>
      </c>
      <c r="C32" s="13"/>
      <c r="D32" s="1"/>
    </row>
    <row r="33" spans="1:4" ht="27.6" x14ac:dyDescent="0.25">
      <c r="A33" s="62"/>
      <c r="B33" s="132" t="s">
        <v>62</v>
      </c>
      <c r="C33" s="13"/>
      <c r="D33" s="1"/>
    </row>
    <row r="34" spans="1:4" ht="15" x14ac:dyDescent="0.25">
      <c r="A34" s="62"/>
      <c r="B34" s="130" t="s">
        <v>26</v>
      </c>
      <c r="C34" s="13"/>
      <c r="D34" s="1"/>
    </row>
    <row r="35" spans="1:4" ht="27.6" x14ac:dyDescent="0.25">
      <c r="A35" s="62"/>
      <c r="B35" s="333" t="s">
        <v>1161</v>
      </c>
      <c r="C35" s="1"/>
      <c r="D35" s="1"/>
    </row>
    <row r="36" spans="1:4" ht="15" x14ac:dyDescent="0.25">
      <c r="A36" s="62"/>
      <c r="B36" s="334" t="s">
        <v>28</v>
      </c>
      <c r="C36" s="1"/>
      <c r="D36" s="1"/>
    </row>
    <row r="37" spans="1:4" ht="13.8" x14ac:dyDescent="0.25">
      <c r="B37" s="130" t="s">
        <v>29</v>
      </c>
      <c r="C37" s="133"/>
      <c r="D37" s="134"/>
    </row>
    <row r="38" spans="1:4" ht="15" x14ac:dyDescent="0.25">
      <c r="A38" s="62"/>
      <c r="B38" s="138" t="s">
        <v>1162</v>
      </c>
      <c r="C38" s="54"/>
      <c r="D38" s="58"/>
    </row>
    <row r="39" spans="1:4" ht="15" x14ac:dyDescent="0.25">
      <c r="A39" s="62"/>
      <c r="B39" s="127" t="s">
        <v>31</v>
      </c>
      <c r="C39" s="54"/>
    </row>
    <row r="40" spans="1:4" ht="13.8" x14ac:dyDescent="0.25">
      <c r="A40" s="139" t="s">
        <v>0</v>
      </c>
      <c r="B40" s="127" t="s">
        <v>32</v>
      </c>
      <c r="C40" s="141"/>
      <c r="D40" s="1"/>
    </row>
    <row r="41" spans="1:4" ht="50.4" x14ac:dyDescent="0.4">
      <c r="A41" s="142"/>
      <c r="B41" s="140" t="s">
        <v>65</v>
      </c>
      <c r="C41" s="64"/>
      <c r="D41" s="1"/>
    </row>
    <row r="42" spans="1:4" x14ac:dyDescent="0.25">
      <c r="A42" s="142"/>
      <c r="B42" s="64"/>
      <c r="C42" s="64"/>
      <c r="D42" s="1"/>
    </row>
    <row r="43" spans="1:4" x14ac:dyDescent="0.25">
      <c r="A43" s="142"/>
      <c r="B43" s="64"/>
      <c r="C43" s="64"/>
      <c r="D43" s="1"/>
    </row>
    <row r="44" spans="1:4" x14ac:dyDescent="0.25">
      <c r="A44" s="144"/>
      <c r="B44" s="143"/>
      <c r="C44" s="64"/>
      <c r="D44" s="64"/>
    </row>
    <row r="45" spans="1:4" ht="15" x14ac:dyDescent="0.35">
      <c r="A45" s="146" t="s">
        <v>0</v>
      </c>
      <c r="B45" s="145"/>
    </row>
    <row r="46" spans="1:4" x14ac:dyDescent="0.25">
      <c r="A46" s="1" t="s">
        <v>0</v>
      </c>
    </row>
    <row r="50" ht="12.75" customHeight="1" x14ac:dyDescent="0.25"/>
    <row r="58" ht="15.75" customHeight="1" x14ac:dyDescent="0.25"/>
    <row r="59" ht="15" customHeight="1" x14ac:dyDescent="0.25"/>
  </sheetData>
  <mergeCells count="6">
    <mergeCell ref="A14:D14"/>
    <mergeCell ref="A4:D4"/>
    <mergeCell ref="A8:B8"/>
    <mergeCell ref="A9:B9"/>
    <mergeCell ref="A10:B10"/>
    <mergeCell ref="A11:B11"/>
  </mergeCells>
  <printOptions horizontalCentered="1"/>
  <pageMargins left="0.25" right="0.25" top="0.75" bottom="0.75" header="0.3" footer="0.3"/>
  <pageSetup paperSize="9" scale="71" fitToWidth="0" orientation="portrait" r:id="rId1"/>
  <headerFooter alignWithMargins="0">
    <oddFooter>Página &amp;P de &amp;N</oddFooter>
  </headerFooter>
  <drawing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9B64-5C5C-4E83-B385-532B0335A2F9}">
  <sheetPr>
    <tabColor theme="4" tint="-0.249977111117893"/>
    <pageSetUpPr fitToPage="1"/>
  </sheetPr>
  <dimension ref="A1:P59"/>
  <sheetViews>
    <sheetView zoomScale="85" zoomScaleNormal="85" workbookViewId="0">
      <selection activeCell="A12" sqref="A12"/>
    </sheetView>
  </sheetViews>
  <sheetFormatPr baseColWidth="10" defaultColWidth="11.44140625" defaultRowHeight="13.2" x14ac:dyDescent="0.25"/>
  <cols>
    <col min="1" max="1" width="6" style="1" customWidth="1"/>
    <col min="2" max="2" width="77.10937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700</v>
      </c>
      <c r="B8" s="68"/>
      <c r="C8" s="69"/>
      <c r="D8" s="69"/>
    </row>
    <row r="9" spans="1:16" s="4" customFormat="1" ht="19.2" x14ac:dyDescent="0.45">
      <c r="A9" s="67" t="s">
        <v>701</v>
      </c>
      <c r="B9" s="68"/>
      <c r="C9" s="69"/>
      <c r="D9" s="69"/>
    </row>
    <row r="10" spans="1:16" s="4" customFormat="1" ht="19.2" x14ac:dyDescent="0.45">
      <c r="A10" s="67" t="s">
        <v>702</v>
      </c>
      <c r="B10" s="68"/>
      <c r="C10" s="69"/>
      <c r="D10" s="69"/>
    </row>
    <row r="11" spans="1:16" s="4" customFormat="1" ht="19.2" x14ac:dyDescent="0.45">
      <c r="A11" s="67" t="s">
        <v>1190</v>
      </c>
      <c r="B11" s="68"/>
      <c r="C11" s="70"/>
      <c r="D11" s="69"/>
    </row>
    <row r="12" spans="1:16" s="4" customFormat="1" ht="15" customHeight="1" x14ac:dyDescent="0.45">
      <c r="A12" s="67" t="s">
        <v>38</v>
      </c>
      <c r="B12" s="68"/>
      <c r="C12" s="70"/>
      <c r="D12" s="69"/>
    </row>
    <row r="13" spans="1:16" s="4" customFormat="1" ht="15" customHeight="1" x14ac:dyDescent="0.45">
      <c r="A13" s="71" t="s">
        <v>1187</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30" x14ac:dyDescent="0.25">
      <c r="A16" s="103">
        <v>1</v>
      </c>
      <c r="B16" s="104" t="s">
        <v>116</v>
      </c>
      <c r="C16" s="105">
        <v>7300</v>
      </c>
      <c r="D16" s="79">
        <f>A16*C16</f>
        <v>7300</v>
      </c>
      <c r="E16" s="13"/>
      <c r="N16" s="23"/>
      <c r="O16" s="23"/>
      <c r="P16" s="23"/>
    </row>
    <row r="17" spans="1:16" s="23" customFormat="1" ht="15.6" x14ac:dyDescent="0.3">
      <c r="A17" s="99"/>
      <c r="B17" s="85"/>
      <c r="C17" s="86" t="s">
        <v>49</v>
      </c>
      <c r="D17" s="87">
        <f>SUM(D16:D16)</f>
        <v>7300</v>
      </c>
      <c r="E17" s="1"/>
      <c r="F17" s="1"/>
      <c r="G17" s="1"/>
      <c r="H17" s="1"/>
      <c r="I17" s="1"/>
      <c r="J17" s="1"/>
      <c r="K17" s="1"/>
      <c r="L17" s="1"/>
      <c r="M17" s="1"/>
      <c r="N17" s="1"/>
    </row>
    <row r="18" spans="1:16" s="23" customFormat="1" ht="15.6" x14ac:dyDescent="0.3">
      <c r="A18" s="99"/>
      <c r="B18" s="85"/>
      <c r="C18" s="90" t="s">
        <v>51</v>
      </c>
      <c r="D18" s="87">
        <f>D17*0.16</f>
        <v>1168</v>
      </c>
      <c r="E18" s="13"/>
      <c r="F18" s="1"/>
      <c r="G18" s="1"/>
      <c r="H18" s="1"/>
      <c r="I18" s="1"/>
      <c r="J18" s="1"/>
      <c r="K18" s="1"/>
      <c r="L18" s="1"/>
      <c r="M18" s="1"/>
      <c r="N18" s="1"/>
    </row>
    <row r="19" spans="1:16" s="23" customFormat="1" ht="16.2" thickBot="1" x14ac:dyDescent="0.3">
      <c r="A19" s="99"/>
      <c r="B19" s="100"/>
      <c r="C19" s="90" t="s">
        <v>52</v>
      </c>
      <c r="D19" s="87">
        <f>SUM(D17:D18)</f>
        <v>8468</v>
      </c>
      <c r="E19" s="1"/>
      <c r="F19" s="1"/>
      <c r="G19" s="1"/>
      <c r="H19" s="1"/>
      <c r="I19" s="1"/>
      <c r="J19" s="1"/>
      <c r="K19" s="1"/>
      <c r="L19" s="1"/>
      <c r="M19" s="1"/>
      <c r="N19" s="1"/>
    </row>
    <row r="20" spans="1:16" s="23" customFormat="1" ht="19.95" customHeight="1" thickBot="1" x14ac:dyDescent="0.3">
      <c r="A20" s="116"/>
      <c r="B20" s="186" t="s">
        <v>705</v>
      </c>
      <c r="C20" s="36"/>
      <c r="D20" s="37"/>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3"/>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15" x14ac:dyDescent="0.25">
      <c r="A30" s="62"/>
      <c r="B30" s="333" t="s">
        <v>1189</v>
      </c>
      <c r="C30" s="13"/>
      <c r="D30" s="1"/>
    </row>
    <row r="31" spans="1:16" ht="15" x14ac:dyDescent="0.25">
      <c r="A31" s="62"/>
      <c r="B31" s="334" t="s">
        <v>28</v>
      </c>
      <c r="C31" s="1"/>
      <c r="D31" s="1"/>
    </row>
    <row r="32" spans="1:16" ht="15" x14ac:dyDescent="0.25">
      <c r="A32" s="62"/>
      <c r="B32" s="130" t="s">
        <v>29</v>
      </c>
      <c r="C32" s="1"/>
      <c r="D32" s="1"/>
    </row>
    <row r="33" spans="1:4" ht="13.8" x14ac:dyDescent="0.25">
      <c r="B33" s="138" t="s">
        <v>1188</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90" fitToWidth="0" orientation="portrait" r:id="rId1"/>
  <headerFooter alignWithMargins="0">
    <oddFooter>Página &amp;P de &amp;N</oddFooter>
  </headerFooter>
  <drawing r:id="rId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EBB0F-BE02-497F-8336-A0ED4541E2A6}">
  <sheetPr>
    <tabColor theme="4" tint="-0.249977111117893"/>
    <pageSetUpPr fitToPage="1"/>
  </sheetPr>
  <dimension ref="A1:P59"/>
  <sheetViews>
    <sheetView tabSelected="1" topLeftCell="A10" zoomScale="85" zoomScaleNormal="85" workbookViewId="0">
      <selection activeCell="B20" sqref="B20"/>
    </sheetView>
  </sheetViews>
  <sheetFormatPr baseColWidth="10" defaultColWidth="11.44140625" defaultRowHeight="13.2" x14ac:dyDescent="0.25"/>
  <cols>
    <col min="1" max="1" width="6" style="1" customWidth="1"/>
    <col min="2" max="2" width="77.109375" style="1" customWidth="1"/>
    <col min="3" max="3" width="12.109375" style="3" customWidth="1"/>
    <col min="4" max="4" width="14.109375" style="3" customWidth="1"/>
    <col min="5" max="5" width="0.33203125" style="1" customWidth="1"/>
    <col min="6" max="11" width="11.44140625" style="1" hidden="1" customWidth="1"/>
    <col min="12" max="16384" width="11.44140625" style="1"/>
  </cols>
  <sheetData>
    <row r="1" spans="1:16" ht="81" customHeight="1" x14ac:dyDescent="0.25">
      <c r="A1" s="1" t="s">
        <v>0</v>
      </c>
      <c r="C1" s="2"/>
    </row>
    <row r="2" spans="1:16" ht="9" customHeight="1" x14ac:dyDescent="0.25">
      <c r="C2" s="2"/>
    </row>
    <row r="3" spans="1:16" ht="9" customHeight="1" x14ac:dyDescent="0.25">
      <c r="C3" s="2"/>
    </row>
    <row r="4" spans="1:16" s="4" customFormat="1" ht="16.8" x14ac:dyDescent="0.4">
      <c r="A4" s="748"/>
      <c r="B4" s="748"/>
      <c r="C4" s="748"/>
      <c r="D4" s="748"/>
    </row>
    <row r="5" spans="1:16" s="4" customFormat="1" ht="16.8" x14ac:dyDescent="0.4">
      <c r="A5" s="5"/>
      <c r="C5" s="6"/>
      <c r="D5" s="6"/>
    </row>
    <row r="6" spans="1:16" s="4" customFormat="1" ht="16.8" x14ac:dyDescent="0.4">
      <c r="A6" s="5"/>
      <c r="C6" s="6"/>
      <c r="D6" s="6"/>
    </row>
    <row r="7" spans="1:16" s="4" customFormat="1" ht="16.8" x14ac:dyDescent="0.4">
      <c r="A7" s="5"/>
      <c r="C7" s="6"/>
      <c r="D7" s="6"/>
    </row>
    <row r="8" spans="1:16" s="4" customFormat="1" ht="19.2" x14ac:dyDescent="0.45">
      <c r="A8" s="67" t="s">
        <v>700</v>
      </c>
      <c r="B8" s="68"/>
      <c r="C8" s="69"/>
      <c r="D8" s="69"/>
    </row>
    <row r="9" spans="1:16" s="4" customFormat="1" ht="19.2" x14ac:dyDescent="0.45">
      <c r="A9" s="67" t="s">
        <v>701</v>
      </c>
      <c r="B9" s="68"/>
      <c r="C9" s="69"/>
      <c r="D9" s="69"/>
    </row>
    <row r="10" spans="1:16" s="4" customFormat="1" ht="19.2" x14ac:dyDescent="0.45">
      <c r="A10" s="67" t="s">
        <v>702</v>
      </c>
      <c r="B10" s="68"/>
      <c r="C10" s="69"/>
      <c r="D10" s="69"/>
    </row>
    <row r="11" spans="1:16" s="4" customFormat="1" ht="19.2" x14ac:dyDescent="0.45">
      <c r="A11" s="67" t="s">
        <v>1190</v>
      </c>
      <c r="B11" s="68"/>
      <c r="C11" s="70"/>
      <c r="D11" s="69"/>
    </row>
    <row r="12" spans="1:16" s="4" customFormat="1" ht="15" customHeight="1" x14ac:dyDescent="0.45">
      <c r="A12" s="67" t="s">
        <v>38</v>
      </c>
      <c r="B12" s="68"/>
      <c r="C12" s="70"/>
      <c r="D12" s="69"/>
    </row>
    <row r="13" spans="1:16" s="4" customFormat="1" ht="15" customHeight="1" x14ac:dyDescent="0.45">
      <c r="A13" s="71" t="s">
        <v>1187</v>
      </c>
      <c r="B13" s="72"/>
      <c r="C13" s="73"/>
      <c r="D13" s="74"/>
      <c r="E13" s="10"/>
      <c r="F13" s="10"/>
      <c r="G13" s="10"/>
    </row>
    <row r="14" spans="1:16" s="4" customFormat="1" ht="15" customHeight="1" x14ac:dyDescent="0.4">
      <c r="A14" s="744" t="s">
        <v>40</v>
      </c>
      <c r="B14" s="745"/>
      <c r="C14" s="746"/>
      <c r="D14" s="747"/>
      <c r="E14" s="1"/>
      <c r="F14" s="1"/>
      <c r="G14" s="1"/>
      <c r="H14" s="10"/>
      <c r="I14" s="10"/>
      <c r="J14" s="10"/>
      <c r="K14" s="10"/>
      <c r="L14" s="10"/>
      <c r="M14" s="10"/>
      <c r="N14" s="10"/>
      <c r="O14" s="10"/>
      <c r="P14" s="10"/>
    </row>
    <row r="15" spans="1:16" s="10" customFormat="1" ht="17.399999999999999" x14ac:dyDescent="0.25">
      <c r="A15" s="14"/>
      <c r="B15" s="75"/>
      <c r="C15" s="16"/>
      <c r="D15" s="16"/>
      <c r="E15" s="17"/>
      <c r="F15" s="23"/>
      <c r="G15" s="23"/>
      <c r="H15" s="1"/>
      <c r="I15" s="1"/>
      <c r="J15" s="1"/>
      <c r="K15" s="1"/>
      <c r="L15" s="1"/>
      <c r="M15" s="1"/>
      <c r="N15" s="1"/>
      <c r="O15" s="1"/>
      <c r="P15" s="1"/>
    </row>
    <row r="16" spans="1:16" ht="75" x14ac:dyDescent="0.25">
      <c r="A16" s="103">
        <v>1</v>
      </c>
      <c r="B16" s="104" t="s">
        <v>1191</v>
      </c>
      <c r="C16" s="105">
        <v>12000</v>
      </c>
      <c r="D16" s="79">
        <f>A16*C16</f>
        <v>12000</v>
      </c>
      <c r="E16" s="13"/>
      <c r="N16" s="23"/>
      <c r="O16" s="23"/>
      <c r="P16" s="23"/>
    </row>
    <row r="17" spans="1:16" s="23" customFormat="1" ht="15.6" x14ac:dyDescent="0.3">
      <c r="A17" s="99"/>
      <c r="B17" s="85"/>
      <c r="C17" s="86" t="s">
        <v>49</v>
      </c>
      <c r="D17" s="87">
        <f>SUM(D16:D16)</f>
        <v>12000</v>
      </c>
      <c r="E17" s="1"/>
      <c r="F17" s="1"/>
      <c r="G17" s="1"/>
      <c r="H17" s="1"/>
      <c r="I17" s="1"/>
      <c r="J17" s="1"/>
      <c r="K17" s="1"/>
      <c r="L17" s="1"/>
      <c r="M17" s="1"/>
      <c r="N17" s="1"/>
    </row>
    <row r="18" spans="1:16" s="23" customFormat="1" ht="15.6" x14ac:dyDescent="0.3">
      <c r="A18" s="99"/>
      <c r="B18" s="85"/>
      <c r="C18" s="90" t="s">
        <v>51</v>
      </c>
      <c r="D18" s="87"/>
      <c r="E18" s="13"/>
      <c r="F18" s="1"/>
      <c r="G18" s="1"/>
      <c r="H18" s="1"/>
      <c r="I18" s="1"/>
      <c r="J18" s="1"/>
      <c r="K18" s="1"/>
      <c r="L18" s="1"/>
      <c r="M18" s="1"/>
      <c r="N18" s="1"/>
    </row>
    <row r="19" spans="1:16" s="23" customFormat="1" ht="16.2" thickBot="1" x14ac:dyDescent="0.3">
      <c r="A19" s="99"/>
      <c r="B19" s="100"/>
      <c r="C19" s="90" t="s">
        <v>52</v>
      </c>
      <c r="D19" s="87">
        <f>SUM(D17:D18)</f>
        <v>12000</v>
      </c>
      <c r="E19" s="1"/>
      <c r="F19" s="1"/>
      <c r="G19" s="1"/>
      <c r="H19" s="1"/>
      <c r="I19" s="1"/>
      <c r="J19" s="1"/>
      <c r="K19" s="1"/>
      <c r="L19" s="1"/>
      <c r="M19" s="1"/>
      <c r="N19" s="1"/>
    </row>
    <row r="20" spans="1:16" s="23" customFormat="1" ht="19.95" customHeight="1" thickBot="1" x14ac:dyDescent="0.3">
      <c r="A20" s="116"/>
      <c r="B20" s="186" t="s">
        <v>1193</v>
      </c>
      <c r="C20" s="36"/>
      <c r="D20" s="37"/>
      <c r="E20" s="1"/>
      <c r="F20" s="1"/>
      <c r="G20" s="1"/>
      <c r="H20" s="1"/>
      <c r="I20" s="1"/>
      <c r="J20" s="1"/>
      <c r="K20" s="1"/>
      <c r="L20" s="1"/>
      <c r="M20" s="1"/>
      <c r="N20" s="1"/>
      <c r="O20" s="1"/>
      <c r="P20" s="1"/>
    </row>
    <row r="21" spans="1:16" ht="13.8" x14ac:dyDescent="0.25">
      <c r="A21" s="34"/>
      <c r="B21" s="120" t="s">
        <v>15</v>
      </c>
      <c r="C21" s="121"/>
      <c r="D21" s="122"/>
    </row>
    <row r="22" spans="1:16" ht="15.6" x14ac:dyDescent="0.25">
      <c r="A22" s="34"/>
      <c r="B22" s="123"/>
      <c r="C22" s="1"/>
      <c r="D22" s="1"/>
    </row>
    <row r="23" spans="1:16" ht="13.8" x14ac:dyDescent="0.25">
      <c r="A23" s="34"/>
      <c r="B23" s="126" t="s">
        <v>17</v>
      </c>
      <c r="C23" s="1"/>
      <c r="D23" s="1"/>
      <c r="O23" s="88"/>
      <c r="P23" s="88"/>
    </row>
    <row r="24" spans="1:16" s="88" customFormat="1" ht="15" x14ac:dyDescent="0.25">
      <c r="A24" s="62"/>
      <c r="B24" s="127" t="s">
        <v>19</v>
      </c>
      <c r="C24" s="1"/>
      <c r="D24" s="1"/>
      <c r="E24" s="1"/>
      <c r="F24" s="1"/>
      <c r="G24" s="1"/>
      <c r="H24" s="1"/>
      <c r="I24" s="1"/>
      <c r="J24" s="1"/>
      <c r="K24" s="1"/>
      <c r="L24" s="1"/>
      <c r="M24" s="1"/>
      <c r="N24" s="1"/>
      <c r="O24" s="1"/>
      <c r="P24" s="1"/>
    </row>
    <row r="25" spans="1:16" ht="15" x14ac:dyDescent="0.25">
      <c r="A25" s="62"/>
      <c r="B25" s="128"/>
      <c r="C25" s="13"/>
      <c r="D25" s="1"/>
    </row>
    <row r="26" spans="1:16" ht="15" x14ac:dyDescent="0.25">
      <c r="A26" s="62"/>
      <c r="B26" s="129" t="s">
        <v>60</v>
      </c>
      <c r="C26" s="1"/>
      <c r="D26" s="1"/>
    </row>
    <row r="27" spans="1:16" ht="15" x14ac:dyDescent="0.25">
      <c r="A27" s="62"/>
      <c r="B27" s="130" t="s">
        <v>23</v>
      </c>
      <c r="C27" s="13"/>
      <c r="D27" s="1"/>
    </row>
    <row r="28" spans="1:16" ht="27.6" x14ac:dyDescent="0.25">
      <c r="A28" s="62"/>
      <c r="B28" s="132" t="s">
        <v>62</v>
      </c>
      <c r="C28" s="13"/>
      <c r="D28" s="1"/>
    </row>
    <row r="29" spans="1:16" ht="15" x14ac:dyDescent="0.25">
      <c r="A29" s="62"/>
      <c r="B29" s="130" t="s">
        <v>26</v>
      </c>
      <c r="C29" s="13"/>
      <c r="D29" s="1"/>
    </row>
    <row r="30" spans="1:16" ht="15" x14ac:dyDescent="0.25">
      <c r="A30" s="62"/>
      <c r="B30" s="333" t="s">
        <v>1189</v>
      </c>
      <c r="C30" s="13"/>
      <c r="D30" s="1"/>
    </row>
    <row r="31" spans="1:16" ht="15" x14ac:dyDescent="0.25">
      <c r="A31" s="62"/>
      <c r="B31" s="334" t="s">
        <v>28</v>
      </c>
      <c r="C31" s="1"/>
      <c r="D31" s="1"/>
    </row>
    <row r="32" spans="1:16" ht="15" x14ac:dyDescent="0.25">
      <c r="A32" s="62"/>
      <c r="B32" s="130" t="s">
        <v>29</v>
      </c>
      <c r="C32" s="1"/>
      <c r="D32" s="1"/>
    </row>
    <row r="33" spans="1:4" ht="13.8" x14ac:dyDescent="0.25">
      <c r="B33" s="138" t="s">
        <v>1192</v>
      </c>
      <c r="C33" s="133"/>
      <c r="D33" s="134"/>
    </row>
    <row r="34" spans="1:4" ht="15" x14ac:dyDescent="0.25">
      <c r="A34" s="62"/>
      <c r="B34" s="127" t="s">
        <v>31</v>
      </c>
      <c r="C34" s="54"/>
      <c r="D34" s="58"/>
    </row>
    <row r="35" spans="1:4" ht="15" x14ac:dyDescent="0.25">
      <c r="A35" s="62"/>
      <c r="B35" s="127" t="s">
        <v>32</v>
      </c>
      <c r="C35" s="54"/>
    </row>
    <row r="36" spans="1:4" ht="50.4" x14ac:dyDescent="0.4">
      <c r="A36" s="139" t="s">
        <v>0</v>
      </c>
      <c r="B36" s="140" t="s">
        <v>65</v>
      </c>
      <c r="C36" s="141"/>
      <c r="D36" s="1"/>
    </row>
    <row r="37" spans="1:4" x14ac:dyDescent="0.25">
      <c r="A37" s="142"/>
      <c r="B37" s="64"/>
      <c r="C37" s="64"/>
      <c r="D37" s="1"/>
    </row>
    <row r="38" spans="1:4" x14ac:dyDescent="0.25">
      <c r="A38" s="142"/>
      <c r="B38" s="64"/>
      <c r="C38" s="64"/>
      <c r="D38" s="1"/>
    </row>
    <row r="39" spans="1:4" x14ac:dyDescent="0.25">
      <c r="A39" s="142"/>
      <c r="B39" s="143"/>
      <c r="C39" s="64"/>
      <c r="D39" s="1"/>
    </row>
    <row r="40" spans="1:4" ht="15" x14ac:dyDescent="0.35">
      <c r="A40" s="144"/>
      <c r="B40" s="145"/>
      <c r="C40" s="64"/>
      <c r="D40" s="64"/>
    </row>
    <row r="41" spans="1:4" x14ac:dyDescent="0.25">
      <c r="A41" s="146" t="s">
        <v>0</v>
      </c>
    </row>
    <row r="42" spans="1:4" x14ac:dyDescent="0.25">
      <c r="A42" s="1"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5" fitToWidth="0" orientation="portrait" r:id="rId1"/>
  <headerFooter alignWithMargins="0">
    <oddFooter>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135</vt:i4>
      </vt:variant>
    </vt:vector>
  </HeadingPairs>
  <TitlesOfParts>
    <vt:vector size="135" baseType="lpstr">
      <vt:lpstr>MANIOBRAS EL FRESNITO VALENCIA</vt:lpstr>
      <vt:lpstr>AGRICOLA ATEMAJAC MANG 5"</vt:lpstr>
      <vt:lpstr>WEST PAK MOTOR 100 HP</vt:lpstr>
      <vt:lpstr>MANIOBRAS LOS MAZOS</vt:lpstr>
      <vt:lpstr>AGRICOLA ATEMAJAC MANTENIMIENTO</vt:lpstr>
      <vt:lpstr>REPARACION DE VARIADOR</vt:lpstr>
      <vt:lpstr>EQUIP APANGO </vt:lpstr>
      <vt:lpstr>Maniobra platanar</vt:lpstr>
      <vt:lpstr>MANTTO LA CUESTA SAYULA FINAL</vt:lpstr>
      <vt:lpstr>RENTA VARIADOR TEJERIA</vt:lpstr>
      <vt:lpstr>NARANJITOS TOTAL</vt:lpstr>
      <vt:lpstr>FROSTLAND TOTAL</vt:lpstr>
      <vt:lpstr>PERFORACION COLIMA</vt:lpstr>
      <vt:lpstr>EXTRAS FRESNITO</vt:lpstr>
      <vt:lpstr>MAN EL FRESNITO VALENCIA DESCUE</vt:lpstr>
      <vt:lpstr>MANIOBRAS CAMINO REAL</vt:lpstr>
      <vt:lpstr>AFORO CON 100HP</vt:lpstr>
      <vt:lpstr>AFORO CON 60HP</vt:lpstr>
      <vt:lpstr>HORTIFRUT REBOMBEO CONEX</vt:lpstr>
      <vt:lpstr>HORTIFRUT EL SALVADOR POZO 2</vt:lpstr>
      <vt:lpstr>MOTOR Y BOMBA ATEMAJAC</vt:lpstr>
      <vt:lpstr>EXTRAS ATEMAJAC MANG 5"</vt:lpstr>
      <vt:lpstr>LA LLAVE MANIOBRAS</vt:lpstr>
      <vt:lpstr>LA LLAVE MANGUERA</vt:lpstr>
      <vt:lpstr>LA LLAVE SOLO CABLE </vt:lpstr>
      <vt:lpstr>LA LLAVE FLECHAS</vt:lpstr>
      <vt:lpstr>VIDEO AGRO GONZALEZ</vt:lpstr>
      <vt:lpstr>LA MEXCALERA MANIOBRAS DESC</vt:lpstr>
      <vt:lpstr>LA MEXCALERA MANIOBRAS</vt:lpstr>
      <vt:lpstr>LA MEZCALERA MANGUERA</vt:lpstr>
      <vt:lpstr>LA MEZCALERA SOLO CABLE</vt:lpstr>
      <vt:lpstr>LA MEZCALERA SOLO CABLE DESC</vt:lpstr>
      <vt:lpstr>LA MEZCALERA FLECHAS</vt:lpstr>
      <vt:lpstr>LA MEZCALERA RENTA CABLE</vt:lpstr>
      <vt:lpstr>EL PARADERO SAYULA</vt:lpstr>
      <vt:lpstr>RENTA GENERADOR APANGO 2</vt:lpstr>
      <vt:lpstr>MANIOBRAS G.A. LIMONERA 3</vt:lpstr>
      <vt:lpstr>PIL 3 175 HP. 33 LT 320 SIN CAB</vt:lpstr>
      <vt:lpstr>PILITAS 3 MANIOBRAS</vt:lpstr>
      <vt:lpstr>SALDO GRUPO ALTA</vt:lpstr>
      <vt:lpstr>AFORO LIMONERA 3</vt:lpstr>
      <vt:lpstr>LIMONERA 3 EQUIPO 6LT</vt:lpstr>
      <vt:lpstr>LIMONERA 3 REP. EQUIPO</vt:lpstr>
      <vt:lpstr>DIAGNOSTICO POZO 13 GUAYABAR G.</vt:lpstr>
      <vt:lpstr>DIAGNOSTICO POZO 1 HUISICHI</vt:lpstr>
      <vt:lpstr>DIAGNOSTICO POZO 4 LIMONERA</vt:lpstr>
      <vt:lpstr>RESUMEN EQUIPOS ABA VALUE</vt:lpstr>
      <vt:lpstr>ABA VALUE LA GLORIA</vt:lpstr>
      <vt:lpstr>RESUMEN EQUIPOS ABA VALUE 40 LT</vt:lpstr>
      <vt:lpstr>EQUIPO BOMBEO LA GLORIA</vt:lpstr>
      <vt:lpstr>AFORO VALENCIA EL FRESNITO</vt:lpstr>
      <vt:lpstr>MEDIDORES DE FLUJO DE 8"</vt:lpstr>
      <vt:lpstr>SAN JOSE MANIOBTRAS Y 125 HP</vt:lpstr>
      <vt:lpstr>SAN JOSE MANIOBRAS GEYSE</vt:lpstr>
      <vt:lpstr>GUAYABOS MEDIDOR GEYSER</vt:lpstr>
      <vt:lpstr>COTIZACION ABA VALUE </vt:lpstr>
      <vt:lpstr>RENTA VFD TUXPAN</vt:lpstr>
      <vt:lpstr>SAN JOSE CABLE</vt:lpstr>
      <vt:lpstr>MANIOBRAS UNION DE GUADALUPE</vt:lpstr>
      <vt:lpstr>CABLE MEZCALERA PARA CHAT</vt:lpstr>
      <vt:lpstr>MANIOBRAS CON GRUA TUXPAN (2)</vt:lpstr>
      <vt:lpstr>MANIOBRAS CON GRUA TUXPAN</vt:lpstr>
      <vt:lpstr>EXTRAS TUXPAN POZO AYTO</vt:lpstr>
      <vt:lpstr>VIDEO AYTO ZAPOTILTIC</vt:lpstr>
      <vt:lpstr>AGROPECUARIA VILLANUEVA</vt:lpstr>
      <vt:lpstr>VIDEO SAPAZA</vt:lpstr>
      <vt:lpstr>INST BOMB SIICSA</vt:lpstr>
      <vt:lpstr>CABLE SEM NUEVO MEZCALERA</vt:lpstr>
      <vt:lpstr>SAPAZA MATTO POZO PROVIDENCIA</vt:lpstr>
      <vt:lpstr>RENTA GRUA TEPIC</vt:lpstr>
      <vt:lpstr>MANIOBRAS CON GRUA TUXPAN ( (3)</vt:lpstr>
      <vt:lpstr>EQUIP ZAPOTIL BASICO</vt:lpstr>
      <vt:lpstr>RESUMEN EQUIPOS ZAPOTILTIC</vt:lpstr>
      <vt:lpstr>BOMBEO SOLAR EL BOMBON</vt:lpstr>
      <vt:lpstr>COMISIONES JOEL</vt:lpstr>
      <vt:lpstr>EJEMPLO EXPO AFORO</vt:lpstr>
      <vt:lpstr>MANIOBRA awajal</vt:lpstr>
      <vt:lpstr>LIMONERA 3 REP. BOMBA MOT NUEVO</vt:lpstr>
      <vt:lpstr>MANIOBRA CHIQUILISTLAN</vt:lpstr>
      <vt:lpstr>LA MEZCALERA EQUIP BOMBEO</vt:lpstr>
      <vt:lpstr>AYTO ZAPOTILTIC TAXINAZT</vt:lpstr>
      <vt:lpstr>AYTO ZAPOTILTIC TAXINAZT VDE</vt:lpstr>
      <vt:lpstr>AYTO ZAPOTILTIC SERIE X</vt:lpstr>
      <vt:lpstr>LA MEXCALERA 40 LT SME-HIERRO</vt:lpstr>
      <vt:lpstr>LA MEXCALERA 40 LT OPC. VARIAS</vt:lpstr>
      <vt:lpstr>AFORO EQUIP INST EL ANGEL</vt:lpstr>
      <vt:lpstr>MTTO. POZO LA MEZCALERA</vt:lpstr>
      <vt:lpstr>MANIOBR FRESNITO</vt:lpstr>
      <vt:lpstr>AFORO HECTOR VALENCIA</vt:lpstr>
      <vt:lpstr>MANIOBR FRESNITO (2)</vt:lpstr>
      <vt:lpstr>MANIOBR FRESNITO IVA Y SIN IVA</vt:lpstr>
      <vt:lpstr>REP. ABA VALUE</vt:lpstr>
      <vt:lpstr>MAN FEDERICO PLASCENCIA JAZMIN</vt:lpstr>
      <vt:lpstr>REP. ABA VALUE (2)</vt:lpstr>
      <vt:lpstr>SUBESTA 225 KVA</vt:lpstr>
      <vt:lpstr>MED DE FLUJO DE 8" RINCON</vt:lpstr>
      <vt:lpstr>MED DE FLUJO DE 8" RINCON 2</vt:lpstr>
      <vt:lpstr>MANIOBRA COFRADIA</vt:lpstr>
      <vt:lpstr>AFORO AYTO. ZAPOTILTIC</vt:lpstr>
      <vt:lpstr>EQUIP ZAPOTIL LAS MORAS BASICO</vt:lpstr>
      <vt:lpstr>EQUIP ZAPOTIL PREMIUM LAS MORAS</vt:lpstr>
      <vt:lpstr>RES. EQUIPOS LAS MORAS</vt:lpstr>
      <vt:lpstr>EQUIP ZAPOTIL PREMIUM</vt:lpstr>
      <vt:lpstr>TUBERIA 10" AYOT ZAPOTILTIC (2)</vt:lpstr>
      <vt:lpstr>TUBERIA 10" AYOT ZAPOTILTIC</vt:lpstr>
      <vt:lpstr>TUBERIA 8" ZAPO LAS MORAS</vt:lpstr>
      <vt:lpstr>REVISIONES POZO PILINQUE</vt:lpstr>
      <vt:lpstr>REVISIONES AGUA ESCONDIDA</vt:lpstr>
      <vt:lpstr>MATTO VFD RAFA PARTIDA</vt:lpstr>
      <vt:lpstr>CHECK AGRO GONZALES</vt:lpstr>
      <vt:lpstr>MANIOBR LA LLAVE 3</vt:lpstr>
      <vt:lpstr>DON MEMO SME-FRANKLIN</vt:lpstr>
      <vt:lpstr>DON MEMO ALT. FUNDICION</vt:lpstr>
      <vt:lpstr>DON MEMO SME-FRAN 150 HP</vt:lpstr>
      <vt:lpstr>MTTO. POZO LA LLAVE 3</vt:lpstr>
      <vt:lpstr>DON MEMO AFORO Y VIDEO</vt:lpstr>
      <vt:lpstr>MTTO. POZO DON MEMO</vt:lpstr>
      <vt:lpstr>MANIOBRA DON MEMO 300 MT</vt:lpstr>
      <vt:lpstr>MED DE FLUJO DE 8" EL ANGEL</vt:lpstr>
      <vt:lpstr>MED DE FLUJO DE 6 EL ANGEL</vt:lpstr>
      <vt:lpstr>SUB MONITOR FRESNITO</vt:lpstr>
      <vt:lpstr>AFORO Y VIDEO AMAURY COLIMA</vt:lpstr>
      <vt:lpstr>MTTO. RAFA PARTIDA</vt:lpstr>
      <vt:lpstr>AFORO SHIMIZU COLIMA</vt:lpstr>
      <vt:lpstr>AFORO SHIMIZU COLIMA pocito</vt:lpstr>
      <vt:lpstr>AFORO SHIMIZU final</vt:lpstr>
      <vt:lpstr>AFORO SHIMIZU pocito final</vt:lpstr>
      <vt:lpstr>AFORO Y VIDEO ABA POZO 1 FONDO</vt:lpstr>
      <vt:lpstr>AFORO Y VIDEO ABA POZO 2</vt:lpstr>
      <vt:lpstr>AFORO Y VIDEO ABA ESTANQUE 1</vt:lpstr>
      <vt:lpstr>AFORO Y VIDEO ABA POZO ESTANQUE</vt:lpstr>
      <vt:lpstr>AFORO Y VIDEO ABA CAMICHIN 1</vt:lpstr>
      <vt:lpstr>AFORO Y VIDEO ABA CAMICHIN 2</vt:lpstr>
      <vt:lpstr>VIDEO AYTO ZAPO sauces</vt:lpstr>
      <vt:lpstr>ASESORIA AYTO ZAPOTILTIC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URZUA</dc:creator>
  <cp:lastModifiedBy>NÚCLEO DE INGENIERIA HIDRÁULICA Y ELÉCTRICA</cp:lastModifiedBy>
  <cp:lastPrinted>2026-06-15T22:35:21Z</cp:lastPrinted>
  <dcterms:created xsi:type="dcterms:W3CDTF">2026-01-06T15:58:04Z</dcterms:created>
  <dcterms:modified xsi:type="dcterms:W3CDTF">2026-06-18T17:25:41Z</dcterms:modified>
</cp:coreProperties>
</file>