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Manis\Downloads\"/>
    </mc:Choice>
  </mc:AlternateContent>
  <xr:revisionPtr revIDLastSave="0" documentId="8_{84F223AC-3F99-4213-BD15-E8471B963EF6}" xr6:coauthVersionLast="47" xr6:coauthVersionMax="47" xr10:uidLastSave="{00000000-0000-0000-0000-000000000000}"/>
  <bookViews>
    <workbookView xWindow="-108" yWindow="-108" windowWidth="23256" windowHeight="12456" activeTab="1" xr2:uid="{00000000-000D-0000-FFFF-FFFF00000000}"/>
  </bookViews>
  <sheets>
    <sheet name="DASHBOARD" sheetId="1" r:id="rId1"/>
    <sheet name="Brand" sheetId="7" r:id="rId2"/>
    <sheet name="Sheet4" sheetId="3" r:id="rId3"/>
    <sheet name="Sheet5" sheetId="4" r:id="rId4"/>
    <sheet name="DATA" sheetId="5" r:id="rId5"/>
  </sheets>
  <definedNames>
    <definedName name="_xlnm._FilterDatabase" localSheetId="1" hidden="1">Brand!$A$1:$AB$345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B6" i="7" l="1"/>
  <c r="AB7" i="7"/>
  <c r="AB8" i="7"/>
  <c r="AB9" i="7"/>
  <c r="AB10" i="7"/>
  <c r="AB11" i="7"/>
  <c r="AB12" i="7"/>
  <c r="AB5" i="7"/>
  <c r="Z5" i="7"/>
  <c r="AA6" i="7"/>
  <c r="AA7" i="7"/>
  <c r="AA8" i="7"/>
  <c r="AA9" i="7"/>
  <c r="AA10" i="7"/>
  <c r="AA11" i="7"/>
  <c r="AA12" i="7"/>
  <c r="AA5" i="7"/>
  <c r="Y5" i="7"/>
  <c r="Q5" i="7" a="1"/>
  <c r="Q5" i="7" s="1"/>
  <c r="Y12" i="7"/>
  <c r="Y6" i="7"/>
  <c r="Y7" i="7"/>
  <c r="Y8" i="7"/>
  <c r="Y9" i="7"/>
  <c r="Y10" i="7"/>
  <c r="Y11" i="7"/>
  <c r="X6" i="7"/>
  <c r="X7" i="7"/>
  <c r="X8" i="7"/>
  <c r="X9" i="7"/>
  <c r="X10" i="7"/>
  <c r="X11" i="7"/>
  <c r="X12" i="7"/>
  <c r="X5" i="7"/>
  <c r="W5" i="7"/>
  <c r="W6" i="7"/>
  <c r="W7" i="7"/>
  <c r="W8" i="7"/>
  <c r="W9" i="7"/>
  <c r="W10" i="7"/>
  <c r="W11" i="7"/>
  <c r="W12" i="7"/>
  <c r="Z6" i="7"/>
  <c r="Z7" i="7"/>
  <c r="Z8" i="7"/>
  <c r="Z9" i="7"/>
  <c r="Z10" i="7"/>
  <c r="Z11" i="7"/>
  <c r="Z12" i="7"/>
  <c r="V6" i="7"/>
  <c r="V7" i="7"/>
  <c r="V8" i="7"/>
  <c r="V9" i="7"/>
  <c r="V10" i="7"/>
  <c r="V11" i="7"/>
  <c r="V12" i="7"/>
  <c r="V5" i="7"/>
  <c r="N75" i="7"/>
  <c r="N142" i="7"/>
  <c r="N143" i="7"/>
  <c r="Q143" i="7" s="1" a="1"/>
  <c r="Q143" i="7" s="1"/>
  <c r="R143" i="7" s="1"/>
  <c r="S143" i="7" s="1"/>
  <c r="N144" i="7"/>
  <c r="Q144" i="7" s="1" a="1"/>
  <c r="Q144" i="7" s="1"/>
  <c r="R144" i="7" s="1"/>
  <c r="S144" i="7" s="1"/>
  <c r="N152" i="7"/>
  <c r="N156" i="7"/>
  <c r="N157" i="7"/>
  <c r="N190" i="7"/>
  <c r="Q190" i="7" s="1" a="1"/>
  <c r="Q190" i="7" s="1"/>
  <c r="R190" i="7" s="1"/>
  <c r="S190" i="7" s="1"/>
  <c r="N195" i="7"/>
  <c r="N335" i="7"/>
  <c r="N337" i="7"/>
  <c r="N345" i="7"/>
  <c r="N5" i="7"/>
  <c r="M6" i="7"/>
  <c r="M7" i="7"/>
  <c r="M8" i="7"/>
  <c r="M9" i="7"/>
  <c r="M10" i="7"/>
  <c r="M11" i="7"/>
  <c r="M12" i="7"/>
  <c r="M13" i="7"/>
  <c r="M14" i="7"/>
  <c r="M15" i="7"/>
  <c r="M16" i="7"/>
  <c r="M17" i="7"/>
  <c r="M18" i="7"/>
  <c r="M19" i="7"/>
  <c r="M20" i="7"/>
  <c r="M21" i="7"/>
  <c r="M22" i="7"/>
  <c r="M23" i="7"/>
  <c r="M24" i="7"/>
  <c r="M25" i="7"/>
  <c r="M26" i="7"/>
  <c r="M27" i="7"/>
  <c r="M28" i="7"/>
  <c r="M29" i="7"/>
  <c r="M30" i="7"/>
  <c r="M31" i="7"/>
  <c r="M32" i="7"/>
  <c r="M33" i="7"/>
  <c r="M34" i="7"/>
  <c r="M35" i="7"/>
  <c r="M36" i="7"/>
  <c r="M37" i="7"/>
  <c r="M38" i="7"/>
  <c r="M39" i="7"/>
  <c r="M40" i="7"/>
  <c r="M41" i="7"/>
  <c r="M42" i="7"/>
  <c r="M43" i="7"/>
  <c r="M44" i="7"/>
  <c r="M45" i="7"/>
  <c r="M46" i="7"/>
  <c r="M47" i="7"/>
  <c r="M48" i="7"/>
  <c r="M49" i="7"/>
  <c r="M50" i="7"/>
  <c r="M51" i="7"/>
  <c r="M52" i="7"/>
  <c r="M53" i="7"/>
  <c r="M54" i="7"/>
  <c r="M55" i="7"/>
  <c r="M56" i="7"/>
  <c r="M57" i="7"/>
  <c r="M58" i="7"/>
  <c r="M59" i="7"/>
  <c r="M60" i="7"/>
  <c r="M61" i="7"/>
  <c r="M62" i="7"/>
  <c r="M63" i="7"/>
  <c r="M64" i="7"/>
  <c r="M65" i="7"/>
  <c r="M66" i="7"/>
  <c r="M67" i="7"/>
  <c r="M68" i="7"/>
  <c r="M69" i="7"/>
  <c r="M70" i="7"/>
  <c r="M71" i="7"/>
  <c r="M72" i="7"/>
  <c r="M73" i="7"/>
  <c r="M74" i="7"/>
  <c r="M75" i="7"/>
  <c r="M76" i="7"/>
  <c r="M77" i="7"/>
  <c r="M78" i="7"/>
  <c r="M79" i="7"/>
  <c r="M80" i="7"/>
  <c r="M81" i="7"/>
  <c r="M82" i="7"/>
  <c r="M83" i="7"/>
  <c r="M84" i="7"/>
  <c r="M85" i="7"/>
  <c r="M86" i="7"/>
  <c r="M87" i="7"/>
  <c r="M88" i="7"/>
  <c r="M89" i="7"/>
  <c r="M90" i="7"/>
  <c r="M91" i="7"/>
  <c r="M92" i="7"/>
  <c r="M93" i="7"/>
  <c r="M94" i="7"/>
  <c r="M95" i="7"/>
  <c r="M96" i="7"/>
  <c r="M97" i="7"/>
  <c r="M98" i="7"/>
  <c r="M99" i="7"/>
  <c r="M100" i="7"/>
  <c r="M101" i="7"/>
  <c r="M102" i="7"/>
  <c r="M103" i="7"/>
  <c r="M104" i="7"/>
  <c r="M105" i="7"/>
  <c r="M106" i="7"/>
  <c r="M107" i="7"/>
  <c r="M108" i="7"/>
  <c r="M109" i="7"/>
  <c r="M110" i="7"/>
  <c r="M111" i="7"/>
  <c r="M112" i="7"/>
  <c r="M113" i="7"/>
  <c r="M114" i="7"/>
  <c r="M115" i="7"/>
  <c r="M116" i="7"/>
  <c r="M117" i="7"/>
  <c r="M118" i="7"/>
  <c r="M119" i="7"/>
  <c r="M120" i="7"/>
  <c r="M121" i="7"/>
  <c r="M122" i="7"/>
  <c r="M123" i="7"/>
  <c r="M124" i="7"/>
  <c r="M125" i="7"/>
  <c r="M126" i="7"/>
  <c r="M127" i="7"/>
  <c r="M128" i="7"/>
  <c r="M129" i="7"/>
  <c r="M130" i="7"/>
  <c r="M131" i="7"/>
  <c r="M132" i="7"/>
  <c r="M133" i="7"/>
  <c r="M134" i="7"/>
  <c r="M135" i="7"/>
  <c r="M136" i="7"/>
  <c r="M137" i="7"/>
  <c r="M138" i="7"/>
  <c r="M139" i="7"/>
  <c r="M140" i="7"/>
  <c r="M141" i="7"/>
  <c r="M142" i="7"/>
  <c r="M143" i="7"/>
  <c r="M144" i="7"/>
  <c r="M145" i="7"/>
  <c r="M146" i="7"/>
  <c r="M147" i="7"/>
  <c r="M148" i="7"/>
  <c r="M149" i="7"/>
  <c r="M150" i="7"/>
  <c r="M151" i="7"/>
  <c r="M152" i="7"/>
  <c r="M153" i="7"/>
  <c r="M154" i="7"/>
  <c r="M155" i="7"/>
  <c r="M156" i="7"/>
  <c r="M157" i="7"/>
  <c r="M158" i="7"/>
  <c r="M159" i="7"/>
  <c r="M160" i="7"/>
  <c r="M161" i="7"/>
  <c r="M162" i="7"/>
  <c r="M163" i="7"/>
  <c r="M164" i="7"/>
  <c r="M165" i="7"/>
  <c r="M166" i="7"/>
  <c r="M167" i="7"/>
  <c r="M168" i="7"/>
  <c r="M169" i="7"/>
  <c r="M170" i="7"/>
  <c r="M171" i="7"/>
  <c r="M172" i="7"/>
  <c r="M173" i="7"/>
  <c r="M174" i="7"/>
  <c r="M175" i="7"/>
  <c r="M176" i="7"/>
  <c r="M177" i="7"/>
  <c r="M178" i="7"/>
  <c r="M179" i="7"/>
  <c r="M180" i="7"/>
  <c r="M181" i="7"/>
  <c r="M182" i="7"/>
  <c r="M183" i="7"/>
  <c r="M184" i="7"/>
  <c r="M185" i="7"/>
  <c r="M186" i="7"/>
  <c r="M187" i="7"/>
  <c r="M188" i="7"/>
  <c r="M189" i="7"/>
  <c r="M190" i="7"/>
  <c r="M191" i="7"/>
  <c r="M192" i="7"/>
  <c r="M193" i="7"/>
  <c r="M194" i="7"/>
  <c r="M195" i="7"/>
  <c r="M196" i="7"/>
  <c r="M197" i="7"/>
  <c r="M198" i="7"/>
  <c r="M199" i="7"/>
  <c r="M200" i="7"/>
  <c r="M201" i="7"/>
  <c r="M202" i="7"/>
  <c r="M203" i="7"/>
  <c r="M204" i="7"/>
  <c r="M205" i="7"/>
  <c r="M206" i="7"/>
  <c r="M207" i="7"/>
  <c r="M208" i="7"/>
  <c r="M209" i="7"/>
  <c r="M210" i="7"/>
  <c r="M211" i="7"/>
  <c r="M212" i="7"/>
  <c r="M213" i="7"/>
  <c r="M214" i="7"/>
  <c r="M215" i="7"/>
  <c r="M216" i="7"/>
  <c r="M217" i="7"/>
  <c r="M218" i="7"/>
  <c r="M219" i="7"/>
  <c r="M220" i="7"/>
  <c r="M221" i="7"/>
  <c r="M222" i="7"/>
  <c r="M223" i="7"/>
  <c r="M224" i="7"/>
  <c r="M225" i="7"/>
  <c r="M226" i="7"/>
  <c r="M227" i="7"/>
  <c r="M228" i="7"/>
  <c r="M229" i="7"/>
  <c r="M230" i="7"/>
  <c r="M231" i="7"/>
  <c r="M232" i="7"/>
  <c r="M233" i="7"/>
  <c r="M234" i="7"/>
  <c r="M235" i="7"/>
  <c r="M236" i="7"/>
  <c r="M237" i="7"/>
  <c r="M238" i="7"/>
  <c r="M239" i="7"/>
  <c r="M240" i="7"/>
  <c r="M241" i="7"/>
  <c r="M242" i="7"/>
  <c r="M243" i="7"/>
  <c r="M244" i="7"/>
  <c r="M245" i="7"/>
  <c r="M246" i="7"/>
  <c r="M247" i="7"/>
  <c r="M248" i="7"/>
  <c r="M249" i="7"/>
  <c r="M250" i="7"/>
  <c r="M251" i="7"/>
  <c r="M252" i="7"/>
  <c r="M253" i="7"/>
  <c r="M254" i="7"/>
  <c r="M255" i="7"/>
  <c r="M256" i="7"/>
  <c r="M257" i="7"/>
  <c r="M258" i="7"/>
  <c r="M259" i="7"/>
  <c r="M260" i="7"/>
  <c r="M261" i="7"/>
  <c r="M262" i="7"/>
  <c r="M263" i="7"/>
  <c r="M264" i="7"/>
  <c r="M265" i="7"/>
  <c r="M266" i="7"/>
  <c r="M267" i="7"/>
  <c r="M268" i="7"/>
  <c r="M269" i="7"/>
  <c r="M270" i="7"/>
  <c r="M271" i="7"/>
  <c r="M272" i="7"/>
  <c r="M273" i="7"/>
  <c r="M274" i="7"/>
  <c r="M275" i="7"/>
  <c r="M276" i="7"/>
  <c r="M277" i="7"/>
  <c r="M278" i="7"/>
  <c r="M279" i="7"/>
  <c r="M280" i="7"/>
  <c r="M281" i="7"/>
  <c r="M282" i="7"/>
  <c r="M283" i="7"/>
  <c r="M284" i="7"/>
  <c r="M285" i="7"/>
  <c r="M286" i="7"/>
  <c r="M287" i="7"/>
  <c r="M288" i="7"/>
  <c r="M289" i="7"/>
  <c r="M290" i="7"/>
  <c r="M291" i="7"/>
  <c r="M292" i="7"/>
  <c r="M293" i="7"/>
  <c r="M294" i="7"/>
  <c r="M295" i="7"/>
  <c r="M296" i="7"/>
  <c r="M297" i="7"/>
  <c r="M298" i="7"/>
  <c r="M299" i="7"/>
  <c r="M300" i="7"/>
  <c r="M301" i="7"/>
  <c r="M302" i="7"/>
  <c r="M303" i="7"/>
  <c r="M304" i="7"/>
  <c r="M305" i="7"/>
  <c r="M306" i="7"/>
  <c r="M307" i="7"/>
  <c r="M308" i="7"/>
  <c r="M309" i="7"/>
  <c r="M310" i="7"/>
  <c r="M311" i="7"/>
  <c r="M312" i="7"/>
  <c r="M313" i="7"/>
  <c r="M314" i="7"/>
  <c r="M315" i="7"/>
  <c r="M316" i="7"/>
  <c r="M317" i="7"/>
  <c r="M318" i="7"/>
  <c r="M319" i="7"/>
  <c r="M320" i="7"/>
  <c r="M321" i="7"/>
  <c r="M322" i="7"/>
  <c r="M323" i="7"/>
  <c r="M324" i="7"/>
  <c r="M325" i="7"/>
  <c r="M326" i="7"/>
  <c r="M327" i="7"/>
  <c r="M328" i="7"/>
  <c r="M329" i="7"/>
  <c r="M330" i="7"/>
  <c r="M331" i="7"/>
  <c r="M332" i="7"/>
  <c r="M333" i="7"/>
  <c r="M334" i="7"/>
  <c r="M335" i="7"/>
  <c r="M336" i="7"/>
  <c r="M337" i="7"/>
  <c r="M338" i="7"/>
  <c r="M339" i="7"/>
  <c r="M340" i="7"/>
  <c r="M341" i="7"/>
  <c r="M342" i="7"/>
  <c r="M343" i="7"/>
  <c r="M344" i="7"/>
  <c r="M5" i="7"/>
  <c r="D5" i="7"/>
  <c r="D6" i="7"/>
  <c r="E6" i="7"/>
  <c r="N6" i="7" s="1"/>
  <c r="D7" i="7"/>
  <c r="E7" i="7"/>
  <c r="N7" i="7" s="1"/>
  <c r="D8" i="7"/>
  <c r="E8" i="7"/>
  <c r="N8" i="7" s="1"/>
  <c r="D9" i="7"/>
  <c r="E9" i="7"/>
  <c r="N9" i="7" s="1"/>
  <c r="D10" i="7"/>
  <c r="E10" i="7"/>
  <c r="N10" i="7" s="1"/>
  <c r="D11" i="7"/>
  <c r="E11" i="7"/>
  <c r="N11" i="7" s="1"/>
  <c r="D12" i="7"/>
  <c r="E12" i="7"/>
  <c r="N12" i="7" s="1"/>
  <c r="D13" i="7"/>
  <c r="E13" i="7"/>
  <c r="N13" i="7" s="1"/>
  <c r="D14" i="7"/>
  <c r="E14" i="7"/>
  <c r="N14" i="7" s="1"/>
  <c r="D15" i="7"/>
  <c r="E15" i="7"/>
  <c r="N15" i="7" s="1"/>
  <c r="D16" i="7"/>
  <c r="E16" i="7"/>
  <c r="N16" i="7" s="1"/>
  <c r="D17" i="7"/>
  <c r="E17" i="7"/>
  <c r="N17" i="7" s="1"/>
  <c r="D18" i="7"/>
  <c r="E18" i="7"/>
  <c r="N18" i="7" s="1"/>
  <c r="D19" i="7"/>
  <c r="E19" i="7"/>
  <c r="N19" i="7" s="1"/>
  <c r="D20" i="7"/>
  <c r="E20" i="7"/>
  <c r="N20" i="7" s="1"/>
  <c r="D21" i="7"/>
  <c r="E21" i="7"/>
  <c r="N21" i="7" s="1"/>
  <c r="D22" i="7"/>
  <c r="E22" i="7"/>
  <c r="N22" i="7" s="1"/>
  <c r="D23" i="7"/>
  <c r="E23" i="7"/>
  <c r="N23" i="7" s="1"/>
  <c r="D24" i="7"/>
  <c r="E24" i="7"/>
  <c r="N24" i="7" s="1"/>
  <c r="D25" i="7"/>
  <c r="E25" i="7"/>
  <c r="N25" i="7" s="1"/>
  <c r="D26" i="7"/>
  <c r="E26" i="7"/>
  <c r="N26" i="7" s="1"/>
  <c r="D27" i="7"/>
  <c r="E27" i="7"/>
  <c r="N27" i="7" s="1"/>
  <c r="D28" i="7"/>
  <c r="E28" i="7"/>
  <c r="N28" i="7" s="1"/>
  <c r="D29" i="7"/>
  <c r="E29" i="7"/>
  <c r="N29" i="7" s="1"/>
  <c r="D30" i="7"/>
  <c r="E30" i="7"/>
  <c r="N30" i="7" s="1"/>
  <c r="D31" i="7"/>
  <c r="E31" i="7"/>
  <c r="N31" i="7" s="1"/>
  <c r="D32" i="7"/>
  <c r="E32" i="7"/>
  <c r="N32" i="7" s="1"/>
  <c r="D33" i="7"/>
  <c r="E33" i="7"/>
  <c r="N33" i="7" s="1"/>
  <c r="D34" i="7"/>
  <c r="E34" i="7"/>
  <c r="N34" i="7" s="1"/>
  <c r="D35" i="7"/>
  <c r="E35" i="7"/>
  <c r="N35" i="7" s="1"/>
  <c r="D36" i="7"/>
  <c r="E36" i="7"/>
  <c r="N36" i="7" s="1"/>
  <c r="D37" i="7"/>
  <c r="E37" i="7"/>
  <c r="N37" i="7" s="1"/>
  <c r="D38" i="7"/>
  <c r="E38" i="7"/>
  <c r="N38" i="7" s="1"/>
  <c r="D39" i="7"/>
  <c r="E39" i="7"/>
  <c r="N39" i="7" s="1"/>
  <c r="D40" i="7"/>
  <c r="E40" i="7"/>
  <c r="N40" i="7" s="1"/>
  <c r="D41" i="7"/>
  <c r="E41" i="7"/>
  <c r="N41" i="7" s="1"/>
  <c r="D42" i="7"/>
  <c r="E42" i="7"/>
  <c r="N42" i="7" s="1"/>
  <c r="D43" i="7"/>
  <c r="E43" i="7"/>
  <c r="N43" i="7" s="1"/>
  <c r="D44" i="7"/>
  <c r="E44" i="7"/>
  <c r="N44" i="7" s="1"/>
  <c r="D45" i="7"/>
  <c r="E45" i="7"/>
  <c r="N45" i="7" s="1"/>
  <c r="D46" i="7"/>
  <c r="E46" i="7"/>
  <c r="N46" i="7" s="1"/>
  <c r="D47" i="7"/>
  <c r="E47" i="7"/>
  <c r="N47" i="7" s="1"/>
  <c r="D48" i="7"/>
  <c r="E48" i="7"/>
  <c r="N48" i="7" s="1"/>
  <c r="D49" i="7"/>
  <c r="E49" i="7"/>
  <c r="N49" i="7" s="1"/>
  <c r="D50" i="7"/>
  <c r="E50" i="7"/>
  <c r="N50" i="7" s="1"/>
  <c r="D51" i="7"/>
  <c r="E51" i="7"/>
  <c r="N51" i="7" s="1"/>
  <c r="D52" i="7"/>
  <c r="E52" i="7"/>
  <c r="N52" i="7" s="1"/>
  <c r="D53" i="7"/>
  <c r="E53" i="7"/>
  <c r="N53" i="7" s="1"/>
  <c r="D54" i="7"/>
  <c r="E54" i="7"/>
  <c r="N54" i="7" s="1"/>
  <c r="D55" i="7"/>
  <c r="E55" i="7"/>
  <c r="N55" i="7" s="1"/>
  <c r="D56" i="7"/>
  <c r="E56" i="7"/>
  <c r="N56" i="7" s="1"/>
  <c r="D57" i="7"/>
  <c r="E57" i="7"/>
  <c r="N57" i="7" s="1"/>
  <c r="D58" i="7"/>
  <c r="E58" i="7"/>
  <c r="N58" i="7" s="1"/>
  <c r="D59" i="7"/>
  <c r="E59" i="7"/>
  <c r="N59" i="7" s="1"/>
  <c r="D60" i="7"/>
  <c r="E60" i="7"/>
  <c r="N60" i="7" s="1"/>
  <c r="D61" i="7"/>
  <c r="E61" i="7"/>
  <c r="N61" i="7" s="1"/>
  <c r="D62" i="7"/>
  <c r="E62" i="7"/>
  <c r="N62" i="7" s="1"/>
  <c r="D63" i="7"/>
  <c r="E63" i="7"/>
  <c r="N63" i="7" s="1"/>
  <c r="D64" i="7"/>
  <c r="E64" i="7"/>
  <c r="N64" i="7" s="1"/>
  <c r="D65" i="7"/>
  <c r="E65" i="7"/>
  <c r="N65" i="7" s="1"/>
  <c r="D66" i="7"/>
  <c r="E66" i="7"/>
  <c r="N66" i="7" s="1"/>
  <c r="D67" i="7"/>
  <c r="E67" i="7"/>
  <c r="N67" i="7" s="1"/>
  <c r="D68" i="7"/>
  <c r="E68" i="7"/>
  <c r="N68" i="7" s="1"/>
  <c r="D69" i="7"/>
  <c r="E69" i="7"/>
  <c r="N69" i="7" s="1"/>
  <c r="D70" i="7"/>
  <c r="E70" i="7"/>
  <c r="N70" i="7" s="1"/>
  <c r="D71" i="7"/>
  <c r="E71" i="7"/>
  <c r="N71" i="7" s="1"/>
  <c r="D72" i="7"/>
  <c r="E72" i="7"/>
  <c r="N72" i="7" s="1"/>
  <c r="D73" i="7"/>
  <c r="E73" i="7"/>
  <c r="N73" i="7" s="1"/>
  <c r="D74" i="7"/>
  <c r="E74" i="7"/>
  <c r="N74" i="7" s="1"/>
  <c r="D75" i="7"/>
  <c r="D76" i="7"/>
  <c r="E76" i="7"/>
  <c r="N76" i="7" s="1"/>
  <c r="D77" i="7"/>
  <c r="E77" i="7"/>
  <c r="N77" i="7" s="1"/>
  <c r="D78" i="7"/>
  <c r="E78" i="7"/>
  <c r="N78" i="7" s="1"/>
  <c r="D79" i="7"/>
  <c r="E79" i="7"/>
  <c r="N79" i="7" s="1"/>
  <c r="D80" i="7"/>
  <c r="E80" i="7"/>
  <c r="N80" i="7" s="1"/>
  <c r="D81" i="7"/>
  <c r="E81" i="7"/>
  <c r="N81" i="7" s="1"/>
  <c r="D82" i="7"/>
  <c r="E82" i="7"/>
  <c r="N82" i="7" s="1"/>
  <c r="D83" i="7"/>
  <c r="E83" i="7"/>
  <c r="N83" i="7" s="1"/>
  <c r="D84" i="7"/>
  <c r="E84" i="7"/>
  <c r="N84" i="7" s="1"/>
  <c r="D85" i="7"/>
  <c r="E85" i="7"/>
  <c r="N85" i="7" s="1"/>
  <c r="D86" i="7"/>
  <c r="E86" i="7"/>
  <c r="N86" i="7" s="1"/>
  <c r="D87" i="7"/>
  <c r="E87" i="7"/>
  <c r="N87" i="7" s="1"/>
  <c r="D88" i="7"/>
  <c r="E88" i="7"/>
  <c r="N88" i="7" s="1"/>
  <c r="D89" i="7"/>
  <c r="E89" i="7"/>
  <c r="N89" i="7" s="1"/>
  <c r="D90" i="7"/>
  <c r="E90" i="7"/>
  <c r="N90" i="7" s="1"/>
  <c r="D91" i="7"/>
  <c r="E91" i="7"/>
  <c r="N91" i="7" s="1"/>
  <c r="D92" i="7"/>
  <c r="E92" i="7"/>
  <c r="N92" i="7" s="1"/>
  <c r="D93" i="7"/>
  <c r="E93" i="7"/>
  <c r="N93" i="7" s="1"/>
  <c r="D94" i="7"/>
  <c r="E94" i="7"/>
  <c r="N94" i="7" s="1"/>
  <c r="D95" i="7"/>
  <c r="E95" i="7"/>
  <c r="N95" i="7" s="1"/>
  <c r="D96" i="7"/>
  <c r="E96" i="7"/>
  <c r="N96" i="7" s="1"/>
  <c r="D97" i="7"/>
  <c r="E97" i="7"/>
  <c r="N97" i="7" s="1"/>
  <c r="D98" i="7"/>
  <c r="E98" i="7"/>
  <c r="N98" i="7" s="1"/>
  <c r="D99" i="7"/>
  <c r="E99" i="7"/>
  <c r="N99" i="7" s="1"/>
  <c r="D100" i="7"/>
  <c r="E100" i="7"/>
  <c r="N100" i="7" s="1"/>
  <c r="D101" i="7"/>
  <c r="E101" i="7"/>
  <c r="N101" i="7" s="1"/>
  <c r="D102" i="7"/>
  <c r="E102" i="7"/>
  <c r="N102" i="7" s="1"/>
  <c r="D103" i="7"/>
  <c r="E103" i="7"/>
  <c r="N103" i="7" s="1"/>
  <c r="D104" i="7"/>
  <c r="E104" i="7"/>
  <c r="N104" i="7" s="1"/>
  <c r="D105" i="7"/>
  <c r="E105" i="7"/>
  <c r="N105" i="7" s="1"/>
  <c r="D106" i="7"/>
  <c r="E106" i="7"/>
  <c r="N106" i="7" s="1"/>
  <c r="D107" i="7"/>
  <c r="E107" i="7"/>
  <c r="N107" i="7" s="1"/>
  <c r="D108" i="7"/>
  <c r="E108" i="7"/>
  <c r="N108" i="7" s="1"/>
  <c r="D109" i="7"/>
  <c r="E109" i="7"/>
  <c r="N109" i="7" s="1"/>
  <c r="D110" i="7"/>
  <c r="E110" i="7"/>
  <c r="N110" i="7" s="1"/>
  <c r="D111" i="7"/>
  <c r="E111" i="7"/>
  <c r="N111" i="7" s="1"/>
  <c r="D112" i="7"/>
  <c r="E112" i="7"/>
  <c r="N112" i="7" s="1"/>
  <c r="D113" i="7"/>
  <c r="E113" i="7"/>
  <c r="N113" i="7" s="1"/>
  <c r="D114" i="7"/>
  <c r="E114" i="7"/>
  <c r="N114" i="7" s="1"/>
  <c r="D115" i="7"/>
  <c r="E115" i="7"/>
  <c r="N115" i="7" s="1"/>
  <c r="D116" i="7"/>
  <c r="E116" i="7"/>
  <c r="N116" i="7" s="1"/>
  <c r="D117" i="7"/>
  <c r="E117" i="7"/>
  <c r="N117" i="7" s="1"/>
  <c r="D118" i="7"/>
  <c r="E118" i="7"/>
  <c r="N118" i="7" s="1"/>
  <c r="D119" i="7"/>
  <c r="E119" i="7"/>
  <c r="N119" i="7" s="1"/>
  <c r="D120" i="7"/>
  <c r="E120" i="7"/>
  <c r="N120" i="7" s="1"/>
  <c r="D121" i="7"/>
  <c r="E121" i="7"/>
  <c r="N121" i="7" s="1"/>
  <c r="D122" i="7"/>
  <c r="E122" i="7"/>
  <c r="N122" i="7" s="1"/>
  <c r="D123" i="7"/>
  <c r="E123" i="7"/>
  <c r="N123" i="7" s="1"/>
  <c r="D124" i="7"/>
  <c r="E124" i="7"/>
  <c r="N124" i="7" s="1"/>
  <c r="D125" i="7"/>
  <c r="E125" i="7"/>
  <c r="N125" i="7" s="1"/>
  <c r="D126" i="7"/>
  <c r="E126" i="7"/>
  <c r="N126" i="7" s="1"/>
  <c r="D127" i="7"/>
  <c r="E127" i="7"/>
  <c r="N127" i="7" s="1"/>
  <c r="D128" i="7"/>
  <c r="E128" i="7"/>
  <c r="N128" i="7" s="1"/>
  <c r="D129" i="7"/>
  <c r="E129" i="7"/>
  <c r="N129" i="7" s="1"/>
  <c r="D130" i="7"/>
  <c r="E130" i="7"/>
  <c r="N130" i="7" s="1"/>
  <c r="D131" i="7"/>
  <c r="E131" i="7"/>
  <c r="N131" i="7" s="1"/>
  <c r="D132" i="7"/>
  <c r="E132" i="7"/>
  <c r="N132" i="7" s="1"/>
  <c r="D133" i="7"/>
  <c r="E133" i="7"/>
  <c r="N133" i="7" s="1"/>
  <c r="D134" i="7"/>
  <c r="E134" i="7"/>
  <c r="N134" i="7" s="1"/>
  <c r="D135" i="7"/>
  <c r="E135" i="7"/>
  <c r="N135" i="7" s="1"/>
  <c r="D136" i="7"/>
  <c r="E136" i="7"/>
  <c r="N136" i="7" s="1"/>
  <c r="D137" i="7"/>
  <c r="E137" i="7"/>
  <c r="N137" i="7" s="1"/>
  <c r="D138" i="7"/>
  <c r="E138" i="7"/>
  <c r="N138" i="7" s="1"/>
  <c r="D139" i="7"/>
  <c r="E139" i="7"/>
  <c r="N139" i="7" s="1"/>
  <c r="D140" i="7"/>
  <c r="E140" i="7"/>
  <c r="N140" i="7" s="1"/>
  <c r="D141" i="7"/>
  <c r="E141" i="7"/>
  <c r="N141" i="7" s="1"/>
  <c r="D142" i="7"/>
  <c r="D143" i="7"/>
  <c r="D144" i="7"/>
  <c r="D145" i="7"/>
  <c r="E145" i="7"/>
  <c r="N145" i="7" s="1"/>
  <c r="D146" i="7"/>
  <c r="E146" i="7"/>
  <c r="N146" i="7" s="1"/>
  <c r="D147" i="7"/>
  <c r="E147" i="7"/>
  <c r="N147" i="7" s="1"/>
  <c r="D148" i="7"/>
  <c r="E148" i="7"/>
  <c r="N148" i="7" s="1"/>
  <c r="D149" i="7"/>
  <c r="E149" i="7"/>
  <c r="N149" i="7" s="1"/>
  <c r="D150" i="7"/>
  <c r="E150" i="7"/>
  <c r="N150" i="7" s="1"/>
  <c r="D151" i="7"/>
  <c r="E151" i="7"/>
  <c r="N151" i="7" s="1"/>
  <c r="D152" i="7"/>
  <c r="D153" i="7"/>
  <c r="E153" i="7"/>
  <c r="N153" i="7" s="1"/>
  <c r="D154" i="7"/>
  <c r="E154" i="7"/>
  <c r="N154" i="7" s="1"/>
  <c r="D155" i="7"/>
  <c r="E155" i="7"/>
  <c r="N155" i="7" s="1"/>
  <c r="D156" i="7"/>
  <c r="D157" i="7"/>
  <c r="D158" i="7"/>
  <c r="E158" i="7"/>
  <c r="N158" i="7" s="1"/>
  <c r="D159" i="7"/>
  <c r="E159" i="7"/>
  <c r="N159" i="7" s="1"/>
  <c r="D160" i="7"/>
  <c r="E160" i="7"/>
  <c r="N160" i="7" s="1"/>
  <c r="D161" i="7"/>
  <c r="E161" i="7"/>
  <c r="N161" i="7" s="1"/>
  <c r="D162" i="7"/>
  <c r="E162" i="7"/>
  <c r="N162" i="7" s="1"/>
  <c r="D163" i="7"/>
  <c r="E163" i="7"/>
  <c r="N163" i="7" s="1"/>
  <c r="Q163" i="7" s="1" a="1"/>
  <c r="Q163" i="7" s="1"/>
  <c r="R163" i="7" s="1"/>
  <c r="S163" i="7" s="1"/>
  <c r="D164" i="7"/>
  <c r="E164" i="7"/>
  <c r="N164" i="7" s="1"/>
  <c r="Q164" i="7" s="1" a="1"/>
  <c r="Q164" i="7" s="1"/>
  <c r="R164" i="7" s="1"/>
  <c r="S164" i="7" s="1"/>
  <c r="D165" i="7"/>
  <c r="E165" i="7"/>
  <c r="N165" i="7" s="1"/>
  <c r="D166" i="7"/>
  <c r="E166" i="7"/>
  <c r="N166" i="7" s="1"/>
  <c r="Q166" i="7" s="1" a="1"/>
  <c r="Q166" i="7" s="1"/>
  <c r="R166" i="7" s="1"/>
  <c r="S166" i="7" s="1"/>
  <c r="D167" i="7"/>
  <c r="E167" i="7"/>
  <c r="N167" i="7" s="1"/>
  <c r="D168" i="7"/>
  <c r="E168" i="7"/>
  <c r="N168" i="7" s="1"/>
  <c r="Q168" i="7" s="1" a="1"/>
  <c r="Q168" i="7" s="1"/>
  <c r="R168" i="7" s="1"/>
  <c r="S168" i="7" s="1"/>
  <c r="D169" i="7"/>
  <c r="E169" i="7"/>
  <c r="N169" i="7" s="1"/>
  <c r="Q169" i="7" s="1" a="1"/>
  <c r="Q169" i="7" s="1"/>
  <c r="R169" i="7" s="1"/>
  <c r="S169" i="7" s="1"/>
  <c r="D170" i="7"/>
  <c r="E170" i="7"/>
  <c r="N170" i="7" s="1"/>
  <c r="Q170" i="7" s="1" a="1"/>
  <c r="Q170" i="7" s="1"/>
  <c r="R170" i="7" s="1"/>
  <c r="S170" i="7" s="1"/>
  <c r="D171" i="7"/>
  <c r="E171" i="7"/>
  <c r="N171" i="7" s="1"/>
  <c r="D172" i="7"/>
  <c r="E172" i="7"/>
  <c r="N172" i="7" s="1"/>
  <c r="Q172" i="7" s="1" a="1"/>
  <c r="Q172" i="7" s="1"/>
  <c r="R172" i="7" s="1"/>
  <c r="S172" i="7" s="1"/>
  <c r="D173" i="7"/>
  <c r="E173" i="7"/>
  <c r="N173" i="7" s="1"/>
  <c r="D174" i="7"/>
  <c r="E174" i="7"/>
  <c r="N174" i="7" s="1"/>
  <c r="D175" i="7"/>
  <c r="E175" i="7"/>
  <c r="N175" i="7" s="1"/>
  <c r="D176" i="7"/>
  <c r="E176" i="7"/>
  <c r="N176" i="7" s="1"/>
  <c r="Q176" i="7" s="1" a="1"/>
  <c r="Q176" i="7" s="1"/>
  <c r="R176" i="7" s="1"/>
  <c r="S176" i="7" s="1"/>
  <c r="D177" i="7"/>
  <c r="E177" i="7"/>
  <c r="N177" i="7" s="1"/>
  <c r="Q177" i="7" s="1" a="1"/>
  <c r="Q177" i="7" s="1"/>
  <c r="R177" i="7" s="1"/>
  <c r="S177" i="7" s="1"/>
  <c r="D178" i="7"/>
  <c r="E178" i="7"/>
  <c r="N178" i="7" s="1"/>
  <c r="Q178" i="7" s="1" a="1"/>
  <c r="Q178" i="7" s="1"/>
  <c r="R178" i="7" s="1"/>
  <c r="S178" i="7" s="1"/>
  <c r="D179" i="7"/>
  <c r="E179" i="7"/>
  <c r="N179" i="7" s="1"/>
  <c r="Q179" i="7" s="1" a="1"/>
  <c r="Q179" i="7" s="1"/>
  <c r="R179" i="7" s="1"/>
  <c r="S179" i="7" s="1"/>
  <c r="D180" i="7"/>
  <c r="E180" i="7"/>
  <c r="N180" i="7" s="1"/>
  <c r="Q180" i="7" s="1" a="1"/>
  <c r="Q180" i="7" s="1"/>
  <c r="R180" i="7" s="1"/>
  <c r="S180" i="7" s="1"/>
  <c r="D181" i="7"/>
  <c r="E181" i="7"/>
  <c r="N181" i="7" s="1"/>
  <c r="Q181" i="7" s="1" a="1"/>
  <c r="Q181" i="7" s="1"/>
  <c r="R181" i="7" s="1"/>
  <c r="S181" i="7" s="1"/>
  <c r="D182" i="7"/>
  <c r="E182" i="7"/>
  <c r="N182" i="7" s="1"/>
  <c r="D183" i="7"/>
  <c r="E183" i="7"/>
  <c r="N183" i="7" s="1"/>
  <c r="Q183" i="7" s="1" a="1"/>
  <c r="Q183" i="7" s="1"/>
  <c r="R183" i="7" s="1"/>
  <c r="S183" i="7" s="1"/>
  <c r="D184" i="7"/>
  <c r="E184" i="7"/>
  <c r="N184" i="7" s="1"/>
  <c r="Q184" i="7" s="1" a="1"/>
  <c r="Q184" i="7" s="1"/>
  <c r="R184" i="7" s="1"/>
  <c r="S184" i="7" s="1"/>
  <c r="D185" i="7"/>
  <c r="E185" i="7"/>
  <c r="N185" i="7" s="1"/>
  <c r="Q185" i="7" s="1" a="1"/>
  <c r="Q185" i="7" s="1"/>
  <c r="R185" i="7" s="1"/>
  <c r="S185" i="7" s="1"/>
  <c r="D186" i="7"/>
  <c r="E186" i="7"/>
  <c r="N186" i="7" s="1"/>
  <c r="D187" i="7"/>
  <c r="E187" i="7"/>
  <c r="N187" i="7" s="1"/>
  <c r="Q187" i="7" s="1" a="1"/>
  <c r="Q187" i="7" s="1"/>
  <c r="R187" i="7" s="1"/>
  <c r="S187" i="7" s="1"/>
  <c r="D188" i="7"/>
  <c r="E188" i="7"/>
  <c r="N188" i="7" s="1"/>
  <c r="Q188" i="7" s="1" a="1"/>
  <c r="Q188" i="7" s="1"/>
  <c r="R188" i="7" s="1"/>
  <c r="S188" i="7" s="1"/>
  <c r="D189" i="7"/>
  <c r="E189" i="7"/>
  <c r="N189" i="7" s="1"/>
  <c r="Q189" i="7" s="1" a="1"/>
  <c r="Q189" i="7" s="1"/>
  <c r="R189" i="7" s="1"/>
  <c r="S189" i="7" s="1"/>
  <c r="D190" i="7"/>
  <c r="D191" i="7"/>
  <c r="E191" i="7"/>
  <c r="N191" i="7" s="1"/>
  <c r="Q191" i="7" s="1" a="1"/>
  <c r="Q191" i="7" s="1"/>
  <c r="R191" i="7" s="1"/>
  <c r="S191" i="7" s="1"/>
  <c r="D192" i="7"/>
  <c r="E192" i="7"/>
  <c r="N192" i="7" s="1"/>
  <c r="D193" i="7"/>
  <c r="E193" i="7"/>
  <c r="N193" i="7" s="1"/>
  <c r="D194" i="7"/>
  <c r="E194" i="7"/>
  <c r="N194" i="7" s="1"/>
  <c r="D195" i="7"/>
  <c r="D196" i="7"/>
  <c r="E196" i="7"/>
  <c r="N196" i="7" s="1"/>
  <c r="D197" i="7"/>
  <c r="E197" i="7"/>
  <c r="N197" i="7" s="1"/>
  <c r="D198" i="7"/>
  <c r="E198" i="7"/>
  <c r="N198" i="7" s="1"/>
  <c r="D199" i="7"/>
  <c r="E199" i="7"/>
  <c r="N199" i="7" s="1"/>
  <c r="D200" i="7"/>
  <c r="E200" i="7"/>
  <c r="N200" i="7" s="1"/>
  <c r="D201" i="7"/>
  <c r="E201" i="7"/>
  <c r="N201" i="7" s="1"/>
  <c r="D202" i="7"/>
  <c r="E202" i="7"/>
  <c r="N202" i="7" s="1"/>
  <c r="D203" i="7"/>
  <c r="E203" i="7"/>
  <c r="N203" i="7" s="1"/>
  <c r="D204" i="7"/>
  <c r="E204" i="7"/>
  <c r="N204" i="7" s="1"/>
  <c r="D205" i="7"/>
  <c r="E205" i="7"/>
  <c r="N205" i="7" s="1"/>
  <c r="D206" i="7"/>
  <c r="E206" i="7"/>
  <c r="N206" i="7" s="1"/>
  <c r="D207" i="7"/>
  <c r="E207" i="7"/>
  <c r="N207" i="7" s="1"/>
  <c r="D208" i="7"/>
  <c r="E208" i="7"/>
  <c r="N208" i="7" s="1"/>
  <c r="D209" i="7"/>
  <c r="E209" i="7"/>
  <c r="N209" i="7" s="1"/>
  <c r="D210" i="7"/>
  <c r="E210" i="7"/>
  <c r="N210" i="7" s="1"/>
  <c r="D211" i="7"/>
  <c r="E211" i="7"/>
  <c r="N211" i="7" s="1"/>
  <c r="D212" i="7"/>
  <c r="E212" i="7"/>
  <c r="N212" i="7" s="1"/>
  <c r="D213" i="7"/>
  <c r="E213" i="7"/>
  <c r="N213" i="7" s="1"/>
  <c r="D214" i="7"/>
  <c r="E214" i="7"/>
  <c r="N214" i="7" s="1"/>
  <c r="D215" i="7"/>
  <c r="E215" i="7"/>
  <c r="N215" i="7" s="1"/>
  <c r="D216" i="7"/>
  <c r="E216" i="7"/>
  <c r="N216" i="7" s="1"/>
  <c r="D217" i="7"/>
  <c r="E217" i="7"/>
  <c r="N217" i="7" s="1"/>
  <c r="D218" i="7"/>
  <c r="E218" i="7"/>
  <c r="N218" i="7" s="1"/>
  <c r="D219" i="7"/>
  <c r="E219" i="7"/>
  <c r="N219" i="7" s="1"/>
  <c r="D220" i="7"/>
  <c r="E220" i="7"/>
  <c r="N220" i="7" s="1"/>
  <c r="D221" i="7"/>
  <c r="E221" i="7"/>
  <c r="N221" i="7" s="1"/>
  <c r="D222" i="7"/>
  <c r="E222" i="7"/>
  <c r="N222" i="7" s="1"/>
  <c r="D223" i="7"/>
  <c r="E223" i="7"/>
  <c r="N223" i="7" s="1"/>
  <c r="D224" i="7"/>
  <c r="E224" i="7"/>
  <c r="N224" i="7" s="1"/>
  <c r="D225" i="7"/>
  <c r="E225" i="7"/>
  <c r="N225" i="7" s="1"/>
  <c r="D226" i="7"/>
  <c r="E226" i="7"/>
  <c r="N226" i="7" s="1"/>
  <c r="D227" i="7"/>
  <c r="E227" i="7"/>
  <c r="N227" i="7" s="1"/>
  <c r="D228" i="7"/>
  <c r="E228" i="7"/>
  <c r="N228" i="7" s="1"/>
  <c r="D229" i="7"/>
  <c r="E229" i="7"/>
  <c r="N229" i="7" s="1"/>
  <c r="D230" i="7"/>
  <c r="E230" i="7"/>
  <c r="N230" i="7" s="1"/>
  <c r="D231" i="7"/>
  <c r="E231" i="7"/>
  <c r="N231" i="7" s="1"/>
  <c r="D232" i="7"/>
  <c r="E232" i="7"/>
  <c r="N232" i="7" s="1"/>
  <c r="D233" i="7"/>
  <c r="E233" i="7"/>
  <c r="N233" i="7" s="1"/>
  <c r="D234" i="7"/>
  <c r="E234" i="7"/>
  <c r="N234" i="7" s="1"/>
  <c r="D235" i="7"/>
  <c r="E235" i="7"/>
  <c r="N235" i="7" s="1"/>
  <c r="D236" i="7"/>
  <c r="E236" i="7"/>
  <c r="N236" i="7" s="1"/>
  <c r="D237" i="7"/>
  <c r="E237" i="7"/>
  <c r="N237" i="7" s="1"/>
  <c r="D238" i="7"/>
  <c r="E238" i="7"/>
  <c r="N238" i="7" s="1"/>
  <c r="D239" i="7"/>
  <c r="E239" i="7"/>
  <c r="N239" i="7" s="1"/>
  <c r="D240" i="7"/>
  <c r="E240" i="7"/>
  <c r="N240" i="7" s="1"/>
  <c r="D241" i="7"/>
  <c r="E241" i="7"/>
  <c r="N241" i="7" s="1"/>
  <c r="D242" i="7"/>
  <c r="E242" i="7"/>
  <c r="N242" i="7" s="1"/>
  <c r="D243" i="7"/>
  <c r="E243" i="7"/>
  <c r="N243" i="7" s="1"/>
  <c r="D244" i="7"/>
  <c r="E244" i="7"/>
  <c r="N244" i="7" s="1"/>
  <c r="D245" i="7"/>
  <c r="E245" i="7"/>
  <c r="N245" i="7" s="1"/>
  <c r="D246" i="7"/>
  <c r="E246" i="7"/>
  <c r="N246" i="7" s="1"/>
  <c r="D247" i="7"/>
  <c r="E247" i="7"/>
  <c r="N247" i="7" s="1"/>
  <c r="D248" i="7"/>
  <c r="E248" i="7"/>
  <c r="N248" i="7" s="1"/>
  <c r="D249" i="7"/>
  <c r="E249" i="7"/>
  <c r="N249" i="7" s="1"/>
  <c r="D250" i="7"/>
  <c r="E250" i="7"/>
  <c r="N250" i="7" s="1"/>
  <c r="D251" i="7"/>
  <c r="E251" i="7"/>
  <c r="N251" i="7" s="1"/>
  <c r="D252" i="7"/>
  <c r="E252" i="7"/>
  <c r="N252" i="7" s="1"/>
  <c r="D253" i="7"/>
  <c r="E253" i="7"/>
  <c r="N253" i="7" s="1"/>
  <c r="D254" i="7"/>
  <c r="E254" i="7"/>
  <c r="N254" i="7" s="1"/>
  <c r="D255" i="7"/>
  <c r="E255" i="7"/>
  <c r="N255" i="7" s="1"/>
  <c r="D256" i="7"/>
  <c r="E256" i="7"/>
  <c r="N256" i="7" s="1"/>
  <c r="D257" i="7"/>
  <c r="E257" i="7"/>
  <c r="N257" i="7" s="1"/>
  <c r="D258" i="7"/>
  <c r="E258" i="7"/>
  <c r="N258" i="7" s="1"/>
  <c r="D259" i="7"/>
  <c r="E259" i="7"/>
  <c r="N259" i="7" s="1"/>
  <c r="D260" i="7"/>
  <c r="E260" i="7"/>
  <c r="N260" i="7" s="1"/>
  <c r="D261" i="7"/>
  <c r="E261" i="7"/>
  <c r="N261" i="7" s="1"/>
  <c r="D262" i="7"/>
  <c r="E262" i="7"/>
  <c r="N262" i="7" s="1"/>
  <c r="D263" i="7"/>
  <c r="E263" i="7"/>
  <c r="N263" i="7" s="1"/>
  <c r="Q263" i="7" s="1" a="1"/>
  <c r="Q263" i="7" s="1"/>
  <c r="R263" i="7" s="1"/>
  <c r="S263" i="7" s="1"/>
  <c r="D264" i="7"/>
  <c r="E264" i="7"/>
  <c r="N264" i="7" s="1"/>
  <c r="D265" i="7"/>
  <c r="E265" i="7"/>
  <c r="N265" i="7" s="1"/>
  <c r="D266" i="7"/>
  <c r="E266" i="7"/>
  <c r="N266" i="7" s="1"/>
  <c r="D267" i="7"/>
  <c r="E267" i="7"/>
  <c r="N267" i="7" s="1"/>
  <c r="D268" i="7"/>
  <c r="E268" i="7"/>
  <c r="N268" i="7" s="1"/>
  <c r="D269" i="7"/>
  <c r="E269" i="7"/>
  <c r="N269" i="7" s="1"/>
  <c r="D270" i="7"/>
  <c r="E270" i="7"/>
  <c r="N270" i="7" s="1"/>
  <c r="D271" i="7"/>
  <c r="E271" i="7"/>
  <c r="N271" i="7" s="1"/>
  <c r="D272" i="7"/>
  <c r="E272" i="7"/>
  <c r="N272" i="7" s="1"/>
  <c r="D273" i="7"/>
  <c r="E273" i="7"/>
  <c r="N273" i="7" s="1"/>
  <c r="D274" i="7"/>
  <c r="E274" i="7"/>
  <c r="N274" i="7" s="1"/>
  <c r="D275" i="7"/>
  <c r="E275" i="7"/>
  <c r="N275" i="7" s="1"/>
  <c r="D276" i="7"/>
  <c r="E276" i="7"/>
  <c r="N276" i="7" s="1"/>
  <c r="D277" i="7"/>
  <c r="E277" i="7"/>
  <c r="N277" i="7" s="1"/>
  <c r="D278" i="7"/>
  <c r="E278" i="7"/>
  <c r="N278" i="7" s="1"/>
  <c r="D279" i="7"/>
  <c r="E279" i="7"/>
  <c r="N279" i="7" s="1"/>
  <c r="D280" i="7"/>
  <c r="E280" i="7"/>
  <c r="N280" i="7" s="1"/>
  <c r="D281" i="7"/>
  <c r="E281" i="7"/>
  <c r="N281" i="7" s="1"/>
  <c r="D282" i="7"/>
  <c r="E282" i="7"/>
  <c r="N282" i="7" s="1"/>
  <c r="D283" i="7"/>
  <c r="E283" i="7"/>
  <c r="N283" i="7" s="1"/>
  <c r="D284" i="7"/>
  <c r="E284" i="7"/>
  <c r="N284" i="7" s="1"/>
  <c r="D285" i="7"/>
  <c r="E285" i="7"/>
  <c r="N285" i="7" s="1"/>
  <c r="D286" i="7"/>
  <c r="E286" i="7"/>
  <c r="N286" i="7" s="1"/>
  <c r="D287" i="7"/>
  <c r="E287" i="7"/>
  <c r="N287" i="7" s="1"/>
  <c r="D288" i="7"/>
  <c r="E288" i="7"/>
  <c r="N288" i="7" s="1"/>
  <c r="D289" i="7"/>
  <c r="E289" i="7"/>
  <c r="N289" i="7" s="1"/>
  <c r="D290" i="7"/>
  <c r="E290" i="7"/>
  <c r="N290" i="7" s="1"/>
  <c r="D291" i="7"/>
  <c r="E291" i="7"/>
  <c r="N291" i="7" s="1"/>
  <c r="D292" i="7"/>
  <c r="E292" i="7"/>
  <c r="N292" i="7" s="1"/>
  <c r="D293" i="7"/>
  <c r="E293" i="7"/>
  <c r="N293" i="7" s="1"/>
  <c r="D294" i="7"/>
  <c r="E294" i="7"/>
  <c r="N294" i="7" s="1"/>
  <c r="D295" i="7"/>
  <c r="E295" i="7"/>
  <c r="N295" i="7" s="1"/>
  <c r="D296" i="7"/>
  <c r="E296" i="7"/>
  <c r="N296" i="7" s="1"/>
  <c r="D297" i="7"/>
  <c r="E297" i="7"/>
  <c r="N297" i="7" s="1"/>
  <c r="D298" i="7"/>
  <c r="E298" i="7"/>
  <c r="N298" i="7" s="1"/>
  <c r="D299" i="7"/>
  <c r="E299" i="7"/>
  <c r="N299" i="7" s="1"/>
  <c r="D300" i="7"/>
  <c r="E300" i="7"/>
  <c r="N300" i="7" s="1"/>
  <c r="D301" i="7"/>
  <c r="E301" i="7"/>
  <c r="N301" i="7" s="1"/>
  <c r="D302" i="7"/>
  <c r="E302" i="7"/>
  <c r="N302" i="7" s="1"/>
  <c r="Q302" i="7" s="1" a="1"/>
  <c r="Q302" i="7" s="1"/>
  <c r="R302" i="7" s="1"/>
  <c r="S302" i="7" s="1"/>
  <c r="D303" i="7"/>
  <c r="E303" i="7"/>
  <c r="N303" i="7" s="1"/>
  <c r="Q303" i="7" s="1" a="1"/>
  <c r="Q303" i="7" s="1"/>
  <c r="R303" i="7" s="1"/>
  <c r="S303" i="7" s="1"/>
  <c r="D304" i="7"/>
  <c r="E304" i="7"/>
  <c r="N304" i="7" s="1"/>
  <c r="Q304" i="7" s="1" a="1"/>
  <c r="Q304" i="7" s="1"/>
  <c r="R304" i="7" s="1"/>
  <c r="S304" i="7" s="1"/>
  <c r="D305" i="7"/>
  <c r="E305" i="7"/>
  <c r="N305" i="7" s="1"/>
  <c r="Q305" i="7" s="1" a="1"/>
  <c r="Q305" i="7" s="1"/>
  <c r="R305" i="7" s="1"/>
  <c r="S305" i="7" s="1"/>
  <c r="D306" i="7"/>
  <c r="E306" i="7"/>
  <c r="N306" i="7" s="1"/>
  <c r="Q306" i="7" s="1" a="1"/>
  <c r="Q306" i="7" s="1"/>
  <c r="R306" i="7" s="1"/>
  <c r="S306" i="7" s="1"/>
  <c r="D307" i="7"/>
  <c r="E307" i="7"/>
  <c r="N307" i="7" s="1"/>
  <c r="Q307" i="7" s="1" a="1"/>
  <c r="Q307" i="7" s="1"/>
  <c r="R307" i="7" s="1"/>
  <c r="S307" i="7" s="1"/>
  <c r="D308" i="7"/>
  <c r="E308" i="7"/>
  <c r="N308" i="7" s="1"/>
  <c r="D309" i="7"/>
  <c r="E309" i="7"/>
  <c r="N309" i="7" s="1"/>
  <c r="D310" i="7"/>
  <c r="E310" i="7"/>
  <c r="N310" i="7" s="1"/>
  <c r="D311" i="7"/>
  <c r="E311" i="7"/>
  <c r="N311" i="7" s="1"/>
  <c r="D312" i="7"/>
  <c r="E312" i="7"/>
  <c r="N312" i="7" s="1"/>
  <c r="D313" i="7"/>
  <c r="E313" i="7"/>
  <c r="N313" i="7" s="1"/>
  <c r="D314" i="7"/>
  <c r="E314" i="7"/>
  <c r="N314" i="7" s="1"/>
  <c r="D315" i="7"/>
  <c r="E315" i="7"/>
  <c r="N315" i="7" s="1"/>
  <c r="D316" i="7"/>
  <c r="E316" i="7"/>
  <c r="N316" i="7" s="1"/>
  <c r="D317" i="7"/>
  <c r="E317" i="7"/>
  <c r="N317" i="7" s="1"/>
  <c r="D318" i="7"/>
  <c r="E318" i="7"/>
  <c r="N318" i="7" s="1"/>
  <c r="D319" i="7"/>
  <c r="E319" i="7"/>
  <c r="N319" i="7" s="1"/>
  <c r="D320" i="7"/>
  <c r="E320" i="7"/>
  <c r="N320" i="7" s="1"/>
  <c r="D321" i="7"/>
  <c r="E321" i="7"/>
  <c r="N321" i="7" s="1"/>
  <c r="D322" i="7"/>
  <c r="E322" i="7"/>
  <c r="N322" i="7" s="1"/>
  <c r="D323" i="7"/>
  <c r="E323" i="7"/>
  <c r="N323" i="7" s="1"/>
  <c r="D324" i="7"/>
  <c r="E324" i="7"/>
  <c r="N324" i="7" s="1"/>
  <c r="D325" i="7"/>
  <c r="E325" i="7"/>
  <c r="N325" i="7" s="1"/>
  <c r="D326" i="7"/>
  <c r="E326" i="7"/>
  <c r="N326" i="7" s="1"/>
  <c r="D327" i="7"/>
  <c r="E327" i="7"/>
  <c r="N327" i="7" s="1"/>
  <c r="D328" i="7"/>
  <c r="E328" i="7"/>
  <c r="N328" i="7" s="1"/>
  <c r="D329" i="7"/>
  <c r="E329" i="7"/>
  <c r="N329" i="7" s="1"/>
  <c r="D330" i="7"/>
  <c r="E330" i="7"/>
  <c r="N330" i="7" s="1"/>
  <c r="D331" i="7"/>
  <c r="E331" i="7"/>
  <c r="N331" i="7" s="1"/>
  <c r="D332" i="7"/>
  <c r="E332" i="7"/>
  <c r="N332" i="7" s="1"/>
  <c r="D333" i="7"/>
  <c r="E333" i="7"/>
  <c r="N333" i="7" s="1"/>
  <c r="D334" i="7"/>
  <c r="E334" i="7"/>
  <c r="N334" i="7" s="1"/>
  <c r="D335" i="7"/>
  <c r="D336" i="7"/>
  <c r="E336" i="7"/>
  <c r="N336" i="7" s="1"/>
  <c r="D337" i="7"/>
  <c r="D338" i="7"/>
  <c r="E338" i="7"/>
  <c r="N338" i="7" s="1"/>
  <c r="D339" i="7"/>
  <c r="E339" i="7"/>
  <c r="N339" i="7" s="1"/>
  <c r="Q339" i="7" s="1" a="1"/>
  <c r="Q339" i="7" s="1"/>
  <c r="R339" i="7" s="1"/>
  <c r="S339" i="7" s="1"/>
  <c r="D340" i="7"/>
  <c r="E340" i="7"/>
  <c r="N340" i="7" s="1"/>
  <c r="Q340" i="7" s="1" a="1"/>
  <c r="Q340" i="7" s="1"/>
  <c r="R340" i="7" s="1"/>
  <c r="S340" i="7" s="1"/>
  <c r="D341" i="7"/>
  <c r="E341" i="7"/>
  <c r="N341" i="7" s="1"/>
  <c r="Q341" i="7" s="1" a="1"/>
  <c r="Q341" i="7" s="1"/>
  <c r="R341" i="7" s="1"/>
  <c r="S341" i="7" s="1"/>
  <c r="D342" i="7"/>
  <c r="E342" i="7"/>
  <c r="N342" i="7" s="1"/>
  <c r="Q342" i="7" s="1" a="1"/>
  <c r="Q342" i="7" s="1"/>
  <c r="R342" i="7" s="1"/>
  <c r="S342" i="7" s="1"/>
  <c r="D343" i="7"/>
  <c r="E343" i="7"/>
  <c r="N343" i="7" s="1"/>
  <c r="Q343" i="7" s="1" a="1"/>
  <c r="Q343" i="7" s="1"/>
  <c r="R343" i="7" s="1"/>
  <c r="S343" i="7" s="1"/>
  <c r="D344" i="7"/>
  <c r="E344" i="7"/>
  <c r="N344" i="7" s="1"/>
  <c r="Q344" i="7" s="1" a="1"/>
  <c r="Q344" i="7" s="1"/>
  <c r="R344" i="7" s="1"/>
  <c r="S344" i="7" s="1"/>
  <c r="M586" i="3" l="1"/>
  <c r="K586" i="3"/>
  <c r="J586" i="3"/>
  <c r="M585" i="3"/>
  <c r="K585" i="3"/>
  <c r="J585" i="3"/>
  <c r="L585" i="3" s="1"/>
  <c r="M584" i="3"/>
  <c r="K584" i="3"/>
  <c r="J584" i="3"/>
  <c r="M583" i="3"/>
  <c r="L583" i="3"/>
  <c r="K583" i="3"/>
  <c r="J583" i="3"/>
  <c r="M582" i="3"/>
  <c r="L582" i="3"/>
  <c r="K582" i="3"/>
  <c r="J582" i="3"/>
  <c r="N582" i="3" s="1"/>
  <c r="O220" i="7" s="1"/>
  <c r="Q220" i="7" s="1" a="1"/>
  <c r="Q220" i="7" s="1"/>
  <c r="R220" i="7" s="1"/>
  <c r="S220" i="7" s="1"/>
  <c r="M581" i="3"/>
  <c r="K581" i="3"/>
  <c r="J581" i="3"/>
  <c r="M580" i="3"/>
  <c r="K580" i="3"/>
  <c r="J580" i="3"/>
  <c r="M579" i="3"/>
  <c r="K579" i="3"/>
  <c r="J579" i="3"/>
  <c r="N579" i="3" s="1"/>
  <c r="M578" i="3"/>
  <c r="L578" i="3"/>
  <c r="K578" i="3"/>
  <c r="J578" i="3"/>
  <c r="N578" i="3" s="1"/>
  <c r="M577" i="3"/>
  <c r="K577" i="3"/>
  <c r="J577" i="3"/>
  <c r="M576" i="3"/>
  <c r="K576" i="3"/>
  <c r="J576" i="3"/>
  <c r="L576" i="3" s="1"/>
  <c r="M575" i="3"/>
  <c r="K575" i="3"/>
  <c r="J575" i="3"/>
  <c r="N575" i="3" s="1"/>
  <c r="M574" i="3"/>
  <c r="K574" i="3"/>
  <c r="J574" i="3"/>
  <c r="M573" i="3"/>
  <c r="K573" i="3"/>
  <c r="J573" i="3"/>
  <c r="M572" i="3"/>
  <c r="K572" i="3"/>
  <c r="J572" i="3"/>
  <c r="M571" i="3"/>
  <c r="L571" i="3"/>
  <c r="K571" i="3"/>
  <c r="J571" i="3"/>
  <c r="M570" i="3"/>
  <c r="K570" i="3"/>
  <c r="J570" i="3"/>
  <c r="M569" i="3"/>
  <c r="K569" i="3"/>
  <c r="J569" i="3"/>
  <c r="M568" i="3"/>
  <c r="K568" i="3"/>
  <c r="J568" i="3"/>
  <c r="L568" i="3" s="1"/>
  <c r="M567" i="3"/>
  <c r="K567" i="3"/>
  <c r="J567" i="3"/>
  <c r="M566" i="3"/>
  <c r="K566" i="3"/>
  <c r="J566" i="3"/>
  <c r="N566" i="3" s="1"/>
  <c r="M565" i="3"/>
  <c r="K565" i="3"/>
  <c r="J565" i="3"/>
  <c r="L565" i="3" s="1"/>
  <c r="M564" i="3"/>
  <c r="K564" i="3"/>
  <c r="J564" i="3"/>
  <c r="M563" i="3"/>
  <c r="K563" i="3"/>
  <c r="L563" i="3" s="1"/>
  <c r="J563" i="3"/>
  <c r="M562" i="3"/>
  <c r="K562" i="3"/>
  <c r="J562" i="3"/>
  <c r="M561" i="3"/>
  <c r="K561" i="3"/>
  <c r="J561" i="3"/>
  <c r="M560" i="3"/>
  <c r="K560" i="3"/>
  <c r="J560" i="3"/>
  <c r="M559" i="3"/>
  <c r="K559" i="3"/>
  <c r="J559" i="3"/>
  <c r="N559" i="3" s="1"/>
  <c r="M558" i="3"/>
  <c r="K558" i="3"/>
  <c r="J558" i="3"/>
  <c r="M557" i="3"/>
  <c r="K557" i="3"/>
  <c r="J557" i="3"/>
  <c r="L557" i="3" s="1"/>
  <c r="M556" i="3"/>
  <c r="K556" i="3"/>
  <c r="J556" i="3"/>
  <c r="M555" i="3"/>
  <c r="K555" i="3"/>
  <c r="J555" i="3"/>
  <c r="M554" i="3"/>
  <c r="K554" i="3"/>
  <c r="J554" i="3"/>
  <c r="M553" i="3"/>
  <c r="K553" i="3"/>
  <c r="J553" i="3"/>
  <c r="M552" i="3"/>
  <c r="K552" i="3"/>
  <c r="J552" i="3"/>
  <c r="L552" i="3" s="1"/>
  <c r="M551" i="3"/>
  <c r="L551" i="3"/>
  <c r="K551" i="3"/>
  <c r="J551" i="3"/>
  <c r="M550" i="3"/>
  <c r="K550" i="3"/>
  <c r="J550" i="3"/>
  <c r="N550" i="3" s="1"/>
  <c r="M549" i="3"/>
  <c r="K549" i="3"/>
  <c r="J549" i="3"/>
  <c r="M548" i="3"/>
  <c r="K548" i="3"/>
  <c r="L548" i="3" s="1"/>
  <c r="J548" i="3"/>
  <c r="M547" i="3"/>
  <c r="K547" i="3"/>
  <c r="L547" i="3" s="1"/>
  <c r="J547" i="3"/>
  <c r="M546" i="3"/>
  <c r="K546" i="3"/>
  <c r="J546" i="3"/>
  <c r="M545" i="3"/>
  <c r="K545" i="3"/>
  <c r="J545" i="3"/>
  <c r="M544" i="3"/>
  <c r="K544" i="3"/>
  <c r="J544" i="3"/>
  <c r="N544" i="3" s="1"/>
  <c r="M543" i="3"/>
  <c r="L543" i="3"/>
  <c r="K543" i="3"/>
  <c r="J543" i="3"/>
  <c r="M542" i="3"/>
  <c r="K542" i="3"/>
  <c r="J542" i="3"/>
  <c r="N542" i="3" s="1"/>
  <c r="M541" i="3"/>
  <c r="K541" i="3"/>
  <c r="J541" i="3"/>
  <c r="M540" i="3"/>
  <c r="K540" i="3"/>
  <c r="L540" i="3" s="1"/>
  <c r="J540" i="3"/>
  <c r="N540" i="3" s="1"/>
  <c r="M539" i="3"/>
  <c r="K539" i="3"/>
  <c r="J539" i="3"/>
  <c r="M538" i="3"/>
  <c r="K538" i="3"/>
  <c r="J538" i="3"/>
  <c r="M537" i="3"/>
  <c r="K537" i="3"/>
  <c r="J537" i="3"/>
  <c r="M536" i="3"/>
  <c r="K536" i="3"/>
  <c r="L536" i="3" s="1"/>
  <c r="J536" i="3"/>
  <c r="M535" i="3"/>
  <c r="K535" i="3"/>
  <c r="J535" i="3"/>
  <c r="M534" i="3"/>
  <c r="K534" i="3"/>
  <c r="J534" i="3"/>
  <c r="M533" i="3"/>
  <c r="K533" i="3"/>
  <c r="J533" i="3"/>
  <c r="M532" i="3"/>
  <c r="K532" i="3"/>
  <c r="L532" i="3" s="1"/>
  <c r="J532" i="3"/>
  <c r="M531" i="3"/>
  <c r="K531" i="3"/>
  <c r="J531" i="3"/>
  <c r="M530" i="3"/>
  <c r="K530" i="3"/>
  <c r="J530" i="3"/>
  <c r="N530" i="3" s="1"/>
  <c r="M529" i="3"/>
  <c r="K529" i="3"/>
  <c r="J529" i="3"/>
  <c r="M528" i="3"/>
  <c r="K528" i="3"/>
  <c r="J528" i="3"/>
  <c r="M527" i="3"/>
  <c r="L527" i="3"/>
  <c r="K527" i="3"/>
  <c r="J527" i="3"/>
  <c r="M526" i="3"/>
  <c r="K526" i="3"/>
  <c r="J526" i="3"/>
  <c r="M525" i="3"/>
  <c r="K525" i="3"/>
  <c r="J525" i="3"/>
  <c r="M524" i="3"/>
  <c r="K524" i="3"/>
  <c r="L524" i="3" s="1"/>
  <c r="J524" i="3"/>
  <c r="N524" i="3" s="1"/>
  <c r="M523" i="3"/>
  <c r="L523" i="3"/>
  <c r="K523" i="3"/>
  <c r="J523" i="3"/>
  <c r="M522" i="3"/>
  <c r="K522" i="3"/>
  <c r="J522" i="3"/>
  <c r="M521" i="3"/>
  <c r="K521" i="3"/>
  <c r="J521" i="3"/>
  <c r="M520" i="3"/>
  <c r="K520" i="3"/>
  <c r="J520" i="3"/>
  <c r="N520" i="3" s="1"/>
  <c r="M519" i="3"/>
  <c r="K519" i="3"/>
  <c r="J519" i="3"/>
  <c r="M518" i="3"/>
  <c r="K518" i="3"/>
  <c r="J518" i="3"/>
  <c r="M517" i="3"/>
  <c r="K517" i="3"/>
  <c r="J517" i="3"/>
  <c r="M516" i="3"/>
  <c r="K516" i="3"/>
  <c r="L516" i="3" s="1"/>
  <c r="J516" i="3"/>
  <c r="M515" i="3"/>
  <c r="K515" i="3"/>
  <c r="J515" i="3"/>
  <c r="N515" i="3" s="1"/>
  <c r="M514" i="3"/>
  <c r="K514" i="3"/>
  <c r="J514" i="3"/>
  <c r="M513" i="3"/>
  <c r="K513" i="3"/>
  <c r="J513" i="3"/>
  <c r="L513" i="3" s="1"/>
  <c r="M512" i="3"/>
  <c r="K512" i="3"/>
  <c r="L512" i="3" s="1"/>
  <c r="J512" i="3"/>
  <c r="M511" i="3"/>
  <c r="K511" i="3"/>
  <c r="J511" i="3"/>
  <c r="L511" i="3" s="1"/>
  <c r="M510" i="3"/>
  <c r="K510" i="3"/>
  <c r="J510" i="3"/>
  <c r="M509" i="3"/>
  <c r="K509" i="3"/>
  <c r="J509" i="3"/>
  <c r="L509" i="3" s="1"/>
  <c r="M508" i="3"/>
  <c r="K508" i="3"/>
  <c r="J508" i="3"/>
  <c r="M507" i="3"/>
  <c r="K507" i="3"/>
  <c r="J507" i="3"/>
  <c r="M506" i="3"/>
  <c r="K506" i="3"/>
  <c r="J506" i="3"/>
  <c r="M505" i="3"/>
  <c r="K505" i="3"/>
  <c r="J505" i="3"/>
  <c r="M504" i="3"/>
  <c r="K504" i="3"/>
  <c r="J504" i="3"/>
  <c r="M503" i="3"/>
  <c r="L503" i="3"/>
  <c r="K503" i="3"/>
  <c r="J503" i="3"/>
  <c r="N503" i="3" s="1"/>
  <c r="M502" i="3"/>
  <c r="K502" i="3"/>
  <c r="J502" i="3"/>
  <c r="M501" i="3"/>
  <c r="K501" i="3"/>
  <c r="J501" i="3"/>
  <c r="M500" i="3"/>
  <c r="K500" i="3"/>
  <c r="L500" i="3" s="1"/>
  <c r="J500" i="3"/>
  <c r="M499" i="3"/>
  <c r="K499" i="3"/>
  <c r="L499" i="3" s="1"/>
  <c r="J499" i="3"/>
  <c r="M498" i="3"/>
  <c r="K498" i="3"/>
  <c r="J498" i="3"/>
  <c r="M497" i="3"/>
  <c r="K497" i="3"/>
  <c r="J497" i="3"/>
  <c r="M496" i="3"/>
  <c r="K496" i="3"/>
  <c r="J496" i="3"/>
  <c r="M495" i="3"/>
  <c r="L495" i="3"/>
  <c r="K495" i="3"/>
  <c r="J495" i="3"/>
  <c r="M494" i="3"/>
  <c r="K494" i="3"/>
  <c r="J494" i="3"/>
  <c r="M493" i="3"/>
  <c r="K493" i="3"/>
  <c r="J493" i="3"/>
  <c r="M492" i="3"/>
  <c r="K492" i="3"/>
  <c r="L492" i="3" s="1"/>
  <c r="J492" i="3"/>
  <c r="M491" i="3"/>
  <c r="K491" i="3"/>
  <c r="J491" i="3"/>
  <c r="M490" i="3"/>
  <c r="K490" i="3"/>
  <c r="J490" i="3"/>
  <c r="M489" i="3"/>
  <c r="K489" i="3"/>
  <c r="J489" i="3"/>
  <c r="M488" i="3"/>
  <c r="K488" i="3"/>
  <c r="J488" i="3"/>
  <c r="M487" i="3"/>
  <c r="K487" i="3"/>
  <c r="J487" i="3"/>
  <c r="M486" i="3"/>
  <c r="K486" i="3"/>
  <c r="J486" i="3"/>
  <c r="M485" i="3"/>
  <c r="K485" i="3"/>
  <c r="J485" i="3"/>
  <c r="M484" i="3"/>
  <c r="K484" i="3"/>
  <c r="L484" i="3" s="1"/>
  <c r="J484" i="3"/>
  <c r="M483" i="3"/>
  <c r="K483" i="3"/>
  <c r="J483" i="3"/>
  <c r="N483" i="3" s="1"/>
  <c r="M482" i="3"/>
  <c r="K482" i="3"/>
  <c r="J482" i="3"/>
  <c r="N482" i="3" s="1"/>
  <c r="M481" i="3"/>
  <c r="K481" i="3"/>
  <c r="J481" i="3"/>
  <c r="M480" i="3"/>
  <c r="K480" i="3"/>
  <c r="J480" i="3"/>
  <c r="M479" i="3"/>
  <c r="L479" i="3"/>
  <c r="K479" i="3"/>
  <c r="J479" i="3"/>
  <c r="M478" i="3"/>
  <c r="K478" i="3"/>
  <c r="J478" i="3"/>
  <c r="N478" i="3" s="1"/>
  <c r="M477" i="3"/>
  <c r="K477" i="3"/>
  <c r="J477" i="3"/>
  <c r="L477" i="3" s="1"/>
  <c r="M476" i="3"/>
  <c r="K476" i="3"/>
  <c r="J476" i="3"/>
  <c r="M475" i="3"/>
  <c r="L475" i="3"/>
  <c r="K475" i="3"/>
  <c r="J475" i="3"/>
  <c r="M474" i="3"/>
  <c r="K474" i="3"/>
  <c r="J474" i="3"/>
  <c r="M473" i="3"/>
  <c r="K473" i="3"/>
  <c r="J473" i="3"/>
  <c r="M472" i="3"/>
  <c r="K472" i="3"/>
  <c r="J472" i="3"/>
  <c r="N472" i="3" s="1"/>
  <c r="O290" i="7" s="1"/>
  <c r="Q290" i="7" s="1" a="1"/>
  <c r="Q290" i="7" s="1"/>
  <c r="R290" i="7" s="1"/>
  <c r="S290" i="7" s="1"/>
  <c r="M471" i="3"/>
  <c r="K471" i="3"/>
  <c r="J471" i="3"/>
  <c r="M470" i="3"/>
  <c r="K470" i="3"/>
  <c r="J470" i="3"/>
  <c r="L470" i="3" s="1"/>
  <c r="M469" i="3"/>
  <c r="K469" i="3"/>
  <c r="J469" i="3"/>
  <c r="M468" i="3"/>
  <c r="K468" i="3"/>
  <c r="J468" i="3"/>
  <c r="M467" i="3"/>
  <c r="K467" i="3"/>
  <c r="J467" i="3"/>
  <c r="N467" i="3" s="1"/>
  <c r="M466" i="3"/>
  <c r="K466" i="3"/>
  <c r="J466" i="3"/>
  <c r="M465" i="3"/>
  <c r="K465" i="3"/>
  <c r="J465" i="3"/>
  <c r="L465" i="3" s="1"/>
  <c r="M464" i="3"/>
  <c r="K464" i="3"/>
  <c r="J464" i="3"/>
  <c r="M463" i="3"/>
  <c r="L463" i="3"/>
  <c r="K463" i="3"/>
  <c r="J463" i="3"/>
  <c r="N463" i="3" s="1"/>
  <c r="O288" i="7" s="1"/>
  <c r="Q288" i="7" s="1" a="1"/>
  <c r="Q288" i="7" s="1"/>
  <c r="R288" i="7" s="1"/>
  <c r="S288" i="7" s="1"/>
  <c r="M462" i="3"/>
  <c r="K462" i="3"/>
  <c r="J462" i="3"/>
  <c r="N462" i="3" s="1"/>
  <c r="O279" i="7" s="1"/>
  <c r="Q279" i="7" s="1" a="1"/>
  <c r="Q279" i="7" s="1"/>
  <c r="R279" i="7" s="1"/>
  <c r="S279" i="7" s="1"/>
  <c r="M461" i="3"/>
  <c r="K461" i="3"/>
  <c r="J461" i="3"/>
  <c r="M460" i="3"/>
  <c r="L460" i="3"/>
  <c r="K460" i="3"/>
  <c r="J460" i="3"/>
  <c r="M459" i="3"/>
  <c r="L459" i="3"/>
  <c r="K459" i="3"/>
  <c r="J459" i="3"/>
  <c r="M458" i="3"/>
  <c r="K458" i="3"/>
  <c r="J458" i="3"/>
  <c r="M457" i="3"/>
  <c r="K457" i="3"/>
  <c r="J457" i="3"/>
  <c r="M456" i="3"/>
  <c r="L456" i="3"/>
  <c r="K456" i="3"/>
  <c r="J456" i="3"/>
  <c r="M455" i="3"/>
  <c r="K455" i="3"/>
  <c r="J455" i="3"/>
  <c r="M454" i="3"/>
  <c r="K454" i="3"/>
  <c r="J454" i="3"/>
  <c r="M453" i="3"/>
  <c r="K453" i="3"/>
  <c r="J453" i="3"/>
  <c r="L453" i="3" s="1"/>
  <c r="M452" i="3"/>
  <c r="L452" i="3"/>
  <c r="K452" i="3"/>
  <c r="J452" i="3"/>
  <c r="M451" i="3"/>
  <c r="L451" i="3"/>
  <c r="K451" i="3"/>
  <c r="J451" i="3"/>
  <c r="M450" i="3"/>
  <c r="K450" i="3"/>
  <c r="J450" i="3"/>
  <c r="N450" i="3" s="1"/>
  <c r="M449" i="3"/>
  <c r="K449" i="3"/>
  <c r="J449" i="3"/>
  <c r="L449" i="3" s="1"/>
  <c r="M448" i="3"/>
  <c r="K448" i="3"/>
  <c r="J448" i="3"/>
  <c r="M447" i="3"/>
  <c r="K447" i="3"/>
  <c r="J447" i="3"/>
  <c r="M446" i="3"/>
  <c r="K446" i="3"/>
  <c r="J446" i="3"/>
  <c r="N446" i="3" s="1"/>
  <c r="O224" i="7" s="1"/>
  <c r="Q224" i="7" s="1" a="1"/>
  <c r="Q224" i="7" s="1"/>
  <c r="R224" i="7" s="1"/>
  <c r="S224" i="7" s="1"/>
  <c r="M445" i="3"/>
  <c r="K445" i="3"/>
  <c r="J445" i="3"/>
  <c r="L445" i="3" s="1"/>
  <c r="M444" i="3"/>
  <c r="L444" i="3"/>
  <c r="K444" i="3"/>
  <c r="J444" i="3"/>
  <c r="M443" i="3"/>
  <c r="K443" i="3"/>
  <c r="J443" i="3"/>
  <c r="M442" i="3"/>
  <c r="K442" i="3"/>
  <c r="J442" i="3"/>
  <c r="M441" i="3"/>
  <c r="K441" i="3"/>
  <c r="J441" i="3"/>
  <c r="M440" i="3"/>
  <c r="K440" i="3"/>
  <c r="J440" i="3"/>
  <c r="M439" i="3"/>
  <c r="K439" i="3"/>
  <c r="L439" i="3" s="1"/>
  <c r="J439" i="3"/>
  <c r="N439" i="3" s="1"/>
  <c r="O291" i="7" s="1"/>
  <c r="Q291" i="7" s="1" a="1"/>
  <c r="Q291" i="7" s="1"/>
  <c r="R291" i="7" s="1"/>
  <c r="S291" i="7" s="1"/>
  <c r="M438" i="3"/>
  <c r="K438" i="3"/>
  <c r="J438" i="3"/>
  <c r="N438" i="3" s="1"/>
  <c r="M437" i="3"/>
  <c r="K437" i="3"/>
  <c r="J437" i="3"/>
  <c r="M436" i="3"/>
  <c r="K436" i="3"/>
  <c r="J436" i="3"/>
  <c r="N436" i="3" s="1"/>
  <c r="M435" i="3"/>
  <c r="L435" i="3"/>
  <c r="K435" i="3"/>
  <c r="J435" i="3"/>
  <c r="M434" i="3"/>
  <c r="K434" i="3"/>
  <c r="J434" i="3"/>
  <c r="M433" i="3"/>
  <c r="K433" i="3"/>
  <c r="J433" i="3"/>
  <c r="L433" i="3" s="1"/>
  <c r="M432" i="3"/>
  <c r="K432" i="3"/>
  <c r="L432" i="3" s="1"/>
  <c r="J432" i="3"/>
  <c r="N432" i="3" s="1"/>
  <c r="M431" i="3"/>
  <c r="K431" i="3"/>
  <c r="J431" i="3"/>
  <c r="M430" i="3"/>
  <c r="K430" i="3"/>
  <c r="J430" i="3"/>
  <c r="M429" i="3"/>
  <c r="K429" i="3"/>
  <c r="J429" i="3"/>
  <c r="L429" i="3" s="1"/>
  <c r="M428" i="3"/>
  <c r="L428" i="3"/>
  <c r="K428" i="3"/>
  <c r="J428" i="3"/>
  <c r="M427" i="3"/>
  <c r="L427" i="3"/>
  <c r="K427" i="3"/>
  <c r="J427" i="3"/>
  <c r="M426" i="3"/>
  <c r="K426" i="3"/>
  <c r="J426" i="3"/>
  <c r="M425" i="3"/>
  <c r="K425" i="3"/>
  <c r="J425" i="3"/>
  <c r="M424" i="3"/>
  <c r="K424" i="3"/>
  <c r="J424" i="3"/>
  <c r="M423" i="3"/>
  <c r="K423" i="3"/>
  <c r="J423" i="3"/>
  <c r="M422" i="3"/>
  <c r="K422" i="3"/>
  <c r="J422" i="3"/>
  <c r="M421" i="3"/>
  <c r="K421" i="3"/>
  <c r="J421" i="3"/>
  <c r="L421" i="3" s="1"/>
  <c r="M420" i="3"/>
  <c r="L420" i="3"/>
  <c r="K420" i="3"/>
  <c r="J420" i="3"/>
  <c r="M419" i="3"/>
  <c r="L419" i="3"/>
  <c r="K419" i="3"/>
  <c r="J419" i="3"/>
  <c r="N419" i="3" s="1"/>
  <c r="O292" i="7" s="1"/>
  <c r="Q292" i="7" s="1" a="1"/>
  <c r="Q292" i="7" s="1"/>
  <c r="R292" i="7" s="1"/>
  <c r="S292" i="7" s="1"/>
  <c r="M418" i="3"/>
  <c r="K418" i="3"/>
  <c r="J418" i="3"/>
  <c r="M417" i="3"/>
  <c r="K417" i="3"/>
  <c r="J417" i="3"/>
  <c r="M416" i="3"/>
  <c r="K416" i="3"/>
  <c r="J416" i="3"/>
  <c r="M415" i="3"/>
  <c r="K415" i="3"/>
  <c r="L415" i="3" s="1"/>
  <c r="J415" i="3"/>
  <c r="M414" i="3"/>
  <c r="K414" i="3"/>
  <c r="J414" i="3"/>
  <c r="N414" i="3" s="1"/>
  <c r="M413" i="3"/>
  <c r="K413" i="3"/>
  <c r="J413" i="3"/>
  <c r="M412" i="3"/>
  <c r="K412" i="3"/>
  <c r="J412" i="3"/>
  <c r="N412" i="3" s="1"/>
  <c r="M411" i="3"/>
  <c r="L411" i="3"/>
  <c r="K411" i="3"/>
  <c r="J411" i="3"/>
  <c r="M410" i="3"/>
  <c r="K410" i="3"/>
  <c r="J410" i="3"/>
  <c r="M409" i="3"/>
  <c r="K409" i="3"/>
  <c r="J409" i="3"/>
  <c r="L409" i="3" s="1"/>
  <c r="M408" i="3"/>
  <c r="K408" i="3"/>
  <c r="L408" i="3" s="1"/>
  <c r="J408" i="3"/>
  <c r="N408" i="3" s="1"/>
  <c r="O281" i="7" s="1"/>
  <c r="Q281" i="7" s="1" a="1"/>
  <c r="Q281" i="7" s="1"/>
  <c r="R281" i="7" s="1"/>
  <c r="S281" i="7" s="1"/>
  <c r="M407" i="3"/>
  <c r="K407" i="3"/>
  <c r="J407" i="3"/>
  <c r="M406" i="3"/>
  <c r="K406" i="3"/>
  <c r="J406" i="3"/>
  <c r="M405" i="3"/>
  <c r="K405" i="3"/>
  <c r="J405" i="3"/>
  <c r="M404" i="3"/>
  <c r="L404" i="3"/>
  <c r="K404" i="3"/>
  <c r="J404" i="3"/>
  <c r="M403" i="3"/>
  <c r="L403" i="3"/>
  <c r="K403" i="3"/>
  <c r="J403" i="3"/>
  <c r="M402" i="3"/>
  <c r="K402" i="3"/>
  <c r="J402" i="3"/>
  <c r="M401" i="3"/>
  <c r="K401" i="3"/>
  <c r="J401" i="3"/>
  <c r="L401" i="3" s="1"/>
  <c r="M400" i="3"/>
  <c r="K400" i="3"/>
  <c r="J400" i="3"/>
  <c r="M399" i="3"/>
  <c r="K399" i="3"/>
  <c r="J399" i="3"/>
  <c r="M398" i="3"/>
  <c r="K398" i="3"/>
  <c r="J398" i="3"/>
  <c r="M397" i="3"/>
  <c r="K397" i="3"/>
  <c r="J397" i="3"/>
  <c r="M396" i="3"/>
  <c r="L396" i="3"/>
  <c r="K396" i="3"/>
  <c r="J396" i="3"/>
  <c r="M395" i="3"/>
  <c r="L395" i="3"/>
  <c r="K395" i="3"/>
  <c r="J395" i="3"/>
  <c r="N395" i="3" s="1"/>
  <c r="M394" i="3"/>
  <c r="K394" i="3"/>
  <c r="J394" i="3"/>
  <c r="M393" i="3"/>
  <c r="K393" i="3"/>
  <c r="J393" i="3"/>
  <c r="L393" i="3" s="1"/>
  <c r="M392" i="3"/>
  <c r="K392" i="3"/>
  <c r="J392" i="3"/>
  <c r="M391" i="3"/>
  <c r="K391" i="3"/>
  <c r="J391" i="3"/>
  <c r="N391" i="3" s="1"/>
  <c r="M390" i="3"/>
  <c r="K390" i="3"/>
  <c r="J390" i="3"/>
  <c r="M389" i="3"/>
  <c r="K389" i="3"/>
  <c r="J389" i="3"/>
  <c r="M388" i="3"/>
  <c r="L388" i="3"/>
  <c r="K388" i="3"/>
  <c r="J388" i="3"/>
  <c r="M387" i="3"/>
  <c r="L387" i="3"/>
  <c r="K387" i="3"/>
  <c r="J387" i="3"/>
  <c r="M386" i="3"/>
  <c r="K386" i="3"/>
  <c r="J386" i="3"/>
  <c r="M385" i="3"/>
  <c r="K385" i="3"/>
  <c r="J385" i="3"/>
  <c r="L385" i="3" s="1"/>
  <c r="M384" i="3"/>
  <c r="K384" i="3"/>
  <c r="J384" i="3"/>
  <c r="M383" i="3"/>
  <c r="K383" i="3"/>
  <c r="J383" i="3"/>
  <c r="M382" i="3"/>
  <c r="K382" i="3"/>
  <c r="J382" i="3"/>
  <c r="M381" i="3"/>
  <c r="K381" i="3"/>
  <c r="J381" i="3"/>
  <c r="M380" i="3"/>
  <c r="L380" i="3"/>
  <c r="K380" i="3"/>
  <c r="J380" i="3"/>
  <c r="M379" i="3"/>
  <c r="L379" i="3"/>
  <c r="K379" i="3"/>
  <c r="J379" i="3"/>
  <c r="M378" i="3"/>
  <c r="K378" i="3"/>
  <c r="J378" i="3"/>
  <c r="N378" i="3" s="1"/>
  <c r="M377" i="3"/>
  <c r="K377" i="3"/>
  <c r="J377" i="3"/>
  <c r="L377" i="3" s="1"/>
  <c r="M376" i="3"/>
  <c r="K376" i="3"/>
  <c r="J376" i="3"/>
  <c r="M375" i="3"/>
  <c r="K375" i="3"/>
  <c r="J375" i="3"/>
  <c r="M374" i="3"/>
  <c r="K374" i="3"/>
  <c r="J374" i="3"/>
  <c r="N374" i="3" s="1"/>
  <c r="M373" i="3"/>
  <c r="K373" i="3"/>
  <c r="J373" i="3"/>
  <c r="M372" i="3"/>
  <c r="L372" i="3"/>
  <c r="K372" i="3"/>
  <c r="J372" i="3"/>
  <c r="M371" i="3"/>
  <c r="K371" i="3"/>
  <c r="J371" i="3"/>
  <c r="L371" i="3" s="1"/>
  <c r="M370" i="3"/>
  <c r="K370" i="3"/>
  <c r="J370" i="3"/>
  <c r="M369" i="3"/>
  <c r="K369" i="3"/>
  <c r="J369" i="3"/>
  <c r="M368" i="3"/>
  <c r="K368" i="3"/>
  <c r="J368" i="3"/>
  <c r="M367" i="3"/>
  <c r="K367" i="3"/>
  <c r="L367" i="3" s="1"/>
  <c r="J367" i="3"/>
  <c r="N367" i="3" s="1"/>
  <c r="M366" i="3"/>
  <c r="K366" i="3"/>
  <c r="J366" i="3"/>
  <c r="N366" i="3" s="1"/>
  <c r="M365" i="3"/>
  <c r="K365" i="3"/>
  <c r="J365" i="3"/>
  <c r="M364" i="3"/>
  <c r="K364" i="3"/>
  <c r="J364" i="3"/>
  <c r="N364" i="3" s="1"/>
  <c r="M363" i="3"/>
  <c r="L363" i="3"/>
  <c r="K363" i="3"/>
  <c r="J363" i="3"/>
  <c r="M362" i="3"/>
  <c r="K362" i="3"/>
  <c r="J362" i="3"/>
  <c r="M361" i="3"/>
  <c r="K361" i="3"/>
  <c r="J361" i="3"/>
  <c r="L361" i="3" s="1"/>
  <c r="M360" i="3"/>
  <c r="K360" i="3"/>
  <c r="L360" i="3" s="1"/>
  <c r="J360" i="3"/>
  <c r="M359" i="3"/>
  <c r="K359" i="3"/>
  <c r="J359" i="3"/>
  <c r="M358" i="3"/>
  <c r="K358" i="3"/>
  <c r="J358" i="3"/>
  <c r="M357" i="3"/>
  <c r="K357" i="3"/>
  <c r="J357" i="3"/>
  <c r="M356" i="3"/>
  <c r="L356" i="3"/>
  <c r="K356" i="3"/>
  <c r="J356" i="3"/>
  <c r="M355" i="3"/>
  <c r="L355" i="3"/>
  <c r="K355" i="3"/>
  <c r="J355" i="3"/>
  <c r="M354" i="3"/>
  <c r="K354" i="3"/>
  <c r="J354" i="3"/>
  <c r="M353" i="3"/>
  <c r="K353" i="3"/>
  <c r="J353" i="3"/>
  <c r="M352" i="3"/>
  <c r="K352" i="3"/>
  <c r="J352" i="3"/>
  <c r="M351" i="3"/>
  <c r="K351" i="3"/>
  <c r="J351" i="3"/>
  <c r="M350" i="3"/>
  <c r="K350" i="3"/>
  <c r="J350" i="3"/>
  <c r="N350" i="3" s="1"/>
  <c r="M349" i="3"/>
  <c r="K349" i="3"/>
  <c r="J349" i="3"/>
  <c r="L349" i="3" s="1"/>
  <c r="M348" i="3"/>
  <c r="L348" i="3"/>
  <c r="K348" i="3"/>
  <c r="J348" i="3"/>
  <c r="M347" i="3"/>
  <c r="K347" i="3"/>
  <c r="J347" i="3"/>
  <c r="M346" i="3"/>
  <c r="K346" i="3"/>
  <c r="J346" i="3"/>
  <c r="M345" i="3"/>
  <c r="K345" i="3"/>
  <c r="J345" i="3"/>
  <c r="M344" i="3"/>
  <c r="K344" i="3"/>
  <c r="J344" i="3"/>
  <c r="M343" i="3"/>
  <c r="K343" i="3"/>
  <c r="J343" i="3"/>
  <c r="N343" i="3" s="1"/>
  <c r="M342" i="3"/>
  <c r="K342" i="3"/>
  <c r="J342" i="3"/>
  <c r="N342" i="3" s="1"/>
  <c r="M341" i="3"/>
  <c r="K341" i="3"/>
  <c r="J341" i="3"/>
  <c r="M340" i="3"/>
  <c r="L340" i="3"/>
  <c r="K340" i="3"/>
  <c r="J340" i="3"/>
  <c r="M339" i="3"/>
  <c r="L339" i="3"/>
  <c r="K339" i="3"/>
  <c r="J339" i="3"/>
  <c r="M338" i="3"/>
  <c r="K338" i="3"/>
  <c r="J338" i="3"/>
  <c r="M337" i="3"/>
  <c r="K337" i="3"/>
  <c r="J337" i="3"/>
  <c r="L337" i="3" s="1"/>
  <c r="M336" i="3"/>
  <c r="K336" i="3"/>
  <c r="J336" i="3"/>
  <c r="N336" i="3" s="1"/>
  <c r="M335" i="3"/>
  <c r="K335" i="3"/>
  <c r="J335" i="3"/>
  <c r="M334" i="3"/>
  <c r="K334" i="3"/>
  <c r="J334" i="3"/>
  <c r="M333" i="3"/>
  <c r="K333" i="3"/>
  <c r="J333" i="3"/>
  <c r="L333" i="3" s="1"/>
  <c r="M332" i="3"/>
  <c r="L332" i="3"/>
  <c r="K332" i="3"/>
  <c r="J332" i="3"/>
  <c r="M331" i="3"/>
  <c r="L331" i="3"/>
  <c r="K331" i="3"/>
  <c r="J331" i="3"/>
  <c r="M330" i="3"/>
  <c r="K330" i="3"/>
  <c r="J330" i="3"/>
  <c r="N330" i="3" s="1"/>
  <c r="M329" i="3"/>
  <c r="K329" i="3"/>
  <c r="J329" i="3"/>
  <c r="L329" i="3" s="1"/>
  <c r="M328" i="3"/>
  <c r="K328" i="3"/>
  <c r="J328" i="3"/>
  <c r="M327" i="3"/>
  <c r="K327" i="3"/>
  <c r="J327" i="3"/>
  <c r="M326" i="3"/>
  <c r="K326" i="3"/>
  <c r="J326" i="3"/>
  <c r="N326" i="3" s="1"/>
  <c r="M325" i="3"/>
  <c r="K325" i="3"/>
  <c r="J325" i="3"/>
  <c r="L325" i="3" s="1"/>
  <c r="M324" i="3"/>
  <c r="L324" i="3"/>
  <c r="K324" i="3"/>
  <c r="J324" i="3"/>
  <c r="M323" i="3"/>
  <c r="L323" i="3"/>
  <c r="K323" i="3"/>
  <c r="J323" i="3"/>
  <c r="N323" i="3" s="1"/>
  <c r="M322" i="3"/>
  <c r="K322" i="3"/>
  <c r="J322" i="3"/>
  <c r="M321" i="3"/>
  <c r="K321" i="3"/>
  <c r="J321" i="3"/>
  <c r="L321" i="3" s="1"/>
  <c r="M320" i="3"/>
  <c r="K320" i="3"/>
  <c r="J320" i="3"/>
  <c r="M319" i="3"/>
  <c r="K319" i="3"/>
  <c r="J319" i="3"/>
  <c r="N319" i="3" s="1"/>
  <c r="M318" i="3"/>
  <c r="K318" i="3"/>
  <c r="J318" i="3"/>
  <c r="N318" i="3" s="1"/>
  <c r="M317" i="3"/>
  <c r="K317" i="3"/>
  <c r="J317" i="3"/>
  <c r="M316" i="3"/>
  <c r="L316" i="3"/>
  <c r="K316" i="3"/>
  <c r="J316" i="3"/>
  <c r="N316" i="3" s="1"/>
  <c r="M315" i="3"/>
  <c r="L315" i="3"/>
  <c r="K315" i="3"/>
  <c r="J315" i="3"/>
  <c r="M314" i="3"/>
  <c r="K314" i="3"/>
  <c r="J314" i="3"/>
  <c r="N314" i="3" s="1"/>
  <c r="M313" i="3"/>
  <c r="K313" i="3"/>
  <c r="J313" i="3"/>
  <c r="L313" i="3" s="1"/>
  <c r="M312" i="3"/>
  <c r="K312" i="3"/>
  <c r="J312" i="3"/>
  <c r="N312" i="3" s="1"/>
  <c r="M311" i="3"/>
  <c r="K311" i="3"/>
  <c r="J311" i="3"/>
  <c r="M310" i="3"/>
  <c r="K310" i="3"/>
  <c r="J310" i="3"/>
  <c r="M309" i="3"/>
  <c r="K309" i="3"/>
  <c r="J309" i="3"/>
  <c r="L309" i="3" s="1"/>
  <c r="M308" i="3"/>
  <c r="L308" i="3"/>
  <c r="K308" i="3"/>
  <c r="J308" i="3"/>
  <c r="M307" i="3"/>
  <c r="K307" i="3"/>
  <c r="L307" i="3" s="1"/>
  <c r="J307" i="3"/>
  <c r="M306" i="3"/>
  <c r="K306" i="3"/>
  <c r="J306" i="3"/>
  <c r="N306" i="3" s="1"/>
  <c r="M305" i="3"/>
  <c r="K305" i="3"/>
  <c r="J305" i="3"/>
  <c r="M304" i="3"/>
  <c r="K304" i="3"/>
  <c r="J304" i="3"/>
  <c r="M303" i="3"/>
  <c r="K303" i="3"/>
  <c r="J303" i="3"/>
  <c r="M302" i="3"/>
  <c r="K302" i="3"/>
  <c r="J302" i="3"/>
  <c r="M301" i="3"/>
  <c r="K301" i="3"/>
  <c r="J301" i="3"/>
  <c r="L301" i="3" s="1"/>
  <c r="M300" i="3"/>
  <c r="K300" i="3"/>
  <c r="L300" i="3" s="1"/>
  <c r="J300" i="3"/>
  <c r="M299" i="3"/>
  <c r="K299" i="3"/>
  <c r="J299" i="3"/>
  <c r="M298" i="3"/>
  <c r="K298" i="3"/>
  <c r="J298" i="3"/>
  <c r="M297" i="3"/>
  <c r="K297" i="3"/>
  <c r="J297" i="3"/>
  <c r="M296" i="3"/>
  <c r="K296" i="3"/>
  <c r="J296" i="3"/>
  <c r="M295" i="3"/>
  <c r="K295" i="3"/>
  <c r="L295" i="3" s="1"/>
  <c r="J295" i="3"/>
  <c r="M294" i="3"/>
  <c r="K294" i="3"/>
  <c r="J294" i="3"/>
  <c r="M293" i="3"/>
  <c r="K293" i="3"/>
  <c r="J293" i="3"/>
  <c r="M292" i="3"/>
  <c r="K292" i="3"/>
  <c r="J292" i="3"/>
  <c r="N292" i="3" s="1"/>
  <c r="O299" i="7" s="1"/>
  <c r="Q299" i="7" s="1" a="1"/>
  <c r="Q299" i="7" s="1"/>
  <c r="R299" i="7" s="1"/>
  <c r="S299" i="7" s="1"/>
  <c r="M291" i="3"/>
  <c r="L291" i="3"/>
  <c r="K291" i="3"/>
  <c r="J291" i="3"/>
  <c r="M290" i="3"/>
  <c r="K290" i="3"/>
  <c r="J290" i="3"/>
  <c r="M289" i="3"/>
  <c r="K289" i="3"/>
  <c r="J289" i="3"/>
  <c r="L289" i="3" s="1"/>
  <c r="M288" i="3"/>
  <c r="K288" i="3"/>
  <c r="L288" i="3" s="1"/>
  <c r="J288" i="3"/>
  <c r="M287" i="3"/>
  <c r="K287" i="3"/>
  <c r="J287" i="3"/>
  <c r="M286" i="3"/>
  <c r="K286" i="3"/>
  <c r="J286" i="3"/>
  <c r="M285" i="3"/>
  <c r="K285" i="3"/>
  <c r="J285" i="3"/>
  <c r="L285" i="3" s="1"/>
  <c r="M284" i="3"/>
  <c r="L284" i="3"/>
  <c r="K284" i="3"/>
  <c r="J284" i="3"/>
  <c r="M283" i="3"/>
  <c r="K283" i="3"/>
  <c r="L283" i="3" s="1"/>
  <c r="J283" i="3"/>
  <c r="M282" i="3"/>
  <c r="K282" i="3"/>
  <c r="J282" i="3"/>
  <c r="N282" i="3" s="1"/>
  <c r="M281" i="3"/>
  <c r="K281" i="3"/>
  <c r="J281" i="3"/>
  <c r="L281" i="3" s="1"/>
  <c r="M280" i="3"/>
  <c r="K280" i="3"/>
  <c r="J280" i="3"/>
  <c r="M279" i="3"/>
  <c r="K279" i="3"/>
  <c r="J279" i="3"/>
  <c r="M278" i="3"/>
  <c r="K278" i="3"/>
  <c r="J278" i="3"/>
  <c r="N278" i="3" s="1"/>
  <c r="M277" i="3"/>
  <c r="K277" i="3"/>
  <c r="J277" i="3"/>
  <c r="L277" i="3" s="1"/>
  <c r="M276" i="3"/>
  <c r="K276" i="3"/>
  <c r="L276" i="3" s="1"/>
  <c r="J276" i="3"/>
  <c r="M275" i="3"/>
  <c r="K275" i="3"/>
  <c r="J275" i="3"/>
  <c r="M274" i="3"/>
  <c r="K274" i="3"/>
  <c r="J274" i="3"/>
  <c r="N274" i="3" s="1"/>
  <c r="M273" i="3"/>
  <c r="K273" i="3"/>
  <c r="J273" i="3"/>
  <c r="L273" i="3" s="1"/>
  <c r="M272" i="3"/>
  <c r="L272" i="3"/>
  <c r="K272" i="3"/>
  <c r="J272" i="3"/>
  <c r="M271" i="3"/>
  <c r="L271" i="3"/>
  <c r="K271" i="3"/>
  <c r="J271" i="3"/>
  <c r="M270" i="3"/>
  <c r="K270" i="3"/>
  <c r="J270" i="3"/>
  <c r="M269" i="3"/>
  <c r="K269" i="3"/>
  <c r="J269" i="3"/>
  <c r="M268" i="3"/>
  <c r="K268" i="3"/>
  <c r="J268" i="3"/>
  <c r="M267" i="3"/>
  <c r="K267" i="3"/>
  <c r="J267" i="3"/>
  <c r="M266" i="3"/>
  <c r="K266" i="3"/>
  <c r="J266" i="3"/>
  <c r="N266" i="3" s="1"/>
  <c r="M265" i="3"/>
  <c r="K265" i="3"/>
  <c r="J265" i="3"/>
  <c r="M264" i="3"/>
  <c r="L264" i="3"/>
  <c r="K264" i="3"/>
  <c r="J264" i="3"/>
  <c r="N264" i="3" s="1"/>
  <c r="M263" i="3"/>
  <c r="L263" i="3"/>
  <c r="K263" i="3"/>
  <c r="J263" i="3"/>
  <c r="M262" i="3"/>
  <c r="K262" i="3"/>
  <c r="J262" i="3"/>
  <c r="M261" i="3"/>
  <c r="K261" i="3"/>
  <c r="J261" i="3"/>
  <c r="L261" i="3" s="1"/>
  <c r="M260" i="3"/>
  <c r="L260" i="3"/>
  <c r="K260" i="3"/>
  <c r="J260" i="3"/>
  <c r="M259" i="3"/>
  <c r="K259" i="3"/>
  <c r="J259" i="3"/>
  <c r="M258" i="3"/>
  <c r="K258" i="3"/>
  <c r="J258" i="3"/>
  <c r="M257" i="3"/>
  <c r="K257" i="3"/>
  <c r="J257" i="3"/>
  <c r="M256" i="3"/>
  <c r="L256" i="3"/>
  <c r="K256" i="3"/>
  <c r="J256" i="3"/>
  <c r="M255" i="3"/>
  <c r="L255" i="3"/>
  <c r="K255" i="3"/>
  <c r="J255" i="3"/>
  <c r="M254" i="3"/>
  <c r="K254" i="3"/>
  <c r="J254" i="3"/>
  <c r="N254" i="3" s="1"/>
  <c r="M253" i="3"/>
  <c r="K253" i="3"/>
  <c r="J253" i="3"/>
  <c r="M252" i="3"/>
  <c r="K252" i="3"/>
  <c r="J252" i="3"/>
  <c r="M251" i="3"/>
  <c r="K251" i="3"/>
  <c r="J251" i="3"/>
  <c r="M250" i="3"/>
  <c r="K250" i="3"/>
  <c r="J250" i="3"/>
  <c r="M249" i="3"/>
  <c r="K249" i="3"/>
  <c r="J249" i="3"/>
  <c r="L249" i="3" s="1"/>
  <c r="M248" i="3"/>
  <c r="K248" i="3"/>
  <c r="L248" i="3" s="1"/>
  <c r="J248" i="3"/>
  <c r="M247" i="3"/>
  <c r="L247" i="3"/>
  <c r="K247" i="3"/>
  <c r="J247" i="3"/>
  <c r="N247" i="3" s="1"/>
  <c r="O296" i="7" s="1"/>
  <c r="Q296" i="7" s="1" a="1"/>
  <c r="Q296" i="7" s="1"/>
  <c r="R296" i="7" s="1"/>
  <c r="S296" i="7" s="1"/>
  <c r="M246" i="3"/>
  <c r="K246" i="3"/>
  <c r="J246" i="3"/>
  <c r="M245" i="3"/>
  <c r="K245" i="3"/>
  <c r="J245" i="3"/>
  <c r="L245" i="3" s="1"/>
  <c r="M244" i="3"/>
  <c r="K244" i="3"/>
  <c r="J244" i="3"/>
  <c r="M243" i="3"/>
  <c r="K243" i="3"/>
  <c r="J243" i="3"/>
  <c r="N243" i="3" s="1"/>
  <c r="M242" i="3"/>
  <c r="K242" i="3"/>
  <c r="J242" i="3"/>
  <c r="N242" i="3" s="1"/>
  <c r="M241" i="3"/>
  <c r="K241" i="3"/>
  <c r="J241" i="3"/>
  <c r="M240" i="3"/>
  <c r="L240" i="3"/>
  <c r="K240" i="3"/>
  <c r="J240" i="3"/>
  <c r="M239" i="3"/>
  <c r="L239" i="3"/>
  <c r="K239" i="3"/>
  <c r="J239" i="3"/>
  <c r="M238" i="3"/>
  <c r="K238" i="3"/>
  <c r="J238" i="3"/>
  <c r="N238" i="3" s="1"/>
  <c r="M237" i="3"/>
  <c r="K237" i="3"/>
  <c r="J237" i="3"/>
  <c r="L237" i="3" s="1"/>
  <c r="M236" i="3"/>
  <c r="K236" i="3"/>
  <c r="J236" i="3"/>
  <c r="N236" i="3" s="1"/>
  <c r="M235" i="3"/>
  <c r="K235" i="3"/>
  <c r="J235" i="3"/>
  <c r="M234" i="3"/>
  <c r="K234" i="3"/>
  <c r="J234" i="3"/>
  <c r="M233" i="3"/>
  <c r="K233" i="3"/>
  <c r="J233" i="3"/>
  <c r="M232" i="3"/>
  <c r="L232" i="3"/>
  <c r="K232" i="3"/>
  <c r="J232" i="3"/>
  <c r="M231" i="3"/>
  <c r="K231" i="3"/>
  <c r="L231" i="3" s="1"/>
  <c r="J231" i="3"/>
  <c r="M230" i="3"/>
  <c r="K230" i="3"/>
  <c r="J230" i="3"/>
  <c r="N230" i="3" s="1"/>
  <c r="M229" i="3"/>
  <c r="K229" i="3"/>
  <c r="J229" i="3"/>
  <c r="L229" i="3" s="1"/>
  <c r="M228" i="3"/>
  <c r="K228" i="3"/>
  <c r="J228" i="3"/>
  <c r="M227" i="3"/>
  <c r="K227" i="3"/>
  <c r="J227" i="3"/>
  <c r="M226" i="3"/>
  <c r="K226" i="3"/>
  <c r="J226" i="3"/>
  <c r="N226" i="3" s="1"/>
  <c r="M225" i="3"/>
  <c r="K225" i="3"/>
  <c r="J225" i="3"/>
  <c r="L225" i="3" s="1"/>
  <c r="M224" i="3"/>
  <c r="K224" i="3"/>
  <c r="L224" i="3" s="1"/>
  <c r="J224" i="3"/>
  <c r="M223" i="3"/>
  <c r="K223" i="3"/>
  <c r="J223" i="3"/>
  <c r="M222" i="3"/>
  <c r="K222" i="3"/>
  <c r="J222" i="3"/>
  <c r="N222" i="3" s="1"/>
  <c r="O236" i="7" s="1"/>
  <c r="Q236" i="7" s="1" a="1"/>
  <c r="Q236" i="7" s="1"/>
  <c r="R236" i="7" s="1"/>
  <c r="S236" i="7" s="1"/>
  <c r="M221" i="3"/>
  <c r="K221" i="3"/>
  <c r="J221" i="3"/>
  <c r="L221" i="3" s="1"/>
  <c r="M220" i="3"/>
  <c r="L220" i="3"/>
  <c r="K220" i="3"/>
  <c r="J220" i="3"/>
  <c r="M219" i="3"/>
  <c r="K219" i="3"/>
  <c r="J219" i="3"/>
  <c r="N219" i="3" s="1"/>
  <c r="M218" i="3"/>
  <c r="K218" i="3"/>
  <c r="J218" i="3"/>
  <c r="M217" i="3"/>
  <c r="K217" i="3"/>
  <c r="J217" i="3"/>
  <c r="M216" i="3"/>
  <c r="K216" i="3"/>
  <c r="J216" i="3"/>
  <c r="M215" i="3"/>
  <c r="K215" i="3"/>
  <c r="L215" i="3" s="1"/>
  <c r="J215" i="3"/>
  <c r="M214" i="3"/>
  <c r="K214" i="3"/>
  <c r="J214" i="3"/>
  <c r="N214" i="3" s="1"/>
  <c r="M213" i="3"/>
  <c r="K213" i="3"/>
  <c r="J213" i="3"/>
  <c r="M212" i="3"/>
  <c r="K212" i="3"/>
  <c r="J212" i="3"/>
  <c r="N212" i="3" s="1"/>
  <c r="M211" i="3"/>
  <c r="K211" i="3"/>
  <c r="J211" i="3"/>
  <c r="M210" i="3"/>
  <c r="K210" i="3"/>
  <c r="J210" i="3"/>
  <c r="M209" i="3"/>
  <c r="K209" i="3"/>
  <c r="J209" i="3"/>
  <c r="M208" i="3"/>
  <c r="K208" i="3"/>
  <c r="J208" i="3"/>
  <c r="N208" i="3" s="1"/>
  <c r="M207" i="3"/>
  <c r="K207" i="3"/>
  <c r="J207" i="3"/>
  <c r="M206" i="3"/>
  <c r="K206" i="3"/>
  <c r="J206" i="3"/>
  <c r="M205" i="3"/>
  <c r="K205" i="3"/>
  <c r="J205" i="3"/>
  <c r="M204" i="3"/>
  <c r="K204" i="3"/>
  <c r="L204" i="3" s="1"/>
  <c r="J204" i="3"/>
  <c r="M203" i="3"/>
  <c r="L203" i="3"/>
  <c r="K203" i="3"/>
  <c r="J203" i="3"/>
  <c r="N203" i="3" s="1"/>
  <c r="M202" i="3"/>
  <c r="K202" i="3"/>
  <c r="J202" i="3"/>
  <c r="N202" i="3" s="1"/>
  <c r="M201" i="3"/>
  <c r="K201" i="3"/>
  <c r="J201" i="3"/>
  <c r="L201" i="3" s="1"/>
  <c r="M200" i="3"/>
  <c r="K200" i="3"/>
  <c r="J200" i="3"/>
  <c r="M199" i="3"/>
  <c r="L199" i="3"/>
  <c r="K199" i="3"/>
  <c r="J199" i="3"/>
  <c r="M198" i="3"/>
  <c r="K198" i="3"/>
  <c r="J198" i="3"/>
  <c r="M197" i="3"/>
  <c r="K197" i="3"/>
  <c r="J197" i="3"/>
  <c r="L197" i="3" s="1"/>
  <c r="M196" i="3"/>
  <c r="K196" i="3"/>
  <c r="J196" i="3"/>
  <c r="N196" i="3" s="1"/>
  <c r="M195" i="3"/>
  <c r="L195" i="3"/>
  <c r="K195" i="3"/>
  <c r="J195" i="3"/>
  <c r="M194" i="3"/>
  <c r="K194" i="3"/>
  <c r="J194" i="3"/>
  <c r="M193" i="3"/>
  <c r="K193" i="3"/>
  <c r="J193" i="3"/>
  <c r="M192" i="3"/>
  <c r="K192" i="3"/>
  <c r="L192" i="3" s="1"/>
  <c r="J192" i="3"/>
  <c r="N192" i="3" s="1"/>
  <c r="M191" i="3"/>
  <c r="K191" i="3"/>
  <c r="J191" i="3"/>
  <c r="M190" i="3"/>
  <c r="K190" i="3"/>
  <c r="J190" i="3"/>
  <c r="M189" i="3"/>
  <c r="K189" i="3"/>
  <c r="J189" i="3"/>
  <c r="M188" i="3"/>
  <c r="K188" i="3"/>
  <c r="L188" i="3" s="1"/>
  <c r="J188" i="3"/>
  <c r="M187" i="3"/>
  <c r="K187" i="3"/>
  <c r="J187" i="3"/>
  <c r="M186" i="3"/>
  <c r="K186" i="3"/>
  <c r="J186" i="3"/>
  <c r="M185" i="3"/>
  <c r="K185" i="3"/>
  <c r="J185" i="3"/>
  <c r="L185" i="3" s="1"/>
  <c r="M184" i="3"/>
  <c r="K184" i="3"/>
  <c r="L184" i="3" s="1"/>
  <c r="J184" i="3"/>
  <c r="M183" i="3"/>
  <c r="K183" i="3"/>
  <c r="J183" i="3"/>
  <c r="N183" i="3" s="1"/>
  <c r="M182" i="3"/>
  <c r="K182" i="3"/>
  <c r="J182" i="3"/>
  <c r="M181" i="3"/>
  <c r="K181" i="3"/>
  <c r="J181" i="3"/>
  <c r="L181" i="3" s="1"/>
  <c r="M180" i="3"/>
  <c r="K180" i="3"/>
  <c r="L180" i="3" s="1"/>
  <c r="J180" i="3"/>
  <c r="M179" i="3"/>
  <c r="L179" i="3"/>
  <c r="K179" i="3"/>
  <c r="J179" i="3"/>
  <c r="N179" i="3" s="1"/>
  <c r="M178" i="3"/>
  <c r="K178" i="3"/>
  <c r="J178" i="3"/>
  <c r="M177" i="3"/>
  <c r="K177" i="3"/>
  <c r="J177" i="3"/>
  <c r="L177" i="3" s="1"/>
  <c r="M176" i="3"/>
  <c r="K176" i="3"/>
  <c r="J176" i="3"/>
  <c r="N176" i="3" s="1"/>
  <c r="M175" i="3"/>
  <c r="L175" i="3"/>
  <c r="K175" i="3"/>
  <c r="J175" i="3"/>
  <c r="M174" i="3"/>
  <c r="K174" i="3"/>
  <c r="J174" i="3"/>
  <c r="M173" i="3"/>
  <c r="N173" i="3" s="1"/>
  <c r="K173" i="3"/>
  <c r="J173" i="3"/>
  <c r="M172" i="3"/>
  <c r="K172" i="3"/>
  <c r="L172" i="3" s="1"/>
  <c r="J172" i="3"/>
  <c r="M171" i="3"/>
  <c r="L171" i="3"/>
  <c r="K171" i="3"/>
  <c r="J171" i="3"/>
  <c r="O142" i="7" s="1"/>
  <c r="Q142" i="7" s="1" a="1"/>
  <c r="Q142" i="7" s="1"/>
  <c r="R142" i="7" s="1"/>
  <c r="S142" i="7" s="1"/>
  <c r="M170" i="3"/>
  <c r="N170" i="3" s="1"/>
  <c r="O223" i="7" s="1"/>
  <c r="Q223" i="7" s="1" a="1"/>
  <c r="Q223" i="7" s="1"/>
  <c r="R223" i="7" s="1"/>
  <c r="S223" i="7" s="1"/>
  <c r="K170" i="3"/>
  <c r="J170" i="3"/>
  <c r="M169" i="3"/>
  <c r="K169" i="3"/>
  <c r="J169" i="3"/>
  <c r="N169" i="3" s="1"/>
  <c r="M168" i="3"/>
  <c r="K168" i="3"/>
  <c r="L168" i="3" s="1"/>
  <c r="J168" i="3"/>
  <c r="M167" i="3"/>
  <c r="K167" i="3"/>
  <c r="J167" i="3"/>
  <c r="L167" i="3" s="1"/>
  <c r="M166" i="3"/>
  <c r="K166" i="3"/>
  <c r="J166" i="3"/>
  <c r="M165" i="3"/>
  <c r="L165" i="3"/>
  <c r="K165" i="3"/>
  <c r="J165" i="3"/>
  <c r="M164" i="3"/>
  <c r="K164" i="3"/>
  <c r="J164" i="3"/>
  <c r="N164" i="3" s="1"/>
  <c r="O230" i="7" s="1"/>
  <c r="Q230" i="7" s="1" a="1"/>
  <c r="Q230" i="7" s="1"/>
  <c r="R230" i="7" s="1"/>
  <c r="S230" i="7" s="1"/>
  <c r="M163" i="3"/>
  <c r="K163" i="3"/>
  <c r="J163" i="3"/>
  <c r="M162" i="3"/>
  <c r="K162" i="3"/>
  <c r="J162" i="3"/>
  <c r="N162" i="3" s="1"/>
  <c r="O267" i="7" s="1"/>
  <c r="Q267" i="7" s="1" a="1"/>
  <c r="Q267" i="7" s="1"/>
  <c r="R267" i="7" s="1"/>
  <c r="S267" i="7" s="1"/>
  <c r="M161" i="3"/>
  <c r="L161" i="3"/>
  <c r="K161" i="3"/>
  <c r="J161" i="3"/>
  <c r="M160" i="3"/>
  <c r="K160" i="3"/>
  <c r="J160" i="3"/>
  <c r="N160" i="3" s="1"/>
  <c r="M159" i="3"/>
  <c r="K159" i="3"/>
  <c r="J159" i="3"/>
  <c r="L159" i="3" s="1"/>
  <c r="M158" i="3"/>
  <c r="K158" i="3"/>
  <c r="J158" i="3"/>
  <c r="N158" i="3" s="1"/>
  <c r="M157" i="3"/>
  <c r="K157" i="3"/>
  <c r="J157" i="3"/>
  <c r="M156" i="3"/>
  <c r="K156" i="3"/>
  <c r="J156" i="3"/>
  <c r="M155" i="3"/>
  <c r="K155" i="3"/>
  <c r="J155" i="3"/>
  <c r="M154" i="3"/>
  <c r="K154" i="3"/>
  <c r="J154" i="3"/>
  <c r="N154" i="3" s="1"/>
  <c r="O234" i="7" s="1"/>
  <c r="Q234" i="7" s="1" a="1"/>
  <c r="Q234" i="7" s="1"/>
  <c r="R234" i="7" s="1"/>
  <c r="S234" i="7" s="1"/>
  <c r="M153" i="3"/>
  <c r="K153" i="3"/>
  <c r="J153" i="3"/>
  <c r="M152" i="3"/>
  <c r="K152" i="3"/>
  <c r="J152" i="3"/>
  <c r="M151" i="3"/>
  <c r="K151" i="3"/>
  <c r="J151" i="3"/>
  <c r="M150" i="3"/>
  <c r="K150" i="3"/>
  <c r="L150" i="3" s="1"/>
  <c r="J150" i="3"/>
  <c r="M149" i="3"/>
  <c r="L149" i="3"/>
  <c r="K149" i="3"/>
  <c r="J149" i="3"/>
  <c r="N149" i="3" s="1"/>
  <c r="O221" i="7" s="1"/>
  <c r="Q221" i="7" s="1" a="1"/>
  <c r="Q221" i="7" s="1"/>
  <c r="R221" i="7" s="1"/>
  <c r="S221" i="7" s="1"/>
  <c r="M148" i="3"/>
  <c r="K148" i="3"/>
  <c r="J148" i="3"/>
  <c r="N148" i="3" s="1"/>
  <c r="M147" i="3"/>
  <c r="K147" i="3"/>
  <c r="J147" i="3"/>
  <c r="M146" i="3"/>
  <c r="K146" i="3"/>
  <c r="J146" i="3"/>
  <c r="M145" i="3"/>
  <c r="K145" i="3"/>
  <c r="L145" i="3" s="1"/>
  <c r="J145" i="3"/>
  <c r="M144" i="3"/>
  <c r="K144" i="3"/>
  <c r="J144" i="3"/>
  <c r="N144" i="3" s="1"/>
  <c r="M143" i="3"/>
  <c r="K143" i="3"/>
  <c r="J143" i="3"/>
  <c r="L143" i="3" s="1"/>
  <c r="M142" i="3"/>
  <c r="K142" i="3"/>
  <c r="J142" i="3"/>
  <c r="N142" i="3" s="1"/>
  <c r="M141" i="3"/>
  <c r="L141" i="3"/>
  <c r="K141" i="3"/>
  <c r="J141" i="3"/>
  <c r="M140" i="3"/>
  <c r="K140" i="3"/>
  <c r="J140" i="3"/>
  <c r="M139" i="3"/>
  <c r="K139" i="3"/>
  <c r="J139" i="3"/>
  <c r="M138" i="3"/>
  <c r="K138" i="3"/>
  <c r="L138" i="3" s="1"/>
  <c r="J138" i="3"/>
  <c r="N138" i="3" s="1"/>
  <c r="M137" i="3"/>
  <c r="K137" i="3"/>
  <c r="J137" i="3"/>
  <c r="M136" i="3"/>
  <c r="K136" i="3"/>
  <c r="J136" i="3"/>
  <c r="M135" i="3"/>
  <c r="K135" i="3"/>
  <c r="J135" i="3"/>
  <c r="L135" i="3" s="1"/>
  <c r="M134" i="3"/>
  <c r="K134" i="3"/>
  <c r="L134" i="3" s="1"/>
  <c r="J134" i="3"/>
  <c r="M133" i="3"/>
  <c r="K133" i="3"/>
  <c r="J133" i="3"/>
  <c r="M132" i="3"/>
  <c r="K132" i="3"/>
  <c r="J132" i="3"/>
  <c r="M131" i="3"/>
  <c r="K131" i="3"/>
  <c r="J131" i="3"/>
  <c r="L131" i="3" s="1"/>
  <c r="M130" i="3"/>
  <c r="K130" i="3"/>
  <c r="J130" i="3"/>
  <c r="M129" i="3"/>
  <c r="K129" i="3"/>
  <c r="J129" i="3"/>
  <c r="N129" i="3" s="1"/>
  <c r="M128" i="3"/>
  <c r="K128" i="3"/>
  <c r="J128" i="3"/>
  <c r="M127" i="3"/>
  <c r="K127" i="3"/>
  <c r="J127" i="3"/>
  <c r="M126" i="3"/>
  <c r="K126" i="3"/>
  <c r="J126" i="3"/>
  <c r="M125" i="3"/>
  <c r="K125" i="3"/>
  <c r="J125" i="3"/>
  <c r="N125" i="3" s="1"/>
  <c r="O27" i="7" s="1"/>
  <c r="Q27" i="7" s="1" a="1"/>
  <c r="Q27" i="7" s="1"/>
  <c r="R27" i="7" s="1"/>
  <c r="S27" i="7" s="1"/>
  <c r="M124" i="3"/>
  <c r="K124" i="3"/>
  <c r="J124" i="3"/>
  <c r="N124" i="3" s="1"/>
  <c r="M123" i="3"/>
  <c r="K123" i="3"/>
  <c r="J123" i="3"/>
  <c r="M122" i="3"/>
  <c r="K122" i="3"/>
  <c r="J122" i="3"/>
  <c r="M121" i="3"/>
  <c r="K121" i="3"/>
  <c r="L121" i="3" s="1"/>
  <c r="J121" i="3"/>
  <c r="M120" i="3"/>
  <c r="K120" i="3"/>
  <c r="J120" i="3"/>
  <c r="N120" i="3" s="1"/>
  <c r="M119" i="3"/>
  <c r="K119" i="3"/>
  <c r="J119" i="3"/>
  <c r="M118" i="3"/>
  <c r="K118" i="3"/>
  <c r="J118" i="3"/>
  <c r="L118" i="3" s="1"/>
  <c r="M117" i="3"/>
  <c r="L117" i="3"/>
  <c r="K117" i="3"/>
  <c r="J117" i="3"/>
  <c r="M116" i="3"/>
  <c r="L116" i="3"/>
  <c r="K116" i="3"/>
  <c r="J116" i="3"/>
  <c r="M115" i="3"/>
  <c r="K115" i="3"/>
  <c r="J115" i="3"/>
  <c r="L115" i="3" s="1"/>
  <c r="M114" i="3"/>
  <c r="K114" i="3"/>
  <c r="J114" i="3"/>
  <c r="M113" i="3"/>
  <c r="K113" i="3"/>
  <c r="J113" i="3"/>
  <c r="N113" i="3" s="1"/>
  <c r="M112" i="3"/>
  <c r="K112" i="3"/>
  <c r="J112" i="3"/>
  <c r="M111" i="3"/>
  <c r="K111" i="3"/>
  <c r="J111" i="3"/>
  <c r="L111" i="3" s="1"/>
  <c r="M110" i="3"/>
  <c r="K110" i="3"/>
  <c r="J110" i="3"/>
  <c r="L110" i="3" s="1"/>
  <c r="M109" i="3"/>
  <c r="L109" i="3"/>
  <c r="K109" i="3"/>
  <c r="J109" i="3"/>
  <c r="M108" i="3"/>
  <c r="K108" i="3"/>
  <c r="J108" i="3"/>
  <c r="N108" i="3" s="1"/>
  <c r="M107" i="3"/>
  <c r="K107" i="3"/>
  <c r="J107" i="3"/>
  <c r="M106" i="3"/>
  <c r="K106" i="3"/>
  <c r="J106" i="3"/>
  <c r="M105" i="3"/>
  <c r="K105" i="3"/>
  <c r="J105" i="3"/>
  <c r="M104" i="3"/>
  <c r="K104" i="3"/>
  <c r="J104" i="3"/>
  <c r="N104" i="3" s="1"/>
  <c r="M103" i="3"/>
  <c r="K103" i="3"/>
  <c r="J103" i="3"/>
  <c r="M102" i="3"/>
  <c r="K102" i="3"/>
  <c r="J102" i="3"/>
  <c r="M101" i="3"/>
  <c r="K101" i="3"/>
  <c r="J101" i="3"/>
  <c r="N101" i="3" s="1"/>
  <c r="M100" i="3"/>
  <c r="L100" i="3"/>
  <c r="K100" i="3"/>
  <c r="J100" i="3"/>
  <c r="M99" i="3"/>
  <c r="K99" i="3"/>
  <c r="J99" i="3"/>
  <c r="L99" i="3" s="1"/>
  <c r="M98" i="3"/>
  <c r="K98" i="3"/>
  <c r="J98" i="3"/>
  <c r="L98" i="3" s="1"/>
  <c r="M97" i="3"/>
  <c r="K97" i="3"/>
  <c r="J97" i="3"/>
  <c r="N97" i="3" s="1"/>
  <c r="M96" i="3"/>
  <c r="L96" i="3"/>
  <c r="K96" i="3"/>
  <c r="J96" i="3"/>
  <c r="N96" i="3" s="1"/>
  <c r="M95" i="3"/>
  <c r="K95" i="3"/>
  <c r="J95" i="3"/>
  <c r="M94" i="3"/>
  <c r="K94" i="3"/>
  <c r="J94" i="3"/>
  <c r="L94" i="3" s="1"/>
  <c r="M93" i="3"/>
  <c r="L93" i="3"/>
  <c r="K93" i="3"/>
  <c r="J93" i="3"/>
  <c r="M92" i="3"/>
  <c r="K92" i="3"/>
  <c r="L92" i="3" s="1"/>
  <c r="J92" i="3"/>
  <c r="M91" i="3"/>
  <c r="K91" i="3"/>
  <c r="J91" i="3"/>
  <c r="L91" i="3" s="1"/>
  <c r="M90" i="3"/>
  <c r="K90" i="3"/>
  <c r="J90" i="3"/>
  <c r="L90" i="3" s="1"/>
  <c r="M89" i="3"/>
  <c r="L89" i="3"/>
  <c r="K89" i="3"/>
  <c r="J89" i="3"/>
  <c r="N89" i="3" s="1"/>
  <c r="O12" i="7" s="1"/>
  <c r="Q12" i="7" s="1" a="1"/>
  <c r="Q12" i="7" s="1"/>
  <c r="R12" i="7" s="1"/>
  <c r="S12" i="7" s="1"/>
  <c r="M88" i="3"/>
  <c r="K88" i="3"/>
  <c r="J88" i="3"/>
  <c r="M87" i="3"/>
  <c r="K87" i="3"/>
  <c r="J87" i="3"/>
  <c r="L87" i="3" s="1"/>
  <c r="M86" i="3"/>
  <c r="K86" i="3"/>
  <c r="J86" i="3"/>
  <c r="L86" i="3" s="1"/>
  <c r="M85" i="3"/>
  <c r="K85" i="3"/>
  <c r="L85" i="3" s="1"/>
  <c r="J85" i="3"/>
  <c r="M84" i="3"/>
  <c r="L84" i="3"/>
  <c r="K84" i="3"/>
  <c r="J84" i="3"/>
  <c r="N84" i="3" s="1"/>
  <c r="O21" i="7" s="1"/>
  <c r="Q21" i="7" s="1" a="1"/>
  <c r="Q21" i="7" s="1"/>
  <c r="R21" i="7" s="1"/>
  <c r="S21" i="7" s="1"/>
  <c r="M83" i="3"/>
  <c r="K83" i="3"/>
  <c r="J83" i="3"/>
  <c r="M82" i="3"/>
  <c r="K82" i="3"/>
  <c r="J82" i="3"/>
  <c r="M81" i="3"/>
  <c r="K81" i="3"/>
  <c r="J81" i="3"/>
  <c r="M80" i="3"/>
  <c r="K80" i="3"/>
  <c r="J80" i="3"/>
  <c r="N80" i="3" s="1"/>
  <c r="O300" i="7" s="1"/>
  <c r="Q300" i="7" s="1" a="1"/>
  <c r="Q300" i="7" s="1"/>
  <c r="R300" i="7" s="1"/>
  <c r="S300" i="7" s="1"/>
  <c r="M79" i="3"/>
  <c r="K79" i="3"/>
  <c r="J79" i="3"/>
  <c r="L79" i="3" s="1"/>
  <c r="M78" i="3"/>
  <c r="K78" i="3"/>
  <c r="J78" i="3"/>
  <c r="M77" i="3"/>
  <c r="L77" i="3"/>
  <c r="K77" i="3"/>
  <c r="J77" i="3"/>
  <c r="M76" i="3"/>
  <c r="K76" i="3"/>
  <c r="J76" i="3"/>
  <c r="L76" i="3" s="1"/>
  <c r="M75" i="3"/>
  <c r="K75" i="3"/>
  <c r="J75" i="3"/>
  <c r="M74" i="3"/>
  <c r="K74" i="3"/>
  <c r="J74" i="3"/>
  <c r="L74" i="3" s="1"/>
  <c r="M73" i="3"/>
  <c r="K73" i="3"/>
  <c r="J73" i="3"/>
  <c r="N73" i="3" s="1"/>
  <c r="O216" i="7" s="1"/>
  <c r="Q216" i="7" s="1" a="1"/>
  <c r="Q216" i="7" s="1"/>
  <c r="R216" i="7" s="1"/>
  <c r="S216" i="7" s="1"/>
  <c r="M72" i="3"/>
  <c r="K72" i="3"/>
  <c r="L72" i="3" s="1"/>
  <c r="J72" i="3"/>
  <c r="N72" i="3" s="1"/>
  <c r="O26" i="7" s="1"/>
  <c r="Q26" i="7" s="1" a="1"/>
  <c r="Q26" i="7" s="1"/>
  <c r="R26" i="7" s="1"/>
  <c r="S26" i="7" s="1"/>
  <c r="M71" i="3"/>
  <c r="K71" i="3"/>
  <c r="J71" i="3"/>
  <c r="M70" i="3"/>
  <c r="K70" i="3"/>
  <c r="J70" i="3"/>
  <c r="M69" i="3"/>
  <c r="K69" i="3"/>
  <c r="J69" i="3"/>
  <c r="N69" i="3" s="1"/>
  <c r="M68" i="3"/>
  <c r="L68" i="3"/>
  <c r="K68" i="3"/>
  <c r="J68" i="3"/>
  <c r="M67" i="3"/>
  <c r="K67" i="3"/>
  <c r="J67" i="3"/>
  <c r="M66" i="3"/>
  <c r="K66" i="3"/>
  <c r="J66" i="3"/>
  <c r="L66" i="3" s="1"/>
  <c r="M65" i="3"/>
  <c r="K65" i="3"/>
  <c r="L65" i="3" s="1"/>
  <c r="J65" i="3"/>
  <c r="M64" i="3"/>
  <c r="K64" i="3"/>
  <c r="J64" i="3"/>
  <c r="M63" i="3"/>
  <c r="K63" i="3"/>
  <c r="J63" i="3"/>
  <c r="M62" i="3"/>
  <c r="K62" i="3"/>
  <c r="J62" i="3"/>
  <c r="M61" i="3"/>
  <c r="L61" i="3"/>
  <c r="K61" i="3"/>
  <c r="J61" i="3"/>
  <c r="M60" i="3"/>
  <c r="L60" i="3"/>
  <c r="K60" i="3"/>
  <c r="J60" i="3"/>
  <c r="N60" i="3" s="1"/>
  <c r="O208" i="7" s="1"/>
  <c r="Q208" i="7" s="1" a="1"/>
  <c r="Q208" i="7" s="1"/>
  <c r="R208" i="7" s="1"/>
  <c r="S208" i="7" s="1"/>
  <c r="M59" i="3"/>
  <c r="K59" i="3"/>
  <c r="J59" i="3"/>
  <c r="M58" i="3"/>
  <c r="K58" i="3"/>
  <c r="J58" i="3"/>
  <c r="L58" i="3" s="1"/>
  <c r="M57" i="3"/>
  <c r="K57" i="3"/>
  <c r="J57" i="3"/>
  <c r="M56" i="3"/>
  <c r="K56" i="3"/>
  <c r="L56" i="3" s="1"/>
  <c r="J56" i="3"/>
  <c r="M55" i="3"/>
  <c r="K55" i="3"/>
  <c r="J55" i="3"/>
  <c r="M54" i="3"/>
  <c r="K54" i="3"/>
  <c r="J54" i="3"/>
  <c r="M53" i="3"/>
  <c r="K53" i="3"/>
  <c r="J53" i="3"/>
  <c r="N53" i="3" s="1"/>
  <c r="M52" i="3"/>
  <c r="K52" i="3"/>
  <c r="J52" i="3"/>
  <c r="N52" i="3" s="1"/>
  <c r="M51" i="3"/>
  <c r="K51" i="3"/>
  <c r="J51" i="3"/>
  <c r="L51" i="3" s="1"/>
  <c r="M50" i="3"/>
  <c r="K50" i="3"/>
  <c r="J50" i="3"/>
  <c r="L50" i="3" s="1"/>
  <c r="M49" i="3"/>
  <c r="K49" i="3"/>
  <c r="L49" i="3" s="1"/>
  <c r="J49" i="3"/>
  <c r="M48" i="3"/>
  <c r="K48" i="3"/>
  <c r="J48" i="3"/>
  <c r="N48" i="3" s="1"/>
  <c r="M47" i="3"/>
  <c r="K47" i="3"/>
  <c r="J47" i="3"/>
  <c r="M46" i="3"/>
  <c r="K46" i="3"/>
  <c r="J46" i="3"/>
  <c r="M45" i="3"/>
  <c r="K45" i="3"/>
  <c r="J45" i="3"/>
  <c r="N45" i="3" s="1"/>
  <c r="M44" i="3"/>
  <c r="K44" i="3"/>
  <c r="L44" i="3" s="1"/>
  <c r="J44" i="3"/>
  <c r="M43" i="3"/>
  <c r="K43" i="3"/>
  <c r="J43" i="3"/>
  <c r="L43" i="3" s="1"/>
  <c r="M42" i="3"/>
  <c r="K42" i="3"/>
  <c r="J42" i="3"/>
  <c r="M41" i="3"/>
  <c r="K41" i="3"/>
  <c r="J41" i="3"/>
  <c r="N41" i="3" s="1"/>
  <c r="M40" i="3"/>
  <c r="K40" i="3"/>
  <c r="J40" i="3"/>
  <c r="M39" i="3"/>
  <c r="K39" i="3"/>
  <c r="J39" i="3"/>
  <c r="M38" i="3"/>
  <c r="K38" i="3"/>
  <c r="J38" i="3"/>
  <c r="M37" i="3"/>
  <c r="K37" i="3"/>
  <c r="L37" i="3" s="1"/>
  <c r="J37" i="3"/>
  <c r="M36" i="3"/>
  <c r="K36" i="3"/>
  <c r="J36" i="3"/>
  <c r="N36" i="3" s="1"/>
  <c r="M35" i="3"/>
  <c r="K35" i="3"/>
  <c r="J35" i="3"/>
  <c r="M34" i="3"/>
  <c r="K34" i="3"/>
  <c r="J34" i="3"/>
  <c r="L34" i="3" s="1"/>
  <c r="M33" i="3"/>
  <c r="K33" i="3"/>
  <c r="J33" i="3"/>
  <c r="M32" i="3"/>
  <c r="K32" i="3"/>
  <c r="J32" i="3"/>
  <c r="N32" i="3" s="1"/>
  <c r="M31" i="3"/>
  <c r="K31" i="3"/>
  <c r="J31" i="3"/>
  <c r="L31" i="3" s="1"/>
  <c r="M30" i="3"/>
  <c r="K30" i="3"/>
  <c r="J30" i="3"/>
  <c r="M29" i="3"/>
  <c r="L29" i="3"/>
  <c r="K29" i="3"/>
  <c r="J29" i="3"/>
  <c r="N29" i="3" s="1"/>
  <c r="M28" i="3"/>
  <c r="L28" i="3"/>
  <c r="K28" i="3"/>
  <c r="J28" i="3"/>
  <c r="M27" i="3"/>
  <c r="K27" i="3"/>
  <c r="J27" i="3"/>
  <c r="L27" i="3" s="1"/>
  <c r="M26" i="3"/>
  <c r="K26" i="3"/>
  <c r="J26" i="3"/>
  <c r="L26" i="3" s="1"/>
  <c r="M25" i="3"/>
  <c r="K25" i="3"/>
  <c r="J25" i="3"/>
  <c r="N25" i="3" s="1"/>
  <c r="O58" i="7" s="1"/>
  <c r="Q58" i="7" s="1" a="1"/>
  <c r="Q58" i="7" s="1"/>
  <c r="R58" i="7" s="1"/>
  <c r="S58" i="7" s="1"/>
  <c r="M24" i="3"/>
  <c r="K24" i="3"/>
  <c r="J24" i="3"/>
  <c r="N24" i="3" s="1"/>
  <c r="O17" i="7" s="1"/>
  <c r="Q17" i="7" s="1" a="1"/>
  <c r="Q17" i="7" s="1"/>
  <c r="R17" i="7" s="1"/>
  <c r="S17" i="7" s="1"/>
  <c r="M23" i="3"/>
  <c r="K23" i="3"/>
  <c r="J23" i="3"/>
  <c r="M22" i="3"/>
  <c r="K22" i="3"/>
  <c r="J22" i="3"/>
  <c r="L22" i="3" s="1"/>
  <c r="M21" i="3"/>
  <c r="L21" i="3"/>
  <c r="K21" i="3"/>
  <c r="J21" i="3"/>
  <c r="M20" i="3"/>
  <c r="K20" i="3"/>
  <c r="L20" i="3" s="1"/>
  <c r="J20" i="3"/>
  <c r="M19" i="3"/>
  <c r="K19" i="3"/>
  <c r="J19" i="3"/>
  <c r="M18" i="3"/>
  <c r="K18" i="3"/>
  <c r="J18" i="3"/>
  <c r="L18" i="3" s="1"/>
  <c r="M17" i="3"/>
  <c r="K17" i="3"/>
  <c r="J17" i="3"/>
  <c r="N17" i="3" s="1"/>
  <c r="M16" i="3"/>
  <c r="K16" i="3"/>
  <c r="J16" i="3"/>
  <c r="M15" i="3"/>
  <c r="K15" i="3"/>
  <c r="J15" i="3"/>
  <c r="L15" i="3" s="1"/>
  <c r="M14" i="3"/>
  <c r="K14" i="3"/>
  <c r="J14" i="3"/>
  <c r="L14" i="3" s="1"/>
  <c r="M13" i="3"/>
  <c r="K13" i="3"/>
  <c r="L13" i="3" s="1"/>
  <c r="J13" i="3"/>
  <c r="M12" i="3"/>
  <c r="L12" i="3"/>
  <c r="K12" i="3"/>
  <c r="J12" i="3"/>
  <c r="N12" i="3" s="1"/>
  <c r="O80" i="7" s="1"/>
  <c r="Q80" i="7" s="1" a="1"/>
  <c r="Q80" i="7" s="1"/>
  <c r="R80" i="7" s="1"/>
  <c r="S80" i="7" s="1"/>
  <c r="M11" i="3"/>
  <c r="K11" i="3"/>
  <c r="J11" i="3"/>
  <c r="M10" i="3"/>
  <c r="K10" i="3"/>
  <c r="J10" i="3"/>
  <c r="L10" i="3" s="1"/>
  <c r="M9" i="3"/>
  <c r="K9" i="3"/>
  <c r="J9" i="3"/>
  <c r="M8" i="3"/>
  <c r="L8" i="3"/>
  <c r="K8" i="3"/>
  <c r="J8" i="3"/>
  <c r="M7" i="3"/>
  <c r="K7" i="3"/>
  <c r="J7" i="3"/>
  <c r="L7" i="3" s="1"/>
  <c r="M6" i="3"/>
  <c r="K6" i="3"/>
  <c r="J6" i="3"/>
  <c r="L6" i="3" s="1"/>
  <c r="M5" i="3"/>
  <c r="K5" i="3"/>
  <c r="L5" i="3" s="1"/>
  <c r="J5" i="3"/>
  <c r="N5" i="3" s="1"/>
  <c r="M4" i="3"/>
  <c r="K4" i="3"/>
  <c r="J4" i="3"/>
  <c r="N4" i="3" s="1"/>
  <c r="M3" i="3"/>
  <c r="K3" i="3"/>
  <c r="J3" i="3"/>
  <c r="L3" i="3" s="1"/>
  <c r="M2" i="3"/>
  <c r="K2" i="3"/>
  <c r="J2" i="3"/>
  <c r="L2" i="3" s="1"/>
  <c r="O311" i="7" l="1"/>
  <c r="Q311" i="7" s="1" a="1"/>
  <c r="Q311" i="7" s="1"/>
  <c r="R311" i="7" s="1"/>
  <c r="S311" i="7" s="1"/>
  <c r="O237" i="7"/>
  <c r="Q237" i="7" s="1" a="1"/>
  <c r="Q237" i="7" s="1"/>
  <c r="R237" i="7" s="1"/>
  <c r="S237" i="7" s="1"/>
  <c r="N244" i="3"/>
  <c r="L244" i="3"/>
  <c r="N288" i="3"/>
  <c r="O70" i="7"/>
  <c r="Q70" i="7" s="1" a="1"/>
  <c r="Q70" i="7" s="1"/>
  <c r="R70" i="7" s="1"/>
  <c r="S70" i="7" s="1"/>
  <c r="N295" i="3"/>
  <c r="O94" i="7"/>
  <c r="Q94" i="7" s="1" a="1"/>
  <c r="Q94" i="7" s="1"/>
  <c r="R94" i="7" s="1"/>
  <c r="S94" i="7" s="1"/>
  <c r="N302" i="3"/>
  <c r="O43" i="7"/>
  <c r="Q43" i="7" s="1" a="1"/>
  <c r="Q43" i="7" s="1"/>
  <c r="R43" i="7" s="1"/>
  <c r="S43" i="7" s="1"/>
  <c r="N320" i="3"/>
  <c r="L320" i="3"/>
  <c r="N360" i="3"/>
  <c r="O44" i="7"/>
  <c r="Q44" i="7" s="1" a="1"/>
  <c r="Q44" i="7" s="1"/>
  <c r="R44" i="7" s="1"/>
  <c r="S44" i="7" s="1"/>
  <c r="N392" i="3"/>
  <c r="L392" i="3"/>
  <c r="O277" i="7"/>
  <c r="Q277" i="7" s="1" a="1"/>
  <c r="Q277" i="7" s="1"/>
  <c r="R277" i="7" s="1"/>
  <c r="S277" i="7" s="1"/>
  <c r="O162" i="7"/>
  <c r="Q162" i="7" s="1" a="1"/>
  <c r="Q162" i="7" s="1"/>
  <c r="R162" i="7" s="1"/>
  <c r="S162" i="7" s="1"/>
  <c r="L457" i="3"/>
  <c r="O109" i="7"/>
  <c r="Q109" i="7" s="1" a="1"/>
  <c r="Q109" i="7" s="1"/>
  <c r="R109" i="7" s="1"/>
  <c r="S109" i="7" s="1"/>
  <c r="N464" i="3"/>
  <c r="O8" i="7"/>
  <c r="Q8" i="7" s="1" a="1"/>
  <c r="Q8" i="7" s="1"/>
  <c r="R8" i="7" s="1"/>
  <c r="S8" i="7" s="1"/>
  <c r="O6" i="7"/>
  <c r="Q6" i="7" s="1" a="1"/>
  <c r="Q6" i="7" s="1"/>
  <c r="R6" i="7" s="1"/>
  <c r="S6" i="7" s="1"/>
  <c r="L464" i="3"/>
  <c r="N328" i="3"/>
  <c r="L328" i="3"/>
  <c r="N400" i="3"/>
  <c r="O65" i="7"/>
  <c r="Q65" i="7" s="1" a="1"/>
  <c r="Q65" i="7" s="1"/>
  <c r="R65" i="7" s="1"/>
  <c r="S65" i="7" s="1"/>
  <c r="L400" i="3"/>
  <c r="L48" i="3"/>
  <c r="L104" i="3"/>
  <c r="L122" i="3"/>
  <c r="O239" i="7"/>
  <c r="Q239" i="7" s="1" a="1"/>
  <c r="Q239" i="7" s="1"/>
  <c r="R239" i="7" s="1"/>
  <c r="S239" i="7" s="1"/>
  <c r="L129" i="3"/>
  <c r="N223" i="3"/>
  <c r="O260" i="7" s="1"/>
  <c r="Q260" i="7" s="1" a="1"/>
  <c r="Q260" i="7" s="1"/>
  <c r="R260" i="7" s="1"/>
  <c r="S260" i="7" s="1"/>
  <c r="L223" i="3"/>
  <c r="N303" i="3"/>
  <c r="L303" i="3"/>
  <c r="L469" i="3"/>
  <c r="N469" i="3"/>
  <c r="N496" i="3"/>
  <c r="O124" i="7"/>
  <c r="Q124" i="7" s="1" a="1"/>
  <c r="Q124" i="7" s="1"/>
  <c r="R124" i="7" s="1"/>
  <c r="S124" i="7" s="1"/>
  <c r="N76" i="3"/>
  <c r="O246" i="7"/>
  <c r="Q246" i="7" s="1" a="1"/>
  <c r="Q246" i="7" s="1"/>
  <c r="R246" i="7" s="1"/>
  <c r="S246" i="7" s="1"/>
  <c r="N299" i="3"/>
  <c r="O152" i="7"/>
  <c r="Q152" i="7" s="1" a="1"/>
  <c r="Q152" i="7" s="1"/>
  <c r="R152" i="7" s="1"/>
  <c r="S152" i="7" s="1"/>
  <c r="L425" i="3"/>
  <c r="O111" i="7"/>
  <c r="Q111" i="7" s="1" a="1"/>
  <c r="Q111" i="7" s="1"/>
  <c r="R111" i="7" s="1"/>
  <c r="S111" i="7" s="1"/>
  <c r="N443" i="3"/>
  <c r="O159" i="7"/>
  <c r="Q159" i="7" s="1" a="1"/>
  <c r="Q159" i="7" s="1"/>
  <c r="R159" i="7" s="1"/>
  <c r="S159" i="7" s="1"/>
  <c r="L580" i="3"/>
  <c r="O202" i="7"/>
  <c r="Q202" i="7" s="1" a="1"/>
  <c r="Q202" i="7" s="1"/>
  <c r="R202" i="7" s="1"/>
  <c r="S202" i="7" s="1"/>
  <c r="L125" i="3"/>
  <c r="L97" i="3"/>
  <c r="L208" i="3"/>
  <c r="N227" i="3"/>
  <c r="L227" i="3"/>
  <c r="L299" i="3"/>
  <c r="L357" i="3"/>
  <c r="O62" i="7"/>
  <c r="Q62" i="7" s="1" a="1"/>
  <c r="Q62" i="7" s="1"/>
  <c r="R62" i="7" s="1"/>
  <c r="S62" i="7" s="1"/>
  <c r="L443" i="3"/>
  <c r="L584" i="3"/>
  <c r="O273" i="7"/>
  <c r="Q273" i="7" s="1" a="1"/>
  <c r="Q273" i="7" s="1"/>
  <c r="R273" i="7" s="1"/>
  <c r="S273" i="7" s="1"/>
  <c r="O272" i="7"/>
  <c r="Q272" i="7" s="1" a="1"/>
  <c r="Q272" i="7" s="1"/>
  <c r="R272" i="7" s="1"/>
  <c r="S272" i="7" s="1"/>
  <c r="L108" i="3"/>
  <c r="N112" i="3"/>
  <c r="L112" i="3"/>
  <c r="L212" i="3"/>
  <c r="N216" i="3"/>
  <c r="L216" i="3"/>
  <c r="N260" i="3"/>
  <c r="O49" i="7" s="1"/>
  <c r="Q49" i="7" s="1" a="1"/>
  <c r="Q49" i="7" s="1"/>
  <c r="R49" i="7" s="1"/>
  <c r="S49" i="7" s="1"/>
  <c r="N267" i="3"/>
  <c r="O275" i="7"/>
  <c r="Q275" i="7" s="1" a="1"/>
  <c r="Q275" i="7" s="1"/>
  <c r="R275" i="7" s="1"/>
  <c r="S275" i="7" s="1"/>
  <c r="L292" i="3"/>
  <c r="N296" i="3"/>
  <c r="O95" i="7"/>
  <c r="Q95" i="7" s="1" a="1"/>
  <c r="Q95" i="7" s="1"/>
  <c r="R95" i="7" s="1"/>
  <c r="S95" i="7" s="1"/>
  <c r="L296" i="3"/>
  <c r="L364" i="3"/>
  <c r="N368" i="3"/>
  <c r="L368" i="3"/>
  <c r="N415" i="3"/>
  <c r="O45" i="7"/>
  <c r="Q45" i="7" s="1" a="1"/>
  <c r="Q45" i="7" s="1"/>
  <c r="R45" i="7" s="1"/>
  <c r="S45" i="7" s="1"/>
  <c r="N422" i="3"/>
  <c r="O334" i="7"/>
  <c r="Q334" i="7" s="1" a="1"/>
  <c r="Q334" i="7" s="1"/>
  <c r="R334" i="7" s="1"/>
  <c r="S334" i="7" s="1"/>
  <c r="L436" i="3"/>
  <c r="N440" i="3"/>
  <c r="L440" i="3"/>
  <c r="N504" i="3"/>
  <c r="O35" i="7"/>
  <c r="Q35" i="7" s="1" a="1"/>
  <c r="Q35" i="7" s="1"/>
  <c r="R35" i="7" s="1"/>
  <c r="S35" i="7" s="1"/>
  <c r="N535" i="3"/>
  <c r="L535" i="3"/>
  <c r="N570" i="3"/>
  <c r="O158" i="7"/>
  <c r="Q158" i="7" s="1" a="1"/>
  <c r="Q158" i="7" s="1"/>
  <c r="R158" i="7" s="1"/>
  <c r="S158" i="7" s="1"/>
  <c r="L353" i="3"/>
  <c r="O60" i="7"/>
  <c r="Q60" i="7" s="1" a="1"/>
  <c r="Q60" i="7" s="1"/>
  <c r="R60" i="7" s="1"/>
  <c r="S60" i="7" s="1"/>
  <c r="N407" i="3"/>
  <c r="O88" i="7"/>
  <c r="Q88" i="7" s="1" a="1"/>
  <c r="Q88" i="7" s="1"/>
  <c r="R88" i="7" s="1"/>
  <c r="S88" i="7" s="1"/>
  <c r="L407" i="3"/>
  <c r="L62" i="3"/>
  <c r="O247" i="7"/>
  <c r="Q247" i="7" s="1" a="1"/>
  <c r="Q247" i="7" s="1"/>
  <c r="R247" i="7" s="1"/>
  <c r="S247" i="7" s="1"/>
  <c r="N252" i="3"/>
  <c r="L252" i="3"/>
  <c r="L41" i="3"/>
  <c r="L219" i="3"/>
  <c r="N375" i="3"/>
  <c r="L375" i="3"/>
  <c r="N447" i="3"/>
  <c r="L447" i="3"/>
  <c r="L38" i="3"/>
  <c r="O248" i="7"/>
  <c r="Q248" i="7" s="1" a="1"/>
  <c r="Q248" i="7" s="1"/>
  <c r="R248" i="7" s="1"/>
  <c r="S248" i="7" s="1"/>
  <c r="L17" i="3"/>
  <c r="N21" i="3"/>
  <c r="L24" i="3"/>
  <c r="N28" i="3"/>
  <c r="L42" i="3"/>
  <c r="L45" i="3"/>
  <c r="N49" i="3"/>
  <c r="L52" i="3"/>
  <c r="N56" i="3"/>
  <c r="O259" i="7"/>
  <c r="Q259" i="7" s="1" a="1"/>
  <c r="Q259" i="7" s="1"/>
  <c r="R259" i="7" s="1"/>
  <c r="S259" i="7" s="1"/>
  <c r="O222" i="7"/>
  <c r="Q222" i="7" s="1" a="1"/>
  <c r="Q222" i="7" s="1"/>
  <c r="R222" i="7" s="1"/>
  <c r="S222" i="7" s="1"/>
  <c r="L63" i="3"/>
  <c r="L70" i="3"/>
  <c r="L73" i="3"/>
  <c r="N77" i="3"/>
  <c r="O241" i="7"/>
  <c r="Q241" i="7" s="1" a="1"/>
  <c r="Q241" i="7" s="1"/>
  <c r="R241" i="7" s="1"/>
  <c r="S241" i="7" s="1"/>
  <c r="L80" i="3"/>
  <c r="L101" i="3"/>
  <c r="N105" i="3"/>
  <c r="L105" i="3"/>
  <c r="N134" i="3"/>
  <c r="N153" i="3"/>
  <c r="O310" i="7" s="1"/>
  <c r="Q310" i="7" s="1" a="1"/>
  <c r="Q310" i="7" s="1"/>
  <c r="R310" i="7" s="1"/>
  <c r="S310" i="7" s="1"/>
  <c r="O264" i="7"/>
  <c r="Q264" i="7" s="1" a="1"/>
  <c r="Q264" i="7" s="1"/>
  <c r="R264" i="7" s="1"/>
  <c r="S264" i="7" s="1"/>
  <c r="O195" i="7"/>
  <c r="Q195" i="7" s="1" a="1"/>
  <c r="Q195" i="7" s="1"/>
  <c r="R195" i="7" s="1"/>
  <c r="S195" i="7" s="1"/>
  <c r="L153" i="3"/>
  <c r="N157" i="3"/>
  <c r="L157" i="3"/>
  <c r="N175" i="3"/>
  <c r="N186" i="3"/>
  <c r="N190" i="3"/>
  <c r="N194" i="3"/>
  <c r="L205" i="3"/>
  <c r="O151" i="7"/>
  <c r="Q151" i="7" s="1" a="1"/>
  <c r="Q151" i="7" s="1"/>
  <c r="R151" i="7" s="1"/>
  <c r="S151" i="7" s="1"/>
  <c r="L209" i="3"/>
  <c r="N235" i="3"/>
  <c r="L235" i="3"/>
  <c r="L253" i="3"/>
  <c r="N271" i="3"/>
  <c r="N311" i="3"/>
  <c r="L311" i="3"/>
  <c r="N347" i="3"/>
  <c r="O85" i="7"/>
  <c r="Q85" i="7" s="1" a="1"/>
  <c r="Q85" i="7" s="1"/>
  <c r="R85" i="7" s="1"/>
  <c r="S85" i="7" s="1"/>
  <c r="N383" i="3"/>
  <c r="O133" i="7"/>
  <c r="Q133" i="7" s="1" a="1"/>
  <c r="Q133" i="7" s="1"/>
  <c r="R133" i="7" s="1"/>
  <c r="S133" i="7" s="1"/>
  <c r="L383" i="3"/>
  <c r="N390" i="3"/>
  <c r="O134" i="7"/>
  <c r="Q134" i="7" s="1" a="1"/>
  <c r="Q134" i="7" s="1"/>
  <c r="R134" i="7" s="1"/>
  <c r="S134" i="7" s="1"/>
  <c r="N455" i="3"/>
  <c r="O102" i="7"/>
  <c r="Q102" i="7" s="1" a="1"/>
  <c r="Q102" i="7" s="1"/>
  <c r="R102" i="7" s="1"/>
  <c r="S102" i="7" s="1"/>
  <c r="L455" i="3"/>
  <c r="L485" i="3"/>
  <c r="O313" i="7"/>
  <c r="Q313" i="7" s="1" a="1"/>
  <c r="Q313" i="7" s="1"/>
  <c r="R313" i="7" s="1"/>
  <c r="S313" i="7" s="1"/>
  <c r="O312" i="7"/>
  <c r="Q312" i="7" s="1" a="1"/>
  <c r="Q312" i="7" s="1"/>
  <c r="R312" i="7" s="1"/>
  <c r="S312" i="7" s="1"/>
  <c r="O150" i="7"/>
  <c r="Q150" i="7" s="1" a="1"/>
  <c r="Q150" i="7" s="1"/>
  <c r="R150" i="7" s="1"/>
  <c r="S150" i="7" s="1"/>
  <c r="L493" i="3"/>
  <c r="O118" i="7"/>
  <c r="Q118" i="7" s="1" a="1"/>
  <c r="Q118" i="7" s="1"/>
  <c r="R118" i="7" s="1"/>
  <c r="S118" i="7" s="1"/>
  <c r="L67" i="3"/>
  <c r="N88" i="3"/>
  <c r="L88" i="3"/>
  <c r="L123" i="3"/>
  <c r="N198" i="3"/>
  <c r="O83" i="7"/>
  <c r="Q83" i="7" s="1" a="1"/>
  <c r="Q83" i="7" s="1"/>
  <c r="R83" i="7" s="1"/>
  <c r="S83" i="7" s="1"/>
  <c r="N224" i="3"/>
  <c r="O19" i="7" s="1"/>
  <c r="Q19" i="7" s="1" a="1"/>
  <c r="Q19" i="7" s="1"/>
  <c r="R19" i="7" s="1"/>
  <c r="S19" i="7" s="1"/>
  <c r="N228" i="3"/>
  <c r="O135" i="7"/>
  <c r="Q135" i="7" s="1" a="1"/>
  <c r="Q135" i="7" s="1"/>
  <c r="R135" i="7" s="1"/>
  <c r="S135" i="7" s="1"/>
  <c r="L228" i="3"/>
  <c r="L267" i="3"/>
  <c r="N304" i="3"/>
  <c r="L304" i="3"/>
  <c r="L336" i="3"/>
  <c r="N340" i="3"/>
  <c r="O229" i="7"/>
  <c r="Q229" i="7" s="1" a="1"/>
  <c r="Q229" i="7" s="1"/>
  <c r="R229" i="7" s="1"/>
  <c r="S229" i="7" s="1"/>
  <c r="L343" i="3"/>
  <c r="N376" i="3"/>
  <c r="L376" i="3"/>
  <c r="N448" i="3"/>
  <c r="L448" i="3"/>
  <c r="N474" i="3"/>
  <c r="O337" i="7"/>
  <c r="Q337" i="7" s="1" a="1"/>
  <c r="Q337" i="7" s="1"/>
  <c r="R337" i="7" s="1"/>
  <c r="S337" i="7" s="1"/>
  <c r="O335" i="7"/>
  <c r="Q335" i="7" s="1" a="1"/>
  <c r="Q335" i="7" s="1"/>
  <c r="R335" i="7" s="1"/>
  <c r="S335" i="7" s="1"/>
  <c r="L570" i="3"/>
  <c r="N574" i="3"/>
  <c r="L574" i="3"/>
  <c r="L39" i="3"/>
  <c r="O245" i="7"/>
  <c r="Q245" i="7" s="1" a="1"/>
  <c r="Q245" i="7" s="1"/>
  <c r="R245" i="7" s="1"/>
  <c r="S245" i="7" s="1"/>
  <c r="L46" i="3"/>
  <c r="N81" i="3"/>
  <c r="O23" i="7" s="1"/>
  <c r="Q23" i="7" s="1" a="1"/>
  <c r="Q23" i="7" s="1"/>
  <c r="R23" i="7" s="1"/>
  <c r="S23" i="7" s="1"/>
  <c r="L81" i="3"/>
  <c r="L127" i="3"/>
  <c r="N172" i="3"/>
  <c r="O206" i="7" s="1"/>
  <c r="Q206" i="7" s="1" a="1"/>
  <c r="Q206" i="7" s="1"/>
  <c r="R206" i="7" s="1"/>
  <c r="S206" i="7" s="1"/>
  <c r="O127" i="7"/>
  <c r="Q127" i="7" s="1" a="1"/>
  <c r="Q127" i="7" s="1"/>
  <c r="R127" i="7" s="1"/>
  <c r="S127" i="7" s="1"/>
  <c r="L217" i="3"/>
  <c r="L257" i="3"/>
  <c r="N275" i="3"/>
  <c r="O271" i="7"/>
  <c r="Q271" i="7" s="1" a="1"/>
  <c r="Q271" i="7" s="1"/>
  <c r="R271" i="7" s="1"/>
  <c r="S271" i="7" s="1"/>
  <c r="O308" i="7"/>
  <c r="Q308" i="7" s="1" a="1"/>
  <c r="Q308" i="7" s="1"/>
  <c r="R308" i="7" s="1"/>
  <c r="S308" i="7" s="1"/>
  <c r="O249" i="7"/>
  <c r="Q249" i="7" s="1" a="1"/>
  <c r="Q249" i="7" s="1"/>
  <c r="R249" i="7" s="1"/>
  <c r="S249" i="7" s="1"/>
  <c r="L275" i="3"/>
  <c r="N279" i="3"/>
  <c r="O251" i="7"/>
  <c r="Q251" i="7" s="1" a="1"/>
  <c r="Q251" i="7" s="1"/>
  <c r="R251" i="7" s="1"/>
  <c r="S251" i="7" s="1"/>
  <c r="L279" i="3"/>
  <c r="N290" i="3"/>
  <c r="O213" i="7"/>
  <c r="Q213" i="7" s="1" a="1"/>
  <c r="Q213" i="7" s="1"/>
  <c r="R213" i="7" s="1"/>
  <c r="S213" i="7" s="1"/>
  <c r="L297" i="3"/>
  <c r="L347" i="3"/>
  <c r="N351" i="3"/>
  <c r="O298" i="7" s="1"/>
  <c r="Q298" i="7" s="1" a="1"/>
  <c r="Q298" i="7" s="1"/>
  <c r="R298" i="7" s="1"/>
  <c r="S298" i="7" s="1"/>
  <c r="L351" i="3"/>
  <c r="L369" i="3"/>
  <c r="L405" i="3"/>
  <c r="O82" i="7"/>
  <c r="Q82" i="7" s="1" a="1"/>
  <c r="Q82" i="7" s="1"/>
  <c r="R82" i="7" s="1"/>
  <c r="S82" i="7" s="1"/>
  <c r="N423" i="3"/>
  <c r="O147" i="7"/>
  <c r="Q147" i="7" s="1" a="1"/>
  <c r="Q147" i="7" s="1"/>
  <c r="R147" i="7" s="1"/>
  <c r="S147" i="7" s="1"/>
  <c r="L423" i="3"/>
  <c r="L441" i="3"/>
  <c r="O51" i="7"/>
  <c r="Q51" i="7" s="1" a="1"/>
  <c r="Q51" i="7" s="1"/>
  <c r="R51" i="7" s="1"/>
  <c r="S51" i="7" s="1"/>
  <c r="N567" i="3"/>
  <c r="L567" i="3"/>
  <c r="N187" i="3"/>
  <c r="O97" i="7"/>
  <c r="Q97" i="7" s="1" a="1"/>
  <c r="Q97" i="7" s="1"/>
  <c r="R97" i="7" s="1"/>
  <c r="S97" i="7" s="1"/>
  <c r="L187" i="3"/>
  <c r="N191" i="3"/>
  <c r="L191" i="3"/>
  <c r="N250" i="3"/>
  <c r="O98" i="7"/>
  <c r="Q98" i="7" s="1" a="1"/>
  <c r="Q98" i="7" s="1"/>
  <c r="R98" i="7" s="1"/>
  <c r="S98" i="7" s="1"/>
  <c r="N268" i="3"/>
  <c r="O276" i="7"/>
  <c r="Q276" i="7" s="1" a="1"/>
  <c r="Q276" i="7" s="1"/>
  <c r="R276" i="7" s="1"/>
  <c r="S276" i="7" s="1"/>
  <c r="N344" i="3"/>
  <c r="O7" i="7"/>
  <c r="Q7" i="7" s="1" a="1"/>
  <c r="Q7" i="7" s="1"/>
  <c r="R7" i="7" s="1"/>
  <c r="S7" i="7" s="1"/>
  <c r="O68" i="7"/>
  <c r="Q68" i="7" s="1" a="1"/>
  <c r="Q68" i="7" s="1"/>
  <c r="R68" i="7" s="1"/>
  <c r="S68" i="7" s="1"/>
  <c r="L344" i="3"/>
  <c r="N384" i="3"/>
  <c r="O129" i="7"/>
  <c r="Q129" i="7" s="1" a="1"/>
  <c r="Q129" i="7" s="1"/>
  <c r="R129" i="7" s="1"/>
  <c r="S129" i="7" s="1"/>
  <c r="N398" i="3"/>
  <c r="O309" i="7"/>
  <c r="Q309" i="7" s="1" a="1"/>
  <c r="Q309" i="7" s="1"/>
  <c r="R309" i="7" s="1"/>
  <c r="S309" i="7" s="1"/>
  <c r="L412" i="3"/>
  <c r="N416" i="3"/>
  <c r="L416" i="3"/>
  <c r="L559" i="3"/>
  <c r="N9" i="3"/>
  <c r="L9" i="3"/>
  <c r="N335" i="3"/>
  <c r="L335" i="3"/>
  <c r="N133" i="3"/>
  <c r="O128" i="7" s="1"/>
  <c r="Q128" i="7" s="1" a="1"/>
  <c r="Q128" i="7" s="1"/>
  <c r="R128" i="7" s="1"/>
  <c r="S128" i="7" s="1"/>
  <c r="L133" i="3"/>
  <c r="L69" i="3"/>
  <c r="N64" i="3"/>
  <c r="O262" i="7"/>
  <c r="Q262" i="7" s="1" a="1"/>
  <c r="Q262" i="7" s="1"/>
  <c r="R262" i="7" s="1"/>
  <c r="S262" i="7" s="1"/>
  <c r="L64" i="3"/>
  <c r="L106" i="3"/>
  <c r="O215" i="7"/>
  <c r="Q215" i="7" s="1" a="1"/>
  <c r="Q215" i="7" s="1"/>
  <c r="R215" i="7" s="1"/>
  <c r="S215" i="7" s="1"/>
  <c r="N117" i="3"/>
  <c r="O145" i="7" s="1"/>
  <c r="Q145" i="7" s="1" a="1"/>
  <c r="Q145" i="7" s="1"/>
  <c r="R145" i="7" s="1"/>
  <c r="S145" i="7" s="1"/>
  <c r="L120" i="3"/>
  <c r="L158" i="3"/>
  <c r="N287" i="3"/>
  <c r="O203" i="7"/>
  <c r="Q203" i="7" s="1" a="1"/>
  <c r="Q203" i="7" s="1"/>
  <c r="R203" i="7" s="1"/>
  <c r="S203" i="7" s="1"/>
  <c r="O255" i="7"/>
  <c r="Q255" i="7" s="1" a="1"/>
  <c r="Q255" i="7" s="1"/>
  <c r="R255" i="7" s="1"/>
  <c r="S255" i="7" s="1"/>
  <c r="L287" i="3"/>
  <c r="N294" i="3"/>
  <c r="O92" i="7"/>
  <c r="Q92" i="7" s="1" a="1"/>
  <c r="Q92" i="7" s="1"/>
  <c r="R92" i="7" s="1"/>
  <c r="S92" i="7" s="1"/>
  <c r="L305" i="3"/>
  <c r="O69" i="7"/>
  <c r="Q69" i="7" s="1" a="1"/>
  <c r="Q69" i="7" s="1"/>
  <c r="R69" i="7" s="1"/>
  <c r="S69" i="7" s="1"/>
  <c r="N359" i="3"/>
  <c r="O59" i="7"/>
  <c r="Q59" i="7" s="1" a="1"/>
  <c r="Q59" i="7" s="1"/>
  <c r="R59" i="7" s="1"/>
  <c r="S59" i="7" s="1"/>
  <c r="L359" i="3"/>
  <c r="N431" i="3"/>
  <c r="L431" i="3"/>
  <c r="N471" i="3"/>
  <c r="L471" i="3"/>
  <c r="N498" i="3"/>
  <c r="O115" i="7"/>
  <c r="Q115" i="7" s="1" a="1"/>
  <c r="Q115" i="7" s="1"/>
  <c r="R115" i="7" s="1"/>
  <c r="S115" i="7" s="1"/>
  <c r="N16" i="3"/>
  <c r="O40" i="7" s="1"/>
  <c r="Q40" i="7" s="1" a="1"/>
  <c r="Q40" i="7" s="1"/>
  <c r="R40" i="7" s="1"/>
  <c r="S40" i="7" s="1"/>
  <c r="L16" i="3"/>
  <c r="N259" i="3"/>
  <c r="O232" i="7"/>
  <c r="Q232" i="7" s="1" a="1"/>
  <c r="Q232" i="7" s="1"/>
  <c r="R232" i="7" s="1"/>
  <c r="S232" i="7" s="1"/>
  <c r="O233" i="7"/>
  <c r="Q233" i="7" s="1" a="1"/>
  <c r="Q233" i="7" s="1"/>
  <c r="R233" i="7" s="1"/>
  <c r="S233" i="7" s="1"/>
  <c r="L259" i="3"/>
  <c r="O287" i="7"/>
  <c r="Q287" i="7" s="1" a="1"/>
  <c r="Q287" i="7" s="1"/>
  <c r="R287" i="7" s="1"/>
  <c r="S287" i="7" s="1"/>
  <c r="O171" i="7"/>
  <c r="Q171" i="7" s="1" a="1"/>
  <c r="Q171" i="7" s="1"/>
  <c r="R171" i="7" s="1"/>
  <c r="S171" i="7" s="1"/>
  <c r="N371" i="3"/>
  <c r="O73" i="7"/>
  <c r="Q73" i="7" s="1" a="1"/>
  <c r="Q73" i="7" s="1"/>
  <c r="R73" i="7" s="1"/>
  <c r="S73" i="7" s="1"/>
  <c r="N511" i="3"/>
  <c r="O154" i="7"/>
  <c r="Q154" i="7" s="1" a="1"/>
  <c r="Q154" i="7" s="1"/>
  <c r="R154" i="7" s="1"/>
  <c r="S154" i="7" s="1"/>
  <c r="L55" i="3"/>
  <c r="O219" i="7"/>
  <c r="Q219" i="7" s="1" a="1"/>
  <c r="Q219" i="7" s="1"/>
  <c r="R219" i="7" s="1"/>
  <c r="S219" i="7" s="1"/>
  <c r="N137" i="3"/>
  <c r="L137" i="3"/>
  <c r="N519" i="3"/>
  <c r="O138" i="7"/>
  <c r="Q138" i="7" s="1" a="1"/>
  <c r="Q138" i="7" s="1"/>
  <c r="R138" i="7" s="1"/>
  <c r="S138" i="7" s="1"/>
  <c r="L519" i="3"/>
  <c r="L4" i="3"/>
  <c r="N8" i="3"/>
  <c r="L25" i="3"/>
  <c r="L32" i="3"/>
  <c r="L53" i="3"/>
  <c r="N57" i="3"/>
  <c r="L57" i="3"/>
  <c r="L113" i="3"/>
  <c r="L154" i="3"/>
  <c r="L183" i="3"/>
  <c r="L19" i="3"/>
  <c r="O238" i="7"/>
  <c r="Q238" i="7" s="1" a="1"/>
  <c r="Q238" i="7" s="1"/>
  <c r="R238" i="7" s="1"/>
  <c r="S238" i="7" s="1"/>
  <c r="L36" i="3"/>
  <c r="N40" i="3"/>
  <c r="L40" i="3"/>
  <c r="L75" i="3"/>
  <c r="L82" i="3"/>
  <c r="L103" i="3"/>
  <c r="L147" i="3"/>
  <c r="L162" i="3"/>
  <c r="O320" i="7"/>
  <c r="Q320" i="7" s="1" a="1"/>
  <c r="Q320" i="7" s="1"/>
  <c r="R320" i="7" s="1"/>
  <c r="S320" i="7" s="1"/>
  <c r="O316" i="7"/>
  <c r="Q316" i="7" s="1" a="1"/>
  <c r="Q316" i="7" s="1"/>
  <c r="R316" i="7" s="1"/>
  <c r="S316" i="7" s="1"/>
  <c r="O315" i="7"/>
  <c r="Q315" i="7" s="1" a="1"/>
  <c r="Q315" i="7" s="1"/>
  <c r="R315" i="7" s="1"/>
  <c r="S315" i="7" s="1"/>
  <c r="O318" i="7"/>
  <c r="Q318" i="7" s="1" a="1"/>
  <c r="Q318" i="7" s="1"/>
  <c r="R318" i="7" s="1"/>
  <c r="S318" i="7" s="1"/>
  <c r="N166" i="3"/>
  <c r="L236" i="3"/>
  <c r="N240" i="3"/>
  <c r="O182" i="7"/>
  <c r="Q182" i="7" s="1" a="1"/>
  <c r="Q182" i="7" s="1"/>
  <c r="R182" i="7" s="1"/>
  <c r="S182" i="7" s="1"/>
  <c r="O301" i="7"/>
  <c r="Q301" i="7" s="1" a="1"/>
  <c r="Q301" i="7" s="1"/>
  <c r="R301" i="7" s="1"/>
  <c r="S301" i="7" s="1"/>
  <c r="L243" i="3"/>
  <c r="N276" i="3"/>
  <c r="N280" i="3"/>
  <c r="O250" i="7"/>
  <c r="Q250" i="7" s="1" a="1"/>
  <c r="Q250" i="7" s="1"/>
  <c r="R250" i="7" s="1"/>
  <c r="S250" i="7" s="1"/>
  <c r="L280" i="3"/>
  <c r="L312" i="3"/>
  <c r="L319" i="3"/>
  <c r="N352" i="3"/>
  <c r="L352" i="3"/>
  <c r="L384" i="3"/>
  <c r="N388" i="3"/>
  <c r="O132" i="7"/>
  <c r="Q132" i="7" s="1" a="1"/>
  <c r="Q132" i="7" s="1"/>
  <c r="R132" i="7" s="1"/>
  <c r="S132" i="7" s="1"/>
  <c r="L391" i="3"/>
  <c r="N424" i="3"/>
  <c r="O106" i="7"/>
  <c r="Q106" i="7" s="1" a="1"/>
  <c r="Q106" i="7" s="1"/>
  <c r="R106" i="7" s="1"/>
  <c r="S106" i="7" s="1"/>
  <c r="L424" i="3"/>
  <c r="N460" i="3"/>
  <c r="O140" i="7"/>
  <c r="Q140" i="7" s="1" a="1"/>
  <c r="Q140" i="7" s="1"/>
  <c r="R140" i="7" s="1"/>
  <c r="S140" i="7" s="1"/>
  <c r="L533" i="3"/>
  <c r="O212" i="7"/>
  <c r="Q212" i="7" s="1" a="1"/>
  <c r="Q212" i="7" s="1"/>
  <c r="R212" i="7" s="1"/>
  <c r="S212" i="7" s="1"/>
  <c r="L541" i="3"/>
  <c r="O155" i="7"/>
  <c r="Q155" i="7" s="1" a="1"/>
  <c r="Q155" i="7" s="1"/>
  <c r="R155" i="7" s="1"/>
  <c r="S155" i="7" s="1"/>
  <c r="N33" i="3"/>
  <c r="L33" i="3"/>
  <c r="N65" i="3"/>
  <c r="O244" i="7"/>
  <c r="Q244" i="7" s="1" a="1"/>
  <c r="Q244" i="7" s="1"/>
  <c r="R244" i="7" s="1"/>
  <c r="S244" i="7" s="1"/>
  <c r="N93" i="3"/>
  <c r="O28" i="7" s="1"/>
  <c r="Q28" i="7" s="1" a="1"/>
  <c r="Q28" i="7" s="1"/>
  <c r="R28" i="7" s="1"/>
  <c r="S28" i="7" s="1"/>
  <c r="N100" i="3"/>
  <c r="L114" i="3"/>
  <c r="N121" i="3"/>
  <c r="N132" i="3"/>
  <c r="N136" i="3"/>
  <c r="N140" i="3"/>
  <c r="L151" i="3"/>
  <c r="L155" i="3"/>
  <c r="O194" i="7"/>
  <c r="Q194" i="7" s="1" a="1"/>
  <c r="Q194" i="7" s="1"/>
  <c r="R194" i="7" s="1"/>
  <c r="S194" i="7" s="1"/>
  <c r="N188" i="3"/>
  <c r="N207" i="3"/>
  <c r="O91" i="7"/>
  <c r="Q91" i="7" s="1" a="1"/>
  <c r="Q91" i="7" s="1"/>
  <c r="R91" i="7" s="1"/>
  <c r="S91" i="7" s="1"/>
  <c r="L207" i="3"/>
  <c r="N211" i="3"/>
  <c r="L211" i="3"/>
  <c r="L233" i="3"/>
  <c r="N251" i="3"/>
  <c r="O261" i="7" s="1"/>
  <c r="Q261" i="7" s="1" a="1"/>
  <c r="Q261" i="7" s="1"/>
  <c r="R261" i="7" s="1"/>
  <c r="S261" i="7" s="1"/>
  <c r="L251" i="3"/>
  <c r="N262" i="3"/>
  <c r="L269" i="3"/>
  <c r="O274" i="7"/>
  <c r="Q274" i="7" s="1" a="1"/>
  <c r="Q274" i="7" s="1"/>
  <c r="R274" i="7" s="1"/>
  <c r="S274" i="7" s="1"/>
  <c r="N327" i="3"/>
  <c r="L327" i="3"/>
  <c r="L345" i="3"/>
  <c r="L381" i="3"/>
  <c r="O84" i="7"/>
  <c r="Q84" i="7" s="1" a="1"/>
  <c r="Q84" i="7" s="1"/>
  <c r="R84" i="7" s="1"/>
  <c r="S84" i="7" s="1"/>
  <c r="N399" i="3"/>
  <c r="O66" i="7"/>
  <c r="Q66" i="7" s="1" a="1"/>
  <c r="Q66" i="7" s="1"/>
  <c r="R66" i="7" s="1"/>
  <c r="S66" i="7" s="1"/>
  <c r="L399" i="3"/>
  <c r="L417" i="3"/>
  <c r="N487" i="3"/>
  <c r="O120" i="7"/>
  <c r="Q120" i="7" s="1" a="1"/>
  <c r="Q120" i="7" s="1"/>
  <c r="R120" i="7" s="1"/>
  <c r="S120" i="7" s="1"/>
  <c r="L487" i="3"/>
  <c r="N522" i="3"/>
  <c r="O47" i="7"/>
  <c r="Q47" i="7" s="1" a="1"/>
  <c r="Q47" i="7" s="1"/>
  <c r="R47" i="7" s="1"/>
  <c r="S47" i="7" s="1"/>
  <c r="L481" i="3"/>
  <c r="L488" i="3"/>
  <c r="N492" i="3"/>
  <c r="O123" i="7"/>
  <c r="Q123" i="7" s="1" a="1"/>
  <c r="Q123" i="7" s="1"/>
  <c r="R123" i="7" s="1"/>
  <c r="S123" i="7" s="1"/>
  <c r="N507" i="3"/>
  <c r="O33" i="7"/>
  <c r="Q33" i="7" s="1" a="1"/>
  <c r="Q33" i="7" s="1"/>
  <c r="R33" i="7" s="1"/>
  <c r="S33" i="7" s="1"/>
  <c r="N518" i="3"/>
  <c r="O36" i="7"/>
  <c r="Q36" i="7" s="1" a="1"/>
  <c r="Q36" i="7" s="1"/>
  <c r="R36" i="7" s="1"/>
  <c r="S36" i="7" s="1"/>
  <c r="L529" i="3"/>
  <c r="N555" i="3"/>
  <c r="L573" i="3"/>
  <c r="N354" i="3"/>
  <c r="O63" i="7"/>
  <c r="Q63" i="7" s="1" a="1"/>
  <c r="Q63" i="7" s="1"/>
  <c r="R63" i="7" s="1"/>
  <c r="S63" i="7" s="1"/>
  <c r="N402" i="3"/>
  <c r="O64" i="7"/>
  <c r="Q64" i="7" s="1" a="1"/>
  <c r="Q64" i="7" s="1"/>
  <c r="R64" i="7" s="1"/>
  <c r="S64" i="7" s="1"/>
  <c r="N426" i="3"/>
  <c r="O113" i="7"/>
  <c r="Q113" i="7" s="1" a="1"/>
  <c r="Q113" i="7" s="1"/>
  <c r="R113" i="7" s="1"/>
  <c r="S113" i="7" s="1"/>
  <c r="N470" i="3"/>
  <c r="L489" i="3"/>
  <c r="O116" i="7"/>
  <c r="Q116" i="7" s="1" a="1"/>
  <c r="Q116" i="7" s="1"/>
  <c r="R116" i="7" s="1"/>
  <c r="S116" i="7" s="1"/>
  <c r="L496" i="3"/>
  <c r="N500" i="3"/>
  <c r="O32" i="7"/>
  <c r="Q32" i="7" s="1" a="1"/>
  <c r="Q32" i="7" s="1"/>
  <c r="R32" i="7" s="1"/>
  <c r="S32" i="7" s="1"/>
  <c r="L507" i="3"/>
  <c r="N526" i="3"/>
  <c r="O11" i="7"/>
  <c r="Q11" i="7" s="1" a="1"/>
  <c r="Q11" i="7" s="1"/>
  <c r="R11" i="7" s="1"/>
  <c r="S11" i="7" s="1"/>
  <c r="L537" i="3"/>
  <c r="L544" i="3"/>
  <c r="N548" i="3"/>
  <c r="O104" i="7"/>
  <c r="Q104" i="7" s="1" a="1"/>
  <c r="Q104" i="7" s="1"/>
  <c r="R104" i="7" s="1"/>
  <c r="S104" i="7" s="1"/>
  <c r="L555" i="3"/>
  <c r="N563" i="3"/>
  <c r="L577" i="3"/>
  <c r="O197" i="7"/>
  <c r="Q197" i="7" s="1" a="1"/>
  <c r="Q197" i="7" s="1"/>
  <c r="R197" i="7" s="1"/>
  <c r="S197" i="7" s="1"/>
  <c r="L23" i="3"/>
  <c r="O192" i="7"/>
  <c r="Q192" i="7" s="1" a="1"/>
  <c r="Q192" i="7" s="1"/>
  <c r="R192" i="7" s="1"/>
  <c r="S192" i="7" s="1"/>
  <c r="L47" i="3"/>
  <c r="L71" i="3"/>
  <c r="L95" i="3"/>
  <c r="L119" i="3"/>
  <c r="L126" i="3"/>
  <c r="N141" i="3"/>
  <c r="N152" i="3"/>
  <c r="L163" i="3"/>
  <c r="L176" i="3"/>
  <c r="N180" i="3"/>
  <c r="O252" i="7"/>
  <c r="Q252" i="7" s="1" a="1"/>
  <c r="Q252" i="7" s="1"/>
  <c r="R252" i="7" s="1"/>
  <c r="S252" i="7" s="1"/>
  <c r="N195" i="3"/>
  <c r="N206" i="3"/>
  <c r="L213" i="3"/>
  <c r="N220" i="3"/>
  <c r="N234" i="3"/>
  <c r="N258" i="3"/>
  <c r="L268" i="3"/>
  <c r="N272" i="3"/>
  <c r="O18" i="7" s="1"/>
  <c r="Q18" i="7" s="1" a="1"/>
  <c r="Q18" i="7" s="1"/>
  <c r="R18" i="7" s="1"/>
  <c r="S18" i="7" s="1"/>
  <c r="N286" i="3"/>
  <c r="O148" i="7"/>
  <c r="Q148" i="7" s="1" a="1"/>
  <c r="Q148" i="7" s="1"/>
  <c r="R148" i="7" s="1"/>
  <c r="S148" i="7" s="1"/>
  <c r="N310" i="3"/>
  <c r="N334" i="3"/>
  <c r="N358" i="3"/>
  <c r="N382" i="3"/>
  <c r="O90" i="7"/>
  <c r="Q90" i="7" s="1" a="1"/>
  <c r="Q90" i="7" s="1"/>
  <c r="R90" i="7" s="1"/>
  <c r="S90" i="7" s="1"/>
  <c r="N406" i="3"/>
  <c r="O93" i="7"/>
  <c r="Q93" i="7" s="1" a="1"/>
  <c r="Q93" i="7" s="1"/>
  <c r="R93" i="7" s="1"/>
  <c r="S93" i="7" s="1"/>
  <c r="N430" i="3"/>
  <c r="N454" i="3"/>
  <c r="O114" i="7"/>
  <c r="Q114" i="7" s="1" a="1"/>
  <c r="Q114" i="7" s="1"/>
  <c r="R114" i="7" s="1"/>
  <c r="S114" i="7" s="1"/>
  <c r="N468" i="3"/>
  <c r="N475" i="3"/>
  <c r="O323" i="7"/>
  <c r="Q323" i="7" s="1" a="1"/>
  <c r="Q323" i="7" s="1"/>
  <c r="R323" i="7" s="1"/>
  <c r="S323" i="7" s="1"/>
  <c r="O321" i="7"/>
  <c r="Q321" i="7" s="1" a="1"/>
  <c r="Q321" i="7" s="1"/>
  <c r="R321" i="7" s="1"/>
  <c r="S321" i="7" s="1"/>
  <c r="O333" i="7"/>
  <c r="Q333" i="7" s="1" a="1"/>
  <c r="Q333" i="7" s="1"/>
  <c r="R333" i="7" s="1"/>
  <c r="S333" i="7" s="1"/>
  <c r="O317" i="7"/>
  <c r="Q317" i="7" s="1" a="1"/>
  <c r="Q317" i="7" s="1"/>
  <c r="R317" i="7" s="1"/>
  <c r="S317" i="7" s="1"/>
  <c r="O332" i="7"/>
  <c r="Q332" i="7" s="1" a="1"/>
  <c r="Q332" i="7" s="1"/>
  <c r="R332" i="7" s="1"/>
  <c r="S332" i="7" s="1"/>
  <c r="O211" i="7"/>
  <c r="Q211" i="7" s="1" a="1"/>
  <c r="Q211" i="7" s="1"/>
  <c r="R211" i="7" s="1"/>
  <c r="S211" i="7" s="1"/>
  <c r="O331" i="7"/>
  <c r="Q331" i="7" s="1" a="1"/>
  <c r="Q331" i="7" s="1"/>
  <c r="R331" i="7" s="1"/>
  <c r="S331" i="7" s="1"/>
  <c r="O329" i="7"/>
  <c r="Q329" i="7" s="1" a="1"/>
  <c r="Q329" i="7" s="1"/>
  <c r="R329" i="7" s="1"/>
  <c r="S329" i="7" s="1"/>
  <c r="O328" i="7"/>
  <c r="Q328" i="7" s="1" a="1"/>
  <c r="Q328" i="7" s="1"/>
  <c r="R328" i="7" s="1"/>
  <c r="S328" i="7" s="1"/>
  <c r="O327" i="7"/>
  <c r="Q327" i="7" s="1" a="1"/>
  <c r="Q327" i="7" s="1"/>
  <c r="R327" i="7" s="1"/>
  <c r="S327" i="7" s="1"/>
  <c r="O325" i="7"/>
  <c r="Q325" i="7" s="1" a="1"/>
  <c r="Q325" i="7" s="1"/>
  <c r="R325" i="7" s="1"/>
  <c r="S325" i="7" s="1"/>
  <c r="O324" i="7"/>
  <c r="Q324" i="7" s="1" a="1"/>
  <c r="Q324" i="7" s="1"/>
  <c r="R324" i="7" s="1"/>
  <c r="S324" i="7" s="1"/>
  <c r="O314" i="7"/>
  <c r="Q314" i="7" s="1" a="1"/>
  <c r="Q314" i="7" s="1"/>
  <c r="R314" i="7" s="1"/>
  <c r="S314" i="7" s="1"/>
  <c r="O326" i="7"/>
  <c r="Q326" i="7" s="1" a="1"/>
  <c r="Q326" i="7" s="1"/>
  <c r="R326" i="7" s="1"/>
  <c r="S326" i="7" s="1"/>
  <c r="O322" i="7"/>
  <c r="Q322" i="7" s="1" a="1"/>
  <c r="Q322" i="7" s="1"/>
  <c r="R322" i="7" s="1"/>
  <c r="S322" i="7" s="1"/>
  <c r="N486" i="3"/>
  <c r="O125" i="7"/>
  <c r="Q125" i="7" s="1" a="1"/>
  <c r="Q125" i="7" s="1"/>
  <c r="R125" i="7" s="1"/>
  <c r="S125" i="7" s="1"/>
  <c r="L497" i="3"/>
  <c r="O122" i="7"/>
  <c r="Q122" i="7" s="1" a="1"/>
  <c r="Q122" i="7" s="1"/>
  <c r="R122" i="7" s="1"/>
  <c r="S122" i="7" s="1"/>
  <c r="L504" i="3"/>
  <c r="N508" i="3"/>
  <c r="L515" i="3"/>
  <c r="N523" i="3"/>
  <c r="O53" i="7"/>
  <c r="Q53" i="7" s="1" a="1"/>
  <c r="Q53" i="7" s="1"/>
  <c r="R53" i="7" s="1"/>
  <c r="S53" i="7" s="1"/>
  <c r="N534" i="3"/>
  <c r="L545" i="3"/>
  <c r="O153" i="7"/>
  <c r="Q153" i="7" s="1" a="1"/>
  <c r="Q153" i="7" s="1"/>
  <c r="R153" i="7" s="1"/>
  <c r="S153" i="7" s="1"/>
  <c r="L556" i="3"/>
  <c r="O240" i="7"/>
  <c r="Q240" i="7" s="1" a="1"/>
  <c r="Q240" i="7" s="1"/>
  <c r="R240" i="7" s="1"/>
  <c r="S240" i="7" s="1"/>
  <c r="L581" i="3"/>
  <c r="O201" i="7"/>
  <c r="Q201" i="7" s="1" a="1"/>
  <c r="Q201" i="7" s="1"/>
  <c r="R201" i="7" s="1"/>
  <c r="S201" i="7" s="1"/>
  <c r="N13" i="3"/>
  <c r="N20" i="3"/>
  <c r="L30" i="3"/>
  <c r="N37" i="3"/>
  <c r="O243" i="7"/>
  <c r="Q243" i="7" s="1" a="1"/>
  <c r="Q243" i="7" s="1"/>
  <c r="R243" i="7" s="1"/>
  <c r="S243" i="7" s="1"/>
  <c r="N44" i="3"/>
  <c r="O15" i="7" s="1"/>
  <c r="Q15" i="7" s="1" a="1"/>
  <c r="Q15" i="7" s="1"/>
  <c r="R15" i="7" s="1"/>
  <c r="S15" i="7" s="1"/>
  <c r="L54" i="3"/>
  <c r="O214" i="7"/>
  <c r="Q214" i="7" s="1" a="1"/>
  <c r="Q214" i="7" s="1"/>
  <c r="R214" i="7" s="1"/>
  <c r="S214" i="7" s="1"/>
  <c r="N61" i="3"/>
  <c r="O242" i="7"/>
  <c r="Q242" i="7" s="1" a="1"/>
  <c r="Q242" i="7" s="1"/>
  <c r="R242" i="7" s="1"/>
  <c r="S242" i="7" s="1"/>
  <c r="N68" i="3"/>
  <c r="L78" i="3"/>
  <c r="N85" i="3"/>
  <c r="O25" i="7" s="1"/>
  <c r="Q25" i="7" s="1" a="1"/>
  <c r="Q25" i="7" s="1"/>
  <c r="R25" i="7" s="1"/>
  <c r="S25" i="7" s="1"/>
  <c r="N92" i="3"/>
  <c r="O16" i="7" s="1"/>
  <c r="Q16" i="7" s="1" a="1"/>
  <c r="Q16" i="7" s="1"/>
  <c r="R16" i="7" s="1"/>
  <c r="S16" i="7" s="1"/>
  <c r="L102" i="3"/>
  <c r="N109" i="3"/>
  <c r="N116" i="3"/>
  <c r="L130" i="3"/>
  <c r="N145" i="3"/>
  <c r="O41" i="7" s="1"/>
  <c r="Q41" i="7" s="1" a="1"/>
  <c r="Q41" i="7" s="1"/>
  <c r="R41" i="7" s="1"/>
  <c r="S41" i="7" s="1"/>
  <c r="N156" i="3"/>
  <c r="L170" i="3"/>
  <c r="N184" i="3"/>
  <c r="N199" i="3"/>
  <c r="N210" i="3"/>
  <c r="N231" i="3"/>
  <c r="O257" i="7"/>
  <c r="Q257" i="7" s="1" a="1"/>
  <c r="Q257" i="7" s="1"/>
  <c r="R257" i="7" s="1"/>
  <c r="S257" i="7" s="1"/>
  <c r="L241" i="3"/>
  <c r="N248" i="3"/>
  <c r="N255" i="3"/>
  <c r="L265" i="3"/>
  <c r="N283" i="3"/>
  <c r="L293" i="3"/>
  <c r="N300" i="3"/>
  <c r="N307" i="3"/>
  <c r="L317" i="3"/>
  <c r="N324" i="3"/>
  <c r="N331" i="3"/>
  <c r="L341" i="3"/>
  <c r="O67" i="7"/>
  <c r="Q67" i="7" s="1" a="1"/>
  <c r="Q67" i="7" s="1"/>
  <c r="R67" i="7" s="1"/>
  <c r="S67" i="7" s="1"/>
  <c r="O205" i="7"/>
  <c r="Q205" i="7" s="1" a="1"/>
  <c r="Q205" i="7" s="1"/>
  <c r="R205" i="7" s="1"/>
  <c r="S205" i="7" s="1"/>
  <c r="N348" i="3"/>
  <c r="O265" i="7" s="1"/>
  <c r="Q265" i="7" s="1" a="1"/>
  <c r="Q265" i="7" s="1"/>
  <c r="R265" i="7" s="1"/>
  <c r="S265" i="7" s="1"/>
  <c r="N355" i="3"/>
  <c r="L365" i="3"/>
  <c r="N372" i="3"/>
  <c r="O75" i="7"/>
  <c r="Q75" i="7" s="1" a="1"/>
  <c r="Q75" i="7" s="1"/>
  <c r="R75" i="7" s="1"/>
  <c r="S75" i="7" s="1"/>
  <c r="N379" i="3"/>
  <c r="O81" i="7"/>
  <c r="Q81" i="7" s="1" a="1"/>
  <c r="Q81" i="7" s="1"/>
  <c r="R81" i="7" s="1"/>
  <c r="S81" i="7" s="1"/>
  <c r="L389" i="3"/>
  <c r="N396" i="3"/>
  <c r="N403" i="3"/>
  <c r="O71" i="7"/>
  <c r="Q71" i="7" s="1" a="1"/>
  <c r="Q71" i="7" s="1"/>
  <c r="R71" i="7" s="1"/>
  <c r="S71" i="7" s="1"/>
  <c r="L413" i="3"/>
  <c r="O76" i="7"/>
  <c r="Q76" i="7" s="1" a="1"/>
  <c r="Q76" i="7" s="1"/>
  <c r="R76" i="7" s="1"/>
  <c r="S76" i="7" s="1"/>
  <c r="N420" i="3"/>
  <c r="N427" i="3"/>
  <c r="O107" i="7"/>
  <c r="Q107" i="7" s="1" a="1"/>
  <c r="Q107" i="7" s="1"/>
  <c r="R107" i="7" s="1"/>
  <c r="S107" i="7" s="1"/>
  <c r="L437" i="3"/>
  <c r="O10" i="7"/>
  <c r="Q10" i="7" s="1" a="1"/>
  <c r="Q10" i="7" s="1"/>
  <c r="R10" i="7" s="1"/>
  <c r="S10" i="7" s="1"/>
  <c r="N444" i="3"/>
  <c r="N451" i="3"/>
  <c r="O101" i="7"/>
  <c r="Q101" i="7" s="1" a="1"/>
  <c r="Q101" i="7" s="1"/>
  <c r="R101" i="7" s="1"/>
  <c r="S101" i="7" s="1"/>
  <c r="L461" i="3"/>
  <c r="L468" i="3"/>
  <c r="N479" i="3"/>
  <c r="N490" i="3"/>
  <c r="O117" i="7"/>
  <c r="Q117" i="7" s="1" a="1"/>
  <c r="Q117" i="7" s="1"/>
  <c r="R117" i="7" s="1"/>
  <c r="S117" i="7" s="1"/>
  <c r="L501" i="3"/>
  <c r="O34" i="7"/>
  <c r="Q34" i="7" s="1" a="1"/>
  <c r="Q34" i="7" s="1"/>
  <c r="R34" i="7" s="1"/>
  <c r="S34" i="7" s="1"/>
  <c r="L508" i="3"/>
  <c r="N512" i="3"/>
  <c r="O156" i="7"/>
  <c r="Q156" i="7" s="1" a="1"/>
  <c r="Q156" i="7" s="1"/>
  <c r="R156" i="7" s="1"/>
  <c r="S156" i="7" s="1"/>
  <c r="N527" i="3"/>
  <c r="N538" i="3"/>
  <c r="L549" i="3"/>
  <c r="O108" i="7"/>
  <c r="Q108" i="7" s="1" a="1"/>
  <c r="Q108" i="7" s="1"/>
  <c r="R108" i="7" s="1"/>
  <c r="S108" i="7" s="1"/>
  <c r="L560" i="3"/>
  <c r="N571" i="3"/>
  <c r="O198" i="7"/>
  <c r="Q198" i="7" s="1" a="1"/>
  <c r="Q198" i="7" s="1"/>
  <c r="R198" i="7" s="1"/>
  <c r="S198" i="7" s="1"/>
  <c r="N338" i="3"/>
  <c r="N362" i="3"/>
  <c r="N386" i="3"/>
  <c r="O130" i="7"/>
  <c r="Q130" i="7" s="1" a="1"/>
  <c r="Q130" i="7" s="1"/>
  <c r="R130" i="7" s="1"/>
  <c r="S130" i="7" s="1"/>
  <c r="N410" i="3"/>
  <c r="O256" i="7"/>
  <c r="Q256" i="7" s="1" a="1"/>
  <c r="Q256" i="7" s="1"/>
  <c r="R256" i="7" s="1"/>
  <c r="S256" i="7" s="1"/>
  <c r="N434" i="3"/>
  <c r="N458" i="3"/>
  <c r="O110" i="7"/>
  <c r="Q110" i="7" s="1" a="1"/>
  <c r="Q110" i="7" s="1"/>
  <c r="R110" i="7" s="1"/>
  <c r="S110" i="7" s="1"/>
  <c r="N494" i="3"/>
  <c r="O121" i="7"/>
  <c r="Q121" i="7" s="1" a="1"/>
  <c r="Q121" i="7" s="1"/>
  <c r="R121" i="7" s="1"/>
  <c r="S121" i="7" s="1"/>
  <c r="L505" i="3"/>
  <c r="O48" i="7"/>
  <c r="Q48" i="7" s="1" a="1"/>
  <c r="Q48" i="7" s="1"/>
  <c r="R48" i="7" s="1"/>
  <c r="S48" i="7" s="1"/>
  <c r="N516" i="3"/>
  <c r="O137" i="7"/>
  <c r="Q137" i="7" s="1" a="1"/>
  <c r="Q137" i="7" s="1"/>
  <c r="R137" i="7" s="1"/>
  <c r="S137" i="7" s="1"/>
  <c r="N531" i="3"/>
  <c r="O193" i="7"/>
  <c r="Q193" i="7" s="1" a="1"/>
  <c r="Q193" i="7" s="1"/>
  <c r="R193" i="7" s="1"/>
  <c r="S193" i="7" s="1"/>
  <c r="L553" i="3"/>
  <c r="L564" i="3"/>
  <c r="N546" i="3"/>
  <c r="O100" i="7"/>
  <c r="Q100" i="7" s="1" a="1"/>
  <c r="Q100" i="7" s="1"/>
  <c r="R100" i="7" s="1"/>
  <c r="S100" i="7" s="1"/>
  <c r="L472" i="3"/>
  <c r="N476" i="3"/>
  <c r="O338" i="7"/>
  <c r="Q338" i="7" s="1" a="1"/>
  <c r="Q338" i="7" s="1"/>
  <c r="R338" i="7" s="1"/>
  <c r="S338" i="7" s="1"/>
  <c r="O336" i="7"/>
  <c r="Q336" i="7" s="1" a="1"/>
  <c r="Q336" i="7" s="1"/>
  <c r="R336" i="7" s="1"/>
  <c r="S336" i="7" s="1"/>
  <c r="L483" i="3"/>
  <c r="N491" i="3"/>
  <c r="O149" i="7"/>
  <c r="Q149" i="7" s="1" a="1"/>
  <c r="Q149" i="7" s="1"/>
  <c r="R149" i="7" s="1"/>
  <c r="S149" i="7" s="1"/>
  <c r="N502" i="3"/>
  <c r="O9" i="7"/>
  <c r="Q9" i="7" s="1" a="1"/>
  <c r="Q9" i="7" s="1"/>
  <c r="R9" i="7" s="1"/>
  <c r="S9" i="7" s="1"/>
  <c r="O46" i="7"/>
  <c r="Q46" i="7" s="1" a="1"/>
  <c r="Q46" i="7" s="1"/>
  <c r="R46" i="7" s="1"/>
  <c r="S46" i="7" s="1"/>
  <c r="L520" i="3"/>
  <c r="L531" i="3"/>
  <c r="N539" i="3"/>
  <c r="L561" i="3"/>
  <c r="O196" i="7"/>
  <c r="Q196" i="7" s="1" a="1"/>
  <c r="Q196" i="7" s="1"/>
  <c r="R196" i="7" s="1"/>
  <c r="S196" i="7" s="1"/>
  <c r="N178" i="3"/>
  <c r="L189" i="3"/>
  <c r="O96" i="7"/>
  <c r="Q96" i="7" s="1" a="1"/>
  <c r="Q96" i="7" s="1"/>
  <c r="R96" i="7" s="1"/>
  <c r="S96" i="7" s="1"/>
  <c r="L196" i="3"/>
  <c r="N200" i="3"/>
  <c r="N218" i="3"/>
  <c r="O235" i="7" s="1"/>
  <c r="Q235" i="7" s="1" a="1"/>
  <c r="Q235" i="7" s="1"/>
  <c r="R235" i="7" s="1"/>
  <c r="S235" i="7" s="1"/>
  <c r="N232" i="3"/>
  <c r="N239" i="3"/>
  <c r="N256" i="3"/>
  <c r="N263" i="3"/>
  <c r="O54" i="7"/>
  <c r="Q54" i="7" s="1" a="1"/>
  <c r="Q54" i="7" s="1"/>
  <c r="R54" i="7" s="1"/>
  <c r="S54" i="7" s="1"/>
  <c r="N270" i="3"/>
  <c r="N284" i="3"/>
  <c r="O200" i="7"/>
  <c r="Q200" i="7" s="1" a="1"/>
  <c r="Q200" i="7" s="1"/>
  <c r="R200" i="7" s="1"/>
  <c r="S200" i="7" s="1"/>
  <c r="N291" i="3"/>
  <c r="N308" i="3"/>
  <c r="O295" i="7" s="1"/>
  <c r="Q295" i="7" s="1" a="1"/>
  <c r="Q295" i="7" s="1"/>
  <c r="R295" i="7" s="1"/>
  <c r="S295" i="7" s="1"/>
  <c r="N315" i="3"/>
  <c r="N332" i="3"/>
  <c r="N339" i="3"/>
  <c r="O217" i="7"/>
  <c r="Q217" i="7" s="1" a="1"/>
  <c r="Q217" i="7" s="1"/>
  <c r="R217" i="7" s="1"/>
  <c r="S217" i="7" s="1"/>
  <c r="N356" i="3"/>
  <c r="O61" i="7"/>
  <c r="Q61" i="7" s="1" a="1"/>
  <c r="Q61" i="7" s="1"/>
  <c r="R61" i="7" s="1"/>
  <c r="S61" i="7" s="1"/>
  <c r="N363" i="3"/>
  <c r="L373" i="3"/>
  <c r="O74" i="7"/>
  <c r="Q74" i="7" s="1" a="1"/>
  <c r="Q74" i="7" s="1"/>
  <c r="R74" i="7" s="1"/>
  <c r="S74" i="7" s="1"/>
  <c r="N380" i="3"/>
  <c r="O87" i="7"/>
  <c r="Q87" i="7" s="1" a="1"/>
  <c r="Q87" i="7" s="1"/>
  <c r="R87" i="7" s="1"/>
  <c r="S87" i="7" s="1"/>
  <c r="N387" i="3"/>
  <c r="O131" i="7"/>
  <c r="Q131" i="7" s="1" a="1"/>
  <c r="Q131" i="7" s="1"/>
  <c r="R131" i="7" s="1"/>
  <c r="S131" i="7" s="1"/>
  <c r="L397" i="3"/>
  <c r="O99" i="7"/>
  <c r="Q99" i="7" s="1" a="1"/>
  <c r="Q99" i="7" s="1"/>
  <c r="R99" i="7" s="1"/>
  <c r="S99" i="7" s="1"/>
  <c r="N404" i="3"/>
  <c r="O86" i="7"/>
  <c r="Q86" i="7" s="1" a="1"/>
  <c r="Q86" i="7" s="1"/>
  <c r="R86" i="7" s="1"/>
  <c r="S86" i="7" s="1"/>
  <c r="N411" i="3"/>
  <c r="N428" i="3"/>
  <c r="N435" i="3"/>
  <c r="N452" i="3"/>
  <c r="O105" i="7"/>
  <c r="Q105" i="7" s="1" a="1"/>
  <c r="Q105" i="7" s="1"/>
  <c r="R105" i="7" s="1"/>
  <c r="S105" i="7" s="1"/>
  <c r="N459" i="3"/>
  <c r="L476" i="3"/>
  <c r="N480" i="3"/>
  <c r="N495" i="3"/>
  <c r="O119" i="7"/>
  <c r="Q119" i="7" s="1" a="1"/>
  <c r="Q119" i="7" s="1"/>
  <c r="R119" i="7" s="1"/>
  <c r="S119" i="7" s="1"/>
  <c r="N506" i="3"/>
  <c r="L517" i="3"/>
  <c r="O52" i="7"/>
  <c r="Q52" i="7" s="1" a="1"/>
  <c r="Q52" i="7" s="1"/>
  <c r="R52" i="7" s="1"/>
  <c r="S52" i="7" s="1"/>
  <c r="N528" i="3"/>
  <c r="N543" i="3"/>
  <c r="N554" i="3"/>
  <c r="L572" i="3"/>
  <c r="O199" i="7"/>
  <c r="Q199" i="7" s="1" a="1"/>
  <c r="Q199" i="7" s="1"/>
  <c r="R199" i="7" s="1"/>
  <c r="S199" i="7" s="1"/>
  <c r="L575" i="3"/>
  <c r="N586" i="3"/>
  <c r="O204" i="7"/>
  <c r="Q204" i="7" s="1" a="1"/>
  <c r="Q204" i="7" s="1"/>
  <c r="R204" i="7" s="1"/>
  <c r="S204" i="7" s="1"/>
  <c r="L142" i="3"/>
  <c r="N146" i="3"/>
  <c r="O42" i="7" s="1"/>
  <c r="Q42" i="7" s="1" a="1"/>
  <c r="Q42" i="7" s="1"/>
  <c r="R42" i="7" s="1"/>
  <c r="S42" i="7" s="1"/>
  <c r="N161" i="3"/>
  <c r="O225" i="7" s="1"/>
  <c r="Q225" i="7" s="1" a="1"/>
  <c r="Q225" i="7" s="1"/>
  <c r="R225" i="7" s="1"/>
  <c r="S225" i="7" s="1"/>
  <c r="L11" i="3"/>
  <c r="L35" i="3"/>
  <c r="L59" i="3"/>
  <c r="O231" i="7"/>
  <c r="Q231" i="7" s="1" a="1"/>
  <c r="Q231" i="7" s="1"/>
  <c r="R231" i="7" s="1"/>
  <c r="S231" i="7" s="1"/>
  <c r="L83" i="3"/>
  <c r="L107" i="3"/>
  <c r="O5" i="7"/>
  <c r="N128" i="3"/>
  <c r="O78" i="7" s="1"/>
  <c r="Q78" i="7" s="1" a="1"/>
  <c r="Q78" i="7" s="1"/>
  <c r="R78" i="7" s="1"/>
  <c r="S78" i="7" s="1"/>
  <c r="L139" i="3"/>
  <c r="L146" i="3"/>
  <c r="N150" i="3"/>
  <c r="N165" i="3"/>
  <c r="N168" i="3"/>
  <c r="N182" i="3"/>
  <c r="L193" i="3"/>
  <c r="L200" i="3"/>
  <c r="N204" i="3"/>
  <c r="N215" i="3"/>
  <c r="N246" i="3"/>
  <c r="N298" i="3"/>
  <c r="N322" i="3"/>
  <c r="N346" i="3"/>
  <c r="O89" i="7"/>
  <c r="Q89" i="7" s="1" a="1"/>
  <c r="Q89" i="7" s="1"/>
  <c r="R89" i="7" s="1"/>
  <c r="S89" i="7" s="1"/>
  <c r="N370" i="3"/>
  <c r="O72" i="7"/>
  <c r="Q72" i="7" s="1" a="1"/>
  <c r="Q72" i="7" s="1"/>
  <c r="R72" i="7" s="1"/>
  <c r="S72" i="7" s="1"/>
  <c r="N394" i="3"/>
  <c r="O139" i="7"/>
  <c r="Q139" i="7" s="1" a="1"/>
  <c r="Q139" i="7" s="1"/>
  <c r="R139" i="7" s="1"/>
  <c r="S139" i="7" s="1"/>
  <c r="N418" i="3"/>
  <c r="N442" i="3"/>
  <c r="L466" i="3"/>
  <c r="O319" i="7"/>
  <c r="Q319" i="7" s="1" a="1"/>
  <c r="Q319" i="7" s="1"/>
  <c r="R319" i="7" s="1"/>
  <c r="S319" i="7" s="1"/>
  <c r="O330" i="7"/>
  <c r="Q330" i="7" s="1" a="1"/>
  <c r="Q330" i="7" s="1"/>
  <c r="R330" i="7" s="1"/>
  <c r="S330" i="7" s="1"/>
  <c r="L473" i="3"/>
  <c r="L480" i="3"/>
  <c r="N484" i="3"/>
  <c r="L491" i="3"/>
  <c r="N499" i="3"/>
  <c r="O50" i="7"/>
  <c r="Q50" i="7" s="1" a="1"/>
  <c r="Q50" i="7" s="1"/>
  <c r="R50" i="7" s="1"/>
  <c r="S50" i="7" s="1"/>
  <c r="N510" i="3"/>
  <c r="L521" i="3"/>
  <c r="O136" i="7"/>
  <c r="Q136" i="7" s="1" a="1"/>
  <c r="Q136" i="7" s="1"/>
  <c r="R136" i="7" s="1"/>
  <c r="S136" i="7" s="1"/>
  <c r="L528" i="3"/>
  <c r="N532" i="3"/>
  <c r="L539" i="3"/>
  <c r="N547" i="3"/>
  <c r="O103" i="7"/>
  <c r="Q103" i="7" s="1" a="1"/>
  <c r="Q103" i="7" s="1"/>
  <c r="R103" i="7" s="1"/>
  <c r="S103" i="7" s="1"/>
  <c r="N558" i="3"/>
  <c r="L569" i="3"/>
  <c r="O186" i="7"/>
  <c r="Q186" i="7" s="1" a="1"/>
  <c r="Q186" i="7" s="1"/>
  <c r="R186" i="7" s="1"/>
  <c r="S186" i="7" s="1"/>
  <c r="N456" i="3"/>
  <c r="O112" i="7"/>
  <c r="Q112" i="7" s="1" a="1"/>
  <c r="Q112" i="7" s="1"/>
  <c r="R112" i="7" s="1"/>
  <c r="S112" i="7" s="1"/>
  <c r="N488" i="3"/>
  <c r="O126" i="7"/>
  <c r="Q126" i="7" s="1" a="1"/>
  <c r="Q126" i="7" s="1"/>
  <c r="R126" i="7" s="1"/>
  <c r="S126" i="7" s="1"/>
  <c r="N514" i="3"/>
  <c r="O157" i="7"/>
  <c r="Q157" i="7" s="1" a="1"/>
  <c r="Q157" i="7" s="1"/>
  <c r="R157" i="7" s="1"/>
  <c r="S157" i="7" s="1"/>
  <c r="L525" i="3"/>
  <c r="N536" i="3"/>
  <c r="N551" i="3"/>
  <c r="O141" i="7"/>
  <c r="Q141" i="7" s="1" a="1"/>
  <c r="Q141" i="7" s="1"/>
  <c r="R141" i="7" s="1"/>
  <c r="S141" i="7" s="1"/>
  <c r="N562" i="3"/>
  <c r="L579" i="3"/>
  <c r="N583" i="3"/>
  <c r="O207" i="7"/>
  <c r="Q207" i="7" s="1" a="1"/>
  <c r="Q207" i="7" s="1"/>
  <c r="R207" i="7" s="1"/>
  <c r="S207" i="7" s="1"/>
  <c r="N2" i="3"/>
  <c r="N6" i="3"/>
  <c r="O20" i="7" s="1"/>
  <c r="Q20" i="7" s="1" a="1"/>
  <c r="Q20" i="7" s="1"/>
  <c r="R20" i="7" s="1"/>
  <c r="S20" i="7" s="1"/>
  <c r="N10" i="3"/>
  <c r="N14" i="3"/>
  <c r="O14" i="7" s="1"/>
  <c r="Q14" i="7" s="1" a="1"/>
  <c r="Q14" i="7" s="1"/>
  <c r="R14" i="7" s="1"/>
  <c r="S14" i="7" s="1"/>
  <c r="N18" i="3"/>
  <c r="N22" i="3"/>
  <c r="N26" i="3"/>
  <c r="N30" i="3"/>
  <c r="N34" i="3"/>
  <c r="N38" i="3"/>
  <c r="N42" i="3"/>
  <c r="N46" i="3"/>
  <c r="N50" i="3"/>
  <c r="N54" i="3"/>
  <c r="N58" i="3"/>
  <c r="N62" i="3"/>
  <c r="N66" i="3"/>
  <c r="N70" i="3"/>
  <c r="O57" i="7" s="1"/>
  <c r="Q57" i="7" s="1" a="1"/>
  <c r="Q57" i="7" s="1"/>
  <c r="R57" i="7" s="1"/>
  <c r="S57" i="7" s="1"/>
  <c r="N74" i="3"/>
  <c r="N78" i="3"/>
  <c r="N82" i="3"/>
  <c r="O22" i="7" s="1"/>
  <c r="Q22" i="7" s="1" a="1"/>
  <c r="Q22" i="7" s="1"/>
  <c r="R22" i="7" s="1"/>
  <c r="S22" i="7" s="1"/>
  <c r="N86" i="3"/>
  <c r="O55" i="7" s="1"/>
  <c r="Q55" i="7" s="1" a="1"/>
  <c r="Q55" i="7" s="1"/>
  <c r="R55" i="7" s="1"/>
  <c r="S55" i="7" s="1"/>
  <c r="N90" i="3"/>
  <c r="O56" i="7" s="1"/>
  <c r="Q56" i="7" s="1" a="1"/>
  <c r="Q56" i="7" s="1"/>
  <c r="R56" i="7" s="1"/>
  <c r="S56" i="7" s="1"/>
  <c r="N94" i="3"/>
  <c r="N98" i="3"/>
  <c r="N102" i="3"/>
  <c r="N106" i="3"/>
  <c r="N110" i="3"/>
  <c r="N114" i="3"/>
  <c r="N118" i="3"/>
  <c r="N122" i="3"/>
  <c r="L124" i="3"/>
  <c r="N126" i="3"/>
  <c r="L128" i="3"/>
  <c r="N130" i="3"/>
  <c r="L132" i="3"/>
  <c r="L136" i="3"/>
  <c r="L140" i="3"/>
  <c r="L144" i="3"/>
  <c r="L148" i="3"/>
  <c r="L152" i="3"/>
  <c r="L156" i="3"/>
  <c r="L160" i="3"/>
  <c r="L164" i="3"/>
  <c r="L166" i="3"/>
  <c r="N167" i="3"/>
  <c r="L169" i="3"/>
  <c r="N171" i="3"/>
  <c r="L173" i="3"/>
  <c r="N174" i="3"/>
  <c r="L174" i="3"/>
  <c r="N3" i="3"/>
  <c r="N7" i="3"/>
  <c r="N11" i="3"/>
  <c r="N15" i="3"/>
  <c r="O13" i="7" s="1"/>
  <c r="Q13" i="7" s="1" a="1"/>
  <c r="Q13" i="7" s="1"/>
  <c r="R13" i="7" s="1"/>
  <c r="S13" i="7" s="1"/>
  <c r="N19" i="3"/>
  <c r="N23" i="3"/>
  <c r="N27" i="3"/>
  <c r="N31" i="3"/>
  <c r="N35" i="3"/>
  <c r="N39" i="3"/>
  <c r="N43" i="3"/>
  <c r="N47" i="3"/>
  <c r="N51" i="3"/>
  <c r="N55" i="3"/>
  <c r="N59" i="3"/>
  <c r="N63" i="3"/>
  <c r="N67" i="3"/>
  <c r="O30" i="7" s="1"/>
  <c r="Q30" i="7" s="1" a="1"/>
  <c r="Q30" i="7" s="1"/>
  <c r="R30" i="7" s="1"/>
  <c r="S30" i="7" s="1"/>
  <c r="N71" i="3"/>
  <c r="O39" i="7" s="1"/>
  <c r="Q39" i="7" s="1" a="1"/>
  <c r="Q39" i="7" s="1"/>
  <c r="R39" i="7" s="1"/>
  <c r="S39" i="7" s="1"/>
  <c r="N75" i="3"/>
  <c r="N79" i="3"/>
  <c r="O253" i="7" s="1"/>
  <c r="Q253" i="7" s="1" a="1"/>
  <c r="Q253" i="7" s="1"/>
  <c r="R253" i="7" s="1"/>
  <c r="S253" i="7" s="1"/>
  <c r="N83" i="3"/>
  <c r="O31" i="7" s="1"/>
  <c r="Q31" i="7" s="1" a="1"/>
  <c r="Q31" i="7" s="1"/>
  <c r="R31" i="7" s="1"/>
  <c r="S31" i="7" s="1"/>
  <c r="N87" i="3"/>
  <c r="O38" i="7" s="1"/>
  <c r="Q38" i="7" s="1" a="1"/>
  <c r="Q38" i="7" s="1"/>
  <c r="R38" i="7" s="1"/>
  <c r="S38" i="7" s="1"/>
  <c r="N91" i="3"/>
  <c r="O29" i="7" s="1"/>
  <c r="Q29" i="7" s="1" a="1"/>
  <c r="Q29" i="7" s="1"/>
  <c r="R29" i="7" s="1"/>
  <c r="S29" i="7" s="1"/>
  <c r="N95" i="3"/>
  <c r="N99" i="3"/>
  <c r="N103" i="3"/>
  <c r="N107" i="3"/>
  <c r="N111" i="3"/>
  <c r="N115" i="3"/>
  <c r="N119" i="3"/>
  <c r="N123" i="3"/>
  <c r="O254" i="7" s="1"/>
  <c r="Q254" i="7" s="1" a="1"/>
  <c r="Q254" i="7" s="1"/>
  <c r="R254" i="7" s="1"/>
  <c r="S254" i="7" s="1"/>
  <c r="N127" i="3"/>
  <c r="O77" i="7" s="1"/>
  <c r="Q77" i="7" s="1" a="1"/>
  <c r="Q77" i="7" s="1"/>
  <c r="R77" i="7" s="1"/>
  <c r="S77" i="7" s="1"/>
  <c r="N131" i="3"/>
  <c r="N135" i="3"/>
  <c r="N139" i="3"/>
  <c r="N143" i="3"/>
  <c r="N147" i="3"/>
  <c r="O37" i="7" s="1"/>
  <c r="Q37" i="7" s="1" a="1"/>
  <c r="Q37" i="7" s="1"/>
  <c r="R37" i="7" s="1"/>
  <c r="S37" i="7" s="1"/>
  <c r="N151" i="3"/>
  <c r="N155" i="3"/>
  <c r="N159" i="3"/>
  <c r="N163" i="3"/>
  <c r="O269" i="7" s="1"/>
  <c r="Q269" i="7" s="1" a="1"/>
  <c r="Q269" i="7" s="1"/>
  <c r="R269" i="7" s="1"/>
  <c r="S269" i="7" s="1"/>
  <c r="L178" i="3"/>
  <c r="L182" i="3"/>
  <c r="L186" i="3"/>
  <c r="L190" i="3"/>
  <c r="L194" i="3"/>
  <c r="L198" i="3"/>
  <c r="L202" i="3"/>
  <c r="L206" i="3"/>
  <c r="L210" i="3"/>
  <c r="L214" i="3"/>
  <c r="L218" i="3"/>
  <c r="L222" i="3"/>
  <c r="L226" i="3"/>
  <c r="L230" i="3"/>
  <c r="L234" i="3"/>
  <c r="L238" i="3"/>
  <c r="L242" i="3"/>
  <c r="L246" i="3"/>
  <c r="L250" i="3"/>
  <c r="L254" i="3"/>
  <c r="L258" i="3"/>
  <c r="L262" i="3"/>
  <c r="L266" i="3"/>
  <c r="L270" i="3"/>
  <c r="L274" i="3"/>
  <c r="L278" i="3"/>
  <c r="L282" i="3"/>
  <c r="L286" i="3"/>
  <c r="L290" i="3"/>
  <c r="L294" i="3"/>
  <c r="L298" i="3"/>
  <c r="L302" i="3"/>
  <c r="L306" i="3"/>
  <c r="L310" i="3"/>
  <c r="L314" i="3"/>
  <c r="L318" i="3"/>
  <c r="L322" i="3"/>
  <c r="L326" i="3"/>
  <c r="L330" i="3"/>
  <c r="L334" i="3"/>
  <c r="L338" i="3"/>
  <c r="L342" i="3"/>
  <c r="L346" i="3"/>
  <c r="L350" i="3"/>
  <c r="L354" i="3"/>
  <c r="L358" i="3"/>
  <c r="L362" i="3"/>
  <c r="L366" i="3"/>
  <c r="L370" i="3"/>
  <c r="L374" i="3"/>
  <c r="L378" i="3"/>
  <c r="L382" i="3"/>
  <c r="L386" i="3"/>
  <c r="L390" i="3"/>
  <c r="L394" i="3"/>
  <c r="L398" i="3"/>
  <c r="L402" i="3"/>
  <c r="L406" i="3"/>
  <c r="L410" i="3"/>
  <c r="L414" i="3"/>
  <c r="L418" i="3"/>
  <c r="L422" i="3"/>
  <c r="L426" i="3"/>
  <c r="L430" i="3"/>
  <c r="L434" i="3"/>
  <c r="L438" i="3"/>
  <c r="L442" i="3"/>
  <c r="L446" i="3"/>
  <c r="L450" i="3"/>
  <c r="L454" i="3"/>
  <c r="L458" i="3"/>
  <c r="L462" i="3"/>
  <c r="L467" i="3"/>
  <c r="N473" i="3"/>
  <c r="N177" i="3"/>
  <c r="N181" i="3"/>
  <c r="N185" i="3"/>
  <c r="N189" i="3"/>
  <c r="N193" i="3"/>
  <c r="N197" i="3"/>
  <c r="N201" i="3"/>
  <c r="N205" i="3"/>
  <c r="N209" i="3"/>
  <c r="N213" i="3"/>
  <c r="N217" i="3"/>
  <c r="N221" i="3"/>
  <c r="O258" i="7" s="1"/>
  <c r="Q258" i="7" s="1" a="1"/>
  <c r="Q258" i="7" s="1"/>
  <c r="R258" i="7" s="1"/>
  <c r="S258" i="7" s="1"/>
  <c r="N225" i="3"/>
  <c r="N229" i="3"/>
  <c r="O282" i="7" s="1"/>
  <c r="Q282" i="7" s="1" a="1"/>
  <c r="Q282" i="7" s="1"/>
  <c r="R282" i="7" s="1"/>
  <c r="S282" i="7" s="1"/>
  <c r="N233" i="3"/>
  <c r="N237" i="3"/>
  <c r="N241" i="3"/>
  <c r="N245" i="3"/>
  <c r="N249" i="3"/>
  <c r="N253" i="3"/>
  <c r="N257" i="3"/>
  <c r="O289" i="7" s="1"/>
  <c r="Q289" i="7" s="1" a="1"/>
  <c r="Q289" i="7" s="1"/>
  <c r="R289" i="7" s="1"/>
  <c r="S289" i="7" s="1"/>
  <c r="N261" i="3"/>
  <c r="N265" i="3"/>
  <c r="O218" i="7" s="1"/>
  <c r="Q218" i="7" s="1" a="1"/>
  <c r="Q218" i="7" s="1"/>
  <c r="R218" i="7" s="1"/>
  <c r="S218" i="7" s="1"/>
  <c r="N269" i="3"/>
  <c r="N273" i="3"/>
  <c r="N277" i="3"/>
  <c r="N281" i="3"/>
  <c r="N285" i="3"/>
  <c r="N289" i="3"/>
  <c r="N293" i="3"/>
  <c r="O280" i="7" s="1"/>
  <c r="Q280" i="7" s="1" a="1"/>
  <c r="Q280" i="7" s="1"/>
  <c r="R280" i="7" s="1"/>
  <c r="S280" i="7" s="1"/>
  <c r="N297" i="3"/>
  <c r="O228" i="7" s="1"/>
  <c r="Q228" i="7" s="1" a="1"/>
  <c r="Q228" i="7" s="1"/>
  <c r="R228" i="7" s="1"/>
  <c r="S228" i="7" s="1"/>
  <c r="N301" i="3"/>
  <c r="N305" i="3"/>
  <c r="N309" i="3"/>
  <c r="N313" i="3"/>
  <c r="N317" i="3"/>
  <c r="N321" i="3"/>
  <c r="N325" i="3"/>
  <c r="N329" i="3"/>
  <c r="N333" i="3"/>
  <c r="N337" i="3"/>
  <c r="N341" i="3"/>
  <c r="N345" i="3"/>
  <c r="O278" i="7" s="1"/>
  <c r="Q278" i="7" s="1" a="1"/>
  <c r="Q278" i="7" s="1"/>
  <c r="R278" i="7" s="1"/>
  <c r="S278" i="7" s="1"/>
  <c r="N349" i="3"/>
  <c r="O270" i="7" s="1"/>
  <c r="Q270" i="7" s="1" a="1"/>
  <c r="Q270" i="7" s="1"/>
  <c r="R270" i="7" s="1"/>
  <c r="S270" i="7" s="1"/>
  <c r="N353" i="3"/>
  <c r="N357" i="3"/>
  <c r="N361" i="3"/>
  <c r="N365" i="3"/>
  <c r="N369" i="3"/>
  <c r="N373" i="3"/>
  <c r="N377" i="3"/>
  <c r="N381" i="3"/>
  <c r="N385" i="3"/>
  <c r="N389" i="3"/>
  <c r="N393" i="3"/>
  <c r="O146" i="7" s="1"/>
  <c r="Q146" i="7" s="1" a="1"/>
  <c r="Q146" i="7" s="1"/>
  <c r="R146" i="7" s="1"/>
  <c r="S146" i="7" s="1"/>
  <c r="N397" i="3"/>
  <c r="N401" i="3"/>
  <c r="N405" i="3"/>
  <c r="N409" i="3"/>
  <c r="N413" i="3"/>
  <c r="N417" i="3"/>
  <c r="N421" i="3"/>
  <c r="N425" i="3"/>
  <c r="N429" i="3"/>
  <c r="O297" i="7" s="1"/>
  <c r="Q297" i="7" s="1" a="1"/>
  <c r="Q297" i="7" s="1"/>
  <c r="R297" i="7" s="1"/>
  <c r="S297" i="7" s="1"/>
  <c r="N433" i="3"/>
  <c r="O293" i="7" s="1"/>
  <c r="Q293" i="7" s="1" a="1"/>
  <c r="Q293" i="7" s="1"/>
  <c r="R293" i="7" s="1"/>
  <c r="S293" i="7" s="1"/>
  <c r="N437" i="3"/>
  <c r="N441" i="3"/>
  <c r="N445" i="3"/>
  <c r="N449" i="3"/>
  <c r="N453" i="3"/>
  <c r="N457" i="3"/>
  <c r="N461" i="3"/>
  <c r="N465" i="3"/>
  <c r="N466" i="3"/>
  <c r="L474" i="3"/>
  <c r="L478" i="3"/>
  <c r="L482" i="3"/>
  <c r="L486" i="3"/>
  <c r="L490" i="3"/>
  <c r="L494" i="3"/>
  <c r="L498" i="3"/>
  <c r="L502" i="3"/>
  <c r="L506" i="3"/>
  <c r="L510" i="3"/>
  <c r="L514" i="3"/>
  <c r="L518" i="3"/>
  <c r="L522" i="3"/>
  <c r="L526" i="3"/>
  <c r="L530" i="3"/>
  <c r="L534" i="3"/>
  <c r="L538" i="3"/>
  <c r="L542" i="3"/>
  <c r="L546" i="3"/>
  <c r="L550" i="3"/>
  <c r="N552" i="3"/>
  <c r="L554" i="3"/>
  <c r="N556" i="3"/>
  <c r="L558" i="3"/>
  <c r="N560" i="3"/>
  <c r="L562" i="3"/>
  <c r="N564" i="3"/>
  <c r="L566" i="3"/>
  <c r="N568" i="3"/>
  <c r="N572" i="3"/>
  <c r="N576" i="3"/>
  <c r="N580" i="3"/>
  <c r="N584" i="3"/>
  <c r="L586" i="3"/>
  <c r="N477" i="3"/>
  <c r="N481" i="3"/>
  <c r="N485" i="3"/>
  <c r="N489" i="3"/>
  <c r="N493" i="3"/>
  <c r="N497" i="3"/>
  <c r="N501" i="3"/>
  <c r="N505" i="3"/>
  <c r="N509" i="3"/>
  <c r="N513" i="3"/>
  <c r="N517" i="3"/>
  <c r="N521" i="3"/>
  <c r="N525" i="3"/>
  <c r="N529" i="3"/>
  <c r="N533" i="3"/>
  <c r="N537" i="3"/>
  <c r="N541" i="3"/>
  <c r="N545" i="3"/>
  <c r="N549" i="3"/>
  <c r="N553" i="3"/>
  <c r="N557" i="3"/>
  <c r="N561" i="3"/>
  <c r="N565" i="3"/>
  <c r="N569" i="3"/>
  <c r="N573" i="3"/>
  <c r="N577" i="3"/>
  <c r="N581" i="3"/>
  <c r="N585" i="3"/>
  <c r="F180" i="7"/>
  <c r="F33" i="7"/>
  <c r="F129" i="7"/>
  <c r="F198" i="7"/>
  <c r="F130" i="7"/>
  <c r="F189" i="7"/>
  <c r="F193" i="7"/>
  <c r="F21" i="7"/>
  <c r="F142" i="7"/>
  <c r="F135" i="7"/>
  <c r="F323" i="7"/>
  <c r="F26" i="7"/>
  <c r="F43" i="7"/>
  <c r="F133" i="7"/>
  <c r="F243" i="7"/>
  <c r="F175" i="7"/>
  <c r="F289" i="7"/>
  <c r="F11" i="7"/>
  <c r="F307" i="7"/>
  <c r="F319" i="7"/>
  <c r="F230" i="7"/>
  <c r="F168" i="7"/>
  <c r="F99" i="7"/>
  <c r="F295" i="7"/>
  <c r="F239" i="7"/>
  <c r="F238" i="7"/>
  <c r="F201" i="7"/>
  <c r="F284" i="7"/>
  <c r="F231" i="7"/>
  <c r="F155" i="7"/>
  <c r="F150" i="7"/>
  <c r="F293" i="7"/>
  <c r="F327" i="7"/>
  <c r="F320" i="7"/>
  <c r="F138" i="7"/>
  <c r="F159" i="7"/>
  <c r="F288" i="7"/>
  <c r="F87" i="7"/>
  <c r="F178" i="7"/>
  <c r="F45" i="7"/>
  <c r="F140" i="7"/>
  <c r="F40" i="7"/>
  <c r="F79" i="7"/>
  <c r="F10" i="7"/>
  <c r="F241" i="7"/>
  <c r="F263" i="7"/>
  <c r="F185" i="7"/>
  <c r="F95" i="7"/>
  <c r="F234" i="7"/>
  <c r="F223" i="7"/>
  <c r="F250" i="7"/>
  <c r="F246" i="7"/>
  <c r="F14" i="7"/>
  <c r="F331" i="7"/>
  <c r="F62" i="7"/>
  <c r="F32" i="7"/>
  <c r="F66" i="7"/>
  <c r="F271" i="7"/>
  <c r="F109" i="7"/>
  <c r="F113" i="7"/>
  <c r="F54" i="7"/>
  <c r="F291" i="7"/>
  <c r="F209" i="7"/>
  <c r="F92" i="7"/>
  <c r="F233" i="7"/>
  <c r="F71" i="7"/>
  <c r="F326" i="7"/>
  <c r="F334" i="7"/>
  <c r="F146" i="7"/>
  <c r="F100" i="7"/>
  <c r="F128" i="7"/>
  <c r="F272" i="7"/>
  <c r="F296" i="7"/>
  <c r="F164" i="7"/>
  <c r="F199" i="7"/>
  <c r="F86" i="7"/>
  <c r="F287" i="7"/>
  <c r="F181" i="7"/>
  <c r="F253" i="7"/>
  <c r="F132" i="7"/>
  <c r="F188" i="7"/>
  <c r="F257" i="7"/>
  <c r="F235" i="7"/>
  <c r="F141" i="7"/>
  <c r="F98" i="7"/>
  <c r="F251" i="7"/>
  <c r="F259" i="7"/>
  <c r="F305" i="7"/>
  <c r="F18" i="7"/>
  <c r="F217" i="7"/>
  <c r="F206" i="7"/>
  <c r="F338" i="7"/>
  <c r="F53" i="7"/>
  <c r="F75" i="7"/>
  <c r="F204" i="7"/>
  <c r="F127" i="7"/>
  <c r="F60" i="7"/>
  <c r="F80" i="7"/>
  <c r="F261" i="7"/>
  <c r="F286" i="7"/>
  <c r="F285" i="7"/>
  <c r="F169" i="7"/>
  <c r="F9" i="7"/>
  <c r="F321" i="7"/>
  <c r="F172" i="7"/>
  <c r="F244" i="7"/>
  <c r="F36" i="7"/>
  <c r="F47" i="7"/>
  <c r="F152" i="7"/>
  <c r="F171" i="7"/>
  <c r="F7" i="7"/>
  <c r="F232" i="7"/>
  <c r="F205" i="7"/>
  <c r="F88" i="7"/>
  <c r="F35" i="7"/>
  <c r="F29" i="7"/>
  <c r="F119" i="7"/>
  <c r="F116" i="7"/>
  <c r="F274" i="7"/>
  <c r="F124" i="7"/>
  <c r="F276" i="7"/>
  <c r="F325" i="7"/>
  <c r="F46" i="7"/>
  <c r="F277" i="7"/>
  <c r="F254" i="7"/>
  <c r="F196" i="7"/>
  <c r="F57" i="7"/>
  <c r="F340" i="7"/>
  <c r="F283" i="7"/>
  <c r="F301" i="7"/>
  <c r="F39" i="7"/>
  <c r="F108" i="7"/>
  <c r="F266" i="7"/>
  <c r="F304" i="7"/>
  <c r="F153" i="7"/>
  <c r="F308" i="7"/>
  <c r="F187" i="7"/>
  <c r="F37" i="7"/>
  <c r="F192" i="7"/>
  <c r="F273" i="7"/>
  <c r="F245" i="7"/>
  <c r="F264" i="7"/>
  <c r="F194" i="7"/>
  <c r="F51" i="7"/>
  <c r="F220" i="7"/>
  <c r="F134" i="7"/>
  <c r="F167" i="7"/>
  <c r="F139" i="7"/>
  <c r="F22" i="7"/>
  <c r="F123" i="7"/>
  <c r="F258" i="7"/>
  <c r="F332" i="7"/>
  <c r="F85" i="7"/>
  <c r="F6" i="7"/>
  <c r="F330" i="7"/>
  <c r="F104" i="7"/>
  <c r="F262" i="7"/>
  <c r="F149" i="7"/>
  <c r="F115" i="7"/>
  <c r="F278" i="7"/>
  <c r="F213" i="7"/>
  <c r="F31" i="7"/>
  <c r="F297" i="7"/>
  <c r="F280" i="7"/>
  <c r="F311" i="7"/>
  <c r="F186" i="7"/>
  <c r="F298" i="7"/>
  <c r="F148" i="7"/>
  <c r="F184" i="7"/>
  <c r="F23" i="7"/>
  <c r="F81" i="7"/>
  <c r="F147" i="7"/>
  <c r="F103" i="7"/>
  <c r="F322" i="7"/>
  <c r="F16" i="7"/>
  <c r="F166" i="7"/>
  <c r="F265" i="7"/>
  <c r="F107" i="7"/>
  <c r="F215" i="7"/>
  <c r="F151" i="7"/>
  <c r="F227" i="7"/>
  <c r="F25" i="7"/>
  <c r="F106" i="7"/>
  <c r="F64" i="7"/>
  <c r="F249" i="7"/>
  <c r="F117" i="7"/>
  <c r="F49" i="7"/>
  <c r="F242" i="7"/>
  <c r="F19" i="7"/>
  <c r="F224" i="7"/>
  <c r="F15" i="7"/>
  <c r="F324" i="7"/>
  <c r="F38" i="7"/>
  <c r="F176" i="7"/>
  <c r="F68" i="7"/>
  <c r="F333" i="7"/>
  <c r="F89" i="7"/>
  <c r="F237" i="7"/>
  <c r="F158" i="7"/>
  <c r="F90" i="7"/>
  <c r="F59" i="7"/>
  <c r="F24" i="7"/>
  <c r="F225" i="7"/>
  <c r="F5" i="7"/>
  <c r="F136" i="7"/>
  <c r="F290" i="7"/>
  <c r="F275" i="7"/>
  <c r="F114" i="7"/>
  <c r="F137" i="7"/>
  <c r="F218" i="7"/>
  <c r="F55" i="7"/>
  <c r="F341" i="7"/>
  <c r="F203" i="7"/>
  <c r="F101" i="7"/>
  <c r="F343" i="7"/>
  <c r="F270" i="7"/>
  <c r="F268" i="7"/>
  <c r="F313" i="7"/>
  <c r="F247" i="7"/>
  <c r="F303" i="7"/>
  <c r="F314" i="7"/>
  <c r="F282" i="7"/>
  <c r="F67" i="7"/>
  <c r="F170" i="7"/>
  <c r="F267" i="7"/>
  <c r="F17" i="7"/>
  <c r="F125" i="7"/>
  <c r="F160" i="7"/>
  <c r="F63" i="7"/>
  <c r="F165" i="7"/>
  <c r="F294" i="7"/>
  <c r="F210" i="7"/>
  <c r="F174" i="7"/>
  <c r="F96" i="7"/>
  <c r="F173" i="7"/>
  <c r="F78" i="7"/>
  <c r="F143" i="7"/>
  <c r="F112" i="7"/>
  <c r="F73" i="7"/>
  <c r="F260" i="7"/>
  <c r="F74" i="7"/>
  <c r="F240" i="7"/>
  <c r="F269" i="7"/>
  <c r="F212" i="7"/>
  <c r="F72" i="7"/>
  <c r="F221" i="7"/>
  <c r="F65" i="7"/>
  <c r="F82" i="7"/>
  <c r="F163" i="7"/>
  <c r="F110" i="7"/>
  <c r="F30" i="7"/>
  <c r="F145" i="7"/>
  <c r="F312" i="7"/>
  <c r="F118" i="7"/>
  <c r="F13" i="7"/>
  <c r="F161" i="7"/>
  <c r="F229" i="7"/>
  <c r="F122" i="7"/>
  <c r="F105" i="7"/>
  <c r="F94" i="7"/>
  <c r="F27" i="7"/>
  <c r="F93" i="7"/>
  <c r="F256" i="7"/>
  <c r="F121" i="7"/>
  <c r="F52" i="7"/>
  <c r="F154" i="7"/>
  <c r="F20" i="7"/>
  <c r="F162" i="7"/>
  <c r="F202" i="7"/>
  <c r="F222" i="7"/>
  <c r="F144" i="7"/>
  <c r="F190" i="7"/>
  <c r="F315" i="7"/>
  <c r="F279" i="7"/>
  <c r="F77" i="7"/>
  <c r="F28" i="7"/>
  <c r="F157" i="7"/>
  <c r="F252" i="7"/>
  <c r="F50" i="7"/>
  <c r="F42" i="7"/>
  <c r="F300" i="7"/>
  <c r="F156" i="7"/>
  <c r="F102" i="7"/>
  <c r="F34" i="7"/>
  <c r="F292" i="7"/>
  <c r="F41" i="7"/>
  <c r="F309" i="7"/>
  <c r="F126" i="7"/>
  <c r="F200" i="7"/>
  <c r="F216" i="7"/>
  <c r="F255" i="7"/>
  <c r="F70" i="7"/>
  <c r="F339" i="7"/>
  <c r="F219" i="7"/>
  <c r="F177" i="7"/>
  <c r="F58" i="7"/>
  <c r="F281" i="7"/>
  <c r="F44" i="7"/>
  <c r="F111" i="7"/>
  <c r="F83" i="7"/>
  <c r="F317" i="7"/>
  <c r="F69" i="7"/>
  <c r="F195" i="7"/>
  <c r="F76" i="7"/>
  <c r="F182" i="7"/>
  <c r="F335" i="7"/>
  <c r="F48" i="7"/>
  <c r="F97" i="7"/>
  <c r="F310" i="7"/>
  <c r="F318" i="7"/>
  <c r="F179" i="7"/>
  <c r="F56" i="7"/>
  <c r="F306" i="7"/>
  <c r="F207" i="7"/>
  <c r="F214" i="7"/>
  <c r="F226" i="7"/>
  <c r="F131" i="7"/>
  <c r="F91" i="7"/>
  <c r="F236" i="7"/>
  <c r="F342" i="7"/>
  <c r="F120" i="7"/>
  <c r="F183" i="7"/>
  <c r="F328" i="7"/>
  <c r="F336" i="7"/>
  <c r="F228" i="7"/>
  <c r="F316" i="7"/>
  <c r="F8" i="7"/>
  <c r="F61" i="7"/>
  <c r="F197" i="7"/>
  <c r="F337" i="7"/>
  <c r="F302" i="7"/>
  <c r="F208" i="7"/>
  <c r="F344" i="7"/>
  <c r="F299" i="7"/>
  <c r="F84" i="7"/>
  <c r="F12" i="7"/>
  <c r="F248" i="7"/>
  <c r="F191" i="7"/>
  <c r="F329" i="7"/>
  <c r="D22" i="5"/>
  <c r="D276" i="5"/>
  <c r="C78" i="1"/>
  <c r="C44" i="1"/>
  <c r="C182" i="1"/>
  <c r="C156" i="1"/>
  <c r="D425" i="5"/>
  <c r="D400" i="5"/>
  <c r="D143" i="5"/>
  <c r="D457" i="5"/>
  <c r="D627" i="5"/>
  <c r="D108" i="5"/>
  <c r="D582" i="5"/>
  <c r="C270" i="1"/>
  <c r="D72" i="5"/>
  <c r="D488" i="5"/>
  <c r="C47" i="1"/>
  <c r="D317" i="5"/>
  <c r="D35" i="5"/>
  <c r="D29" i="5"/>
  <c r="D357" i="5"/>
  <c r="D94" i="5"/>
  <c r="D516" i="5"/>
  <c r="D62" i="5"/>
  <c r="C263" i="1"/>
  <c r="C236" i="1"/>
  <c r="D203" i="5"/>
  <c r="D398" i="5"/>
  <c r="C149" i="1"/>
  <c r="D419" i="5"/>
  <c r="C240" i="1"/>
  <c r="D133" i="5"/>
  <c r="D325" i="5"/>
  <c r="D380" i="5"/>
  <c r="D555" i="5"/>
  <c r="D328" i="5"/>
  <c r="D144" i="5"/>
  <c r="D601" i="5"/>
  <c r="D659" i="5"/>
  <c r="D273" i="5"/>
  <c r="C16" i="1"/>
  <c r="C302" i="1"/>
  <c r="D570" i="5"/>
  <c r="D583" i="5"/>
  <c r="C237" i="1"/>
  <c r="C277" i="1"/>
  <c r="C243" i="1"/>
  <c r="D90" i="5"/>
  <c r="D382" i="5"/>
  <c r="D225" i="5"/>
  <c r="D40" i="5"/>
  <c r="D551" i="5"/>
  <c r="C170" i="1"/>
  <c r="C195" i="1"/>
  <c r="D650" i="5"/>
  <c r="D283" i="5"/>
  <c r="D369" i="5"/>
  <c r="C13" i="1"/>
  <c r="D238" i="5"/>
  <c r="D334" i="5"/>
  <c r="D109" i="5"/>
  <c r="C133" i="1"/>
  <c r="C273" i="1"/>
  <c r="C3" i="1"/>
  <c r="D350" i="5"/>
  <c r="D512" i="5"/>
  <c r="D521" i="5"/>
  <c r="C87" i="1"/>
  <c r="D579" i="5"/>
  <c r="D365" i="5"/>
  <c r="D311" i="5"/>
  <c r="D32" i="5"/>
  <c r="D259" i="5"/>
  <c r="D242" i="5"/>
  <c r="D175" i="5"/>
  <c r="C209" i="1"/>
  <c r="D122" i="5"/>
  <c r="D405" i="5"/>
  <c r="D412" i="5"/>
  <c r="D79" i="5"/>
  <c r="D410" i="5"/>
  <c r="D508" i="5"/>
  <c r="C365" i="1"/>
  <c r="D427" i="5"/>
  <c r="D78" i="5"/>
  <c r="C69" i="1"/>
  <c r="D557" i="5"/>
  <c r="D194" i="5"/>
  <c r="D349" i="5"/>
  <c r="D5" i="5"/>
  <c r="C171" i="1"/>
  <c r="C341" i="1"/>
  <c r="C144" i="1"/>
  <c r="C352" i="1"/>
  <c r="C289" i="1"/>
  <c r="C46" i="1"/>
  <c r="D482" i="5"/>
  <c r="D153" i="5"/>
  <c r="C164" i="1"/>
  <c r="C348" i="1"/>
  <c r="D182" i="5"/>
  <c r="D581" i="5"/>
  <c r="D547" i="5"/>
  <c r="C255" i="1"/>
  <c r="C335" i="1"/>
  <c r="D331" i="5"/>
  <c r="C210" i="1"/>
  <c r="C331" i="1"/>
  <c r="D131" i="5"/>
  <c r="D434" i="5"/>
  <c r="D362" i="5"/>
  <c r="D213" i="5"/>
  <c r="C238" i="1"/>
  <c r="D620" i="5"/>
  <c r="D196" i="5"/>
  <c r="C359" i="1"/>
  <c r="C381" i="1"/>
  <c r="C398" i="1"/>
  <c r="D288" i="5"/>
  <c r="C53" i="1"/>
  <c r="C318" i="1"/>
  <c r="D88" i="5"/>
  <c r="D344" i="5"/>
  <c r="D573" i="5"/>
  <c r="D409" i="5"/>
  <c r="D495" i="5"/>
  <c r="C295" i="1"/>
  <c r="C55" i="1"/>
  <c r="D636" i="5"/>
  <c r="D301" i="5"/>
  <c r="D585" i="5"/>
  <c r="C268" i="1"/>
  <c r="D643" i="5"/>
  <c r="D653" i="5"/>
  <c r="D654" i="5"/>
  <c r="D347" i="5"/>
  <c r="C366" i="1"/>
  <c r="D353" i="5"/>
  <c r="D534" i="5"/>
  <c r="C121" i="1"/>
  <c r="D65" i="5"/>
  <c r="D245" i="5"/>
  <c r="D364" i="5"/>
  <c r="C285" i="1"/>
  <c r="D249" i="5"/>
  <c r="D523" i="5"/>
  <c r="C283" i="1"/>
  <c r="C307" i="1"/>
  <c r="C320" i="1"/>
  <c r="C160" i="1"/>
  <c r="D647" i="5"/>
  <c r="C293" i="1"/>
  <c r="D74" i="5"/>
  <c r="D81" i="5"/>
  <c r="D424" i="5"/>
  <c r="C142" i="1"/>
  <c r="D166" i="5"/>
  <c r="C118" i="1"/>
  <c r="C304" i="1"/>
  <c r="D125" i="5"/>
  <c r="D366" i="5"/>
  <c r="D384" i="5"/>
  <c r="D624" i="5"/>
  <c r="D558" i="5"/>
  <c r="C382" i="1"/>
  <c r="D333" i="5"/>
  <c r="D518" i="5"/>
  <c r="D219" i="5"/>
  <c r="C269" i="1"/>
  <c r="C301" i="1"/>
  <c r="C119" i="1"/>
  <c r="C62" i="1"/>
  <c r="C183" i="1"/>
  <c r="C385" i="1"/>
  <c r="D223" i="5"/>
  <c r="D184" i="5"/>
  <c r="C275" i="1"/>
  <c r="C244" i="1"/>
  <c r="D142" i="5"/>
  <c r="C294" i="1"/>
  <c r="D141" i="5"/>
  <c r="C201" i="1"/>
  <c r="D324" i="5"/>
  <c r="C52" i="1"/>
  <c r="D228" i="5"/>
  <c r="C358" i="1"/>
  <c r="D332" i="5"/>
  <c r="D634" i="5"/>
  <c r="D619" i="5"/>
  <c r="D541" i="5"/>
  <c r="D375" i="5"/>
  <c r="C41" i="1"/>
  <c r="C63" i="1"/>
  <c r="C5" i="1"/>
  <c r="C227" i="1"/>
  <c r="D361" i="5"/>
  <c r="D165" i="5"/>
  <c r="D91" i="5"/>
  <c r="C36" i="1"/>
  <c r="C98" i="1"/>
  <c r="D162" i="5"/>
  <c r="D241" i="5"/>
  <c r="D303" i="5"/>
  <c r="D524" i="5"/>
  <c r="D299" i="5"/>
  <c r="D607" i="5"/>
  <c r="C396" i="1"/>
  <c r="C197" i="1"/>
  <c r="D99" i="5"/>
  <c r="D515" i="5"/>
  <c r="C28" i="1"/>
  <c r="C132" i="1"/>
  <c r="D526" i="5"/>
  <c r="D293" i="5"/>
  <c r="D390" i="5"/>
  <c r="D525" i="5"/>
  <c r="D128" i="5"/>
  <c r="D250" i="5"/>
  <c r="D540" i="5"/>
  <c r="C35" i="1"/>
  <c r="C376" i="1"/>
  <c r="D335" i="5"/>
  <c r="C380" i="1"/>
  <c r="D363" i="5"/>
  <c r="D14" i="5"/>
  <c r="C355" i="1"/>
  <c r="D646" i="5"/>
  <c r="D105" i="5"/>
  <c r="D292" i="5"/>
  <c r="C200" i="1"/>
  <c r="C186" i="1"/>
  <c r="D432" i="5"/>
  <c r="C68" i="1"/>
  <c r="D345" i="5"/>
  <c r="C346" i="1"/>
  <c r="C292" i="1"/>
  <c r="D435" i="5"/>
  <c r="D520" i="5"/>
  <c r="D169" i="5"/>
  <c r="C267" i="1"/>
  <c r="D658" i="5"/>
  <c r="D611" i="5"/>
  <c r="D186" i="5"/>
  <c r="C258" i="1"/>
  <c r="D174" i="5"/>
  <c r="D263" i="5"/>
  <c r="C127" i="1"/>
  <c r="C135" i="1"/>
  <c r="D406" i="5"/>
  <c r="D306" i="5"/>
  <c r="D318" i="5"/>
  <c r="C148" i="1"/>
  <c r="C339" i="1"/>
  <c r="D377" i="5"/>
  <c r="D552" i="5"/>
  <c r="C253" i="1"/>
  <c r="D266" i="5"/>
  <c r="D420" i="5"/>
  <c r="C101" i="1"/>
  <c r="D25" i="5"/>
  <c r="C155" i="1"/>
  <c r="D53" i="5"/>
  <c r="C228" i="1"/>
  <c r="D220" i="5"/>
  <c r="D402" i="5"/>
  <c r="C105" i="1"/>
  <c r="D214" i="5"/>
  <c r="D343" i="5"/>
  <c r="C196" i="1"/>
  <c r="C351" i="1"/>
  <c r="D407" i="5"/>
  <c r="C202" i="1"/>
  <c r="D560" i="5"/>
  <c r="C205" i="1"/>
  <c r="D562" i="5"/>
  <c r="C329" i="1"/>
  <c r="D20" i="5"/>
  <c r="D603" i="5"/>
  <c r="C175" i="1"/>
  <c r="D642" i="5"/>
  <c r="D355" i="5"/>
  <c r="D441" i="5"/>
  <c r="D275" i="5"/>
  <c r="D261" i="5"/>
  <c r="C297" i="1"/>
  <c r="D638" i="5"/>
  <c r="D280" i="5"/>
  <c r="C21" i="1"/>
  <c r="D236" i="5"/>
  <c r="D542" i="5"/>
  <c r="C327" i="1"/>
  <c r="D651" i="5"/>
  <c r="D491" i="5"/>
  <c r="C372" i="1"/>
  <c r="D139" i="5"/>
  <c r="D383" i="5"/>
  <c r="C386" i="1"/>
  <c r="D494" i="5"/>
  <c r="C262" i="1"/>
  <c r="D16" i="5"/>
  <c r="D416" i="5"/>
  <c r="D537" i="5"/>
  <c r="C91" i="1"/>
  <c r="C77" i="1"/>
  <c r="D27" i="5"/>
  <c r="C145" i="1"/>
  <c r="D164" i="5"/>
  <c r="D3" i="5"/>
  <c r="D199" i="5"/>
  <c r="D360" i="5"/>
  <c r="D593" i="5"/>
  <c r="D121" i="5"/>
  <c r="D500" i="5"/>
  <c r="D423" i="5"/>
  <c r="D617" i="5"/>
  <c r="D456" i="5"/>
  <c r="D621" i="5"/>
  <c r="D474" i="5"/>
  <c r="D8" i="5"/>
  <c r="C174" i="1"/>
  <c r="C349" i="1"/>
  <c r="D569" i="5"/>
  <c r="D251" i="5"/>
  <c r="D661" i="5"/>
  <c r="C23" i="1"/>
  <c r="D127" i="5"/>
  <c r="D113" i="5"/>
  <c r="C181" i="1"/>
  <c r="D655" i="5"/>
  <c r="D308" i="5"/>
  <c r="C242" i="1"/>
  <c r="C387" i="1"/>
  <c r="C10" i="1"/>
  <c r="D606" i="5"/>
  <c r="C134" i="1"/>
  <c r="C93" i="1"/>
  <c r="C102" i="1"/>
  <c r="C239" i="1"/>
  <c r="D598" i="5"/>
  <c r="C290" i="1"/>
  <c r="C284" i="1"/>
  <c r="D610" i="5"/>
  <c r="D28" i="5"/>
  <c r="C332" i="1"/>
  <c r="D462" i="5"/>
  <c r="D613" i="5"/>
  <c r="C337" i="1"/>
  <c r="D414" i="5"/>
  <c r="C266" i="1"/>
  <c r="D644" i="5"/>
  <c r="D260" i="5"/>
  <c r="D115" i="5"/>
  <c r="C208" i="1"/>
  <c r="D468" i="5"/>
  <c r="C79" i="1"/>
  <c r="D87" i="5"/>
  <c r="D507" i="5"/>
  <c r="D519" i="5"/>
  <c r="D561" i="5"/>
  <c r="C282" i="1"/>
  <c r="D604" i="5"/>
  <c r="D160" i="5"/>
  <c r="D550" i="5"/>
  <c r="D217" i="5"/>
  <c r="D76" i="5"/>
  <c r="D490" i="5"/>
  <c r="D66" i="5"/>
  <c r="D227" i="5"/>
  <c r="D479" i="5"/>
  <c r="D393" i="5"/>
  <c r="C281" i="1"/>
  <c r="C184" i="1"/>
  <c r="D503" i="5"/>
  <c r="D439" i="5"/>
  <c r="C373" i="1"/>
  <c r="D641" i="5"/>
  <c r="C86" i="1"/>
  <c r="D622" i="5"/>
  <c r="C394" i="1"/>
  <c r="D548" i="5"/>
  <c r="C128" i="1"/>
  <c r="C108" i="1"/>
  <c r="C207" i="1"/>
  <c r="D83" i="5"/>
  <c r="C99" i="1"/>
  <c r="D200" i="5"/>
  <c r="D352" i="5"/>
  <c r="D209" i="5"/>
  <c r="D281" i="5"/>
  <c r="D509" i="5"/>
  <c r="C354" i="1"/>
  <c r="C25" i="1"/>
  <c r="C260" i="1"/>
  <c r="D640" i="5"/>
  <c r="D446" i="5"/>
  <c r="D599" i="5"/>
  <c r="D31" i="5"/>
  <c r="D44" i="5"/>
  <c r="C64" i="1"/>
  <c r="D429" i="5"/>
  <c r="D476" i="5"/>
  <c r="C390" i="1"/>
  <c r="D132" i="5"/>
  <c r="D656" i="5"/>
  <c r="C230" i="1"/>
  <c r="D42" i="5"/>
  <c r="D257" i="5"/>
  <c r="C250" i="1"/>
  <c r="C259" i="1"/>
  <c r="D321" i="5"/>
  <c r="C370" i="1"/>
  <c r="D7" i="5"/>
  <c r="C328" i="1"/>
  <c r="C61" i="1"/>
  <c r="C42" i="1"/>
  <c r="C9" i="1"/>
  <c r="C138" i="1"/>
  <c r="C39" i="1"/>
  <c r="C213" i="1"/>
  <c r="D454" i="5"/>
  <c r="D55" i="5"/>
  <c r="C51" i="1"/>
  <c r="D370" i="5"/>
  <c r="C192" i="1"/>
  <c r="C176" i="1"/>
  <c r="C347" i="1"/>
  <c r="C378" i="1"/>
  <c r="D326" i="5"/>
  <c r="D54" i="5"/>
  <c r="C211" i="1"/>
  <c r="D222" i="5"/>
  <c r="C157" i="1"/>
  <c r="D397" i="5"/>
  <c r="D161" i="5"/>
  <c r="D590" i="5"/>
  <c r="D587" i="5"/>
  <c r="D269" i="5"/>
  <c r="D123" i="5"/>
  <c r="D264" i="5"/>
  <c r="C43" i="1"/>
  <c r="D111" i="5"/>
  <c r="D529" i="5"/>
  <c r="C19" i="1"/>
  <c r="D77" i="5"/>
  <c r="D340" i="5"/>
  <c r="C48" i="1"/>
  <c r="D138" i="5"/>
  <c r="D253" i="5"/>
  <c r="C151" i="1"/>
  <c r="D58" i="5"/>
  <c r="D75" i="5"/>
  <c r="D84" i="5"/>
  <c r="D145" i="5"/>
  <c r="C368" i="1"/>
  <c r="C45" i="1"/>
  <c r="D234" i="5"/>
  <c r="D577" i="5"/>
  <c r="D246" i="5"/>
  <c r="D440" i="5"/>
  <c r="D124" i="5"/>
  <c r="D645" i="5"/>
  <c r="C315" i="1"/>
  <c r="C139" i="1"/>
  <c r="D180" i="5"/>
  <c r="D633" i="5"/>
  <c r="C252" i="1"/>
  <c r="D89" i="5"/>
  <c r="D205" i="5"/>
  <c r="D413" i="5"/>
  <c r="D442" i="5"/>
  <c r="D233" i="5"/>
  <c r="D530" i="5"/>
  <c r="C92" i="1"/>
  <c r="D465" i="5"/>
  <c r="C11" i="1"/>
  <c r="D270" i="5"/>
  <c r="D159" i="5"/>
  <c r="C159" i="1"/>
  <c r="D625" i="5"/>
  <c r="C84" i="1"/>
  <c r="D460" i="5"/>
  <c r="D616" i="5"/>
  <c r="D595" i="5"/>
  <c r="D539" i="5"/>
  <c r="D649" i="5"/>
  <c r="D346" i="5"/>
  <c r="D137" i="5"/>
  <c r="C316" i="1"/>
  <c r="D98" i="5"/>
  <c r="C254" i="1"/>
  <c r="C306" i="1"/>
  <c r="C113" i="1"/>
  <c r="D215" i="5"/>
  <c r="C323" i="1"/>
  <c r="D64" i="5"/>
  <c r="C125" i="1"/>
  <c r="D428" i="5"/>
  <c r="C305" i="1"/>
  <c r="C379" i="1"/>
  <c r="D208" i="5"/>
  <c r="D403" i="5"/>
  <c r="C54" i="1"/>
  <c r="D450" i="5"/>
  <c r="D102" i="5"/>
  <c r="D294" i="5"/>
  <c r="D149" i="5"/>
  <c r="D535" i="5"/>
  <c r="D341" i="5"/>
  <c r="C300" i="1"/>
  <c r="D258" i="5"/>
  <c r="D489" i="5"/>
  <c r="C168" i="1"/>
  <c r="C74" i="1"/>
  <c r="D473" i="5"/>
  <c r="C180" i="1"/>
  <c r="D106" i="5"/>
  <c r="C203" i="1"/>
  <c r="D422" i="5"/>
  <c r="D300" i="5"/>
  <c r="C150" i="1"/>
  <c r="D57" i="5"/>
  <c r="D461" i="5"/>
  <c r="D615" i="5"/>
  <c r="C223" i="1"/>
  <c r="C375" i="1"/>
  <c r="D536" i="5"/>
  <c r="D36" i="5"/>
  <c r="C103" i="1"/>
  <c r="D126" i="5"/>
  <c r="C220" i="1"/>
  <c r="D192" i="5"/>
  <c r="C271" i="1"/>
  <c r="C56" i="1"/>
  <c r="C194" i="1"/>
  <c r="D181" i="5"/>
  <c r="D224" i="5"/>
  <c r="D501" i="5"/>
  <c r="D298" i="5"/>
  <c r="D297" i="5"/>
  <c r="D86" i="5"/>
  <c r="D173" i="5"/>
  <c r="D437" i="5"/>
  <c r="D592" i="5"/>
  <c r="D70" i="5"/>
  <c r="D157" i="5"/>
  <c r="D378" i="5"/>
  <c r="D373" i="5"/>
  <c r="D499" i="5"/>
  <c r="D367" i="5"/>
  <c r="C229" i="1"/>
  <c r="C162" i="1"/>
  <c r="D23" i="5"/>
  <c r="C123" i="1"/>
  <c r="C126" i="1"/>
  <c r="D614" i="5"/>
  <c r="C261" i="1"/>
  <c r="C233" i="1"/>
  <c r="D237" i="5"/>
  <c r="C6" i="1"/>
  <c r="D431" i="5"/>
  <c r="D33" i="5"/>
  <c r="C22" i="1"/>
  <c r="C360" i="1"/>
  <c r="C324" i="1"/>
  <c r="C67" i="1"/>
  <c r="C14" i="1"/>
  <c r="D504" i="5"/>
  <c r="C319" i="1"/>
  <c r="D408" i="5"/>
  <c r="D255" i="5"/>
  <c r="C397" i="1"/>
  <c r="D528" i="5"/>
  <c r="C312" i="1"/>
  <c r="D85" i="5"/>
  <c r="C241" i="1"/>
  <c r="D136" i="5"/>
  <c r="C140" i="1"/>
  <c r="C187" i="1"/>
  <c r="C8" i="1"/>
  <c r="D268" i="5"/>
  <c r="D469" i="5"/>
  <c r="C265" i="1"/>
  <c r="C296" i="1"/>
  <c r="C280" i="1"/>
  <c r="D354" i="5"/>
  <c r="C345" i="1"/>
  <c r="D596" i="5"/>
  <c r="D591" i="5"/>
  <c r="C169" i="1"/>
  <c r="D183" i="5"/>
  <c r="D114" i="5"/>
  <c r="D179" i="5"/>
  <c r="C362" i="1"/>
  <c r="D4" i="5"/>
  <c r="D496" i="5"/>
  <c r="C216" i="1"/>
  <c r="D243" i="5"/>
  <c r="D156" i="5"/>
  <c r="C27" i="1"/>
  <c r="C96" i="1"/>
  <c r="C73" i="1"/>
  <c r="D477" i="5"/>
  <c r="D221" i="5"/>
  <c r="D147" i="5"/>
  <c r="D443" i="5"/>
  <c r="D430" i="5"/>
  <c r="D386" i="5"/>
  <c r="D6" i="5"/>
  <c r="D628" i="5"/>
  <c r="D498" i="5"/>
  <c r="D421" i="5"/>
  <c r="D657" i="5"/>
  <c r="D239" i="5"/>
  <c r="D356" i="5"/>
  <c r="D112" i="5"/>
  <c r="C130" i="1"/>
  <c r="C218" i="1"/>
  <c r="D146" i="5"/>
  <c r="D56" i="5"/>
  <c r="D426" i="5"/>
  <c r="C334" i="1"/>
  <c r="C80" i="1"/>
  <c r="D544" i="5"/>
  <c r="D210" i="5"/>
  <c r="D172" i="5"/>
  <c r="C325" i="1"/>
  <c r="D60" i="5"/>
  <c r="C58" i="1"/>
  <c r="D484" i="5"/>
  <c r="C161" i="1"/>
  <c r="D368" i="5"/>
  <c r="D466" i="5"/>
  <c r="C17" i="1"/>
  <c r="D158" i="5"/>
  <c r="C26" i="1"/>
  <c r="C317" i="1"/>
  <c r="D291" i="5"/>
  <c r="D19" i="5"/>
  <c r="D376" i="5"/>
  <c r="C88" i="1"/>
  <c r="D568" i="5"/>
  <c r="C106" i="1"/>
  <c r="D95" i="5"/>
  <c r="C322" i="1"/>
  <c r="C247" i="1"/>
  <c r="D190" i="5"/>
  <c r="D277" i="5"/>
  <c r="C377" i="1"/>
  <c r="C303" i="1"/>
  <c r="D559" i="5"/>
  <c r="D417" i="5"/>
  <c r="C7" i="1"/>
  <c r="D152" i="5"/>
  <c r="D546" i="5"/>
  <c r="D472" i="5"/>
  <c r="C30" i="1"/>
  <c r="D117" i="5"/>
  <c r="D178" i="5"/>
  <c r="C173" i="1"/>
  <c r="D226" i="5"/>
  <c r="C353" i="1"/>
  <c r="D41" i="5"/>
  <c r="D202" i="5"/>
  <c r="D594" i="5"/>
  <c r="C314" i="1"/>
  <c r="C298" i="1"/>
  <c r="C147" i="1"/>
  <c r="D631" i="5"/>
  <c r="D256" i="5"/>
  <c r="D104" i="5"/>
  <c r="C188" i="1"/>
  <c r="D252" i="5"/>
  <c r="D626" i="5"/>
  <c r="D387" i="5"/>
  <c r="D278" i="5"/>
  <c r="D11" i="5"/>
  <c r="D531" i="5"/>
  <c r="D572" i="5"/>
  <c r="C94" i="1"/>
  <c r="D51" i="5"/>
  <c r="C112" i="1"/>
  <c r="D38" i="5"/>
  <c r="D511" i="5"/>
  <c r="D204" i="5"/>
  <c r="D648" i="5"/>
  <c r="C40" i="1"/>
  <c r="D470" i="5"/>
  <c r="D623" i="5"/>
  <c r="C217" i="1"/>
  <c r="D18" i="5"/>
  <c r="C172" i="1"/>
  <c r="D265" i="5"/>
  <c r="D433" i="5"/>
  <c r="D316" i="5"/>
  <c r="D304" i="5"/>
  <c r="C38" i="1"/>
  <c r="C97" i="1"/>
  <c r="D216" i="5"/>
  <c r="D351" i="5"/>
  <c r="D467" i="5"/>
  <c r="D513" i="5"/>
  <c r="C117" i="1"/>
  <c r="C100" i="1"/>
  <c r="C191" i="1"/>
  <c r="C291" i="1"/>
  <c r="C85" i="1"/>
  <c r="C344" i="1"/>
  <c r="C129" i="1"/>
  <c r="C395" i="1"/>
  <c r="C278" i="1"/>
  <c r="D480" i="5"/>
  <c r="D63" i="5"/>
  <c r="D48" i="5"/>
  <c r="D13" i="5"/>
  <c r="D556" i="5"/>
  <c r="C90" i="1"/>
  <c r="D487" i="5"/>
  <c r="C163" i="1"/>
  <c r="D517" i="5"/>
  <c r="D231" i="5"/>
  <c r="C65" i="1"/>
  <c r="D188" i="5"/>
  <c r="D391" i="5"/>
  <c r="D148" i="5"/>
  <c r="C309" i="1"/>
  <c r="C357" i="1"/>
  <c r="D240" i="5"/>
  <c r="C371" i="1"/>
  <c r="C392" i="1"/>
  <c r="D589" i="5"/>
  <c r="D310" i="5"/>
  <c r="C76" i="1"/>
  <c r="D319" i="5"/>
  <c r="D358" i="5"/>
  <c r="D229" i="5"/>
  <c r="D26" i="5"/>
  <c r="D43" i="5"/>
  <c r="D24" i="5"/>
  <c r="D597" i="5"/>
  <c r="D68" i="5"/>
  <c r="D274" i="5"/>
  <c r="D107" i="5"/>
  <c r="C59" i="1"/>
  <c r="D459" i="5"/>
  <c r="D538" i="5"/>
  <c r="D575" i="5"/>
  <c r="D235" i="5"/>
  <c r="C185" i="1"/>
  <c r="D232" i="5"/>
  <c r="D198" i="5"/>
  <c r="D571" i="5"/>
  <c r="C70" i="1"/>
  <c r="C276" i="1"/>
  <c r="D471" i="5"/>
  <c r="D554" i="5"/>
  <c r="C154" i="1"/>
  <c r="C50" i="1"/>
  <c r="C221" i="1"/>
  <c r="D327" i="5"/>
  <c r="C364" i="1"/>
  <c r="D312" i="5"/>
  <c r="C179" i="1"/>
  <c r="C212" i="1"/>
  <c r="C215" i="1"/>
  <c r="C29" i="1"/>
  <c r="C190" i="1"/>
  <c r="D565" i="5"/>
  <c r="D532" i="5"/>
  <c r="D155" i="5"/>
  <c r="C333" i="1"/>
  <c r="D637" i="5"/>
  <c r="C389" i="1"/>
  <c r="C256" i="1"/>
  <c r="D120" i="5"/>
  <c r="D453" i="5"/>
  <c r="D52" i="5"/>
  <c r="D49" i="5"/>
  <c r="D605" i="5"/>
  <c r="C214" i="1"/>
  <c r="D9" i="5"/>
  <c r="D154" i="5"/>
  <c r="D116" i="5"/>
  <c r="C248" i="1"/>
  <c r="C234" i="1"/>
  <c r="D578" i="5"/>
  <c r="C361" i="1"/>
  <c r="C136" i="1"/>
  <c r="D93" i="5"/>
  <c r="C18" i="1"/>
  <c r="D197" i="5"/>
  <c r="C219" i="1"/>
  <c r="D329" i="5"/>
  <c r="C31" i="1"/>
  <c r="C153" i="1"/>
  <c r="D502" i="5"/>
  <c r="C199" i="1"/>
  <c r="D392" i="5"/>
  <c r="C311" i="1"/>
  <c r="D411" i="5"/>
  <c r="C232" i="1"/>
  <c r="D191" i="5"/>
  <c r="D302" i="5"/>
  <c r="C249" i="1"/>
  <c r="D323" i="5"/>
  <c r="D244" i="5"/>
  <c r="D284" i="5"/>
  <c r="C287" i="1"/>
  <c r="D195" i="5"/>
  <c r="D80" i="5"/>
  <c r="C124" i="1"/>
  <c r="C222" i="1"/>
  <c r="C388" i="1"/>
  <c r="D388" i="5"/>
  <c r="D320" i="5"/>
  <c r="D399" i="5"/>
  <c r="D609" i="5"/>
  <c r="D418" i="5"/>
  <c r="C137" i="1"/>
  <c r="D385" i="5"/>
  <c r="C114" i="1"/>
  <c r="D475" i="5"/>
  <c r="D371" i="5"/>
  <c r="D505" i="5"/>
  <c r="D322" i="5"/>
  <c r="D289" i="5"/>
  <c r="C177" i="1"/>
  <c r="C120" i="1"/>
  <c r="D314" i="5"/>
  <c r="D543" i="5"/>
  <c r="D271" i="5"/>
  <c r="D39" i="5"/>
  <c r="D618" i="5"/>
  <c r="C166" i="1"/>
  <c r="D187" i="5"/>
  <c r="C12" i="1"/>
  <c r="C193" i="1"/>
  <c r="C110" i="1"/>
  <c r="D401" i="5"/>
  <c r="D630" i="5"/>
  <c r="D61" i="5"/>
  <c r="D485" i="5"/>
  <c r="D339" i="5"/>
  <c r="C167" i="1"/>
  <c r="C141" i="1"/>
  <c r="D10" i="5"/>
  <c r="C274" i="1"/>
  <c r="C107" i="1"/>
  <c r="D130" i="5"/>
  <c r="D168" i="5"/>
  <c r="D486" i="5"/>
  <c r="C24" i="1"/>
  <c r="C83" i="1"/>
  <c r="D171" i="5"/>
  <c r="D286" i="5"/>
  <c r="D282" i="5"/>
  <c r="D151" i="5"/>
  <c r="C95" i="1"/>
  <c r="C152" i="1"/>
  <c r="D296" i="5"/>
  <c r="D455" i="5"/>
  <c r="D17" i="5"/>
  <c r="D545" i="5"/>
  <c r="D177" i="5"/>
  <c r="D527" i="5"/>
  <c r="D37" i="5"/>
  <c r="D176" i="5"/>
  <c r="C204" i="1"/>
  <c r="C15" i="1"/>
  <c r="C143" i="1"/>
  <c r="D189" i="5"/>
  <c r="D218" i="5"/>
  <c r="D73" i="5"/>
  <c r="D553" i="5"/>
  <c r="D374" i="5"/>
  <c r="D272" i="5"/>
  <c r="D287" i="5"/>
  <c r="D295" i="5"/>
  <c r="C122" i="1"/>
  <c r="D389" i="5"/>
  <c r="D438" i="5"/>
  <c r="C246" i="1"/>
  <c r="D639" i="5"/>
  <c r="D15" i="5"/>
  <c r="C363" i="1"/>
  <c r="C60" i="1"/>
  <c r="D212" i="5"/>
  <c r="C224" i="1"/>
  <c r="D533" i="5"/>
  <c r="C104" i="1"/>
  <c r="D307" i="5"/>
  <c r="D69" i="5"/>
  <c r="D82" i="5"/>
  <c r="C286" i="1"/>
  <c r="D313" i="5"/>
  <c r="C34" i="1"/>
  <c r="C116" i="1"/>
  <c r="D506" i="5"/>
  <c r="C71" i="1"/>
  <c r="D338" i="5"/>
  <c r="C356" i="1"/>
  <c r="C66" i="1"/>
  <c r="C225" i="1"/>
  <c r="D348" i="5"/>
  <c r="D211" i="5"/>
  <c r="D458" i="5"/>
  <c r="D567" i="5"/>
  <c r="C288" i="1"/>
  <c r="D580" i="5"/>
  <c r="D110" i="5"/>
  <c r="D247" i="5"/>
  <c r="C313" i="1"/>
  <c r="C20" i="1"/>
  <c r="C131" i="1"/>
  <c r="C264" i="1"/>
  <c r="D315" i="5"/>
  <c r="D608" i="5"/>
  <c r="C146" i="1"/>
  <c r="D279" i="5"/>
  <c r="D47" i="5"/>
  <c r="D45" i="5"/>
  <c r="C206" i="1"/>
  <c r="D59" i="5"/>
  <c r="D612" i="5"/>
  <c r="D46" i="5"/>
  <c r="D381" i="5"/>
  <c r="D463" i="5"/>
  <c r="D464" i="5"/>
  <c r="D170" i="5"/>
  <c r="D337" i="5"/>
  <c r="D602" i="5"/>
  <c r="C37" i="1"/>
  <c r="C32" i="1"/>
  <c r="D150" i="5"/>
  <c r="C391" i="1"/>
  <c r="C158" i="1"/>
  <c r="D285" i="5"/>
  <c r="D206" i="5"/>
  <c r="D342" i="5"/>
  <c r="C367" i="1"/>
  <c r="D372" i="5"/>
  <c r="D483" i="5"/>
  <c r="D394" i="5"/>
  <c r="D167" i="5"/>
  <c r="D96" i="5"/>
  <c r="D510" i="5"/>
  <c r="C231" i="1"/>
  <c r="D492" i="5"/>
  <c r="D395" i="5"/>
  <c r="C75" i="1"/>
  <c r="D359" i="5"/>
  <c r="C81" i="1"/>
  <c r="D522" i="5"/>
  <c r="D101" i="5"/>
  <c r="C330" i="1"/>
  <c r="C272" i="1"/>
  <c r="D248" i="5"/>
  <c r="D305" i="5"/>
  <c r="D436" i="5"/>
  <c r="C111" i="1"/>
  <c r="D67" i="5"/>
  <c r="D254" i="5"/>
  <c r="C33" i="1"/>
  <c r="D193" i="5"/>
  <c r="D564" i="5"/>
  <c r="D481" i="5"/>
  <c r="D415" i="5"/>
  <c r="D549" i="5"/>
  <c r="C235" i="1"/>
  <c r="D404" i="5"/>
  <c r="C340" i="1"/>
  <c r="C245" i="1"/>
  <c r="D230" i="5"/>
  <c r="C251" i="1"/>
  <c r="C115" i="1"/>
  <c r="C299" i="1"/>
  <c r="D336" i="5"/>
  <c r="C310" i="1"/>
  <c r="C49" i="1"/>
  <c r="D635" i="5"/>
  <c r="D163" i="5"/>
  <c r="D34" i="5"/>
  <c r="D129" i="5"/>
  <c r="D207" i="5"/>
  <c r="D134" i="5"/>
  <c r="C89" i="1"/>
  <c r="D50" i="5"/>
  <c r="D632" i="5"/>
  <c r="D493" i="5"/>
  <c r="C257" i="1"/>
  <c r="D396" i="5"/>
  <c r="C198" i="1"/>
  <c r="D563" i="5"/>
  <c r="D330" i="5"/>
  <c r="D478" i="5"/>
  <c r="C383" i="1"/>
  <c r="D262" i="5"/>
  <c r="D514" i="5"/>
  <c r="D497" i="5"/>
  <c r="D201" i="5"/>
  <c r="C189" i="1"/>
  <c r="D652" i="5"/>
  <c r="C178" i="1"/>
  <c r="D185" i="5"/>
  <c r="D588" i="5"/>
  <c r="D574" i="5"/>
  <c r="D103" i="5"/>
  <c r="D140" i="5"/>
  <c r="D119" i="5"/>
  <c r="D576" i="5"/>
  <c r="C109" i="1"/>
  <c r="D629" i="5"/>
  <c r="D100" i="5"/>
  <c r="D267" i="5"/>
  <c r="C393" i="1"/>
  <c r="C369" i="1"/>
  <c r="D309" i="5"/>
  <c r="D12" i="5"/>
  <c r="D379" i="5"/>
  <c r="D584" i="5"/>
  <c r="C226" i="1"/>
  <c r="C308" i="1"/>
  <c r="D71" i="5"/>
  <c r="D2" i="5"/>
  <c r="D92" i="5"/>
  <c r="D21" i="5"/>
  <c r="C4" i="1"/>
  <c r="D600" i="5"/>
  <c r="C72" i="1"/>
  <c r="D566" i="5"/>
  <c r="D290" i="5"/>
  <c r="D449" i="5"/>
  <c r="C57" i="1"/>
  <c r="D30" i="5"/>
  <c r="D586" i="5"/>
  <c r="C165" i="1"/>
  <c r="C82" i="1"/>
  <c r="D135" i="5"/>
  <c r="C384" i="1"/>
  <c r="R5" i="7" l="1"/>
  <c r="S5" i="7" s="1"/>
  <c r="O173" i="7"/>
  <c r="Q173" i="7" s="1" a="1"/>
  <c r="Q173" i="7" s="1"/>
  <c r="R173" i="7" s="1"/>
  <c r="S173" i="7" s="1"/>
  <c r="O294" i="7"/>
  <c r="Q294" i="7" s="1" a="1"/>
  <c r="Q294" i="7" s="1"/>
  <c r="R294" i="7" s="1"/>
  <c r="S294" i="7" s="1"/>
  <c r="O165" i="7"/>
  <c r="Q165" i="7" s="1" a="1"/>
  <c r="Q165" i="7" s="1"/>
  <c r="R165" i="7" s="1"/>
  <c r="S165" i="7" s="1"/>
  <c r="O266" i="7"/>
  <c r="Q266" i="7" s="1" a="1"/>
  <c r="Q266" i="7" s="1"/>
  <c r="R266" i="7" s="1"/>
  <c r="S266" i="7" s="1"/>
  <c r="O210" i="7"/>
  <c r="Q210" i="7" s="1" a="1"/>
  <c r="Q210" i="7" s="1"/>
  <c r="R210" i="7" s="1"/>
  <c r="S210" i="7" s="1"/>
  <c r="O209" i="7"/>
  <c r="Q209" i="7" s="1" a="1"/>
  <c r="Q209" i="7" s="1"/>
  <c r="R209" i="7" s="1"/>
  <c r="S209" i="7" s="1"/>
  <c r="O175" i="7"/>
  <c r="Q175" i="7" s="1" a="1"/>
  <c r="Q175" i="7" s="1"/>
  <c r="R175" i="7" s="1"/>
  <c r="S175" i="7" s="1"/>
  <c r="O285" i="7"/>
  <c r="Q285" i="7" s="1" a="1"/>
  <c r="Q285" i="7" s="1"/>
  <c r="R285" i="7" s="1"/>
  <c r="S285" i="7" s="1"/>
  <c r="O268" i="7"/>
  <c r="Q268" i="7" s="1" a="1"/>
  <c r="Q268" i="7" s="1"/>
  <c r="R268" i="7" s="1"/>
  <c r="S268" i="7" s="1"/>
  <c r="O167" i="7"/>
  <c r="Q167" i="7" s="1" a="1"/>
  <c r="Q167" i="7" s="1"/>
  <c r="R167" i="7" s="1"/>
  <c r="S167" i="7" s="1"/>
  <c r="O79" i="7"/>
  <c r="Q79" i="7" s="1" a="1"/>
  <c r="Q79" i="7" s="1"/>
  <c r="R79" i="7" s="1"/>
  <c r="S79" i="7" s="1"/>
  <c r="O24" i="7"/>
  <c r="Q24" i="7" s="1" a="1"/>
  <c r="Q24" i="7" s="1"/>
  <c r="R24" i="7" s="1"/>
  <c r="S24" i="7" s="1"/>
  <c r="O283" i="7"/>
  <c r="Q283" i="7" s="1" a="1"/>
  <c r="Q283" i="7" s="1"/>
  <c r="R283" i="7" s="1"/>
  <c r="S283" i="7" s="1"/>
  <c r="O161" i="7"/>
  <c r="Q161" i="7" s="1" a="1"/>
  <c r="Q161" i="7" s="1"/>
  <c r="R161" i="7" s="1"/>
  <c r="S161" i="7" s="1"/>
  <c r="O227" i="7"/>
  <c r="Q227" i="7" s="1" a="1"/>
  <c r="Q227" i="7" s="1"/>
  <c r="R227" i="7" s="1"/>
  <c r="S227" i="7" s="1"/>
  <c r="O226" i="7"/>
  <c r="Q226" i="7" s="1" a="1"/>
  <c r="Q226" i="7" s="1"/>
  <c r="R226" i="7" s="1"/>
  <c r="S226" i="7" s="1"/>
  <c r="O174" i="7"/>
  <c r="Q174" i="7" s="1" a="1"/>
  <c r="Q174" i="7" s="1"/>
  <c r="R174" i="7" s="1"/>
  <c r="S174" i="7" s="1"/>
  <c r="O286" i="7"/>
  <c r="Q286" i="7" s="1" a="1"/>
  <c r="Q286" i="7" s="1"/>
  <c r="R286" i="7" s="1"/>
  <c r="S286" i="7" s="1"/>
  <c r="O284" i="7"/>
  <c r="Q284" i="7" s="1" a="1"/>
  <c r="Q284" i="7" s="1"/>
  <c r="R284" i="7" s="1"/>
  <c r="S284" i="7" s="1"/>
  <c r="O160" i="7"/>
  <c r="Q160" i="7" s="1" a="1"/>
  <c r="Q160" i="7" s="1"/>
  <c r="R160" i="7" s="1"/>
  <c r="S160" i="7" s="1"/>
  <c r="Q345" i="7"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<sst xmlns="http://schemas.openxmlformats.org/spreadsheetml/2006/main" count="14180" uniqueCount="5068">
  <si>
    <t>ASIN</t>
  </si>
  <si>
    <t>SKU</t>
  </si>
  <si>
    <t>Image</t>
  </si>
  <si>
    <t>Brand</t>
  </si>
  <si>
    <t>TITLE</t>
  </si>
  <si>
    <t>SALES QTY</t>
  </si>
  <si>
    <t>SALES PRICE</t>
  </si>
  <si>
    <t>REFUND QTY</t>
  </si>
  <si>
    <t>REFUND COST</t>
  </si>
  <si>
    <t>ESTIMATED PAYOUT</t>
  </si>
  <si>
    <t>B00GCILD64</t>
  </si>
  <si>
    <t>MR CNDL -1</t>
  </si>
  <si>
    <t>ladyrobyn</t>
  </si>
  <si>
    <t>Spell Candles (40 Candles) - One Shipping Charge!</t>
  </si>
  <si>
    <t>B00LM9K2OC</t>
  </si>
  <si>
    <t>BOWL -1</t>
  </si>
  <si>
    <t>Shalinindia</t>
  </si>
  <si>
    <t>Handmade 8 Inches Bell Metal Tibetan Buddhist Singing Bowl Musical Instrument for Meditation with Stick and Cushion - Superior Quality</t>
  </si>
  <si>
    <t>B00CPQFYMQ</t>
  </si>
  <si>
    <t>PK-JWL-BCL-0044</t>
  </si>
  <si>
    <t>cosynee</t>
  </si>
  <si>
    <t>Tibetan Copper Bracelets Magnetic India Pattern Women's Men's Spiritual Yoga Jewelry Copper bracelet copper bracelet for men copper bracelets for wome</t>
  </si>
  <si>
    <t>B0B631Y8BX</t>
  </si>
  <si>
    <t>CNDL -2</t>
  </si>
  <si>
    <t>Ladyrobyn Candles 100 pcs Unscented Assorted Colors Taper Candle 4 Inch Tall x 1/2 Inch Diameter Great for Casting Chimes Rituals Spells Vigil Witchcr</t>
  </si>
  <si>
    <t>B08D6KVFBM</t>
  </si>
  <si>
    <t>Stamp CNDL -5</t>
  </si>
  <si>
    <t>Spell Candles (80 Candles) - One Shipping Charge! (Multi-Colored)</t>
  </si>
  <si>
    <t>B00W50QXUO</t>
  </si>
  <si>
    <t>GS US WOODEN -76</t>
  </si>
  <si>
    <t>ShalinIndia 3 in One Wooden 3D Puzzle Games Set Teens and Adults Includes Wood Interlocking Blocks Diagonal Burr and Snake Cube in Storage Box</t>
  </si>
  <si>
    <t>B0B5RV7LCM</t>
  </si>
  <si>
    <t>MU-YSOO-U56G</t>
  </si>
  <si>
    <t>Cosynee Washing Machine Cleaner Descaler 24 Pack - Washer Cleaner Tub Deep Cleaning Tabs For Front Loader And Top Load Household, Clean Inside Drum An</t>
  </si>
  <si>
    <t>B01D4TQ5SO</t>
  </si>
  <si>
    <t>GS US WOODEN -19</t>
  </si>
  <si>
    <t>Shalinindia Handmade Party Decor Wooden Napkin Rings Set of 12 for Table Dinner Decoration</t>
  </si>
  <si>
    <t>B07Y68S37C</t>
  </si>
  <si>
    <t>PK KNOBS TFR -7</t>
  </si>
  <si>
    <t>Cosynee 10 x Mix Vintage Look Flower Ceramic Knobs Door Handle Cabinet Drawer Cupboard Pull Mandala</t>
  </si>
  <si>
    <t>B00VRC7PZI</t>
  </si>
  <si>
    <t>GS US BOWL -2</t>
  </si>
  <si>
    <t>Handmade 5 Inches Bell Metal Tibetan Buddhist Singing Bowl Musical Instrument for Meditation with Stick and Cushion</t>
  </si>
  <si>
    <t>B07KQZ1S98</t>
  </si>
  <si>
    <t>Gs Us Knobs Flat -3</t>
  </si>
  <si>
    <t>Cosynee - 20 X Mix Vintage Look Flower Ceramic Knobs Door Handle Cabinet Drawer Cupboard Pull</t>
  </si>
  <si>
    <t>B09PHB4LN3</t>
  </si>
  <si>
    <t>GS BOWL -1</t>
  </si>
  <si>
    <t>Cosynee Pure Brass Tibetan Singing Bowl for Meditation, Sound Bowl Set for Chakra Healing, Tibetan Singing Bowl Set, Yoga Singing Bowl (Diameter 8 Inc</t>
  </si>
  <si>
    <t>B07MQ4ML8Z</t>
  </si>
  <si>
    <t>GS USA KNOBS R+P -5</t>
  </si>
  <si>
    <t>Cosynee Cabinet Knobs Drawer Pulls Dresser Knobs Drawer Knobs Kitchen Cabinet Knobs Assorted Drawer Knobs (Lot of 30)</t>
  </si>
  <si>
    <t>B07Y3F98YH</t>
  </si>
  <si>
    <t>MS US BOWL -17</t>
  </si>
  <si>
    <t>cosynee - Triple Moon Pentacle Copper 3", for Altar, Ritual use, Incense Burner, smudging, Decoration, offering Bowl, 3" Diameter 2" Height,</t>
  </si>
  <si>
    <t>B07KQYXCDY</t>
  </si>
  <si>
    <t>R+P -7</t>
  </si>
  <si>
    <t>Drawer Knobs Set Of 25 Blue And White Hand Painted Ceramic Pumpkin Assorted Knobs Kitchen Cabinets Handles Drawer Handles Pulls Door Knobs</t>
  </si>
  <si>
    <t>B08336KZ8P</t>
  </si>
  <si>
    <t>GS USA KNOBS FLAT -5</t>
  </si>
  <si>
    <t>Cosynee Cabinet Knobs Drawer Pulls Dresser Knobs Drawer Knobs Kitchen Cabinet Knobs Assorted Drawer Knobs (Set -30)</t>
  </si>
  <si>
    <t>B007STQBOK</t>
  </si>
  <si>
    <t>GS USA WOODEN -18</t>
  </si>
  <si>
    <t>Shalinindia Games Solitaire Board In Wood With Glass Marbles</t>
  </si>
  <si>
    <t>B00C9WSYV4</t>
  </si>
  <si>
    <t>Stamp SPOON -1</t>
  </si>
  <si>
    <t>ShalinIndia Handmade Indian Stainless Steel &amp; Copper Serving Spoon Set of 2 - Genuine Copper Dinnerware Serving Pieces</t>
  </si>
  <si>
    <t>B00LSNLD04</t>
  </si>
  <si>
    <t>PK US SSF -4</t>
  </si>
  <si>
    <t>Shalinindia Set of 6 Snow Flake Christmas Home Birthday Party Wedding Decor Ornaments - Handmade Decoration Gifts Set</t>
  </si>
  <si>
    <t>B00QGOXZK6</t>
  </si>
  <si>
    <t>JD US WOODEN -14</t>
  </si>
  <si>
    <t>Handmade Wooden Tic Tac Toe Game for Kids 7 and Up - Great Gifts for Kids for All Occasions</t>
  </si>
  <si>
    <t>B009YQJ4G2</t>
  </si>
  <si>
    <t>GS US WOODEN -17</t>
  </si>
  <si>
    <t>Handmade Wooden Cup and Ball Game - Unique Handmade Gifts for Kids</t>
  </si>
  <si>
    <t>B07VHQ8S3P</t>
  </si>
  <si>
    <t>KNOBS TFR-12</t>
  </si>
  <si>
    <t>Coysnee Set Off 12 White &amp; Grey Knobs Hand Painted Ceramic Knobs Cabinet Drawer Pull</t>
  </si>
  <si>
    <t>B007YYJ03I</t>
  </si>
  <si>
    <t>PK-WOODEN-6</t>
  </si>
  <si>
    <t>Handcrafted Indian Wooden Labyrinth Ball Maze Puzzle Game &amp; Decoration</t>
  </si>
  <si>
    <t>B09TXZXM99</t>
  </si>
  <si>
    <t>BROOM -1</t>
  </si>
  <si>
    <t>COSYNEE - 1 Piece of 32 inch Multi-Surface Sturdy Outdoor Authentic Coconut Leaf Broom Asian Heavy Duty Broom Natural Coconut Leaf Broom (Country Rust</t>
  </si>
  <si>
    <t>B01LEVMN5I</t>
  </si>
  <si>
    <t>GS US SPOON -2</t>
  </si>
  <si>
    <t>Serving Spoons Set of 4 Indian Dinnerware Serveware</t>
  </si>
  <si>
    <t>B07X8GXJBY</t>
  </si>
  <si>
    <t>PK RUNE -2</t>
  </si>
  <si>
    <t>cosynee Healing Gemstone Rune Stones with Pouch (Amethyst)</t>
  </si>
  <si>
    <t>B00UTK3QKM</t>
  </si>
  <si>
    <t>GS USA WOODEN -31</t>
  </si>
  <si>
    <t>ShalinIndia Indian Coin Bank Money Saving Box - Banks for Kids &amp; Adults - Wood Vacation Piggy Bank</t>
  </si>
  <si>
    <t>B07ZRJ7HK9</t>
  </si>
  <si>
    <t>GS US AIR KNOBS TFR -11</t>
  </si>
  <si>
    <t>Coysnee Set Off 10 Multi Knobs Hand Painted Ceramic Knobs Cabinet Drawer Pull (Multi-02)</t>
  </si>
  <si>
    <t>B00BSNAQ84</t>
  </si>
  <si>
    <t>GS US BOWL -18</t>
  </si>
  <si>
    <t>Karahi Indian Serving Dishes - 2-Piece Copper Bowl Set - Copper Kitchen Decor &amp; Copper Anniversary Gifts</t>
  </si>
  <si>
    <t>B08DXX89N4</t>
  </si>
  <si>
    <t>KNOBS</t>
  </si>
  <si>
    <t>Cosynee Premium Quality Assorted Ceramic Knobs- Black &amp; White Color Designed Ceramic Cupboard Cabinet Door Knobs Drawer Pulls &amp; Chrome Hardware</t>
  </si>
  <si>
    <t>B00NQ3CRTU</t>
  </si>
  <si>
    <t>Stamp NPKN -7</t>
  </si>
  <si>
    <t>Shalinindia Handmade Indian Gold Beaded Napkin Rings - Set of 6 Rings</t>
  </si>
  <si>
    <t>B011EEG1KS</t>
  </si>
  <si>
    <t>JD UD BOWL -21</t>
  </si>
  <si>
    <t>Shalinindia - Tibetan Buddhist Large Singing Bowl with Cushion from India for Meditation Sound Healing Prayer Percussion Musical Instrument 6" Inch</t>
  </si>
  <si>
    <t>B07KS39R52</t>
  </si>
  <si>
    <t>GS US KNOBS R+P -3</t>
  </si>
  <si>
    <t>20 Assorted Drawer Knobs Dresser Knobs Kitchen Cabinet Knobs Decorative Drawer Knobs Pulls Vintage Cabinet Knobs Mixed Decorative Knobs For Dresser Dr</t>
  </si>
  <si>
    <t>B00XHS2FL4</t>
  </si>
  <si>
    <t>GS US SOAPSTONE -1A</t>
  </si>
  <si>
    <t>Grey Stone Art Holder Soap Dish Accessories for Bathroom Shower Bath Tub</t>
  </si>
  <si>
    <t>B00A4GRZNK</t>
  </si>
  <si>
    <t>MS US CTN POUCH -2</t>
  </si>
  <si>
    <t>1 X Cotton Muslin Bags 3x4 Inch Drawstring 50 Count Pack</t>
  </si>
  <si>
    <t>B0B53693RY</t>
  </si>
  <si>
    <t>JD USA BROOM -3</t>
  </si>
  <si>
    <t>COSYNEE - Set of 3 Piece 32 inch Multi-Surface Sturdy Outdoor Authentic Coconut Leaf Broom Asian Heavy Duty Broom Natural Coconut Leaf Broom (Country</t>
  </si>
  <si>
    <t>B01ENH3VYM</t>
  </si>
  <si>
    <t>4-in-One Wooden Puzzle Games</t>
  </si>
  <si>
    <t>4-in-One Wooden Puzzle Games Set - 3D Puzzles for Teens and Adults - Includes Wood Interlocking Blocks, Diagonal Burr,Soma Cube and Snake Cube in Stor</t>
  </si>
  <si>
    <t>B01D4TQ1UQ</t>
  </si>
  <si>
    <t>GS US WOODEN -13</t>
  </si>
  <si>
    <t>Shalinindia Handcrafted Table Dinner Decorations Wooden Napkin Rings Set of 6 for Party Decor</t>
  </si>
  <si>
    <t>B07RHTLGZ3</t>
  </si>
  <si>
    <t>GS SEA KNOBS FLAT -2</t>
  </si>
  <si>
    <t>cosynee Lot of 12 Mix Vintage Ceramic Flower Drawer Knobs</t>
  </si>
  <si>
    <t>B07KWYX7VC</t>
  </si>
  <si>
    <t>GS USA NPKN -16</t>
  </si>
  <si>
    <t>Cosynee Handmade Indian Multiocolor Color Beaded Napkin Rings Party Table Decor Set of 6 Rings</t>
  </si>
  <si>
    <t>B07RLSVJ39</t>
  </si>
  <si>
    <t>GS SEA KNOBS FLAT -6</t>
  </si>
  <si>
    <t>Cosynee 10 Pieces Dotted Ceramic Cabinet Pulls Colorful Drawer Knobs and Fancy Drawer Pulls - Perfect Ceramic Cabinet Knobs &amp; Ceramic Drawer Pulls (As</t>
  </si>
  <si>
    <t>B083ZSQM9Z</t>
  </si>
  <si>
    <t>MS US RUNE -16</t>
  </si>
  <si>
    <t>cosynee Healing Gemstone Rune Stones with Pouch (Blood Stone)</t>
  </si>
  <si>
    <t>B09PGCQVK9</t>
  </si>
  <si>
    <t>GS BOWL -14</t>
  </si>
  <si>
    <t>Cosynee Tibetan Singing Bowl Set for Meditation, Sound Bowl Set for Chakra Healing, Yoga Singing Bowl, Buddhist Singing Bowl (Diameter 5 Inches and We</t>
  </si>
  <si>
    <t>B00LIS5UW6</t>
  </si>
  <si>
    <t>GS USA SOAPSTONE -10</t>
  </si>
  <si>
    <t>NEW Soapstone Scrying and Smudge Bowl (Scrying - Bowls &amp; Mirrors)</t>
  </si>
  <si>
    <t>B07XCLDG2Z</t>
  </si>
  <si>
    <t>MS US RUNE -1</t>
  </si>
  <si>
    <t>cosynee Healing Gemstone Rune Stones with Pouch (Opolite)</t>
  </si>
  <si>
    <t>B00NQ3CUI8</t>
  </si>
  <si>
    <t>STAMP NPKN -2</t>
  </si>
  <si>
    <t>Shalinindia Beaded Napkin Rings Set of 6 Silver Decorations Christmas Ornaments</t>
  </si>
  <si>
    <t>B01D4TQ3ZE</t>
  </si>
  <si>
    <t>GS US WOODEN -20</t>
  </si>
  <si>
    <t>Shalinindia Artisan Crafted Dinner Table Decorations Wood Napkin Rings Set of 8 for Wedding Party</t>
  </si>
  <si>
    <t>B08DM18L6Q</t>
  </si>
  <si>
    <t>C CNDL -1</t>
  </si>
  <si>
    <t>Cosynee - Spell Candles (40 Candles) - One Shipping Charge (Multi)</t>
  </si>
  <si>
    <t>B083ZTH1MV</t>
  </si>
  <si>
    <t>MS USA RUNE -19</t>
  </si>
  <si>
    <t>cosynee Healing Gemstone Rune Stones with Pouch (Labradorite)</t>
  </si>
  <si>
    <t>B0BHJ48YKW</t>
  </si>
  <si>
    <t>100CANDLES-GS</t>
  </si>
  <si>
    <t>B009OY6WZU</t>
  </si>
  <si>
    <t>GS USA AIR SOAPSTONE -1</t>
  </si>
  <si>
    <t>Shalinindia Stone Art Holder Soap Dish Accessories for Bathroom Shower Bath Tub</t>
  </si>
  <si>
    <t>B07KQYD3BL</t>
  </si>
  <si>
    <t>JD S KNOBS GREY -4</t>
  </si>
  <si>
    <t>Coysnee Cabinet Knobs Drawer Pulls Dresser Knobs Drawer Knobs Kitchen Cabinet Knobs Set of 25 Drawer Knobs (Grey -4)</t>
  </si>
  <si>
    <t>B083368QDG</t>
  </si>
  <si>
    <t>JD KNOBS FLAT -1</t>
  </si>
  <si>
    <t>Cosynee Cabinet Knobs Drawer Pulls Dresser Knobs Drawer Knobs Kitchen Cabinet Knobs Assorted Drawer Knobs (Set -10)</t>
  </si>
  <si>
    <t>B07QNQ1SBD</t>
  </si>
  <si>
    <t>KNOBS TRF -2</t>
  </si>
  <si>
    <t>Cosynee 12 pc Door Knobs Hand Printed Ceramic Knobs and Pulls Handle Handmade Silver Finish (Red)</t>
  </si>
  <si>
    <t>B01AJJXJG8</t>
  </si>
  <si>
    <t>Raja 12 silver napkin rings</t>
  </si>
  <si>
    <t>Handmade Indian Silver Beaded Napkin Rings - Set of 12 Rings</t>
  </si>
  <si>
    <t>B07SPCSGQ8</t>
  </si>
  <si>
    <t>GS US KNOBS R+P -6</t>
  </si>
  <si>
    <t>Cosynee Blue Hand Painted Ceramic Round &amp; Pumpkin Assorted Knobs Cabinet Drawer Handles Pulls (25, Golden)</t>
  </si>
  <si>
    <t>B001G8H4EA</t>
  </si>
  <si>
    <t>GS US CTN POUCH -2</t>
  </si>
  <si>
    <t>- Cotton Drawstring Muslin Bags, 2.75" X 4" - Pack of 50</t>
  </si>
  <si>
    <t>B09PHB8LTL</t>
  </si>
  <si>
    <t>JD C BOWL -2</t>
  </si>
  <si>
    <t>Cosynee Pure Brass Tibetan Singing Bowl for Meditation, Sound Bowl Set for Chakra Healing, Tibetan Singing Bowl Set, Handmade Bell Metal Buddhist Sing</t>
  </si>
  <si>
    <t>B09PGCDQZ8</t>
  </si>
  <si>
    <t>JD C BOWL -15</t>
  </si>
  <si>
    <t>B07SL2LYFG</t>
  </si>
  <si>
    <t>GS SEA KNOBS TFR -4</t>
  </si>
  <si>
    <t>Cosynee Set of 12 Ceramic Blue Wheel Flat Knobs Drawer Pulls and Handmade Design</t>
  </si>
  <si>
    <t>B09T3BQQB1</t>
  </si>
  <si>
    <t>JD MURTI -1</t>
  </si>
  <si>
    <t>Cosynee Statue Goddess Idol Hindu Religious Art Brass 5 Inch (Goddess Durga)</t>
  </si>
  <si>
    <t>B01AJJXHJC</t>
  </si>
  <si>
    <t>Raja Silver 8 napkin</t>
  </si>
  <si>
    <t>Shalinindia Handmade Indian Silver Beaded Napkin Rings</t>
  </si>
  <si>
    <t>B07VCTCJVK</t>
  </si>
  <si>
    <t>JD US WISTEL -1</t>
  </si>
  <si>
    <t>5" Brass Copper Boatswain Whistle with Golden Chain Bosun Call Pipe</t>
  </si>
  <si>
    <t>B083ZSZC8H</t>
  </si>
  <si>
    <t>MS US RUNE -22</t>
  </si>
  <si>
    <t>cosynee Healing Gemstone Rune Stones with Pouch (Blue Onyx)</t>
  </si>
  <si>
    <t>B083ZSZLJC</t>
  </si>
  <si>
    <t>MS US RUNE -15</t>
  </si>
  <si>
    <t>cosynee Healing Gemstone Rune Stones with Pouch (Moon Stone)</t>
  </si>
  <si>
    <t>B07XCND61W</t>
  </si>
  <si>
    <t>MS US RUNE -7</t>
  </si>
  <si>
    <t>cosynee Healing Gemstone Rune Stones with Pouch (Lapis Lazuli)</t>
  </si>
  <si>
    <t>B06XF3M34H</t>
  </si>
  <si>
    <t>GS US AIR KNOBS R+P -1</t>
  </si>
  <si>
    <t>Cabinet Knobs Drawer Pulls Dresser Knobs Drawer Knobs Kitchen Cabinet Knobs Set Of 10 Assorted Drawer Knobs</t>
  </si>
  <si>
    <t>B01D4TQ034</t>
  </si>
  <si>
    <t>GS US WOODEN -21</t>
  </si>
  <si>
    <t>Shalinindia Handmade Wooden Napkin - Holder Set of 4 Napkin Rings - Artisan Crafted in India - Napkin Holders</t>
  </si>
  <si>
    <t>B086422SFR</t>
  </si>
  <si>
    <t>GS USA JWL-BCL-0001</t>
  </si>
  <si>
    <t>Set of 4 Tibetan Copper Bracelets Magnetic India Pattern Women's Men's Spiritual Yoga Jewelry (Style -2)</t>
  </si>
  <si>
    <t>B07XCLDRNL</t>
  </si>
  <si>
    <t>MS RUNE -8</t>
  </si>
  <si>
    <t>cosynee Healing Gemstone Rune Stones with Pouch (Tiger Eye)</t>
  </si>
  <si>
    <t>B00NMEXJ0O</t>
  </si>
  <si>
    <t>GS US BOWL -6</t>
  </si>
  <si>
    <t>Tibetan Buddhist Small Hand Painted Singing Bowl with Cushion from India for Meditation Sound Healing Prayer Percussion Musical Instrument 4 Inch</t>
  </si>
  <si>
    <t>B00BSNAQRA</t>
  </si>
  <si>
    <t>JD US BOWL -18</t>
  </si>
  <si>
    <t>Karahi Indian Serving Dishes - 2-Piece Copper Bowl Set - Copper Kitchen Decor &amp; Copper Anniversary Gifts (Lot of 2, 6 Inch)</t>
  </si>
  <si>
    <t>B07XCNJLWN</t>
  </si>
  <si>
    <t>MS US RUNE -4</t>
  </si>
  <si>
    <t>cosynee Healing Gemstone Rune Stones with Pouch (Black Agate)</t>
  </si>
  <si>
    <t>B07S63892Q</t>
  </si>
  <si>
    <t>MS PNDM -8</t>
  </si>
  <si>
    <t>Cosynee Natural Crystal Pendulum 12 Facet Reiki Charged (Rose Quartz)</t>
  </si>
  <si>
    <t>B07VCDHFCT</t>
  </si>
  <si>
    <t>SCRUBER -1</t>
  </si>
  <si>
    <t>100% NATURAL PUMICE STONE FOR FEET-Dead Skin Remover For Body-foot scrubber foot scraper for dead skin remover for feet-foot scrub-foot care-foot call</t>
  </si>
  <si>
    <t>B003J8WA5S</t>
  </si>
  <si>
    <t>RUNE -8</t>
  </si>
  <si>
    <t>SET OF RUNES POLISHED TIGER'S EYE GEMSTONES</t>
  </si>
  <si>
    <t>B07XCN9ZB6</t>
  </si>
  <si>
    <t>MS US RUNE -9</t>
  </si>
  <si>
    <t>cosynee Healing Gemstone Rune Stones with Pouch (Multi)</t>
  </si>
  <si>
    <t>B07X7W3JNX</t>
  </si>
  <si>
    <t>MS US RUNE -5</t>
  </si>
  <si>
    <t>cosynee Healing Gemstone Rune Stones with Pouch (Clear Quartz)</t>
  </si>
  <si>
    <t>B01D4TQ3CW</t>
  </si>
  <si>
    <t>WOODEN -40</t>
  </si>
  <si>
    <t>Shalinindia Handcrafted Table Dinner Decorations Wooden Napkin Rings Set of 12 for Party Decor</t>
  </si>
  <si>
    <t>B00NMEY2KU</t>
  </si>
  <si>
    <t>GS USA BOWL -16</t>
  </si>
  <si>
    <t>Tibetan Buddhist Small Singing Bowl with Cushion from India for Meditation Sound Healing Prayer Percussion Musical Instrument 4 Inch</t>
  </si>
  <si>
    <t>B00COTAO56</t>
  </si>
  <si>
    <t>GS PNDM -17</t>
  </si>
  <si>
    <t>Cosynee Natural Crystal Pendulum 12 Facet Reiki Charged (Multi Stone with Lapis -Lazuli Stone with Pouch)</t>
  </si>
  <si>
    <t>B01AJOM6QM</t>
  </si>
  <si>
    <t>Raja gold 8 napkin rings</t>
  </si>
  <si>
    <t>Shalinindia Handmade Indian Gold Beaded Napkin Rings - Set of 8 Rings</t>
  </si>
  <si>
    <t>B01D4TRRIQ</t>
  </si>
  <si>
    <t>GS US WOODEN -36</t>
  </si>
  <si>
    <t>Shalinindia Handmade Rustic Wooden Napkin Rings Set of 4 for Table Decoration Ideas</t>
  </si>
  <si>
    <t>B083ZTJQ8S</t>
  </si>
  <si>
    <t>MS US RUNE -21</t>
  </si>
  <si>
    <t>cosynee Healing Gemstone Rune Stones with Pouch (Tigereye)</t>
  </si>
  <si>
    <t>B09PGC5L4V</t>
  </si>
  <si>
    <t>JD C BOWL -12</t>
  </si>
  <si>
    <t>B01AJJXFIA</t>
  </si>
  <si>
    <t>Raja NPKN -1</t>
  </si>
  <si>
    <t>Shalinindia Handmade Indian Silver Beaded Napkin Rings - Set of 4 Rings</t>
  </si>
  <si>
    <t>B07SNR43DB</t>
  </si>
  <si>
    <t>KNOBS GGGGG</t>
  </si>
  <si>
    <t>Cosynee Black &amp; White Premium Quality Assorted Ceramic Knobs- Multi Color Mix Designed Ceramic Cupboard Cabinet Door Knobs Drawer Pulls &amp; Chrome Hardw</t>
  </si>
  <si>
    <t>B01D4TPZ76</t>
  </si>
  <si>
    <t>GS USA WOODEN -38</t>
  </si>
  <si>
    <t>Shalinindia Handmade Party Decor Wooden Napkin Rings Set of 6 for Table Dinner Decoration</t>
  </si>
  <si>
    <t>B01LNABSF6</t>
  </si>
  <si>
    <t>GS USA BOWL -11</t>
  </si>
  <si>
    <t>ShalinIndia Manipura Yellow Buddhist Singing Bowl - Tuned to the 3rd Chakra Solar Plexus Chakra - Fine Quality Brass - 5 Inches - Ideal for Meditation</t>
  </si>
  <si>
    <t>B07W4L4N4K</t>
  </si>
  <si>
    <t>GS US S KNOBS GREY -1</t>
  </si>
  <si>
    <t>Coysnee Set Off 10 White &amp; Grey Knobs Hand Painted Ceramic Knobs Cabinet Drawer Pull</t>
  </si>
  <si>
    <t>B00LSNLD0E</t>
  </si>
  <si>
    <t>PK USA SSF -5</t>
  </si>
  <si>
    <t>Shalinindia Handmade Snowflake Iron and Glass Pendant Christmas Ornaments, 6 Inches</t>
  </si>
  <si>
    <t>B00L482E2E</t>
  </si>
  <si>
    <t>GS USA WOODEN -56</t>
  </si>
  <si>
    <t>Shalinindia Wooden Dominoes Set Boat Tray - 28 Pieces - 11 inches by 3.5 inches - Great Gift for Adults</t>
  </si>
  <si>
    <t>B007STQAZK</t>
  </si>
  <si>
    <t>GS USA WOODEN -55</t>
  </si>
  <si>
    <t>Shalinindia Handmade Wooden Mini 12 Piece Bowling Gifts Set with Storage Box</t>
  </si>
  <si>
    <t>B01D4TQX2C</t>
  </si>
  <si>
    <t>GS USA WOODEN -61</t>
  </si>
  <si>
    <t>Shalinindia Handmade Artisan Crafted in India Wood Napkin Ring Set of 6</t>
  </si>
  <si>
    <t>B09PGDLSFF</t>
  </si>
  <si>
    <t>GS BOWL -10</t>
  </si>
  <si>
    <t>B09TFGBW9Y</t>
  </si>
  <si>
    <t>JD C BOWL -29</t>
  </si>
  <si>
    <t>Cosynee Tibetan Singing Bowl Set with Silver Copper Color for Meditation, Sound Bowl Set for Chakra Healing, Yoga Singing Bowl, Buddhist Singing Bowl</t>
  </si>
  <si>
    <t>B07JWF2TRN</t>
  </si>
  <si>
    <t>STAMP0030-P20-RED</t>
  </si>
  <si>
    <t>Stampression</t>
  </si>
  <si>
    <t>Ordered Color- Red Colop Printer 20 Self-Inking Text Rubber Stamp Office Stationary Stamps</t>
  </si>
  <si>
    <t>B01AJOM824</t>
  </si>
  <si>
    <t>Raja NPKN -9</t>
  </si>
  <si>
    <t>ShalinIndia Handmade Beaded Napkin Rings, Gold (Set of 12)</t>
  </si>
  <si>
    <t>B07X8GXP9J</t>
  </si>
  <si>
    <t>MS US RUNE -3</t>
  </si>
  <si>
    <t>cosynee Healing Gemstone Rune Stones with Pouch (Rose Quartz)</t>
  </si>
  <si>
    <t>B083ZRXMBQ</t>
  </si>
  <si>
    <t>MS US RUNE -12</t>
  </si>
  <si>
    <t>cosynee Healing Gemstone Rune Stones with Pouch (Red Jasper)</t>
  </si>
  <si>
    <t>B0953QBXXP</t>
  </si>
  <si>
    <t>JD SOAPSTONE -8</t>
  </si>
  <si>
    <t>Cosynee Tealight Candle Holder, 4, Brown</t>
  </si>
  <si>
    <t>B08642W6XM</t>
  </si>
  <si>
    <t>GS USA JWL-BCL-0013</t>
  </si>
  <si>
    <t>Set of 3 Tibetan Copper Bracelets Magnetic India Pattern Women's Men's Spiritual Yoga Jewelry (Style -14)</t>
  </si>
  <si>
    <t>B00L48L6GY</t>
  </si>
  <si>
    <t>GS US WOODEN -70</t>
  </si>
  <si>
    <t>Shalinindia Large Decorative Wooden Ashtray with Cigarette Storage Case Box</t>
  </si>
  <si>
    <t>B009YQJ55M</t>
  </si>
  <si>
    <t>GS US WOODEN -77</t>
  </si>
  <si>
    <t>Shalinindia Handcrafted 12 Piece Wooden Bar Skittles Bowling Pin Set Game Birthday Gifts for him</t>
  </si>
  <si>
    <t>B083ZRRL62</t>
  </si>
  <si>
    <t>MS US RUNE -13</t>
  </si>
  <si>
    <t>cosynee Healing Gemstone Rune Stones with Pouch (Green Jade)</t>
  </si>
  <si>
    <t>B08641X3VZ</t>
  </si>
  <si>
    <t>GS USA JWL-BCL-0006</t>
  </si>
  <si>
    <t>Set of 4 Tibetan Copper Bracelets Magnetic India Pattern Women's Men's Spiritual Yoga Jewelry (Style -7)</t>
  </si>
  <si>
    <t>B086421D7F</t>
  </si>
  <si>
    <t>JD US JWL-BCL-0011</t>
  </si>
  <si>
    <t>Set of 1 Tibetan Copper Bracelets Magnetic India Pattern Women's Men's Spiritual Yoga Jewelry (Style -12)</t>
  </si>
  <si>
    <t>B0864231GD</t>
  </si>
  <si>
    <t>JD US JWL-BCL-0016</t>
  </si>
  <si>
    <t>Set of 2 Tibetan Copper Bracelets Magnetic India Pattern Women's Men's Spiritual Yoga Jewelry (Style -17)</t>
  </si>
  <si>
    <t>B08YCRTSSK</t>
  </si>
  <si>
    <t>MS US RUNE -23</t>
  </si>
  <si>
    <t>cosynee Healing Gemstone Rune Stones with Pouch (Amazonite)</t>
  </si>
  <si>
    <t>B01D4TQ17Y</t>
  </si>
  <si>
    <t>JD US WOODEN -39</t>
  </si>
  <si>
    <t>Shalinindia Handmade Wedding Party Decorations Wood Napkin Rings Set of 8 for Dinner Ideas</t>
  </si>
  <si>
    <t>B01D4TPX4Q</t>
  </si>
  <si>
    <t>JD US WOODEN -37</t>
  </si>
  <si>
    <t>Shalinindia Artisan Crafted Dinner Table Decorations Wooden Napkin Rings Set of 4 for Wedding Party</t>
  </si>
  <si>
    <t>B083ZTR4YZ</t>
  </si>
  <si>
    <t>MS US RUNE -11</t>
  </si>
  <si>
    <t>cosynee Healing Gemstone Rune Stones with Pouch (Hematite)</t>
  </si>
  <si>
    <t>B01DEK58FY</t>
  </si>
  <si>
    <t>36-FFWV-2VHB</t>
  </si>
  <si>
    <t>Opalite Merkaba Star "Stone of Eternity" Energy Healing Meditation Tool Sacred Geometry Tetrahedron Crystal Gemstone Altar Decor Spiritual Gifts</t>
  </si>
  <si>
    <t>B083ZT7BC4</t>
  </si>
  <si>
    <t>MS US RUNE -6</t>
  </si>
  <si>
    <t>cosynee Healing Gemstone Rune Stones with Pouch (Sunstone)</t>
  </si>
  <si>
    <t>B09T3F57BY</t>
  </si>
  <si>
    <t>JD MURTI -2</t>
  </si>
  <si>
    <t>Cosynee Goddess Saraswati Statue - Figurine Idol Hindu Religious Art Brass 5 Inches</t>
  </si>
  <si>
    <t>B086419H57</t>
  </si>
  <si>
    <t>GS USA JWL-BCL-0014</t>
  </si>
  <si>
    <t>Set of Two Tibetan Copper Bracelets Magnetic India Pattern Women's Men's Spiritual Yoga Jewelry (Style -15)</t>
  </si>
  <si>
    <t>B01LNABV76</t>
  </si>
  <si>
    <t>JD US BOWL -15</t>
  </si>
  <si>
    <t>ShalinIndia Anahata Buddhist Singing Bowl - Tuned to the 4th Chakra Heart Chakra - Fine Quality Brass - 5 Inches - Ideal for Meditations, Ayurveda &amp; Y</t>
  </si>
  <si>
    <t>B01D4TR10A</t>
  </si>
  <si>
    <t>GS USA WOODEN -63</t>
  </si>
  <si>
    <t>Shalinindia Handmade Artisan Crafted in India Wooden Napkin Ring Set of 12 - Napkin Holders</t>
  </si>
  <si>
    <t>B01LNABPEA</t>
  </si>
  <si>
    <t>GS USA BOWL -12</t>
  </si>
  <si>
    <t>ShalinIndia Ajna Indigo Buddhist Singing Bowl - Tuned to the 6th Chakra Third Eye Chakra - Fine Quality Brass - 5 Inches - Ideal for Meditations, Ayur</t>
  </si>
  <si>
    <t>B01D4TRKA6</t>
  </si>
  <si>
    <t>GS US WOODEN -48</t>
  </si>
  <si>
    <t>Shalinindia Handmade Party Decor Wooden Napkin Rings Set of 8 for Table Dinner Decoration</t>
  </si>
  <si>
    <t>B07S839FPR</t>
  </si>
  <si>
    <t>MS PNDM -11</t>
  </si>
  <si>
    <t>Cosynee Natural Stone Hexagonal Chakra Gemstone (Lapiz Lazuli)</t>
  </si>
  <si>
    <t>B09PGF53YK</t>
  </si>
  <si>
    <t>JD C BOWL -11</t>
  </si>
  <si>
    <t>B00NMEYUPM</t>
  </si>
  <si>
    <t>GS US BOWL -7</t>
  </si>
  <si>
    <t>4 Inches Hand Painted Metal Tibetan Buddhist Singing Bowl Musical Instrument for Meditation with Stick and Cushion</t>
  </si>
  <si>
    <t>B07S72VMT3</t>
  </si>
  <si>
    <t>MS PNDM -10</t>
  </si>
  <si>
    <t>Cosynee Natural Amethyst Pendulum Crystal Dowsing rods amatista cuarzo Pendulums for Divination Pendulum Crystal Piedra amatista 12 Facet Reiki Charge</t>
  </si>
  <si>
    <t>B07KWZHHQ4</t>
  </si>
  <si>
    <t>GS US NPKN -23</t>
  </si>
  <si>
    <t>COSYNEE Handmade Indian Multicolor Color Beaded Napkin Rings Party Table Decor Set of 4 Rings</t>
  </si>
  <si>
    <t>B00PU0DW3M</t>
  </si>
  <si>
    <t>GS US WOODEN -64</t>
  </si>
  <si>
    <t>Handmade Indian Wooden Solitaire Board Game with Stainless Steel Balls - Travel Games for Adults</t>
  </si>
  <si>
    <t>B09PHBSQ3F</t>
  </si>
  <si>
    <t>GS BOWL -7</t>
  </si>
  <si>
    <t>Cosynee Tibetan Singing Bowl Set for Meditation, Sound Bowl Set for Chakra Healing, Yoga Singing Bowl, Buddhist Singing Bowl (Diameter 4 Inches and We</t>
  </si>
  <si>
    <t>B08641V6JN</t>
  </si>
  <si>
    <t>GS USA JWL-BCL-0010</t>
  </si>
  <si>
    <t>Set of 1 Tibetan Copper Bracelets Magnetic India Pattern Women's Men's Spiritual Yoga Jewelry (Style -11)</t>
  </si>
  <si>
    <t>B07KQZHKQ1</t>
  </si>
  <si>
    <t>RED ORNATE</t>
  </si>
  <si>
    <t>Set of 10 Ornate Red Floral Ceramic Knobs for Cabinets &amp; Drawer - Hand Painted Pulls</t>
  </si>
  <si>
    <t>B01IVO2DLU</t>
  </si>
  <si>
    <t>Sales Stamp Date Paid Red Ink</t>
  </si>
  <si>
    <t>Shiny</t>
  </si>
  <si>
    <t>Shiny Self Inking Rubber Date Stamp, PAID, Red Ink (S-303)</t>
  </si>
  <si>
    <t>B07Y35VY7Z</t>
  </si>
  <si>
    <t>GS US PYR -3</t>
  </si>
  <si>
    <t>cosynee Orgone Reiki Pyramid Kit, EMF Protection Meditation Yoga Energy Generator, Crystal Quartz Energy Points, 7 Chakra Crystal Orgone Pyramid Kit (</t>
  </si>
  <si>
    <t>B07RLTK6C5</t>
  </si>
  <si>
    <t>GS US KNOBS PMKN -1</t>
  </si>
  <si>
    <t>Cosynee Vintage Cabinet knobs pulls &amp; Chrome Drawer knobs (Pumpkin)</t>
  </si>
  <si>
    <t>B007M6BUBS</t>
  </si>
  <si>
    <t>MURTI -1</t>
  </si>
  <si>
    <t>Shalinindia Antique Goddess Durga Metal Brass Sculpture, H: 5 Inches, W: 0.8 Kg</t>
  </si>
  <si>
    <t>B09PG8PMHV</t>
  </si>
  <si>
    <t>VKB WOODEN -19</t>
  </si>
  <si>
    <t>Cosynee Handmade Party Decor Wooden Napkin Rings Set of for 12 Table Dinner Decoration (Set of 12)</t>
  </si>
  <si>
    <t>B07JMSTT93</t>
  </si>
  <si>
    <t>STAMP0092-P20-BLUE</t>
  </si>
  <si>
    <t>Entered QUICK BOOKS -Color-Blue- Shiny S-842 Self-Inking Clear Print Text Rubber Stamp Office Stationary Stamps</t>
  </si>
  <si>
    <t>B086415T3N</t>
  </si>
  <si>
    <t>JD US JWL-BCL-0015</t>
  </si>
  <si>
    <t>Set of Two Tibetan Copper Bracelets Magnetic India Pattern Women's Men's Spiritual Yoga Jewelry (Style -16)</t>
  </si>
  <si>
    <t>B08D5V5CFG</t>
  </si>
  <si>
    <t>GS US CNDL -4</t>
  </si>
  <si>
    <t>Spell Candles (40 Candles) - One Shipping Charge! (Blue)</t>
  </si>
  <si>
    <t>B00PNBBDSO</t>
  </si>
  <si>
    <t>GS USA WOODEN -57</t>
  </si>
  <si>
    <t>Handmade Wooden Domino Game with Nautical Storage Box - Complete Game Set Birthday Present Ideas</t>
  </si>
  <si>
    <t>B0863ZMFCP</t>
  </si>
  <si>
    <t>GS USA JWL-BCL-0007</t>
  </si>
  <si>
    <t>Set of 1 Tibetan Copper Bracelets Magnetic India Pattern Women's Men's Spiritual Yoga Jewelry (Style -8)</t>
  </si>
  <si>
    <t>B083ZT81JW</t>
  </si>
  <si>
    <t>MS US RUNE -14</t>
  </si>
  <si>
    <t>cosynee Healing Gemstone Rune Stones with Pouch (Carnelian)</t>
  </si>
  <si>
    <t>B07VFJNVL3</t>
  </si>
  <si>
    <t>MS PNDM -1</t>
  </si>
  <si>
    <t>Cosynee Natural Crystal Pendulum 12 Facet Reiki Charged (Gold Metal)</t>
  </si>
  <si>
    <t>B09PGCL3VP</t>
  </si>
  <si>
    <t>JD C BOWL -20</t>
  </si>
  <si>
    <t>B0B97Y9GCJ</t>
  </si>
  <si>
    <t>JD-BUCKWHEAT-PILLOW-BIG</t>
  </si>
  <si>
    <t>Cosynee Buckwheat Standard Size Pillow Organic Buckwheat Hulls with Natural Technology for Cool Sleep Neck &amp; Cervical Support for Back &amp; Side Sleepers</t>
  </si>
  <si>
    <t>B01A6K64DK</t>
  </si>
  <si>
    <t>SOAPSTONE -14</t>
  </si>
  <si>
    <t>Indian Decorative Items for Home Handmade Lamps Tealight Candle Holder Grey Soap Stone 3 Inch</t>
  </si>
  <si>
    <t>B0864173TB</t>
  </si>
  <si>
    <t>GS USA JWL-BCL-0008</t>
  </si>
  <si>
    <t>Set of 1 Tibetan Copper Bracelets Magnetic India Pattern Women's Men's Spiritual Yoga Jewelry (Style -9)</t>
  </si>
  <si>
    <t>B083ZSZFL1</t>
  </si>
  <si>
    <t>MS US RUNE -10</t>
  </si>
  <si>
    <t>cosynee Healing Gemstone Rune Stones with Pouch (White Agate)</t>
  </si>
  <si>
    <t>B00KVFRW7I</t>
  </si>
  <si>
    <t>Percussion Instrument 1</t>
  </si>
  <si>
    <t>Manjeera Indian Percussion Instrument Hand Cymbals for Hindu Bhajans 3.5 Inches</t>
  </si>
  <si>
    <t>B08642318L</t>
  </si>
  <si>
    <t>JD US JWL-BCL-0009</t>
  </si>
  <si>
    <t>Set of 1 Tibetan Copper Bracelets Magnetic India Pattern Women's Men's Spiritual Yoga Jewelry (Style -10)</t>
  </si>
  <si>
    <t>B00QV9668E</t>
  </si>
  <si>
    <t>Indian Red Beaded Tea Coasters</t>
  </si>
  <si>
    <t>Handmade Indian Black Beaded Tea Coasters - 4 Inch Placemats for Teacups - Set of 6 Cup Coasters (Red)</t>
  </si>
  <si>
    <t>B002R02Y3W</t>
  </si>
  <si>
    <t>RADHA KRISHNA MURTI</t>
  </si>
  <si>
    <t>Radha Krishna Statue Hindu Gods Sculpture Ornament 8 Inches</t>
  </si>
  <si>
    <t>B00L482JJW</t>
  </si>
  <si>
    <t>GS USA WOODEN -52</t>
  </si>
  <si>
    <t>B07S9KM3LS</t>
  </si>
  <si>
    <t>GS US 8 Grey &amp; White</t>
  </si>
  <si>
    <t>Cosynee Lot Off 8 Grey &amp; White Crackle Vintage Knobs (Grey &amp; White)</t>
  </si>
  <si>
    <t>B011EE6HBG</t>
  </si>
  <si>
    <t>GS US BOWL -22</t>
  </si>
  <si>
    <t>Musical Instrument for Meditation with Stick and Cushion 4 Inches Bell Metal Tibetan Buddhist Singing Bowl- Superior Quality</t>
  </si>
  <si>
    <t>B01AJTX6CK</t>
  </si>
  <si>
    <t>Red Beaded Napkin</t>
  </si>
  <si>
    <t>Shalinindia Handmade Indian Red Beaded Napkin Rings - Set of 4 Rings</t>
  </si>
  <si>
    <t>B0863ZTSQ2</t>
  </si>
  <si>
    <t>GS USA JWL-BCL-0017</t>
  </si>
  <si>
    <t>Set of 2 Tibetan Copper Bracelets Magnetic India Pattern Women's Men's Spiritual Yoga Jewelry (Style -18)</t>
  </si>
  <si>
    <t>B09PHB95KL</t>
  </si>
  <si>
    <t>GS BOWL -6</t>
  </si>
  <si>
    <t>B07JWH415L</t>
  </si>
  <si>
    <t>STAMP0061-P20-RED</t>
  </si>
  <si>
    <t>STAMPRESSION</t>
  </si>
  <si>
    <t>Clients Copy Color- Red Colop Printer 20 Self-Inking Text Rubber Stamp Office Stationary Stamps</t>
  </si>
  <si>
    <t>B01D4TQFPW</t>
  </si>
  <si>
    <t>GS US WOODEN -32</t>
  </si>
  <si>
    <t>Shalinindia Artisan Crafted Dinner Table Decorations Wooden Napkin Rings Set of 12 for Wedding Party - Napkin Holders</t>
  </si>
  <si>
    <t>B01D4TRTR0</t>
  </si>
  <si>
    <t>GS US WOODEN -45</t>
  </si>
  <si>
    <t>ShalinIndia Handcrafted Rustic Wooden Napkin Rings Set of 6 for Wedding Party Decoration</t>
  </si>
  <si>
    <t>B07SS1JM9J</t>
  </si>
  <si>
    <t>GS US KNOBS GREY -6</t>
  </si>
  <si>
    <t>Cosynee Set of 8 Crackle White Knobs Cabinet Knobs Door Cupboard Pulls</t>
  </si>
  <si>
    <t>B09TB9TDV6</t>
  </si>
  <si>
    <t>GS BOWL -21</t>
  </si>
  <si>
    <t>Cosynee Brass Tibetan Singing Bowl Set for Meditation, Sound Bowl Set for Chakra Healing, Yoga Singing Bowl, Buddhist Singing Bowl (Diameter 6 Inches</t>
  </si>
  <si>
    <t>B0863KC1L9</t>
  </si>
  <si>
    <t>GS SOAPSTONE -10</t>
  </si>
  <si>
    <t>New Soapstone Scrying and Smudge Bowl (Scrying - Bowls &amp; Mirrors)</t>
  </si>
  <si>
    <t>B009YQJ3U4</t>
  </si>
  <si>
    <t>Tic Tac Toe Two in One</t>
  </si>
  <si>
    <t>Solitaire and Tic Tac Toe Two in One Game Set Wooden Toys from India by ShalinIndia</t>
  </si>
  <si>
    <t>B07JX92DJB</t>
  </si>
  <si>
    <t>STAMP0124-P20-RED</t>
  </si>
  <si>
    <t>Denied Color- Red Shiny S-842 Self-Inking Clear Print Text Rubber Stamp Office Stationary Stamps</t>
  </si>
  <si>
    <t>B01D4TRMN6</t>
  </si>
  <si>
    <t>GS US WOODEN -49</t>
  </si>
  <si>
    <t>ShalinIndia Artisan Crafted Dinner Table Decorations Wooden Napkin Rings Set of 12 for Wedding Party</t>
  </si>
  <si>
    <t>B09PGD54SK</t>
  </si>
  <si>
    <t>JD C BOWL -13</t>
  </si>
  <si>
    <t>B009KVXC2S</t>
  </si>
  <si>
    <t>Raja Opalite Rune</t>
  </si>
  <si>
    <t>GYPSY PALACE</t>
  </si>
  <si>
    <t>Opalite Gemstone Runes with Engraved Lettering and Velvet Bag</t>
  </si>
  <si>
    <t>B009GCXAEG</t>
  </si>
  <si>
    <t>WOODEN -53</t>
  </si>
  <si>
    <t>Safe Money Box Savings Banks Wood Carving Handmade By Artisan by ShalinIndia</t>
  </si>
  <si>
    <t>B083ZT1CS5</t>
  </si>
  <si>
    <t>GS USA RUNE -17</t>
  </si>
  <si>
    <t>cosynee Healing Gemstone Rune Stones with Pouch (Howlite)</t>
  </si>
  <si>
    <t>B086423SQZ</t>
  </si>
  <si>
    <t>GS USA JWL-BCL-0019</t>
  </si>
  <si>
    <t>Set of 3 Tibetan Copper Bracelets Magnetic India Pattern Women's Men's Spiritual Yoga Jewelry (Style -20)</t>
  </si>
  <si>
    <t>B07RPGFHPK</t>
  </si>
  <si>
    <t>KNOBS ORNT-2</t>
  </si>
  <si>
    <t>Cosynee Lot of 10 Ornate Ceramic Floral Knobs for Cabinets &amp; Drawer - Hand Painted Pulls (Blue)</t>
  </si>
  <si>
    <t>B0141MSXHO</t>
  </si>
  <si>
    <t>Sales Stamp Faxed Red Ink</t>
  </si>
  <si>
    <t>Shiny Self-Inking Rubber Date Stamp - FAXED - S-303 - RED INK (42511-R-FAXED) by Shiny</t>
  </si>
  <si>
    <t>B07JM66R6S</t>
  </si>
  <si>
    <t>STAMP0090-P20-RED</t>
  </si>
  <si>
    <t>Ordered Color- Red Shiny S-842 Self-Inking Clear Print Text Rubber Stamp Office Stationary Stamps</t>
  </si>
  <si>
    <t>B00I427RUW</t>
  </si>
  <si>
    <t>GS USA WOODEN -51</t>
  </si>
  <si>
    <t>Handmade Cribbage Game Set with 2 Decks of Cards and 6 Pegs - Integrated Storage - Great Gift for Card Players</t>
  </si>
  <si>
    <t>B00NMFHYP4</t>
  </si>
  <si>
    <t>GS US BOWL -28</t>
  </si>
  <si>
    <t>5 Inches Hand Painted Metal Tibetan Buddhist Singing Bowl Musical Instrument for Meditation with Stick and Cushion</t>
  </si>
  <si>
    <t>B083ZT398D</t>
  </si>
  <si>
    <t>MS US RUNE -18</t>
  </si>
  <si>
    <t>cosynee Healing Gemstone Rune Stones with Pouch (Yellow Aventurine)</t>
  </si>
  <si>
    <t>B007XPLBNU</t>
  </si>
  <si>
    <t>GS US WOODEN -75</t>
  </si>
  <si>
    <t>ShalinIndia Wooden Game Dice Box With Five Dice Gifts For Christmas</t>
  </si>
  <si>
    <t>B08LQPRDWH</t>
  </si>
  <si>
    <t>MS PNDM -6</t>
  </si>
  <si>
    <t>Cosynee Silver Metal Pendulum Healing Dowsing Metaphysical Spiritual</t>
  </si>
  <si>
    <t>B0BGJ8VRLB</t>
  </si>
  <si>
    <t>E2-Y2BN-V7HK</t>
  </si>
  <si>
    <t>cosynee Handmade Wooden Tic Tac Toe Game Traveling Board Game Great Gifts for All Occasions</t>
  </si>
  <si>
    <t>B09FTCWKCP</t>
  </si>
  <si>
    <t>MS US PNDM - 23</t>
  </si>
  <si>
    <t>Cosynee Natural Crystal Pendulum Reiki Charged (Labradorite)</t>
  </si>
  <si>
    <t>B08LQGTYH2</t>
  </si>
  <si>
    <t>JD PNDM -15</t>
  </si>
  <si>
    <t>Cosynee Natural Crystal Pendulum 12 Facet Reiki Charged (Multi Oregon)</t>
  </si>
  <si>
    <t>B09FTDDQ33</t>
  </si>
  <si>
    <t>GS US PNDM - 22</t>
  </si>
  <si>
    <t>Cosynee Natural Crystal Pendulum Reiki Charged (Opalite)</t>
  </si>
  <si>
    <t>B09PGF1LTK</t>
  </si>
  <si>
    <t>VKB WOODEN -32</t>
  </si>
  <si>
    <t>Cosynee Handcrafted Table Dinner Decorations Wooden Napkin Rings Set of 12 for Party DÃ©cor - Napkin Holders</t>
  </si>
  <si>
    <t>B07JMV9NMD</t>
  </si>
  <si>
    <t>STAMP0116-P20-RED</t>
  </si>
  <si>
    <t>Received Color- Red Shiny S-842 Self-Inking Clear Print Text Rubber Stamp Office Stationary Stamps</t>
  </si>
  <si>
    <t>B01CYEDNPI</t>
  </si>
  <si>
    <t>NPKN -17</t>
  </si>
  <si>
    <t>Shalinindia Handmade Tablecloth Napkin Rings Set of 8 Light Green Glass Beaded Napkin Holders - 1.5 Inch in Size - for Party Décor</t>
  </si>
  <si>
    <t>B07S753V5P</t>
  </si>
  <si>
    <t>MS PNDM -14</t>
  </si>
  <si>
    <t>Cosynee Natural Stone Hexagonal Chakra Gemstone (Clear Quartz)</t>
  </si>
  <si>
    <t>B08LQQMMS9</t>
  </si>
  <si>
    <t>MS US PNDM -7</t>
  </si>
  <si>
    <t>Cosynee Natural Clear Quartz Gemstone Crystal Pendant Pendulums</t>
  </si>
  <si>
    <t>B01D4TQQ5G</t>
  </si>
  <si>
    <t>WOODEN -44</t>
  </si>
  <si>
    <t>Shalinindia Handmade Wedding Party Decorations Wood Napkin Rings Set of 12 for Dinner Ideas</t>
  </si>
  <si>
    <t>B07JDXDSXN</t>
  </si>
  <si>
    <t>STAMP0011-P50-RED</t>
  </si>
  <si>
    <t>COLOP Printer 50 Self-Inking Text Stamp Office Stationary with Text"Direct Deposit Via Account Holder" Color- Red</t>
  </si>
  <si>
    <t>B09XMDHHLW</t>
  </si>
  <si>
    <t>GS C SOASPSTONE -14</t>
  </si>
  <si>
    <t>Indian Decorative Items for Home Handmade Lamps Tealight Candle Holder Grey Soap Stone 3 Inch (Grey)</t>
  </si>
  <si>
    <t>B07QSV1VKJ</t>
  </si>
  <si>
    <t>GS US KNOBS TFR -1</t>
  </si>
  <si>
    <t>Cosynee 12 pc Door Knobs Hand Printed Ceramic Knobs and Pulls Handle Handmade Silver Finish (Gray &amp; White)</t>
  </si>
  <si>
    <t>B09XMCRQJJ</t>
  </si>
  <si>
    <t>GS C SOASPSTONE -9</t>
  </si>
  <si>
    <t>B01D4TQDEK</t>
  </si>
  <si>
    <t>WOODEN -33</t>
  </si>
  <si>
    <t>B009UQQDR4</t>
  </si>
  <si>
    <t>Healing Through Vibration</t>
  </si>
  <si>
    <t>Singing Bowl for Healing Through Vibration Touch Bell Metal Art India</t>
  </si>
  <si>
    <t>B01LNABRM0</t>
  </si>
  <si>
    <t>GS US BOWL -14</t>
  </si>
  <si>
    <t>B09FTC7QR4</t>
  </si>
  <si>
    <t>MS US PNDM -19</t>
  </si>
  <si>
    <t>Cosynee Natural Crystal Pendulum Reiki Charged (Amazonite)</t>
  </si>
  <si>
    <t>B01LNABMRA</t>
  </si>
  <si>
    <t>GS US BOWL -13</t>
  </si>
  <si>
    <t>ShalinIndia Vishuddha Blue Buddhist Singing Bowl - Tuned to the 5th Chakra Throat Chakra - Fine Quality Brass - 5 Inches - Ideal for Meditations, Ayur</t>
  </si>
  <si>
    <t>B07JLN8HGN</t>
  </si>
  <si>
    <t>STAMP0100-P20-RED</t>
  </si>
  <si>
    <t>TOP Secret" Color- Red Shiny S-842 Self-Inking Clear Print Text Rubber Stamp Office Stationary Stamps</t>
  </si>
  <si>
    <t>B07VCDVMPK</t>
  </si>
  <si>
    <t>MS PNDM -2</t>
  </si>
  <si>
    <t>Cosynee Natural Crystal Pendulum 12 Facet Reiki Charged (Gold Metal Heavy)</t>
  </si>
  <si>
    <t>B07WZG8G7G</t>
  </si>
  <si>
    <t>JD PYR -6</t>
  </si>
  <si>
    <t>cosynee Black Tourmaline Orgone Pyramid - Reiki Healing - Chakra Balancing - Good Luck - Natural Gemstone - Emf Protection - Height 2 inch - Wealth an</t>
  </si>
  <si>
    <t>B08641JHQC</t>
  </si>
  <si>
    <t>GS USA JWL-BCL-0002</t>
  </si>
  <si>
    <t>Set of 3 Tibetan Copper Bracelets Magnetic India Pattern Women's Men's Spiritual Yoga Jewelry (Style -3)</t>
  </si>
  <si>
    <t>B00NMEXNQO</t>
  </si>
  <si>
    <t>BOWL -27</t>
  </si>
  <si>
    <t>Buddhist Singing Bowl Meditation Tibetan Blue Art DÃcor 5.5 Inch</t>
  </si>
  <si>
    <t>B07X1L1H74</t>
  </si>
  <si>
    <t>PYR -15</t>
  </si>
  <si>
    <t>B08641HXFQ</t>
  </si>
  <si>
    <t>GS USA JWL-BCL-0018</t>
  </si>
  <si>
    <t>Set of 4 Tibetan Copper Bracelets Magnetic India Pattern Women's Men's Spiritual Yoga Jewelry (Style -19)</t>
  </si>
  <si>
    <t>B07JQNNLTN</t>
  </si>
  <si>
    <t>STAMP0133-P30-RED</t>
  </si>
  <si>
    <t>Final Notice Color- Red Shiny S-843 Self-Inking Clear Print Text Rubber Stamp Office Stationary Stamps</t>
  </si>
  <si>
    <t>B09PGCG26F</t>
  </si>
  <si>
    <t>GS NPKN -3</t>
  </si>
  <si>
    <t>Cosynee Handmade Indian Silver Beaded Napkin Rings (Silver, Set of 8)</t>
  </si>
  <si>
    <t>B09PG8X815</t>
  </si>
  <si>
    <t>VKB WOODEN -20</t>
  </si>
  <si>
    <t>Cosynee Handmade Party Decor Wooden Napkin Rings Set of for 8 Table Dinner Decoration (Set of 8)</t>
  </si>
  <si>
    <t>B07V9QYMQZ</t>
  </si>
  <si>
    <t>MS PNDM -5</t>
  </si>
  <si>
    <t>Cosynee Natural Crystal Pendulum 12 Facet Reiki Charged (Silver Spiral Metal)</t>
  </si>
  <si>
    <t>B01AJTXAGC</t>
  </si>
  <si>
    <t>NPKN -31</t>
  </si>
  <si>
    <t>Shalinindia Handmade Indian Beaded Black Napkin Rings Set of 6</t>
  </si>
  <si>
    <t>B00NQ3COMK</t>
  </si>
  <si>
    <t>SET OF 6 RED NAPKIN RINGS</t>
  </si>
  <si>
    <t>Shalinindia Set of 6 Red Beaded Table Decoration Napkin Rings -Perfect Wedding Napkin Rings, Parties and for General use</t>
  </si>
  <si>
    <t>B07JFDT99Z</t>
  </si>
  <si>
    <t>STAMP0021-P50-RED</t>
  </si>
  <si>
    <t>COLOP Printer 50 Self-Inking Text Stamp Office Stationary with Text"for Information ONLY" Color- Red</t>
  </si>
  <si>
    <t>B01D4TQLMO</t>
  </si>
  <si>
    <t>WOODEN -42</t>
  </si>
  <si>
    <t>Shalinindia Handmade Wood Napkin Ring Set, Set of 6</t>
  </si>
  <si>
    <t>B008YEF7TI</t>
  </si>
  <si>
    <t>MURTI -2</t>
  </si>
  <si>
    <t>Saraswati Statue Goddess Figurine Idol Hindu Religious Art Brass 5 Inches 0.9 Kg</t>
  </si>
  <si>
    <t>B083ZT6ZML</t>
  </si>
  <si>
    <t>MS REI-TRE-0002</t>
  </si>
  <si>
    <t>cosynee Reiki Healing Stone Tree for Balancing, Spiritual Meditation Home Interior Office Decor (Black Tourmaline, Silver Wired)</t>
  </si>
  <si>
    <t>B0863H32FY</t>
  </si>
  <si>
    <t>GS USA SOAPSTONE -14</t>
  </si>
  <si>
    <t>New Soapstone Scrying and Smudge Bowl (Scrying - Bowls &amp; Mirrors) (4 Inch)</t>
  </si>
  <si>
    <t>B07WZG9BD9</t>
  </si>
  <si>
    <t>GS US PYR -4</t>
  </si>
  <si>
    <t>cosynee Rose Quartz Orgone Pyramid for Love Vibes, EMF and Negative Energy Protection - Natural Rose Quartz Crystal Pyramid - Good Luck Home Decor Fen</t>
  </si>
  <si>
    <t>B09T6LGR62</t>
  </si>
  <si>
    <t>C BOWL -22</t>
  </si>
  <si>
    <t>Cosynee</t>
  </si>
  <si>
    <t>Cosynee Hammered Tibetan Singing Bowl Set for Meditation, Sound Bowl Set for Chakra Healing, Yoga Singing Bowl (Diameter 5 Inches and Weight 28.21 Oz)</t>
  </si>
  <si>
    <t>B09PHRG4P1</t>
  </si>
  <si>
    <t>JD C BOWL -27</t>
  </si>
  <si>
    <t>Cosynee Tibetan Singing Bowl Set for Meditation, Tibetan Art Decor for Chakra Healing, Yoga Singing Bowl, Buddhist Singing Bowl (Diameter 5.5 Inches and Weight 35.65) - Blue Singing Bowl Set</t>
  </si>
  <si>
    <t>B00R2IC6IM</t>
  </si>
  <si>
    <t>GS US SOAPSTONE -11</t>
  </si>
  <si>
    <t>StarZebra - White Lucky Elephant Soapstone Figurine with Elephant in Belly Statue 4" Handmade in Jali or Openwork From a Single Block of Stone From In</t>
  </si>
  <si>
    <t>B09FTDB87G</t>
  </si>
  <si>
    <t>MS US PNDM - 20</t>
  </si>
  <si>
    <t>Cosynee Natural Crystal Pendulum Reiki Charged (Moonstone)</t>
  </si>
  <si>
    <t>B01D4TQBBU</t>
  </si>
  <si>
    <t>GS US WOODEN -34</t>
  </si>
  <si>
    <t>Shalinindia Handmade Wood Napkin Ring Set (Artisan Crafted in India), Set of 6</t>
  </si>
  <si>
    <t>B00ISWU64C</t>
  </si>
  <si>
    <t>SOAPSTONE -12</t>
  </si>
  <si>
    <t>Shalinindia- 5 Inch Handmade Soapstone Collectible Figurine Sculpture of Mother Elephant with Baby Inside - Unique Baby Shower Decorations Elephant De</t>
  </si>
  <si>
    <t>B07JFBKRZS</t>
  </si>
  <si>
    <t>STAMP0011-P30-RED</t>
  </si>
  <si>
    <t>COLOP Printer 30 Self-Inking Text Stamp Office Stationary with Text"Direct Deposit Via Account Holder" Color- Red</t>
  </si>
  <si>
    <t>B07KN3GGWY</t>
  </si>
  <si>
    <t>STAMP0172-S120-BLUE</t>
  </si>
  <si>
    <t>Stampression Self Inking Colop S120, 16 Digit Number Rubber Dater Stamp with Blue Ink</t>
  </si>
  <si>
    <t>B01CYEEZ32</t>
  </si>
  <si>
    <t>NPKN -11</t>
  </si>
  <si>
    <t>Shalinindia Beaded Napkin Rings - Set of 6 Rings - Red White Napkin Rings Set -Diameter-1.5 Inch</t>
  </si>
  <si>
    <t>B083ZT1G2Y</t>
  </si>
  <si>
    <t>GS USA RUNE -20</t>
  </si>
  <si>
    <t>cosynee Healing Gemstone Rune Stones with Pouch (Sodalite)</t>
  </si>
  <si>
    <t>B07RDQFZ64</t>
  </si>
  <si>
    <t>Gs Usa Air 10 Sky Blue Flat Knobs</t>
  </si>
  <si>
    <t>Cosynee 10 Pieces Set of Sky Blue Color Ceramic Knobs Drawer Pulls with Different Design &amp; Chrome Hardware</t>
  </si>
  <si>
    <t>B08CVNM35G</t>
  </si>
  <si>
    <t>GS US ANG -12</t>
  </si>
  <si>
    <t>Cosynee Natural Gemstone Pocket Angel Healing Statue 1.5" to 2" Inch (Green Jade)</t>
  </si>
  <si>
    <t>B01CYEF4MS</t>
  </si>
  <si>
    <t>NPKN -12</t>
  </si>
  <si>
    <t>Shalinindia Beaded Napkin Rings - Set of 6 Rings -Purple White Napkin Rings Set -Diameter-1.5 Inch</t>
  </si>
  <si>
    <t>B07LBT51V8</t>
  </si>
  <si>
    <t>REIKI-B04</t>
  </si>
  <si>
    <t>Ozynee</t>
  </si>
  <si>
    <t>Ozynee Ruby Fuchsite Healing Natural Crystal Gemstone Sphere Ball Reiki Balancing Spiritual Gift Table Décor</t>
  </si>
  <si>
    <t>B09PHBTQYV</t>
  </si>
  <si>
    <t>GS BOWL -9</t>
  </si>
  <si>
    <t>B07JDDJZX6</t>
  </si>
  <si>
    <t>STAMP0011-P50-BLACK</t>
  </si>
  <si>
    <t>COLOP Printer 50 Self-Inking Text Stamp Office Stationary with Text"Direct Deposit Via Account Holder" Color- Black</t>
  </si>
  <si>
    <t>B07VGF6QPF</t>
  </si>
  <si>
    <t>MS PNDM -4</t>
  </si>
  <si>
    <t>Cosynee Natural Crystal Pendulum 12 Facet Reiki Charged (Golden Spiral Metal)</t>
  </si>
  <si>
    <t>B07V9NJ3TC</t>
  </si>
  <si>
    <t>MS PNDM -17</t>
  </si>
  <si>
    <t>Cosynee Chakra Stacked Layered Healing Heart Crystal Dowsing Divination Pendulum</t>
  </si>
  <si>
    <t>B08CVQ2R1K</t>
  </si>
  <si>
    <t>GS US ANG -15</t>
  </si>
  <si>
    <t>Cosynee Natural Gemstone Pocket Angel Healing Statue 1.5" to 2" Inch (Labororite)</t>
  </si>
  <si>
    <t>B00C9VSJOC</t>
  </si>
  <si>
    <t>GS US WOODEN -73</t>
  </si>
  <si>
    <t>Shalinindia Handmade Wooden Storage Box for Playing Cards - Unique Gifts for Any Occasion</t>
  </si>
  <si>
    <t>B08G1HRMZL</t>
  </si>
  <si>
    <t>PYR-23</t>
  </si>
  <si>
    <t>cosynee Reiki Pyramid Kit, EMF Protection Meditation Yoga Energy, Crystal Quartz Energy Points, 7 Chakra Crystal Orgone Pyramid Kit (Selenite LS) Nega</t>
  </si>
  <si>
    <t>B09PHBRPWN</t>
  </si>
  <si>
    <t>JD C BOWL -19</t>
  </si>
  <si>
    <t>B07JF7HKZB</t>
  </si>
  <si>
    <t>STAMP0011-P50-BLUE</t>
  </si>
  <si>
    <t>COLOP Printer 50 Self-Inking Text Stamp Office Stationary with Text"Direct Deposit Via Account Holder" Color- Blue</t>
  </si>
  <si>
    <t>B07K355KTX</t>
  </si>
  <si>
    <t>STAMP0166-S-852-VIOLET</t>
  </si>
  <si>
    <t>Incomplete Homework Teacher Stamp - Shiny S 852 Teachers Stuff with Violet Color Ink</t>
  </si>
  <si>
    <t>B09QJ1FGF2</t>
  </si>
  <si>
    <t>GS WOODEN -31A</t>
  </si>
  <si>
    <t>cosynee Indian Coin Bank Money Saving Box - Banks for Kids &amp; Adults - Wood Vacation Piggy Bank</t>
  </si>
  <si>
    <t>B084X9CPQ5</t>
  </si>
  <si>
    <t>GS US CTN POUCH -4</t>
  </si>
  <si>
    <t>Cosynee Organic Cotton Reusable Produce Bags, Eco-Friendly Bulk Bin Bags for Food - Small 17 x 20 cms - Sachet Bags, Dry Fruit Storage, Drawstring Pou</t>
  </si>
  <si>
    <t>B07RHTPH9F</t>
  </si>
  <si>
    <t>GS US 12 Grey Pumpkin Knobs</t>
  </si>
  <si>
    <t>cosynee Lot of 12 White Ceramic Leaf Pumpkin Knobs</t>
  </si>
  <si>
    <t>B07JGYJ7BW</t>
  </si>
  <si>
    <t>STAMP0040-P20-RED</t>
  </si>
  <si>
    <t>TOP Secret Color- Red Colop Printer 20 Self-Inking Text Rubber Stamp Office Stationary Stamps</t>
  </si>
  <si>
    <t>B00XHPOHYA</t>
  </si>
  <si>
    <t>GS USA Tea light Holder</t>
  </si>
  <si>
    <t>StarZebra</t>
  </si>
  <si>
    <t>StarZebra - Hand Carved 3' Oil Diffuser Made of Soapstone with Tea Light Holder</t>
  </si>
  <si>
    <t>B01D4TRHXQ</t>
  </si>
  <si>
    <t>GS US WOODEN -47</t>
  </si>
  <si>
    <t>ShalinIndia Handmade Wedding Party Decorations Wood Napkin Rings Set of 6 for Dinner Ideas</t>
  </si>
  <si>
    <t>B09PHRZM2M</t>
  </si>
  <si>
    <t>JD C BOWL -25</t>
  </si>
  <si>
    <t>Cosynee Tibetan Singing Bowl Set for Meditation, Tibetan Art Decor for Chakra Healing, Yoga Singing Bowl, Buddhist Singing Bowl (Diameter 5.5 Inches a</t>
  </si>
  <si>
    <t>B09LYWVKJ9</t>
  </si>
  <si>
    <t>GS US CARD -2</t>
  </si>
  <si>
    <t>Playing Cards, Poker Size Standard Index, Decks of Cards, for Blackjack, Euchre, Canasta Card Game, Casino Grade (Gold)</t>
  </si>
  <si>
    <t>B08JSBVXC4</t>
  </si>
  <si>
    <t>GS US KNOBS TFR -6</t>
  </si>
  <si>
    <t>Cosynee Premium Quality Assorted Ceramic Knobs- Multi Color Mix Designed Ceramic Cupboard Cabinet Door Knobs Drawer Pulls &amp; Chrome Hardware (KNOBS TFR</t>
  </si>
  <si>
    <t>B09PHG1WLD</t>
  </si>
  <si>
    <t>GS SPOON -2</t>
  </si>
  <si>
    <t>Cosynee Handmade Indian Stainless Steel &amp; Copper Serving Spoon Set of 4 - Genuine Copper Dinnerware Serving Pieces</t>
  </si>
  <si>
    <t>B0957DBSLG</t>
  </si>
  <si>
    <t>ANG -14</t>
  </si>
  <si>
    <t>cosynee Natural Gemstone Pocket Angel Healing Statue 1.5" to 2" Inch (Selenite)</t>
  </si>
  <si>
    <t>B09JGK2BYG</t>
  </si>
  <si>
    <t>MS CARD -1</t>
  </si>
  <si>
    <t>Playing Cards, Poker Size Standard Index, Decks of Cards, for Blackjack, Euchre, Canasta Card Game, Casino Grade (2 Decks of Cards), Red</t>
  </si>
  <si>
    <t>B01D4TQU1G</t>
  </si>
  <si>
    <t>WOODEN -60</t>
  </si>
  <si>
    <t>Shalinindia Handmade Artisan Crafted in India Wood Napkin Ring Set of 4</t>
  </si>
  <si>
    <t>B00O9RXHCS</t>
  </si>
  <si>
    <t>Tibetan Cymbal Bell</t>
  </si>
  <si>
    <t>Buddhist Chime Tibetan Cymbal Bell Musical Instrument 2.5 Inch</t>
  </si>
  <si>
    <t>B07VB4LQX2</t>
  </si>
  <si>
    <t>MS PNDM -16</t>
  </si>
  <si>
    <t>Cosynee Natural Crystal Pendulum 12 Facet Reiki Charged (Multi Stone with Turquoise)</t>
  </si>
  <si>
    <t>B083ZTNGF8</t>
  </si>
  <si>
    <t>GS US REI-TRE-0007</t>
  </si>
  <si>
    <t>cosynee Reiki Healing Stone Tree for Balancing, Spiritual Meditation Home Interior Office Decor (Amethyst, Silver Wired)</t>
  </si>
  <si>
    <t>B09DD712JP</t>
  </si>
  <si>
    <t>GS US REK-BAL-0001</t>
  </si>
  <si>
    <t>Cosynee - Crystal Sphere,Power Stone Ball for Crystal Healing, Meditation, Scrying (Amethyst)</t>
  </si>
  <si>
    <t>B07X1KZ1RW</t>
  </si>
  <si>
    <t>GS US PYR -7</t>
  </si>
  <si>
    <t>cosynee Healing Gemstone Rune Stones with Velvet Pouch, EMF Protection Meditation Yoga Energy Generator, Crystal Quartz Energy Points, 7 Chakra Crysta</t>
  </si>
  <si>
    <t>B09PGCQ2KX</t>
  </si>
  <si>
    <t>GS NPKN -8</t>
  </si>
  <si>
    <t>Cosynee Handmade Indian Gold Beaded Napkin Rings (Golden, Set of 8)</t>
  </si>
  <si>
    <t>B08CVPSCV7</t>
  </si>
  <si>
    <t>GS US ANG -2</t>
  </si>
  <si>
    <t>Cosynee Natural Gemstone Pocket Angel Healing Statue 1.5" to 2" Inch (Lapis Lazuli)</t>
  </si>
  <si>
    <t>B01D4TRW9K</t>
  </si>
  <si>
    <t>GS US WOODEN -35</t>
  </si>
  <si>
    <t>Shalinindia Artisan Crafted Rustic Wooden Napkin Rings Set of 8 for Dinner Table Decoration</t>
  </si>
  <si>
    <t>B08CVQKBGX</t>
  </si>
  <si>
    <t>GS US ANG -11</t>
  </si>
  <si>
    <t>Cosynee Natural Gemstone Pocket Angel Healing Statue 1.5" to 2" Inch (Howlite)</t>
  </si>
  <si>
    <t>B0018ZIJ86</t>
  </si>
  <si>
    <t>MS Rose Quartz Pendulums</t>
  </si>
  <si>
    <t>Cosynee Natural Crystal Pendulum 12 Facet Reiki Charged (Pink)</t>
  </si>
  <si>
    <t>B07JCP6JMD</t>
  </si>
  <si>
    <t>STAMP0011-P20-BLACK</t>
  </si>
  <si>
    <t>COLOP Printer 20 Self-Inking Text Stamp Office Stationary with Text"Direct Deposit VIA Account Holder" Color- Black</t>
  </si>
  <si>
    <t>B07JF7GVGC</t>
  </si>
  <si>
    <t>STAMP0011-P20-BLUE</t>
  </si>
  <si>
    <t>COLOP Printer 20 Self-Inking Text Stamp Office Stationary with Text"Direct Deposit VIA Account Holder" Color- Blue</t>
  </si>
  <si>
    <t>B0B8P886QT</t>
  </si>
  <si>
    <t>JD-FRAKTA-BAG-PACK-4</t>
  </si>
  <si>
    <t>Cosynee 4 Pack Extra Large Moving Bags with Zippers &amp; Carrying Handles, Heavy-Duty Storage Tote for Space Saving Moving Storage College Moving Bags Pa</t>
  </si>
  <si>
    <t>B08641BH29</t>
  </si>
  <si>
    <t>GS USA JWL-BCL-0012</t>
  </si>
  <si>
    <t>Set of 1 Tibetan Copper Bracelets Magnetic India Pattern Women's Men's Spiritual Yoga Jewelry (Style -13)</t>
  </si>
  <si>
    <t>B07JG8SK8S</t>
  </si>
  <si>
    <t>STAMP0028-P20-RED</t>
  </si>
  <si>
    <t>"Void" Color- Red Colop Printer 20 Self-Inking Text Rubber Stamp Office Stationary Stamps</t>
  </si>
  <si>
    <t>B07JH7PD26</t>
  </si>
  <si>
    <t>STAMP0046-P20-RED</t>
  </si>
  <si>
    <t>"Copy" Color- Red Colop Printer 20 Self-Inking Text Rubber Stamp Office Stationary Stamps</t>
  </si>
  <si>
    <t>B07JGYJPFY</t>
  </si>
  <si>
    <t>STAMP0027-P20-RED</t>
  </si>
  <si>
    <t>"DEPOSITED" Color- Red Colop Printer 20 Self-Inking Text Rubber Stamp Office Stationary Stamps</t>
  </si>
  <si>
    <t>B07KN3CYGH</t>
  </si>
  <si>
    <t>STAMP0171-S120-RED</t>
  </si>
  <si>
    <t>Stampression Self Inking Colop S120, 13 Digit Number Rubber Dater Stamp with Red Ink</t>
  </si>
  <si>
    <t>B07KN1VWZ3</t>
  </si>
  <si>
    <t>STAMP0172-S120-BLACK</t>
  </si>
  <si>
    <t>Stampression Self Inking Colop S120, 16 Digit Number Rubber Dater Stamp with Black Ink</t>
  </si>
  <si>
    <t>B07KN4953G</t>
  </si>
  <si>
    <t>STAMP0171-S120-BLACK</t>
  </si>
  <si>
    <t>Stampression Self Inking Colop S120, 13 Digit Number Rubber Dater Stamp with Black Ink</t>
  </si>
  <si>
    <t>B09PGB6XXB</t>
  </si>
  <si>
    <t>GS WOODEN -37</t>
  </si>
  <si>
    <t>Cosynee Handmade Party Decor Wooden Napkin Rings Set of 4 for Table Dinner Decoration</t>
  </si>
  <si>
    <t>B07Y35RJSJ</t>
  </si>
  <si>
    <t>GS US PYR -20</t>
  </si>
  <si>
    <t>B00JXKWMWW</t>
  </si>
  <si>
    <t>Percussion Instrument</t>
  </si>
  <si>
    <t>Manjeera Indian Percussion Instrument Hand Cymbals for Hindu Bhajans 2.5 Inches</t>
  </si>
  <si>
    <t>B07JMLD8Z3</t>
  </si>
  <si>
    <t>STAMP0088-P20-RED</t>
  </si>
  <si>
    <t>Not Avl</t>
  </si>
  <si>
    <t>Void Color- Red Shiny S-842 Self-Inking Clear Print Text Rubber Stamp Office Stationary Stamps</t>
  </si>
  <si>
    <t>B01AJTX6MU</t>
  </si>
  <si>
    <t>SET OF 4 BLACK NAPKIN RINGS</t>
  </si>
  <si>
    <t>ShalinIndia Handmade Indian Black Beaded Napkin Rings - Set of 4 Rings</t>
  </si>
  <si>
    <t>B07V4K9GB7</t>
  </si>
  <si>
    <t>KAF STK 0095</t>
  </si>
  <si>
    <t>POP UP Long Shrug Designer Kaftan Caftan Cardigans for Women Summer Beach Cotton Embroidery Long Bikini Cover-up Tops Kimono</t>
  </si>
  <si>
    <t>B077CQJ4HJ</t>
  </si>
  <si>
    <t>NPKN -19</t>
  </si>
  <si>
    <t>ShalinIndia Napkin Ring Pack of 8 Christmas Table Decoration Ideas - Glass Beaded Decorative Round Red Textured Napkin Tissue Holder for Party</t>
  </si>
  <si>
    <t>B09YHFX1BS</t>
  </si>
  <si>
    <t>ALU PANS -1</t>
  </si>
  <si>
    <t>Cosynee 4.5 X 5.5 Inch Aluminum Pans Recyclable Foil Containers - Tin Foil Pans for Cooking Disposable (set of 25)</t>
  </si>
  <si>
    <t>B09R227LLZ</t>
  </si>
  <si>
    <t>JD CTN FBRC -1</t>
  </si>
  <si>
    <t>Cosynee Assorted Color Top Cotton Craft Fabric Bundle Squares Patchwork DIY Sewing Scrapbooking Quilting Dot Pattern (4" X 4" (30 Pcs))</t>
  </si>
  <si>
    <t>B08CVPBW1M</t>
  </si>
  <si>
    <t>GS US ANG -10</t>
  </si>
  <si>
    <t>cosynee Natural Gemstone Pocket Angel Healing Statue 1.5" to 2" Inch (Pyrite)</t>
  </si>
  <si>
    <t>B09M71L9Y2</t>
  </si>
  <si>
    <t>GS USA MTL BRNR -1</t>
  </si>
  <si>
    <t>Cosynee India Small Decorated Brass Charcoal Screen Incense Burner (3 Inch)</t>
  </si>
  <si>
    <t>B07WZG8LLH</t>
  </si>
  <si>
    <t>GS US PYR -14</t>
  </si>
  <si>
    <t>B095BJH4PP</t>
  </si>
  <si>
    <t>S -303</t>
  </si>
  <si>
    <t>Self-Inking Rubber Date Stamp - Received - S-303 - RED Ink (42511-R-RECEIVED)</t>
  </si>
  <si>
    <t>B0061IRSV4</t>
  </si>
  <si>
    <t>JD FLUTES -1</t>
  </si>
  <si>
    <t>Shalinindia Indian Music Instrument Bamboo Flute Bansuri Fipple Type</t>
  </si>
  <si>
    <t>B09FTBV8F2</t>
  </si>
  <si>
    <t>MS US PNDM - 21</t>
  </si>
  <si>
    <t>Cosynee Natural Crystal Pendulum Reiki Charged (Red Jasper)</t>
  </si>
  <si>
    <t>B08CVQBGFP</t>
  </si>
  <si>
    <t>GS US ANG -1</t>
  </si>
  <si>
    <t>cosynee Natural Gemstone Pocket Angel Healing Statue 1.5" to 2" Inch (Opolite)</t>
  </si>
  <si>
    <t>B08CVPZV2P</t>
  </si>
  <si>
    <t>GS US ANG -5</t>
  </si>
  <si>
    <t>Cosynee Natural Gemstone Pocket Angel Healing Statue 1.5" to 2" Inch (Rose Quartz)</t>
  </si>
  <si>
    <t>B07WSWFK4Q</t>
  </si>
  <si>
    <t>GS US WOODEN -3</t>
  </si>
  <si>
    <t>Shalinindia Wooden Eyewear Holder, Spectacle Holder for Men &amp; Women, Spec Holder, Wooden Eyeglass Stand, Eyewear Retainer, Sunglasses Holder, 6 Inch,</t>
  </si>
  <si>
    <t>B0957CTB5S</t>
  </si>
  <si>
    <t>GS US ANG -7</t>
  </si>
  <si>
    <t>cosynee Natural Gemstone Pocket Angel Healing Statue 1.5" to 2" Inch (Fluorite)</t>
  </si>
  <si>
    <t>B09BD3GN7Q</t>
  </si>
  <si>
    <t>GS US ANG -17</t>
  </si>
  <si>
    <t>cosynee Natural Gemstone Pocket Angel Healing Statue 1.5" to 2" Inch (Ruby FUCHSITE)</t>
  </si>
  <si>
    <t>B083ZTPSSK</t>
  </si>
  <si>
    <t>GS US REI-TRE-0004</t>
  </si>
  <si>
    <t>cosynee Reiki Healing Stone Tree for Balancing, Spiritual Meditation Home Interior Office Decor (Clear Quartz, Silver Wired)</t>
  </si>
  <si>
    <t>B07NDD37KF</t>
  </si>
  <si>
    <t>CATO-015-GOLD</t>
  </si>
  <si>
    <t>STAMPRESSION MR. &amp; MRS Wedding Theme Cake Topper Customize Wedding Cake Topper Golden Glitter Cake Topper with Acrylic Stake Cake Decoration</t>
  </si>
  <si>
    <t>B0034JFEOQ</t>
  </si>
  <si>
    <t>Sales Stamp Received Red 2</t>
  </si>
  <si>
    <t>Office Supply Store</t>
  </si>
  <si>
    <t>Shiny Self-Inking Rubber Date Stamp - Received - S-303 - RED Ink (42511-R-RECEIVED)</t>
  </si>
  <si>
    <t>B08CVNYJWZ</t>
  </si>
  <si>
    <t>GS US ANG -13</t>
  </si>
  <si>
    <t>Cosynee Natural Gemstone Pocket Angel Healing Statue 1.5" to 2" Inch (Green Aventurine)</t>
  </si>
  <si>
    <t>B08CVQBDXJ</t>
  </si>
  <si>
    <t>GS US ANG -4</t>
  </si>
  <si>
    <t>cosynee Natural Gemstone Pocket Angel Healing Statue 1.5" to 2" Inch (Clear Quartz)</t>
  </si>
  <si>
    <t>B0957BHNWK</t>
  </si>
  <si>
    <t>GS US ANG -6</t>
  </si>
  <si>
    <t>cosynee Natural Gemstone Pocket Angel Healing Statue 1.5" to 2" Inch (Tiger Eye)</t>
  </si>
  <si>
    <t>B08CVNZKVF</t>
  </si>
  <si>
    <t>GS US ANG -16</t>
  </si>
  <si>
    <t>cosynee Natural Gemstone Pocket Angel Healing Statue 1.5" to 2" Inch (7 Chkra)</t>
  </si>
  <si>
    <t>B0BGZYPBL6</t>
  </si>
  <si>
    <t>JD SHILAJIT400 -6</t>
  </si>
  <si>
    <t>Cosynee Shilajit 400mg - 6 Capsules - Pure Shilajit Extract Supplement and Powder Complex Pills - Natural Humic &amp; Plant Derived Fulvic Minerals for Me</t>
  </si>
  <si>
    <t>B08SQG7MCL</t>
  </si>
  <si>
    <t>GS US BRASS KNOBS -57</t>
  </si>
  <si>
    <t>Classic Round Wooden Brass Cabinet Knob (Brass KNOBS -57)</t>
  </si>
  <si>
    <t>B07VHCMCGV</t>
  </si>
  <si>
    <t>KAF STK 0091 (S)</t>
  </si>
  <si>
    <t>cosynee Shoulder Trendy Beach Caftan Kaftan Loungewear Short Dress Women Cover-ups, Swimwear, Kaftan (S) Orange</t>
  </si>
  <si>
    <t>B08CVP7ZN7</t>
  </si>
  <si>
    <t>GS US ANG -3</t>
  </si>
  <si>
    <t>Cosynee Amethyst Gemstone Pocket Angel Healing Statue (Amethyst)</t>
  </si>
  <si>
    <t>B07Y35PBKN</t>
  </si>
  <si>
    <t>GS US PYR -18</t>
  </si>
  <si>
    <t>B01D4TRFME</t>
  </si>
  <si>
    <t>GS USA WOODEN -46</t>
  </si>
  <si>
    <t>ShalinIndia Handcrafted Table Dinner Decorations Wooden Napkin Rings Set of 4 for Party Decor</t>
  </si>
  <si>
    <t>B08P8MRYTY</t>
  </si>
  <si>
    <t>GS US KNOBS RESIN -2</t>
  </si>
  <si>
    <t>Cosynee Dresser Drawer Cabinet Knobs Pulls for Kitchen Wardrobe Cupboard (Style -2)</t>
  </si>
  <si>
    <t>B07V3CM2B7</t>
  </si>
  <si>
    <t>KAF STK 0093 (M)</t>
  </si>
  <si>
    <t>POP UP Women's Bell Sleeve Frill Baby Doll Peplum Tops Blouse Crop top (M) Grey</t>
  </si>
  <si>
    <t>B09PGFHVLF</t>
  </si>
  <si>
    <t>GS WOODEN -33</t>
  </si>
  <si>
    <t>Cosynee Handcrafted Table Dinner Decorations Wooden Napkin Rings Set of 8 for Party Décor - Napkin Holders</t>
  </si>
  <si>
    <t>B09PGBXVTK</t>
  </si>
  <si>
    <t>GS NPKN -4</t>
  </si>
  <si>
    <t>Cosynee Handmade Indian Silver Beaded Napkin Rings (Silver, Set of 12)</t>
  </si>
  <si>
    <t>B0BGX15G5T</t>
  </si>
  <si>
    <t>JD JAGEERY 453 GRAM</t>
  </si>
  <si>
    <t>Ramaroma</t>
  </si>
  <si>
    <t>Ramaroma Organic Jaggery Powder | Gur Powder | 16 Oz (453 Gram) | Raw Unrefined Natural Pure | No Color added, Gluten Free Ingredients | Vegan | Turbinado | Cane Sugar</t>
  </si>
  <si>
    <t>B08SQNMRSC</t>
  </si>
  <si>
    <t>GS US BRASS KNOBS -52</t>
  </si>
  <si>
    <t>Classic Round Wooden Brass Cabinet Knob (Brass KNOBS -52)</t>
  </si>
  <si>
    <t>B07NDCXCBB</t>
  </si>
  <si>
    <t>CATO-026-SILVER</t>
  </si>
  <si>
    <t>STAMPRESSION Happy Birthday Beautiful Birthday Theme Cake Topper Customize Cake Topper Silver Glitter Cake Topper with Acrylic Stake Cake Decoration</t>
  </si>
  <si>
    <t>B01CYEF5TA</t>
  </si>
  <si>
    <t>Raja NPKN -19</t>
  </si>
  <si>
    <t>Shalinindia Handmade Napkin Rings Set of 6 Light Red Glass Beaded Napkin Holders - 1.5 Inch in Size - Table Dinner Decoration</t>
  </si>
  <si>
    <t>B07NDCPTVH</t>
  </si>
  <si>
    <t>CATO-016-SILVER</t>
  </si>
  <si>
    <t>STAMPRESSION MR. &amp; MRS Wedding Theme Cake Topper Customize Wedding Cake Topper Silver Glitter Cake Topper with Acrylic Stake Cake Decoration</t>
  </si>
  <si>
    <t>B07JLN59XD</t>
  </si>
  <si>
    <t>STAMP0112-P20-RED</t>
  </si>
  <si>
    <t>Please Sign and Return Color- Red Shiny S-842 Self-Inking Clear Print Text Rubber Stamp Office Stationary Stamps</t>
  </si>
  <si>
    <t>B09PGFSJ8D</t>
  </si>
  <si>
    <t>GS WOODEN -34</t>
  </si>
  <si>
    <t>Cosynee Handcrafted Table Dinner Decorations Wooden Napkin Rings Set of 6 for Party Décor - Napkin Holders</t>
  </si>
  <si>
    <t>B0863ZRHMT</t>
  </si>
  <si>
    <t>GS USA JWL-BCL-0021</t>
  </si>
  <si>
    <t>cosynee Set of 4 Tibetan Copper Bracelets Magnetic India Pattern Women's Men's Spiritual Yoga Jewelry (Style -22)</t>
  </si>
  <si>
    <t>B09FTB7VP1</t>
  </si>
  <si>
    <t>MS US PNDM - 18</t>
  </si>
  <si>
    <t>Cosynee Natural Crystal Pendulum Reiki Charged (White Agate)</t>
  </si>
  <si>
    <t>B0BLV6VY4L</t>
  </si>
  <si>
    <t>PK SHILAJIT -6</t>
  </si>
  <si>
    <t>Cosynee Shilajit 400mg - 6 Capsules - Pure Shilajit Extract Supplement and Powder Complex Pills - Natural Humic &amp; Plant Derived Fulvic Minerals for Metabolism, Strength and Immune System Support (6)</t>
  </si>
  <si>
    <t>B07NDCXGHW</t>
  </si>
  <si>
    <t>CATO-024-SILVER</t>
  </si>
  <si>
    <t>STAMPRESSION Happy Birthday Birthday Cake Topper Customize Cake Topper Silver Glitter Cake Topper with Acrylic Stake Cake Decoration</t>
  </si>
  <si>
    <t>B08G1JXXM3</t>
  </si>
  <si>
    <t>GS US PYR -47</t>
  </si>
  <si>
    <t>cosynee Reiki Pyramid Kit, EMF Protection Meditation Yoga Energy, Crystal Quartz Energy Points, 7 Chakra Crystal Orgone Pyramid Kit (Calcite LS)</t>
  </si>
  <si>
    <t>B09PGF78KD</t>
  </si>
  <si>
    <t>VKB WOODEN -47</t>
  </si>
  <si>
    <t>Cosynee Artisan Crafted Dinner Table Decorations Wooden Napkin Rings Sets for Wedding Party (Set of 6)</t>
  </si>
  <si>
    <t>B09PGGHKLQ</t>
  </si>
  <si>
    <t>VKB WOODEN -48</t>
  </si>
  <si>
    <t>Cosynee Artisan Crafted Dinner Table Decorations Wooden Napkin Rings Sets for Wedding Party (Set of 8)</t>
  </si>
  <si>
    <t>B07VH555W9</t>
  </si>
  <si>
    <t>KAF STK 0092 (S)</t>
  </si>
  <si>
    <t>cosynee Women's 3/4th Sleeve Teenagers Peplum Tops Blouse Crop top (Small) Navy Blue</t>
  </si>
  <si>
    <t>B08SM236TR</t>
  </si>
  <si>
    <t>OU-RJ4E-B9FQ</t>
  </si>
  <si>
    <t>cosynee - Traditional Round Solid Cabinet Hardware Knob (20)</t>
  </si>
  <si>
    <t>B09TFHD8MM</t>
  </si>
  <si>
    <t>JD C BOWL -16</t>
  </si>
  <si>
    <t>Cosynee Tibetan Singing Bowl Set with Silver Copper Color for Meditation, Sound Bowl Set for Chakra Healing, Yoga Singing Bowl, Buddhist Singing Bowl (Diameter 4 Inches and Weight 22.92 Oz)</t>
  </si>
  <si>
    <t>B09PHQC65L</t>
  </si>
  <si>
    <t>JD C BOWL -35</t>
  </si>
  <si>
    <t>Cosynee Tibetan Singing Bowl Set for Meditation, Tibetan Art Decor for Chakra Healing, Yoga Singing Bowl, Buddhist Singing Bowl (Diameter 5.5 Inches and Weight 35.65) - Red Singing Bowl Set</t>
  </si>
  <si>
    <t>B083ZS92Y6</t>
  </si>
  <si>
    <t>MS REI-TRE -0011</t>
  </si>
  <si>
    <t>cosynee Reiki Healing Stone Tree for Balancing, Spiritual Meditation Home Interior Office Decor (Lapis Lazuli, Gold Wired)</t>
  </si>
  <si>
    <t>B08G1H76TF</t>
  </si>
  <si>
    <t>GS US PYR -5</t>
  </si>
  <si>
    <t>cosynee Reiki Pyramid Kit, EMF Protection Meditation Yoga Energy, Crystal Quartz Energy Points, 7 Chakra Crystal Orgone Pyramid Kit (Clear Quartz LS)</t>
  </si>
  <si>
    <t>B08SQ88DYJ</t>
  </si>
  <si>
    <t>GS US BRASS KNOBS -53</t>
  </si>
  <si>
    <t>Classic Round Wooden Brass Cabinet Knob (Brass KNOBS -53)</t>
  </si>
  <si>
    <t>B08CVNCNGW</t>
  </si>
  <si>
    <t>GS US ANG -9</t>
  </si>
  <si>
    <t>cosynee Natural Gemstone Pocket Angel Healing Statue 1.5" to 2" Inch (Blue Aventurine)</t>
  </si>
  <si>
    <t>B08G1HCX32</t>
  </si>
  <si>
    <t>GS US PYR -22</t>
  </si>
  <si>
    <t>cosynee Reiki Pyramid Kit, EMF Protection Meditation Yoga Energy, Crystal Quartz Energy Points, 7 Chakra Crystal Orgone Pyramid Kit (MOOOSTONE LS)</t>
  </si>
  <si>
    <t>B09PG9433V</t>
  </si>
  <si>
    <t>VKB WOODEN -21</t>
  </si>
  <si>
    <t>Cosynee Handmade Party Decor Wooden Napkin Rings Set of for 4 Table Dinner Decoration (Set of 4)</t>
  </si>
  <si>
    <t>B08G17SNRQ</t>
  </si>
  <si>
    <t>GS US PYR -13</t>
  </si>
  <si>
    <t>cosynee Reiki Pyramid Kit, EMF Protection Meditation Yoga Energy, Crystal Quartz Energy Points, 7 Chakra Crystal Orgone Pyramid Kit (Tiger Eye LS)</t>
  </si>
  <si>
    <t>B09PGF8SM4</t>
  </si>
  <si>
    <t>VKB WOODEN NPKN</t>
  </si>
  <si>
    <t>Cosynee Artisan Crafted Dinner Table Decorations Wooden Napkin Rings Sets for Wedding Party (Set of 4)</t>
  </si>
  <si>
    <t>B09PGDLVZ5</t>
  </si>
  <si>
    <t>VKB WOODEN -27</t>
  </si>
  <si>
    <t>Cosynee Handcrafted Table Dinner Decorations Wooden Napkin Rings Set of 4 for Party Décor - Napkin Holders</t>
  </si>
  <si>
    <t>B07S847B5C</t>
  </si>
  <si>
    <t>MS PNDM -13</t>
  </si>
  <si>
    <t>Cosynee Natural Stone Hexagonal Chakra Gemstone (Tiger Eye)</t>
  </si>
  <si>
    <t>B07VK7D1QK</t>
  </si>
  <si>
    <t>KAF STK 0093 (S)</t>
  </si>
  <si>
    <t>POP UP Women's Bell Sleeve Frill Baby Doll Peplum Tops Blouse Crop top (S) Grey</t>
  </si>
  <si>
    <t>B09WVQZ2PD</t>
  </si>
  <si>
    <t>VKB WOODEN -76</t>
  </si>
  <si>
    <t>Not AVL</t>
  </si>
  <si>
    <t>B09PGB6QHC</t>
  </si>
  <si>
    <t>VKB WOODEN -13</t>
  </si>
  <si>
    <t>Cosynee Handmade Party Decor Wooden Napkin Rings Set of for 6 Table Dinner Decoration (Set of 6)</t>
  </si>
  <si>
    <t>B07MM23VKM</t>
  </si>
  <si>
    <t>CATO-002</t>
  </si>
  <si>
    <t>STAMPRESSION Merry Christmas Theme Cake Topper Premium Quality Wooden Silver Glitter Cake Topper with Acrylic Stick Cake Decoration</t>
  </si>
  <si>
    <t>B08G1JLD76</t>
  </si>
  <si>
    <t>GS US PYR -1</t>
  </si>
  <si>
    <t>cosynee Reiki Pyramid Kit, EMF Protection Meditation Yoga Energy, Crystal Quartz Energy Points, 7 Chakra Crystal Orgone Pyramid Kit (Lapis Lazuli LS)</t>
  </si>
  <si>
    <t>B07Y36WSS8</t>
  </si>
  <si>
    <t>GS US PYR -21</t>
  </si>
  <si>
    <t>B07Y2ZD9PQ</t>
  </si>
  <si>
    <t>GS US PYR -10</t>
  </si>
  <si>
    <t>B07MC8DC7B</t>
  </si>
  <si>
    <t>CATO-005</t>
  </si>
  <si>
    <t>B07V6LKD7D</t>
  </si>
  <si>
    <t>KAF STK 0092 (M)</t>
  </si>
  <si>
    <t>POP UP Women's 3/4th Sleeve Teenagers Peplum Tops Blouse Crop top</t>
  </si>
  <si>
    <t>B09PGFBV52</t>
  </si>
  <si>
    <t>VKB WOODEN -49</t>
  </si>
  <si>
    <t>Cosynee Handmade Wedding Party Decorations Wood Napkin Rings Set of 12 for Dinner Ideas</t>
  </si>
  <si>
    <t>B096LXYYTF</t>
  </si>
  <si>
    <t>MS REI-TRE -0016</t>
  </si>
  <si>
    <t>cosynee Reiki Healing Stone Tree for Balancing, Spiritual Meditation Home Interior Office Decor (Green Aventurine, Silver Wired)</t>
  </si>
  <si>
    <t>B08641575V</t>
  </si>
  <si>
    <t>GS USA JWL-BCL-0003</t>
  </si>
  <si>
    <t>Set of 4 Tibetan Copper Bracelets Magnetic India Pattern Women's Men's Spiritual Yoga Jewelry (Style -4)</t>
  </si>
  <si>
    <t>B000YFSZU8</t>
  </si>
  <si>
    <t>MS Brass Telescope 6"</t>
  </si>
  <si>
    <t>India Overseas Trading Co</t>
  </si>
  <si>
    <t>6" Handheld Brass Telescope with Wooden Box - Pirate Navigation</t>
  </si>
  <si>
    <t>B08P8KN8NQ</t>
  </si>
  <si>
    <t>GS US KNOBS RESIN -7</t>
  </si>
  <si>
    <t>Cosynee Dresser Drawer Cabinet Knobs Pulls for Kitchen Wardrobe Cupboard (Style -7)</t>
  </si>
  <si>
    <t>B08G1H27S2</t>
  </si>
  <si>
    <t>GS US PYR -19</t>
  </si>
  <si>
    <t>cosynee Reiki Pyramid Kit, EMF Protection Meditation Yoga Energy, Crystal Quartz Energy Points, 7 Chakra Crystal Orgone Pyramid Kit (RED Carnelian P)</t>
  </si>
  <si>
    <t>B08SQHHWNK</t>
  </si>
  <si>
    <t>GS US BRASS KNOBS -50</t>
  </si>
  <si>
    <t>Classic Round Wooden Brass Cabinet Knob (Brass KNOBS -50)</t>
  </si>
  <si>
    <t>B09TB6XSJY</t>
  </si>
  <si>
    <t>JD C BOWL -8</t>
  </si>
  <si>
    <t>B07NDBT3TD</t>
  </si>
  <si>
    <t>CATO-027-SILVER</t>
  </si>
  <si>
    <t>HAPPY BIRTHDAY Birthday Theme Cake Topper Customize Cake Topper Silver Glitter Cake Topper With Acrylic Stake Cake Decoration</t>
  </si>
  <si>
    <t>B07M7KG3VX</t>
  </si>
  <si>
    <t>CATO-001</t>
  </si>
  <si>
    <t>STAMPRESSION Merry Christmas Theme Cake Topper Premium Quality Wooden Golden Glitter Cake Topper with Acrylic Stick Cake Decoration</t>
  </si>
  <si>
    <t>B08SQL9JWK</t>
  </si>
  <si>
    <t>GS US BRASS KNOBS -51</t>
  </si>
  <si>
    <t>cosynee Classic Round Wooden Brass Cabinet Knob (Brass KNOBS -51)</t>
  </si>
  <si>
    <t>B08P8LWNTJ</t>
  </si>
  <si>
    <t>GS US KNOBS RESIN -3</t>
  </si>
  <si>
    <t>cosynee Dresser Drawer Cabinet Knobs Pulls for Kitchen Wardrobe Cupboard (Style -3)</t>
  </si>
  <si>
    <t>B005ZKUX8Y</t>
  </si>
  <si>
    <t>Raja Rose Quartz Rune Set</t>
  </si>
  <si>
    <t>cosynee New Age Rose Quartz Rune Set</t>
  </si>
  <si>
    <t>B0843CWGRY</t>
  </si>
  <si>
    <t>GS US SCRUBBER -2</t>
  </si>
  <si>
    <t>Magic Extra Durable, Stainless Steel Sponges, Scrubbing Scouring Pad, Steel Wool Scrubber (6)</t>
  </si>
  <si>
    <t>B08P8L4QCM</t>
  </si>
  <si>
    <t>GS US KNOBS RESIN -4</t>
  </si>
  <si>
    <t>Cosynee Dresser Drawer Cabinet Knobs Pulls for Kitchen Wardrobe Cupboard (Style -4)</t>
  </si>
  <si>
    <t>B08P8MXR49</t>
  </si>
  <si>
    <t>GS US KNOBS RESIN -1</t>
  </si>
  <si>
    <t>Cosynee Dresser Drawer Cabinet Knobs Pulls for Kitchen Wardrobe Cupboard (Style -1)</t>
  </si>
  <si>
    <t>B08P8KH7DY</t>
  </si>
  <si>
    <t>GS US KNOBS RESIN -5</t>
  </si>
  <si>
    <t>cosynee Dresser Drawer Cabinet Knobs Pulls for Kitchen Wardrobe Cupboard (Style -5)</t>
  </si>
  <si>
    <t>B0863ZXH9K</t>
  </si>
  <si>
    <t>GS USA JWL-BCL-0005</t>
  </si>
  <si>
    <t>Set of 4 Tibetan Copper Bracelets Magnetic India Pattern Women's Men's Spiritual Yoga Jewelry (Style -6)</t>
  </si>
  <si>
    <t>B07VXGVJWW</t>
  </si>
  <si>
    <t>FLLR-CLY-5Lbs</t>
  </si>
  <si>
    <t>CLEO'S SECRET ORIGINAL BENTONITE CLAY 500 MESH face masks beauty indian healing clay mud mask blackhead remover mask skin care face mask for acne mask</t>
  </si>
  <si>
    <t>B07WSWD7LB</t>
  </si>
  <si>
    <t>GS US WOODEN -11</t>
  </si>
  <si>
    <t>Shalinindia Wooden Eyewear Holder, Spectacle Holder for Men &amp; Women, Spec Holder, Wooden Eyeglass Stand, Eyewear Retainer, Sunglasses Holder, 6 Inch, Brown Color, Mango Wood (Lips)</t>
  </si>
  <si>
    <t>B083ZT6LS9</t>
  </si>
  <si>
    <t>MS REI-TRE-0012</t>
  </si>
  <si>
    <t>cosynee Reiki Healing Stone Tree for Balancing, Spiritual Meditation Home Interior Office Decor (Tiger Eye, Silver Wired)</t>
  </si>
  <si>
    <t>B083ZT9GFP</t>
  </si>
  <si>
    <t>MS REI-TRE-0006</t>
  </si>
  <si>
    <t>cosynee Reiki Healing Stone Tree for Balancing, Spiritual Meditation Home Interior Office Decor (Red Carnalian, Gold Wired)</t>
  </si>
  <si>
    <t>B07SRZCS11</t>
  </si>
  <si>
    <t>GS US KNOBS GREY -7</t>
  </si>
  <si>
    <t>Cosynee Set of 8 Crackle Vintage Grey Knobs</t>
  </si>
  <si>
    <t>B083ZTVQM7</t>
  </si>
  <si>
    <t>MS REI-TRE-0003</t>
  </si>
  <si>
    <t>cosynee Clear Quartz Gemstone Tree Golden Wire Feng Shui Money Bonsai Good Luck Chakra Healing Crystals Home Decoration Ornament Figurine Wealth and Prosperity</t>
  </si>
  <si>
    <t>B0B9K172FF</t>
  </si>
  <si>
    <t>JD-BUCKWHEAT-HULLS-700G</t>
  </si>
  <si>
    <t>B08X482JM2</t>
  </si>
  <si>
    <t>GS US MKRM -6</t>
  </si>
  <si>
    <t>Cosynee - Macrame Woven Wall Hanging Boho Home Chic Bohemian Geometric Art Decor - Beautiful Apartment Bedroom Dorm Room Decoration (14 x 32 Inch)</t>
  </si>
  <si>
    <t>B07MC8DSVF</t>
  </si>
  <si>
    <t>CATO-004</t>
  </si>
  <si>
    <t>B08X48TNMF</t>
  </si>
  <si>
    <t>GS US MKRM -4</t>
  </si>
  <si>
    <t>Cosynee - Macrame Woven Wall Hanging Boho Home Chic Bohemian Geometric Art Decor - Beautiful Apartment Bedroom Dorm Room Decoration (16 x 32 Inch)</t>
  </si>
  <si>
    <t>B08NDZYDHC</t>
  </si>
  <si>
    <t>GS USA FLAG -1</t>
  </si>
  <si>
    <t>Cosynee Handmade Tibetan Buddhist Prayer Flag, Handmade Tibetan Affirmation Prayer Flags, Himalayan Flags (Small Pack of 50 (6" x 6")) (1)</t>
  </si>
  <si>
    <t>B01LNABPHM</t>
  </si>
  <si>
    <t>BOWL -20</t>
  </si>
  <si>
    <t>B08X46KGJP</t>
  </si>
  <si>
    <t>GS US MKRM -7</t>
  </si>
  <si>
    <t>cosynee - Macrame Woven Wall Hanging Boho Home Chic Bohemian Geometric Art Decor - Beautiful Apartment Bedroom Dorm Room Decoration (16 x 27 Inch)</t>
  </si>
  <si>
    <t>B08X46V4LH</t>
  </si>
  <si>
    <t>GS US MKRM -5</t>
  </si>
  <si>
    <t>Cosynee - Macrame Woven Wall Hanging Boho Home Chic Bohemian Geometric Art Decor - Beautiful Apartment Bedroom Dorm Room Decoration (16 x 27 Inch)</t>
  </si>
  <si>
    <t>B00NMEXXMS</t>
  </si>
  <si>
    <t>GS US BOWL -31</t>
  </si>
  <si>
    <t>5.5 Inches Hand Painted Metal Tibetan Buddhist Singing Bowl Musical Instrument for Meditation with Stick and Cushion</t>
  </si>
  <si>
    <t>B08X45LP81</t>
  </si>
  <si>
    <t>GS US MKRM -8</t>
  </si>
  <si>
    <t>Cosynee - Macrame Woven Wall Hanging Boho Home Chic Bohemian Geometric Art Decor - Beautiful Apartment Bedroom Dorm Room Decoration (14 x 27 inch)</t>
  </si>
  <si>
    <t>B0B6BMHS7F</t>
  </si>
  <si>
    <t>COSYNEE-SILICA-GEL-PACK100-2GRAM</t>
  </si>
  <si>
    <t>Cosynee 2 Gram [100 Packets] Premium Pure and Safe Silica Gel Packets Desiccant Dehumidifiers, Silica Gel Packs - Rechargeable (Food Safe) Moisture Ab</t>
  </si>
  <si>
    <t>B08X47HWPN</t>
  </si>
  <si>
    <t>GS US MKRM -2</t>
  </si>
  <si>
    <t>Cosynee - Macrame Woven Wall Hanging Boho Home Chic Bohemian Geometric Art Decor - Beautiful Apartment Bedroom Dorm Room Decoration (15.5 x 36 Inch)</t>
  </si>
  <si>
    <t>B07W6QL65Z</t>
  </si>
  <si>
    <t>GS S US KNOBS GREY -2</t>
  </si>
  <si>
    <t>Cosynee Knobs Grey &amp; White Cream Hand Painted Ceramic Knobs Cabinet Drawer Pull Pulls (12)</t>
  </si>
  <si>
    <t>B08X46SNNC</t>
  </si>
  <si>
    <t>GS US MKRM -9</t>
  </si>
  <si>
    <t>cosynee - Macrame Woven Wall Hanging Boho Home Chic Bohemian Geometric Art Decor - Beautiful Apartment Bedroom Dorm Room Decoration (10 x 20 Inch (set of 2))</t>
  </si>
  <si>
    <t>B08NDYLCW5</t>
  </si>
  <si>
    <t>GS US FLAG -2</t>
  </si>
  <si>
    <t>cosynee Handmade Tibetan Buddhist Prayer Flag, Handmade Tibetan Affirmation Prayer Flags, Himalayan Flags (Small Pack of 50 (6" x 6")) (2)</t>
  </si>
  <si>
    <t>B00NMEXSIW</t>
  </si>
  <si>
    <t>GS USA BOWL -19</t>
  </si>
  <si>
    <t>Hand Painted Metal Tibetan Buddhist Singing Bowl Musical Instrument for Meditation with Stick and Cushion 4 Inches</t>
  </si>
  <si>
    <t>B01AJOMCMA</t>
  </si>
  <si>
    <t>Raja 4 Gold Napkin</t>
  </si>
  <si>
    <t>Shalinindia Handmade Indian Gold Beaded Napkin Rings - Set of 4 Rings</t>
  </si>
  <si>
    <t>B08X47MS4L</t>
  </si>
  <si>
    <t>GS US MKRM -3</t>
  </si>
  <si>
    <t>B093B9SHM2</t>
  </si>
  <si>
    <t>MS SLNT -1</t>
  </si>
  <si>
    <t>Cosynee - Selenite Stick 6 to 8.5 Inches Long, 1 to 2 inches Wide, White Healing Stone, Strong Protection Powers</t>
  </si>
  <si>
    <t>B07RZCFJ1T</t>
  </si>
  <si>
    <t>GS SEA KNOBS TFR -5</t>
  </si>
  <si>
    <t>Cosynee Lot of 12 Blue Ceramic Cabinet Knobs Silver</t>
  </si>
  <si>
    <t>B07QPT2CBT</t>
  </si>
  <si>
    <t>GS US KNOBS TFR -3</t>
  </si>
  <si>
    <t>Cosynee 12 pc Door Knobs Hand Printed Ceramic Knobs and Pulls Handle Handmade Silver Finish (Black)</t>
  </si>
  <si>
    <t>B0B5V2PFFQ</t>
  </si>
  <si>
    <t>JD-COSYNEE-POLYFILL-FIBER-100G</t>
  </si>
  <si>
    <t>Cosynee 100g/3.5oz Polyester Fiber Fill Premium Fiber Stuffing Fluff Stuffing High Resilience Fill Fiber for Stuffed Animal Crafts Pillow Stuffing Cus</t>
  </si>
  <si>
    <t>B07W7S5ZYD</t>
  </si>
  <si>
    <t>GS US S KNOBS GREY -3</t>
  </si>
  <si>
    <t>Cosynee 20 Knobs White &amp; Grey Cream Hand Painted Ceramic Knobs Cabinet Drawer Pull Pulls (20)</t>
  </si>
  <si>
    <t>B00MMAY7BY</t>
  </si>
  <si>
    <t>GS US SOAPSTONE -2</t>
  </si>
  <si>
    <t>Contemporary Stone Ornament Coasters Holder Set Dining Table Coffee</t>
  </si>
  <si>
    <t>B07RXBQLLV</t>
  </si>
  <si>
    <t>Gs Usa Air CTN BAG -1</t>
  </si>
  <si>
    <t>10 LARGE CANVAS TOTE BAG CANVAS TOTE BAGS BULK 15X16.5" Tote Bags Bulk Reusable Bag Cloth Bags With Handles Reusable Bag Cotton Bag Canvas Bags Bulk R</t>
  </si>
  <si>
    <t>Grand Total</t>
  </si>
  <si>
    <t>S</t>
  </si>
  <si>
    <t>A</t>
  </si>
  <si>
    <t xml:space="preserve">DIVIDE BY DOLLAR </t>
  </si>
  <si>
    <t>Sku</t>
  </si>
  <si>
    <t>Product code</t>
  </si>
  <si>
    <t>Unit Qty</t>
  </si>
  <si>
    <t>Sales Price</t>
  </si>
  <si>
    <t>Refund Qty</t>
  </si>
  <si>
    <t>Estimated payout</t>
  </si>
  <si>
    <t>SHIP MODE COLOR / S/A</t>
  </si>
  <si>
    <t>ROSE PTLS -2</t>
  </si>
  <si>
    <t>Grand</t>
  </si>
  <si>
    <t>PYR -21</t>
  </si>
  <si>
    <t>JWL-BCL-0021</t>
  </si>
  <si>
    <t>JWL-BCL-0002</t>
  </si>
  <si>
    <t>KNOBS -BK54</t>
  </si>
  <si>
    <t>KNOBS -BK53</t>
  </si>
  <si>
    <t>KNOBS -BK57</t>
  </si>
  <si>
    <t>KNOBS -BK50</t>
  </si>
  <si>
    <t>KNOBS -BK51</t>
  </si>
  <si>
    <t>KNOBS -BK52</t>
  </si>
  <si>
    <t>ANG -6</t>
  </si>
  <si>
    <t>ANG -7</t>
  </si>
  <si>
    <t>ANG -17</t>
  </si>
  <si>
    <t>REK-BAL-0001</t>
  </si>
  <si>
    <t>PNDM -20</t>
  </si>
  <si>
    <t>PNDM -22</t>
  </si>
  <si>
    <t>CARD -2</t>
  </si>
  <si>
    <t>BOWL -35</t>
  </si>
  <si>
    <t>BOWL -9</t>
  </si>
  <si>
    <t>-</t>
  </si>
  <si>
    <t>S-120/16</t>
  </si>
  <si>
    <t>ASINS</t>
  </si>
  <si>
    <t>PRODUCT CODE</t>
  </si>
  <si>
    <t>w</t>
  </si>
  <si>
    <t>Product Code</t>
  </si>
  <si>
    <t>WEIGHTS</t>
  </si>
  <si>
    <t>PRICES</t>
  </si>
  <si>
    <t>MFN  SHIPPING</t>
  </si>
  <si>
    <t>COGS (A)</t>
  </si>
  <si>
    <t>COGS</t>
  </si>
  <si>
    <t>COGS (1)</t>
  </si>
  <si>
    <t>B07T3ZYKTD</t>
  </si>
  <si>
    <t>12 Dropper Bottle</t>
  </si>
  <si>
    <t>SEA</t>
  </si>
  <si>
    <t>WOODEN -10</t>
  </si>
  <si>
    <t>AIR</t>
  </si>
  <si>
    <t>BM-CLY-5Lbs</t>
  </si>
  <si>
    <t>B09YHGTBWB</t>
  </si>
  <si>
    <t>ALU PANS -2</t>
  </si>
  <si>
    <t>ANG -1</t>
  </si>
  <si>
    <t>MBL CHESS -1</t>
  </si>
  <si>
    <t>ANG -10</t>
  </si>
  <si>
    <t>KNOBS R+P -5</t>
  </si>
  <si>
    <t>ANG -11</t>
  </si>
  <si>
    <t>KNOBS GREY -17</t>
  </si>
  <si>
    <t>B08CVR2JMW</t>
  </si>
  <si>
    <t>KNOBS GREY -5</t>
  </si>
  <si>
    <t>ANG -12</t>
  </si>
  <si>
    <t>KNOBS GREY -15</t>
  </si>
  <si>
    <t>ANG -13</t>
  </si>
  <si>
    <t>WOODEN -16</t>
  </si>
  <si>
    <t>CTN BAG -2</t>
  </si>
  <si>
    <t>ANG -15</t>
  </si>
  <si>
    <t>KNOBS FLAT -5</t>
  </si>
  <si>
    <t>ANG -16</t>
  </si>
  <si>
    <t>KNOBS FLAT -4</t>
  </si>
  <si>
    <t>KNOBS R+P -7</t>
  </si>
  <si>
    <t>KNOBS GREY -4</t>
  </si>
  <si>
    <t>ANG -2</t>
  </si>
  <si>
    <t>KNOBS R+P -6</t>
  </si>
  <si>
    <t>ANG -3</t>
  </si>
  <si>
    <t>KNOBS R+P -4</t>
  </si>
  <si>
    <t>ANG -4</t>
  </si>
  <si>
    <t>KNOBS TFR -14</t>
  </si>
  <si>
    <t>ANG -5</t>
  </si>
  <si>
    <t>GLS BTL -4</t>
  </si>
  <si>
    <t>BOWL -3</t>
  </si>
  <si>
    <t>ANG -9</t>
  </si>
  <si>
    <t>BOWL -21</t>
  </si>
  <si>
    <t>BAL -1</t>
  </si>
  <si>
    <t>BOWL -29</t>
  </si>
  <si>
    <t>B09DD3QFV6</t>
  </si>
  <si>
    <t>BAL -10</t>
  </si>
  <si>
    <t>KNOBS R+P -3</t>
  </si>
  <si>
    <t>B09FL8V1BN</t>
  </si>
  <si>
    <t>BAL -11</t>
  </si>
  <si>
    <t>KNOBS GREY -3</t>
  </si>
  <si>
    <t>B09FL8HPZR</t>
  </si>
  <si>
    <t>BAL -12</t>
  </si>
  <si>
    <t>KNOBS ORNT -7</t>
  </si>
  <si>
    <t>B09FL82GK3</t>
  </si>
  <si>
    <t>BAL -13</t>
  </si>
  <si>
    <t>KNOBS PMKN -2</t>
  </si>
  <si>
    <t>B09FL7MV3C</t>
  </si>
  <si>
    <t>BAL -14</t>
  </si>
  <si>
    <t>KNOBS GREY -18</t>
  </si>
  <si>
    <t>B09FL7QN7P</t>
  </si>
  <si>
    <t>BAL -15</t>
  </si>
  <si>
    <t>KNOBS GREY -10</t>
  </si>
  <si>
    <t>B09FL8GGF8</t>
  </si>
  <si>
    <t>BAL -16</t>
  </si>
  <si>
    <t>KNOBS GREY -12</t>
  </si>
  <si>
    <t>B09FL728C8</t>
  </si>
  <si>
    <t>BAL -17</t>
  </si>
  <si>
    <t>KNOBS GREY -14</t>
  </si>
  <si>
    <t>B09FL8CNP1</t>
  </si>
  <si>
    <t>BAL -18</t>
  </si>
  <si>
    <t>KNOBS GREY -16</t>
  </si>
  <si>
    <t>B09FL7NS4H</t>
  </si>
  <si>
    <t>BAL -19</t>
  </si>
  <si>
    <t>BOWL -4</t>
  </si>
  <si>
    <t>B09DD3H6SQ</t>
  </si>
  <si>
    <t>BAL -2</t>
  </si>
  <si>
    <t>BOWL -5</t>
  </si>
  <si>
    <t>B09FL8FYST</t>
  </si>
  <si>
    <t>BAL -20</t>
  </si>
  <si>
    <t>BM-CLY-2Lbs</t>
  </si>
  <si>
    <t>B09FL9D42B</t>
  </si>
  <si>
    <t>BAL -21</t>
  </si>
  <si>
    <t>BOWL -26</t>
  </si>
  <si>
    <t>B09FL7VG4S</t>
  </si>
  <si>
    <t>BAL -22</t>
  </si>
  <si>
    <t>B09FL83CRM</t>
  </si>
  <si>
    <t>BAL -23</t>
  </si>
  <si>
    <t>BOWL -28</t>
  </si>
  <si>
    <t>B09FL75X69</t>
  </si>
  <si>
    <t>BAL -24</t>
  </si>
  <si>
    <t>BOWL -31</t>
  </si>
  <si>
    <t>B09FL8HGVS</t>
  </si>
  <si>
    <t>BAL -25</t>
  </si>
  <si>
    <t>BOWL -23</t>
  </si>
  <si>
    <t>B09FNTYQ7M</t>
  </si>
  <si>
    <t>BAL -26</t>
  </si>
  <si>
    <t>KNOBS TFR -13</t>
  </si>
  <si>
    <t>B09FNY5DBF</t>
  </si>
  <si>
    <t>BAL -27</t>
  </si>
  <si>
    <t>KNOBS TFR -9</t>
  </si>
  <si>
    <t>B09FNZX75S</t>
  </si>
  <si>
    <t>BAL -28</t>
  </si>
  <si>
    <t>KNOBS -BK59</t>
  </si>
  <si>
    <t>B09DD3LP4J</t>
  </si>
  <si>
    <t>BAL -3</t>
  </si>
  <si>
    <t>KNOBS FLAT -3</t>
  </si>
  <si>
    <t>B09DD362QZ</t>
  </si>
  <si>
    <t>BAL -4</t>
  </si>
  <si>
    <t>KNOBS FLAT -9</t>
  </si>
  <si>
    <t>B09DD3XJQZ</t>
  </si>
  <si>
    <t>BAL -5</t>
  </si>
  <si>
    <t>BOWL -18</t>
  </si>
  <si>
    <t>B09DD3W7FJ</t>
  </si>
  <si>
    <t>BAL -6</t>
  </si>
  <si>
    <t>BOWL -10</t>
  </si>
  <si>
    <t>B09DD3N6J4</t>
  </si>
  <si>
    <t>BAL -7</t>
  </si>
  <si>
    <t>BOWL -11</t>
  </si>
  <si>
    <t>B09DD4C5Z4</t>
  </si>
  <si>
    <t>BAL -8</t>
  </si>
  <si>
    <t>BOWL -12</t>
  </si>
  <si>
    <t>B09DD38YZH</t>
  </si>
  <si>
    <t>BAL -9</t>
  </si>
  <si>
    <t>BOWL -13</t>
  </si>
  <si>
    <t>B00QV9649A</t>
  </si>
  <si>
    <t>Beaded Coffee Tea</t>
  </si>
  <si>
    <t>BOWL -14</t>
  </si>
  <si>
    <t>B07VVCF94W</t>
  </si>
  <si>
    <t>BM-CLY-1/2Lbs</t>
  </si>
  <si>
    <t>BOWL -15</t>
  </si>
  <si>
    <t>B07VYJV4RY</t>
  </si>
  <si>
    <t>B07VWHZFKX</t>
  </si>
  <si>
    <t>BM-CLY-1Lbs</t>
  </si>
  <si>
    <t>BOWL -2</t>
  </si>
  <si>
    <t>B07VWJ6D9M</t>
  </si>
  <si>
    <t>BOWL -25</t>
  </si>
  <si>
    <t>B07VWHMQ78</t>
  </si>
  <si>
    <t>KNOBS R+P -8</t>
  </si>
  <si>
    <t>CNDL -5</t>
  </si>
  <si>
    <t>B09P52BTSS</t>
  </si>
  <si>
    <t>BOWL -6</t>
  </si>
  <si>
    <t>B09PH9YCQQ</t>
  </si>
  <si>
    <t>BOWL -7</t>
  </si>
  <si>
    <t>BOWL -22</t>
  </si>
  <si>
    <t>BOWL -19</t>
  </si>
  <si>
    <t>KNOBS FLAT -8</t>
  </si>
  <si>
    <t>CTN BAG -1</t>
  </si>
  <si>
    <t>B09GG69H45</t>
  </si>
  <si>
    <t>NPKN -5</t>
  </si>
  <si>
    <t>NPKN -10</t>
  </si>
  <si>
    <t>KNOBS GREY -2</t>
  </si>
  <si>
    <t>B09PGCF3XK</t>
  </si>
  <si>
    <t>KNOBS GREY -13</t>
  </si>
  <si>
    <t>KNOBS PMKN -3</t>
  </si>
  <si>
    <t>WOODEN -18</t>
  </si>
  <si>
    <t>CPR GLAS -1</t>
  </si>
  <si>
    <t>GLS BTL -3</t>
  </si>
  <si>
    <t>BOWL -16</t>
  </si>
  <si>
    <t>SOAPSTONE -2</t>
  </si>
  <si>
    <t>KNOBS R+P -2</t>
  </si>
  <si>
    <t>B009CSRGBW</t>
  </si>
  <si>
    <t>WOODEN -57</t>
  </si>
  <si>
    <t>WOODEN -66</t>
  </si>
  <si>
    <t>BOWL -17</t>
  </si>
  <si>
    <t>KNOBS TFR -1</t>
  </si>
  <si>
    <t>B09QJ27XQY</t>
  </si>
  <si>
    <t>KNOBS TFR -3</t>
  </si>
  <si>
    <t>B09P64Z6TH</t>
  </si>
  <si>
    <t>KNOBS TFR -5</t>
  </si>
  <si>
    <t>KNOBS TFR -2</t>
  </si>
  <si>
    <t>KNOBS FLAT -2</t>
  </si>
  <si>
    <t>B09GMCBMWT</t>
  </si>
  <si>
    <t>KNOBS TFR -12</t>
  </si>
  <si>
    <t>KNOBS TFR -4</t>
  </si>
  <si>
    <t>KNOBS TFR -8</t>
  </si>
  <si>
    <t>KNOBS R+P -1</t>
  </si>
  <si>
    <t>B07VCKZ8T5</t>
  </si>
  <si>
    <t>KNOBS GREY -1</t>
  </si>
  <si>
    <t>B09PHBMGM3</t>
  </si>
  <si>
    <t>KNOBS ORNT -2</t>
  </si>
  <si>
    <t>KNOBS ORNT -1</t>
  </si>
  <si>
    <t>KNOBS PMKN -1</t>
  </si>
  <si>
    <t>KNOBS PMKN -4</t>
  </si>
  <si>
    <t>B01LNABN38</t>
  </si>
  <si>
    <t>KNOBS ORNT -3</t>
  </si>
  <si>
    <t>KNOBS GREY -9</t>
  </si>
  <si>
    <t>KNOBS GREY -11</t>
  </si>
  <si>
    <t>B09QJ2G4H2</t>
  </si>
  <si>
    <t>KNOBS ORNT -4</t>
  </si>
  <si>
    <t>KNOBS ORNT -5</t>
  </si>
  <si>
    <t>KNOBS ORNT -6</t>
  </si>
  <si>
    <t>KNOBS ORNT -8</t>
  </si>
  <si>
    <t>LTHR DIRY -3</t>
  </si>
  <si>
    <t>P-60</t>
  </si>
  <si>
    <t>B09PHSS62B</t>
  </si>
  <si>
    <t>WOODEN -15</t>
  </si>
  <si>
    <t>B00NMEXD82</t>
  </si>
  <si>
    <t>WOODEN -55</t>
  </si>
  <si>
    <t>PLS FLW -1</t>
  </si>
  <si>
    <t>MKRM -1</t>
  </si>
  <si>
    <t>MKRM -10</t>
  </si>
  <si>
    <t>B09T6MT757</t>
  </si>
  <si>
    <t>MKRM -11</t>
  </si>
  <si>
    <t>MKRM -12</t>
  </si>
  <si>
    <t>MKRM -13</t>
  </si>
  <si>
    <t>B09T6XMRDX</t>
  </si>
  <si>
    <t>MKRM -2</t>
  </si>
  <si>
    <t>B09T6Z7BLR</t>
  </si>
  <si>
    <t>MKRM -3</t>
  </si>
  <si>
    <t>MKRM -4</t>
  </si>
  <si>
    <t>MKRM -5</t>
  </si>
  <si>
    <t>B07VCKZF7J</t>
  </si>
  <si>
    <t>MKRM -6</t>
  </si>
  <si>
    <t>B09T6Z4RS8</t>
  </si>
  <si>
    <t>MKRM -7</t>
  </si>
  <si>
    <t>MKRM -8</t>
  </si>
  <si>
    <t>MKRM -9</t>
  </si>
  <si>
    <t>SSF -1</t>
  </si>
  <si>
    <t>BOWL -8</t>
  </si>
  <si>
    <t>WOODEN -64</t>
  </si>
  <si>
    <t>KNOBS FLAT -6</t>
  </si>
  <si>
    <t>BRASS KNOBS -50</t>
  </si>
  <si>
    <t>KNOBS FLAT -7</t>
  </si>
  <si>
    <t>BRASS KNOBS -51</t>
  </si>
  <si>
    <t>KNOBS TFR -7</t>
  </si>
  <si>
    <t>BRASS KNOBS -52</t>
  </si>
  <si>
    <t>KNOBS TFR -11</t>
  </si>
  <si>
    <t>B08SQDZQYH</t>
  </si>
  <si>
    <t>KNOBS TFR -15</t>
  </si>
  <si>
    <t>BRASS KNOBS -53</t>
  </si>
  <si>
    <t>KNOBS TFR -10</t>
  </si>
  <si>
    <t>B08SQKY44S</t>
  </si>
  <si>
    <t>BRASS KNOBS -54</t>
  </si>
  <si>
    <t>KNOBS TFR -16</t>
  </si>
  <si>
    <t>KNOBS TFR -17</t>
  </si>
  <si>
    <t>B08SQDHYPX</t>
  </si>
  <si>
    <t>BRASS KNOBS -55</t>
  </si>
  <si>
    <t>KNOBS TFR -18</t>
  </si>
  <si>
    <t>B08SPY8ZKZ</t>
  </si>
  <si>
    <t>BRASS KNOBS -56</t>
  </si>
  <si>
    <t>KNOBS TFR -19</t>
  </si>
  <si>
    <t>BRASS KNOBS -57</t>
  </si>
  <si>
    <t>KNOBS FLAT -1</t>
  </si>
  <si>
    <t>B08SR1LPVZ</t>
  </si>
  <si>
    <t>BRASS KNOBS -58</t>
  </si>
  <si>
    <t>B08SPYDDXQ</t>
  </si>
  <si>
    <t>BRASS KNOBS -59</t>
  </si>
  <si>
    <t>B09TXZX1ZS</t>
  </si>
  <si>
    <t>B09TXZGRJ5</t>
  </si>
  <si>
    <t>BROOM -2</t>
  </si>
  <si>
    <t>KNOBS -BK55</t>
  </si>
  <si>
    <t>BROOM -3</t>
  </si>
  <si>
    <t>KNOBS -BK56</t>
  </si>
  <si>
    <t>CARD -1</t>
  </si>
  <si>
    <t>B09JGGPWBP</t>
  </si>
  <si>
    <t>KNOBS -BK58</t>
  </si>
  <si>
    <t>KNOBS GREY -7</t>
  </si>
  <si>
    <t>KNOBS GREY -6</t>
  </si>
  <si>
    <t>B07NJ7KTVP</t>
  </si>
  <si>
    <t>CATO-023-SILVER</t>
  </si>
  <si>
    <t>KNOBS GREY -8</t>
  </si>
  <si>
    <t>KNOBS PMKN -5</t>
  </si>
  <si>
    <t>B07NJL2WGR</t>
  </si>
  <si>
    <t>SOAPSTONE -1</t>
  </si>
  <si>
    <t>SOAPSTONE -13</t>
  </si>
  <si>
    <t>THALI -1</t>
  </si>
  <si>
    <t>B07MQ9VFKZ</t>
  </si>
  <si>
    <t>WOODEN -50</t>
  </si>
  <si>
    <t>WOODEN -56</t>
  </si>
  <si>
    <t>B07MJKL9V9</t>
  </si>
  <si>
    <t>SOAPSTONE -9</t>
  </si>
  <si>
    <t>INC.STK -7</t>
  </si>
  <si>
    <t>INC.STK -4</t>
  </si>
  <si>
    <t>B07NDD8TZ2</t>
  </si>
  <si>
    <t>CATO-030-SILVER</t>
  </si>
  <si>
    <t>INC.STK -3</t>
  </si>
  <si>
    <t>B07NDCYS22</t>
  </si>
  <si>
    <t>INC.STK -9</t>
  </si>
  <si>
    <t>B07NDCTG7K</t>
  </si>
  <si>
    <t>INC.STK -6</t>
  </si>
  <si>
    <t>B07NDCPZMH</t>
  </si>
  <si>
    <t>WOODEN -77</t>
  </si>
  <si>
    <t>B07NJ7T23B</t>
  </si>
  <si>
    <t>NPKN -4</t>
  </si>
  <si>
    <t>B07KV2346Y</t>
  </si>
  <si>
    <t>NPKN -9</t>
  </si>
  <si>
    <t>B07MM22YCH</t>
  </si>
  <si>
    <t>WOODEN -51</t>
  </si>
  <si>
    <t>B07MQDPHYB</t>
  </si>
  <si>
    <t>WOODEN -72</t>
  </si>
  <si>
    <t>B07Q2QFGFW</t>
  </si>
  <si>
    <t>P-50</t>
  </si>
  <si>
    <t>B0823KHY7S</t>
  </si>
  <si>
    <t>R -552</t>
  </si>
  <si>
    <t>B0823KWHLR</t>
  </si>
  <si>
    <t>LTHR DIRY -10</t>
  </si>
  <si>
    <t>B0823LK38Q</t>
  </si>
  <si>
    <t>WOODEN -59</t>
  </si>
  <si>
    <t>B0823KPFB6</t>
  </si>
  <si>
    <t>WOODEN -65</t>
  </si>
  <si>
    <t>B0823LMKPC</t>
  </si>
  <si>
    <t>B0823MNZG2</t>
  </si>
  <si>
    <t>CNDL -1</t>
  </si>
  <si>
    <t>CATOP -1</t>
  </si>
  <si>
    <t>SOAPSTONE -10</t>
  </si>
  <si>
    <t>B07NDF1W1G</t>
  </si>
  <si>
    <t>CATOP -2</t>
  </si>
  <si>
    <t>LTHR DIRY -2</t>
  </si>
  <si>
    <t>B00PMZF0F8</t>
  </si>
  <si>
    <t>CER BRNR -1</t>
  </si>
  <si>
    <t>LTHR DIRY -5</t>
  </si>
  <si>
    <t>B00PMZF0D0</t>
  </si>
  <si>
    <t>CER BRNR -2</t>
  </si>
  <si>
    <t>LTHR DIRY -6</t>
  </si>
  <si>
    <t>LTHR DIRY -8</t>
  </si>
  <si>
    <t>MUG -1</t>
  </si>
  <si>
    <t>B07NBWVH52</t>
  </si>
  <si>
    <t>LTHR DIRY -9</t>
  </si>
  <si>
    <t>B08637C1C4</t>
  </si>
  <si>
    <t>HANDBELL -1</t>
  </si>
  <si>
    <t>B08DM263M5</t>
  </si>
  <si>
    <t>HANDBELL -2</t>
  </si>
  <si>
    <t>HANDBELL -3</t>
  </si>
  <si>
    <t>B08D643WBM</t>
  </si>
  <si>
    <t>HANDBELL -5</t>
  </si>
  <si>
    <t>B08D69G1J3</t>
  </si>
  <si>
    <t>CNDL -3</t>
  </si>
  <si>
    <t>CNDL -4</t>
  </si>
  <si>
    <t>TRE -1</t>
  </si>
  <si>
    <t>TRE -4</t>
  </si>
  <si>
    <t>B084CSYRNZ</t>
  </si>
  <si>
    <t>TRE -5</t>
  </si>
  <si>
    <t>B09T3BSV3T</t>
  </si>
  <si>
    <t>CSTR -1</t>
  </si>
  <si>
    <t>TRE -7</t>
  </si>
  <si>
    <t>B00ADGP7HW</t>
  </si>
  <si>
    <t>TRE -10</t>
  </si>
  <si>
    <t>B09T3JG7WR</t>
  </si>
  <si>
    <t>CSTR -2</t>
  </si>
  <si>
    <t>TRE -13</t>
  </si>
  <si>
    <t>TRE -14</t>
  </si>
  <si>
    <t>B09T3D52KN</t>
  </si>
  <si>
    <t>CSTR -3</t>
  </si>
  <si>
    <t>TRE -20</t>
  </si>
  <si>
    <t>TRE -22</t>
  </si>
  <si>
    <t>B09T3DK5ZB</t>
  </si>
  <si>
    <t>CSTR -4</t>
  </si>
  <si>
    <t>TRE -24</t>
  </si>
  <si>
    <t>B09T3DF7GH</t>
  </si>
  <si>
    <t>CSTR -5</t>
  </si>
  <si>
    <t>TRE -11</t>
  </si>
  <si>
    <t>B09T3BGS74</t>
  </si>
  <si>
    <t>CSTR -6</t>
  </si>
  <si>
    <t>TRE -3</t>
  </si>
  <si>
    <t>B00QV961X4</t>
  </si>
  <si>
    <t>CSTR -8</t>
  </si>
  <si>
    <t>TRE -9</t>
  </si>
  <si>
    <t>B07SC3GMLJ</t>
  </si>
  <si>
    <t>TRE -12</t>
  </si>
  <si>
    <t>TRE -17</t>
  </si>
  <si>
    <t>B082SLJ413</t>
  </si>
  <si>
    <t>TRE -18</t>
  </si>
  <si>
    <t>B09R227LVP</t>
  </si>
  <si>
    <t>CTN FBRC -1</t>
  </si>
  <si>
    <t>TRE -25</t>
  </si>
  <si>
    <t>TRE -8</t>
  </si>
  <si>
    <t>B09R226XGQ</t>
  </si>
  <si>
    <t>CTN FBRC -3</t>
  </si>
  <si>
    <t>TRE -15</t>
  </si>
  <si>
    <t>B09R2167DL</t>
  </si>
  <si>
    <t>CTN FBRC -4</t>
  </si>
  <si>
    <t>TRE -16</t>
  </si>
  <si>
    <t>B09R235FJT</t>
  </si>
  <si>
    <t>CTN FBRC -5</t>
  </si>
  <si>
    <t>TRE -19</t>
  </si>
  <si>
    <t>B09R24CMHK</t>
  </si>
  <si>
    <t>CTN FBRC -6</t>
  </si>
  <si>
    <t>TRE -2</t>
  </si>
  <si>
    <t>B09R22HRF2</t>
  </si>
  <si>
    <t>CTN FBRC -7</t>
  </si>
  <si>
    <t>TRE -21</t>
  </si>
  <si>
    <t>B09R22P9Y9</t>
  </si>
  <si>
    <t>CTN FBRC -8</t>
  </si>
  <si>
    <t>TRE -23</t>
  </si>
  <si>
    <t>B09R21VFS9</t>
  </si>
  <si>
    <t>CTN FBRC -9</t>
  </si>
  <si>
    <t>TRE -26</t>
  </si>
  <si>
    <t>CTN POUCH -2</t>
  </si>
  <si>
    <t>TRE -28</t>
  </si>
  <si>
    <t>TRE -6</t>
  </si>
  <si>
    <t>B084WTJLK4</t>
  </si>
  <si>
    <t>SOAPSTONE -4</t>
  </si>
  <si>
    <t>B0816Y9H25</t>
  </si>
  <si>
    <t>CTN POUCH -3</t>
  </si>
  <si>
    <t>SOAPSTONE -5</t>
  </si>
  <si>
    <t>CTN POUCH -4</t>
  </si>
  <si>
    <t>SOAPSTONE -6</t>
  </si>
  <si>
    <t>B084X7F6LH</t>
  </si>
  <si>
    <t>CTN POUCH -5</t>
  </si>
  <si>
    <t>SOAPSTONE -7</t>
  </si>
  <si>
    <t>WOODEN -30</t>
  </si>
  <si>
    <t>B08NDYZBBP</t>
  </si>
  <si>
    <t>FLAG -2</t>
  </si>
  <si>
    <t>WOODEN -52</t>
  </si>
  <si>
    <t>B01BT0TTOM</t>
  </si>
  <si>
    <t>FLG -1</t>
  </si>
  <si>
    <t>GLS BTL -2</t>
  </si>
  <si>
    <t>B005R4H73W</t>
  </si>
  <si>
    <t>B01N3N5W8R</t>
  </si>
  <si>
    <t>WOODEN -31</t>
  </si>
  <si>
    <t>B07MV7X58D</t>
  </si>
  <si>
    <t>WOODEN -70</t>
  </si>
  <si>
    <t>WOODEN -76</t>
  </si>
  <si>
    <t>NPKN -23</t>
  </si>
  <si>
    <t>FLG -2</t>
  </si>
  <si>
    <t>KAF STK 0094 (L)</t>
  </si>
  <si>
    <t>B07VXHG3VQ</t>
  </si>
  <si>
    <t>FLLR-CLY-1/2Lbs</t>
  </si>
  <si>
    <t>KAF STK 0094 (M)</t>
  </si>
  <si>
    <t>B09T3FR22N</t>
  </si>
  <si>
    <t>FLUTE -1</t>
  </si>
  <si>
    <t>KAF STK 0094 (S)</t>
  </si>
  <si>
    <t>FLUTES -1</t>
  </si>
  <si>
    <t>KNOBS TFR -6</t>
  </si>
  <si>
    <t>B07X99HZV8</t>
  </si>
  <si>
    <t>FLW -1</t>
  </si>
  <si>
    <t>B07T64L4TV</t>
  </si>
  <si>
    <t>GLS BTL -1</t>
  </si>
  <si>
    <t>KNOBS GREY -19</t>
  </si>
  <si>
    <t>B07T65H2HR</t>
  </si>
  <si>
    <t>SOAPSTONE -11</t>
  </si>
  <si>
    <t>B07T2YB63P</t>
  </si>
  <si>
    <t>NPKN -3</t>
  </si>
  <si>
    <t>B07T66NH94</t>
  </si>
  <si>
    <t>NPKN -8</t>
  </si>
  <si>
    <t>B07KV12YQ7</t>
  </si>
  <si>
    <t>NPKN -24</t>
  </si>
  <si>
    <t>B07KV1F9TJ</t>
  </si>
  <si>
    <t>WOODEN -26</t>
  </si>
  <si>
    <t>WOODEN -7</t>
  </si>
  <si>
    <t>LNCH BOX -1</t>
  </si>
  <si>
    <t>HANDBELL -4</t>
  </si>
  <si>
    <t>LNCH BOX -2</t>
  </si>
  <si>
    <t>WOODEN -25</t>
  </si>
  <si>
    <t>B07VC7CT9J</t>
  </si>
  <si>
    <t>HANG-1</t>
  </si>
  <si>
    <t>SPOON -2</t>
  </si>
  <si>
    <t>JWL-BCL-0001</t>
  </si>
  <si>
    <t>LOOFAH -3</t>
  </si>
  <si>
    <t>JWL-BCL-0003</t>
  </si>
  <si>
    <t>B0864155TP</t>
  </si>
  <si>
    <t>JWL-BCL-0004</t>
  </si>
  <si>
    <t>JWL-BCL-0005</t>
  </si>
  <si>
    <t>JWL-BCL-0006</t>
  </si>
  <si>
    <t>JWL-BCL-0007</t>
  </si>
  <si>
    <t>WOODEN -49</t>
  </si>
  <si>
    <t>JWL-BCL-0008</t>
  </si>
  <si>
    <t>ROSE PTLS -1</t>
  </si>
  <si>
    <t>JWL-BCL-0009</t>
  </si>
  <si>
    <t>SOAPSTONE -3</t>
  </si>
  <si>
    <t>JWL-BCL-0010</t>
  </si>
  <si>
    <t>RUNE -11</t>
  </si>
  <si>
    <t>JWL-BCL-0011</t>
  </si>
  <si>
    <t>SOAPSTONE -1 A</t>
  </si>
  <si>
    <t>JWL-BCL-0012</t>
  </si>
  <si>
    <t>LTHR DIRY -1</t>
  </si>
  <si>
    <t>JWL-BCL-0013</t>
  </si>
  <si>
    <t>JWL-BCL-0014</t>
  </si>
  <si>
    <t>UMBRELLA -2</t>
  </si>
  <si>
    <t>JWL-BCL-0015</t>
  </si>
  <si>
    <t>WOODEN -19</t>
  </si>
  <si>
    <t>JWL-BCL-0016</t>
  </si>
  <si>
    <t>PLS-FLW-1</t>
  </si>
  <si>
    <t>JWL-BCL-0017</t>
  </si>
  <si>
    <t>JWL-BCL-0018</t>
  </si>
  <si>
    <t>CTN BAG -3</t>
  </si>
  <si>
    <t>JWL-BCL-0019</t>
  </si>
  <si>
    <t>B08641MFR4</t>
  </si>
  <si>
    <t>JWL-BCL-0020</t>
  </si>
  <si>
    <t>KAF STK 0091</t>
  </si>
  <si>
    <t>B08641V6JH</t>
  </si>
  <si>
    <t>JWL-BCL-0022</t>
  </si>
  <si>
    <t>KAF STK 0091 (L)</t>
  </si>
  <si>
    <t>B086415XD4</t>
  </si>
  <si>
    <t>JWL-BCL-0023</t>
  </si>
  <si>
    <t>B08641HY5V</t>
  </si>
  <si>
    <t>JWL-BCL-0024</t>
  </si>
  <si>
    <t>UMBRELLA -1</t>
  </si>
  <si>
    <t>B08641T7GN</t>
  </si>
  <si>
    <t>JWL-BCL-0025</t>
  </si>
  <si>
    <t>WOODEN -6</t>
  </si>
  <si>
    <t>B086428KG5</t>
  </si>
  <si>
    <t>JWL-BCL-0026</t>
  </si>
  <si>
    <t>LTHR DIRY -4</t>
  </si>
  <si>
    <t>B093PLJLGQ</t>
  </si>
  <si>
    <t>JWL-BCL-0044</t>
  </si>
  <si>
    <t>B08641CD6Q</t>
  </si>
  <si>
    <t>NPKN -13</t>
  </si>
  <si>
    <t>B00CPLAJ1W</t>
  </si>
  <si>
    <t>JWL-BCL-0045</t>
  </si>
  <si>
    <t>NPKN -14</t>
  </si>
  <si>
    <t>B07VJH3K5X</t>
  </si>
  <si>
    <t>NPKN -15</t>
  </si>
  <si>
    <t>B07VJH319R</t>
  </si>
  <si>
    <t>NPKN -16</t>
  </si>
  <si>
    <t>B07VJ6P7YZ</t>
  </si>
  <si>
    <t>KAF STK 0092 (L)</t>
  </si>
  <si>
    <t>NPKN -18</t>
  </si>
  <si>
    <t>NPKN -20</t>
  </si>
  <si>
    <t>B07VHD5BK8</t>
  </si>
  <si>
    <t>KAF STK 0093 (L)</t>
  </si>
  <si>
    <t>NPKN -21</t>
  </si>
  <si>
    <t>B07VF62F2R</t>
  </si>
  <si>
    <t>NPKN -22</t>
  </si>
  <si>
    <t>NPKN -2</t>
  </si>
  <si>
    <t>NPKN -7</t>
  </si>
  <si>
    <t>B07TZJV677</t>
  </si>
  <si>
    <t>NPKN -27</t>
  </si>
  <si>
    <t>B07VF5V957</t>
  </si>
  <si>
    <t>SPOON -3</t>
  </si>
  <si>
    <t>B07VF5V3Y2</t>
  </si>
  <si>
    <t>CUSHION -1</t>
  </si>
  <si>
    <t>B07XY8MR31</t>
  </si>
  <si>
    <t>KAF STK 0096 (L)</t>
  </si>
  <si>
    <t>SLCA -1</t>
  </si>
  <si>
    <t>BELL -1</t>
  </si>
  <si>
    <t>B07XY79NGQ</t>
  </si>
  <si>
    <t>SOAPSTONE -8</t>
  </si>
  <si>
    <t>B07XY668GD</t>
  </si>
  <si>
    <t>KAF STK 0096 (M)</t>
  </si>
  <si>
    <t>WOODEN -14</t>
  </si>
  <si>
    <t>B07XY82RZH</t>
  </si>
  <si>
    <t>KAF STK 0096 (S)</t>
  </si>
  <si>
    <t>RUNE -7</t>
  </si>
  <si>
    <t>B07Y219JMF</t>
  </si>
  <si>
    <t>B07Y21H3D4</t>
  </si>
  <si>
    <t>B07Y21GYTD</t>
  </si>
  <si>
    <t>VLVT-POUCH-3</t>
  </si>
  <si>
    <t>B07Y535249</t>
  </si>
  <si>
    <t>WOODEN -35</t>
  </si>
  <si>
    <t>B07Y4RRQPS</t>
  </si>
  <si>
    <t>WOODEN -39</t>
  </si>
  <si>
    <t>B07Y4VGHG9</t>
  </si>
  <si>
    <t>RUNE -6</t>
  </si>
  <si>
    <t>B08SM3998V</t>
  </si>
  <si>
    <t>RUNE -19</t>
  </si>
  <si>
    <t>B01HQ8WPZQ</t>
  </si>
  <si>
    <t>RUNE -21</t>
  </si>
  <si>
    <t>WOODEN -73</t>
  </si>
  <si>
    <t>REK-BAL-0008</t>
  </si>
  <si>
    <t>B01M7Q5ROM</t>
  </si>
  <si>
    <t>B01N21QV9I</t>
  </si>
  <si>
    <t>LTHR DIRY -7</t>
  </si>
  <si>
    <t>B01GTPQQCA</t>
  </si>
  <si>
    <t>B01N6S4RZI</t>
  </si>
  <si>
    <t>B01MR6MYOU</t>
  </si>
  <si>
    <t>WOODEN -5</t>
  </si>
  <si>
    <t>RUNE -9</t>
  </si>
  <si>
    <t>B01N0XCHPQ</t>
  </si>
  <si>
    <t>MTL HANG -3</t>
  </si>
  <si>
    <t>B08336GSXG</t>
  </si>
  <si>
    <t>Knobs Flat -3</t>
  </si>
  <si>
    <t>NPKN -30</t>
  </si>
  <si>
    <t>WOODEN -48</t>
  </si>
  <si>
    <t>B07SJT3Z4J</t>
  </si>
  <si>
    <t>B016GGLY1A</t>
  </si>
  <si>
    <t>CATO-022-GOLD</t>
  </si>
  <si>
    <t>B07RDQFJYY</t>
  </si>
  <si>
    <t>CATO-031-GOLD</t>
  </si>
  <si>
    <t>CATO-032-SILVER</t>
  </si>
  <si>
    <t>B01M311AX5</t>
  </si>
  <si>
    <t>CATO-041-SILVER</t>
  </si>
  <si>
    <t>CATO-031-SILVER</t>
  </si>
  <si>
    <t>B07SJSX7F6</t>
  </si>
  <si>
    <t>CATO-036-GOLD</t>
  </si>
  <si>
    <t>B07SGR4ZQL</t>
  </si>
  <si>
    <t>CATO-039-SILVER</t>
  </si>
  <si>
    <t>B07ZRJQKLS</t>
  </si>
  <si>
    <t>CATO-018-SILVER</t>
  </si>
  <si>
    <t>CATO-028-GOLD</t>
  </si>
  <si>
    <t>CATO-018-GOLD</t>
  </si>
  <si>
    <t>B01NC383VO</t>
  </si>
  <si>
    <t>CATO-041-GOLD</t>
  </si>
  <si>
    <t>CATO-036-SILVER</t>
  </si>
  <si>
    <t>B01HIFBHC4</t>
  </si>
  <si>
    <t>CATO-029-GOLD</t>
  </si>
  <si>
    <t>B07SKW9F3Z</t>
  </si>
  <si>
    <t>CATO-037-SILVER</t>
  </si>
  <si>
    <t>B07SNV64RM</t>
  </si>
  <si>
    <t>CATO-032-GOLD</t>
  </si>
  <si>
    <t>B075CMDPJF</t>
  </si>
  <si>
    <t>CATO-040-SILVER</t>
  </si>
  <si>
    <t>CATO-019-GOLD</t>
  </si>
  <si>
    <t>CATO-029-SILVER</t>
  </si>
  <si>
    <t>B09HMT15Z4</t>
  </si>
  <si>
    <t>CATO-030-GOLD</t>
  </si>
  <si>
    <t>B07SKVY298</t>
  </si>
  <si>
    <t>CATO-019-SILVER</t>
  </si>
  <si>
    <t>CATO-022-SILVER</t>
  </si>
  <si>
    <t>CATO-037-GOLD</t>
  </si>
  <si>
    <t>CATO-023-GOLD</t>
  </si>
  <si>
    <t>B07SQVQV15</t>
  </si>
  <si>
    <t>CATO-033-GOLD</t>
  </si>
  <si>
    <t>CATO-034-GOLD</t>
  </si>
  <si>
    <t>B0833W8F49</t>
  </si>
  <si>
    <t>CATO-033-SILVER</t>
  </si>
  <si>
    <t>CATO-038-SILVER</t>
  </si>
  <si>
    <t>B06Y3SDGXW</t>
  </si>
  <si>
    <t>WOODEN -20</t>
  </si>
  <si>
    <t>B00XC6QZWQ</t>
  </si>
  <si>
    <t>WOODEN -75</t>
  </si>
  <si>
    <t>SPOON -1</t>
  </si>
  <si>
    <t>RUNE -1</t>
  </si>
  <si>
    <t>WOODEN -32</t>
  </si>
  <si>
    <t>B0833WHFFQ</t>
  </si>
  <si>
    <t>WOODEN -2</t>
  </si>
  <si>
    <t>B07SLZBBVY</t>
  </si>
  <si>
    <t>WOODEN -38</t>
  </si>
  <si>
    <t>RUNE -20</t>
  </si>
  <si>
    <t>RUNE -22</t>
  </si>
  <si>
    <t>B07SNB796G</t>
  </si>
  <si>
    <t>NPKN -1</t>
  </si>
  <si>
    <t>NPKN -6</t>
  </si>
  <si>
    <t>B07SPSK9HD</t>
  </si>
  <si>
    <t>NPKN -26</t>
  </si>
  <si>
    <t>WOODEN -45</t>
  </si>
  <si>
    <t>B01M9E3W4A</t>
  </si>
  <si>
    <t>WOODEN -1</t>
  </si>
  <si>
    <t>PYR -14</t>
  </si>
  <si>
    <t>B07SM55156</t>
  </si>
  <si>
    <t>B08DQR858R</t>
  </si>
  <si>
    <t>PYR -9</t>
  </si>
  <si>
    <t>B08DRG31P5</t>
  </si>
  <si>
    <t>PYR -4</t>
  </si>
  <si>
    <t>B07RTVC9PS</t>
  </si>
  <si>
    <t>PYR -7</t>
  </si>
  <si>
    <t>PYR -2</t>
  </si>
  <si>
    <t>KNOBS RESIN -1</t>
  </si>
  <si>
    <t>PYR -6</t>
  </si>
  <si>
    <t>KNOBS RESIN -2</t>
  </si>
  <si>
    <t>KNOBS RESIN -3</t>
  </si>
  <si>
    <t>KNOBS RESIN -4</t>
  </si>
  <si>
    <t>KNOBS RESIN -5</t>
  </si>
  <si>
    <t>KAF STK 0097 (L)</t>
  </si>
  <si>
    <t>B08P8LH315</t>
  </si>
  <si>
    <t>KNOBS RESIN -6</t>
  </si>
  <si>
    <t>KAF STK 0097 (M)</t>
  </si>
  <si>
    <t>KNOBS RESIN -7</t>
  </si>
  <si>
    <t>KAF STK 0097 (S)</t>
  </si>
  <si>
    <t>B08P8LVFQ6</t>
  </si>
  <si>
    <t>KAF STK 0098 (L)</t>
  </si>
  <si>
    <t>B08P8LNP87</t>
  </si>
  <si>
    <t>KNOBS RESIN -8</t>
  </si>
  <si>
    <t>KAF STK 0098 (M)</t>
  </si>
  <si>
    <t>B00TS9463G</t>
  </si>
  <si>
    <t>KAF STK 0098 (S)</t>
  </si>
  <si>
    <t>PYR -10</t>
  </si>
  <si>
    <t>PYR -18</t>
  </si>
  <si>
    <t>B09GFRJ3L7</t>
  </si>
  <si>
    <t>PYR -20</t>
  </si>
  <si>
    <t>PYR -3</t>
  </si>
  <si>
    <t>B09P4WCC81</t>
  </si>
  <si>
    <t>PYR -16</t>
  </si>
  <si>
    <t>WOODEN -11</t>
  </si>
  <si>
    <t>WOODEN -12</t>
  </si>
  <si>
    <t>WOODEN -9</t>
  </si>
  <si>
    <t>VLVT-POUCH-2</t>
  </si>
  <si>
    <t>RUNE -13</t>
  </si>
  <si>
    <t>B00YKQSWYG</t>
  </si>
  <si>
    <t>RUNE -15</t>
  </si>
  <si>
    <t>RUNE -16</t>
  </si>
  <si>
    <t>B07XQ338TQ</t>
  </si>
  <si>
    <t>RUNE -18</t>
  </si>
  <si>
    <t>PYR -1</t>
  </si>
  <si>
    <t>B07VZF854C</t>
  </si>
  <si>
    <t>LOOFAH -1</t>
  </si>
  <si>
    <t>PYR -13</t>
  </si>
  <si>
    <t>B07W427XW8</t>
  </si>
  <si>
    <t>LOOFAH -2</t>
  </si>
  <si>
    <t>PYR -17</t>
  </si>
  <si>
    <t>B07Z4M2C2Z</t>
  </si>
  <si>
    <t>LOOFAH -4</t>
  </si>
  <si>
    <t>PYR -19</t>
  </si>
  <si>
    <t>B07Z4M4S2W</t>
  </si>
  <si>
    <t>LOOFHA -4</t>
  </si>
  <si>
    <t>PYR -22</t>
  </si>
  <si>
    <t>PYR -23</t>
  </si>
  <si>
    <t>B07W1JPPG9</t>
  </si>
  <si>
    <t>LOOFHA-3</t>
  </si>
  <si>
    <t>PYR -36</t>
  </si>
  <si>
    <t>B07Y5CZYXF</t>
  </si>
  <si>
    <t>LTHR -1</t>
  </si>
  <si>
    <t>PYR -47</t>
  </si>
  <si>
    <t>B084MCZBQM</t>
  </si>
  <si>
    <t>LTHR -2</t>
  </si>
  <si>
    <t>PYR -5</t>
  </si>
  <si>
    <t>B0851KHPDW</t>
  </si>
  <si>
    <t>LTHR BAG -1</t>
  </si>
  <si>
    <t>PYR -8</t>
  </si>
  <si>
    <t>B0851L463T</t>
  </si>
  <si>
    <t>LTHR BAG -2</t>
  </si>
  <si>
    <t>RUNE -23</t>
  </si>
  <si>
    <t>B0851JWMMR</t>
  </si>
  <si>
    <t>LTHR BAG -3</t>
  </si>
  <si>
    <t>B0851KWZWY</t>
  </si>
  <si>
    <t>LTHR BAG -4</t>
  </si>
  <si>
    <t>WOODEN -4</t>
  </si>
  <si>
    <t>B0851R44K7</t>
  </si>
  <si>
    <t>LTHR BAG -5</t>
  </si>
  <si>
    <t>INC.STK -2</t>
  </si>
  <si>
    <t>B0851L2ZPW</t>
  </si>
  <si>
    <t>LTHR BAG -6</t>
  </si>
  <si>
    <t>B0851KJMPL</t>
  </si>
  <si>
    <t>LTHR BAG -7</t>
  </si>
  <si>
    <t>WOODEN -3</t>
  </si>
  <si>
    <t>B0851KG33K</t>
  </si>
  <si>
    <t>LTHR BAG -8</t>
  </si>
  <si>
    <t>RUNE -3</t>
  </si>
  <si>
    <t>B0851KPTPM</t>
  </si>
  <si>
    <t>LTHR BAG -9</t>
  </si>
  <si>
    <t>RUNE -2</t>
  </si>
  <si>
    <t>B085B1QQH7</t>
  </si>
  <si>
    <t>LTHR BAG-1</t>
  </si>
  <si>
    <t>WOODEN -47</t>
  </si>
  <si>
    <t>B085B222CP</t>
  </si>
  <si>
    <t>LTHR BAG-2</t>
  </si>
  <si>
    <t>RUNE -5</t>
  </si>
  <si>
    <t>B085B1RS7K</t>
  </si>
  <si>
    <t>LTHR BAG-3</t>
  </si>
  <si>
    <t>RUNE -4</t>
  </si>
  <si>
    <t>B085B1NM1T</t>
  </si>
  <si>
    <t>LTHR BAG-4</t>
  </si>
  <si>
    <t>RUNE -10</t>
  </si>
  <si>
    <t>B0859ZRL1M</t>
  </si>
  <si>
    <t>LTHR BAG-5</t>
  </si>
  <si>
    <t>RUNE -12</t>
  </si>
  <si>
    <t>B085B2QM23</t>
  </si>
  <si>
    <t>LTHR BAG-6</t>
  </si>
  <si>
    <t>RUNE -14</t>
  </si>
  <si>
    <t>B085B2HJR8</t>
  </si>
  <si>
    <t>LTHR BAG-7</t>
  </si>
  <si>
    <t>RUNE -17</t>
  </si>
  <si>
    <t>B085B2556G</t>
  </si>
  <si>
    <t>LTHR BAG-8</t>
  </si>
  <si>
    <t>WOODEN -13</t>
  </si>
  <si>
    <t>B085B2BH9V</t>
  </si>
  <si>
    <t>LTHR BAG-9</t>
  </si>
  <si>
    <t>B007ZKR9UW</t>
  </si>
  <si>
    <t>B01CJTJAKU</t>
  </si>
  <si>
    <t>B00WTZ21RE</t>
  </si>
  <si>
    <t>CSTR -7</t>
  </si>
  <si>
    <t>MKB -1</t>
  </si>
  <si>
    <t>B08WR66BT8</t>
  </si>
  <si>
    <t>B08WRCM6YH</t>
  </si>
  <si>
    <t>B08X46R72X</t>
  </si>
  <si>
    <t>MTL HANG -2</t>
  </si>
  <si>
    <t>MTL HANG -1</t>
  </si>
  <si>
    <t>WOODEN -63</t>
  </si>
  <si>
    <t>R-30</t>
  </si>
  <si>
    <t>S-843</t>
  </si>
  <si>
    <t>S-852</t>
  </si>
  <si>
    <t>SLNT -1</t>
  </si>
  <si>
    <t>PNDM - 23</t>
  </si>
  <si>
    <t>MTL BRNR -1</t>
  </si>
  <si>
    <t>B07VD35HN3</t>
  </si>
  <si>
    <t>WOODEN -36</t>
  </si>
  <si>
    <t>B07VD4JGMR</t>
  </si>
  <si>
    <t>B07VC66F83</t>
  </si>
  <si>
    <t>MTL HANG-1</t>
  </si>
  <si>
    <t>P-40</t>
  </si>
  <si>
    <t>B07VCJHD3J</t>
  </si>
  <si>
    <t>WOODEN -37</t>
  </si>
  <si>
    <t>WOODEN -46</t>
  </si>
  <si>
    <t>NUTMUG -1</t>
  </si>
  <si>
    <t>B09T38TYQD</t>
  </si>
  <si>
    <t>CLOVES -1</t>
  </si>
  <si>
    <t>CHKRI -1</t>
  </si>
  <si>
    <t>INC.STK -8</t>
  </si>
  <si>
    <t>MURTI -3</t>
  </si>
  <si>
    <t>WOODEN -61</t>
  </si>
  <si>
    <t>B09T3BFLP3</t>
  </si>
  <si>
    <t>SQNS -1</t>
  </si>
  <si>
    <t>B0937H2GWX</t>
  </si>
  <si>
    <t>NAPKIN</t>
  </si>
  <si>
    <t>WISTEL -1</t>
  </si>
  <si>
    <t>B0937DWG93</t>
  </si>
  <si>
    <t>TSCOP -1</t>
  </si>
  <si>
    <t>B09PG9YLKK</t>
  </si>
  <si>
    <t>S-853</t>
  </si>
  <si>
    <t>B07HJ4HH5V</t>
  </si>
  <si>
    <t>S -852</t>
  </si>
  <si>
    <t>WOODEN -17</t>
  </si>
  <si>
    <t>B09PH99LXS</t>
  </si>
  <si>
    <t>CTRN -1</t>
  </si>
  <si>
    <t>SCRUBER -2</t>
  </si>
  <si>
    <t>B01AJTX8LY</t>
  </si>
  <si>
    <t>B09PGBF72V</t>
  </si>
  <si>
    <t>WOODEN -34</t>
  </si>
  <si>
    <t>R -30</t>
  </si>
  <si>
    <t>WOODEN -21</t>
  </si>
  <si>
    <t>B07CJHC6FV</t>
  </si>
  <si>
    <t>NPKN -35</t>
  </si>
  <si>
    <t>S-520</t>
  </si>
  <si>
    <t>B09PH8M2MG</t>
  </si>
  <si>
    <t>P-30</t>
  </si>
  <si>
    <t>B07XCB7LG2</t>
  </si>
  <si>
    <t>VLVT-POUCH-1</t>
  </si>
  <si>
    <t>B09PGC7ZPK</t>
  </si>
  <si>
    <t>B09PH9QS33</t>
  </si>
  <si>
    <t>WOODEN -41</t>
  </si>
  <si>
    <t>B09PG9WZG6</t>
  </si>
  <si>
    <t>S-842</t>
  </si>
  <si>
    <t>B09P541PC5</t>
  </si>
  <si>
    <t>B09PH98RV6</t>
  </si>
  <si>
    <t>P-20</t>
  </si>
  <si>
    <t>S-120/13</t>
  </si>
  <si>
    <t>S-313</t>
  </si>
  <si>
    <t>B077CQJH62</t>
  </si>
  <si>
    <t>S-312</t>
  </si>
  <si>
    <t>B077VV2BNR</t>
  </si>
  <si>
    <t>INC.STK -1</t>
  </si>
  <si>
    <t>B09PGBFVKL</t>
  </si>
  <si>
    <t>WOODEN -27</t>
  </si>
  <si>
    <t>RDKSH MALA -1</t>
  </si>
  <si>
    <t>B07JDDJRGD</t>
  </si>
  <si>
    <t>P20</t>
  </si>
  <si>
    <t>NPKN -25</t>
  </si>
  <si>
    <t>B07JVVFG68</t>
  </si>
  <si>
    <t>CRLNG -2</t>
  </si>
  <si>
    <t>B07JBZS1S4</t>
  </si>
  <si>
    <t>S-303</t>
  </si>
  <si>
    <t>B07JBZY6HY</t>
  </si>
  <si>
    <t>B07JCRFYBX</t>
  </si>
  <si>
    <t>B07JCR5MR6</t>
  </si>
  <si>
    <t>B07JF7G91P</t>
  </si>
  <si>
    <t>B07JF7GYPL</t>
  </si>
  <si>
    <t>B07JFBK4H4</t>
  </si>
  <si>
    <t>B07JVY1MD1</t>
  </si>
  <si>
    <t>B07JF7GQQK</t>
  </si>
  <si>
    <t>B07JFBH2NH</t>
  </si>
  <si>
    <t>B07JCPB5W8</t>
  </si>
  <si>
    <t>B07JF7GR23</t>
  </si>
  <si>
    <t>B07JD1JCRB</t>
  </si>
  <si>
    <t>B07JDN9H6Q</t>
  </si>
  <si>
    <t>B07JDS45HT</t>
  </si>
  <si>
    <t>PNDM -2</t>
  </si>
  <si>
    <t>B07JDXDYMS</t>
  </si>
  <si>
    <t>PNDM -8</t>
  </si>
  <si>
    <t>B07JDX95WX</t>
  </si>
  <si>
    <t>PNDM -14</t>
  </si>
  <si>
    <t>B07JDMSTPT</t>
  </si>
  <si>
    <t>PNDM -17</t>
  </si>
  <si>
    <t>B07JDMT13F</t>
  </si>
  <si>
    <t>S-300</t>
  </si>
  <si>
    <t>B07JVW522Z</t>
  </si>
  <si>
    <t>PNDM -11</t>
  </si>
  <si>
    <t>PNDM -16</t>
  </si>
  <si>
    <t>B07JWJHBB9</t>
  </si>
  <si>
    <t>B07JGYNKHN</t>
  </si>
  <si>
    <t>PNDM -10</t>
  </si>
  <si>
    <t>B07JGYJJ23</t>
  </si>
  <si>
    <t>PNDM -3</t>
  </si>
  <si>
    <t>B07JWGL5SV</t>
  </si>
  <si>
    <t>PNDM -12</t>
  </si>
  <si>
    <t>B07JN4CYFK</t>
  </si>
  <si>
    <t>PNDM -18</t>
  </si>
  <si>
    <t>PNDM -19</t>
  </si>
  <si>
    <t>B07JH7P93L</t>
  </si>
  <si>
    <t>PNDM -21</t>
  </si>
  <si>
    <t>B07JMLG6HQ</t>
  </si>
  <si>
    <t>B07JVYKQ3W</t>
  </si>
  <si>
    <t>PNDM -23</t>
  </si>
  <si>
    <t>B07JMZLW95</t>
  </si>
  <si>
    <t>PNDM -6</t>
  </si>
  <si>
    <t>PNDM -1</t>
  </si>
  <si>
    <t>PNDM -13</t>
  </si>
  <si>
    <t>B07JLN981H</t>
  </si>
  <si>
    <t>PNDM -7</t>
  </si>
  <si>
    <t>B07JMLDHLG</t>
  </si>
  <si>
    <t>PNDM -9</t>
  </si>
  <si>
    <t>PNDM -15</t>
  </si>
  <si>
    <t>B07JN1KNTB</t>
  </si>
  <si>
    <t>PNDM -5</t>
  </si>
  <si>
    <t>B07JHRNY2Q</t>
  </si>
  <si>
    <t>PNDM -4</t>
  </si>
  <si>
    <t>B07JMLDB1B</t>
  </si>
  <si>
    <t>TYNOR FS -1</t>
  </si>
  <si>
    <t>B07JQD4JY9</t>
  </si>
  <si>
    <t>FLG -3</t>
  </si>
  <si>
    <t>B07JHG8JG2</t>
  </si>
  <si>
    <t>B07JLN57SB</t>
  </si>
  <si>
    <t>WICKS -1</t>
  </si>
  <si>
    <t>B07JN1DNDT</t>
  </si>
  <si>
    <t>SOAPSTONE -15</t>
  </si>
  <si>
    <t>B07JMLGDFP</t>
  </si>
  <si>
    <t>WOODEN -71</t>
  </si>
  <si>
    <t>B07JGYD3WD</t>
  </si>
  <si>
    <t>WOODEN -69</t>
  </si>
  <si>
    <t>B07JG8SGZY</t>
  </si>
  <si>
    <t>CTN FBRC-1</t>
  </si>
  <si>
    <t>KAFTAN -1</t>
  </si>
  <si>
    <t>B07JHGDTG8</t>
  </si>
  <si>
    <t>KAFTAN -2</t>
  </si>
  <si>
    <t>KAFTAN -3</t>
  </si>
  <si>
    <t>KAFTAN -4</t>
  </si>
  <si>
    <t>B07JCR8XMK</t>
  </si>
  <si>
    <t>SCRUBER-1</t>
  </si>
  <si>
    <t>B07JBZY7ZQ</t>
  </si>
  <si>
    <t>REI-TRE-0006</t>
  </si>
  <si>
    <t>B07JVXJ78R</t>
  </si>
  <si>
    <t>B07JCP7NZP</t>
  </si>
  <si>
    <t>PNDM - 18</t>
  </si>
  <si>
    <t>B07JFBKFVY</t>
  </si>
  <si>
    <t>TRE -0016</t>
  </si>
  <si>
    <t>B07JF7DWB6</t>
  </si>
  <si>
    <t>REI-TRE-0002</t>
  </si>
  <si>
    <t>B07JFBJFKV</t>
  </si>
  <si>
    <t>PNDM - 21</t>
  </si>
  <si>
    <t>B07JCPB334</t>
  </si>
  <si>
    <t>B07JVTW5PZ</t>
  </si>
  <si>
    <t>B07JFBHLQ8</t>
  </si>
  <si>
    <t>B07JFBKD79</t>
  </si>
  <si>
    <t>B07JF7DX2R</t>
  </si>
  <si>
    <t>B07JVZWGFQ</t>
  </si>
  <si>
    <t>B07JDNGY7H</t>
  </si>
  <si>
    <t>B07JDCQJBZ</t>
  </si>
  <si>
    <t>B07JDCGVKT</t>
  </si>
  <si>
    <t>B07JD1N316</t>
  </si>
  <si>
    <t>B07JDST65M</t>
  </si>
  <si>
    <t>SSF -2</t>
  </si>
  <si>
    <t>B07JDXDTN4</t>
  </si>
  <si>
    <t>SSF -4</t>
  </si>
  <si>
    <t>B07JDDJG53</t>
  </si>
  <si>
    <t>SSF -6</t>
  </si>
  <si>
    <t>B07JLK8M6Y</t>
  </si>
  <si>
    <t>SSF -3</t>
  </si>
  <si>
    <t>B07JR3Z27V</t>
  </si>
  <si>
    <t>SSF -5</t>
  </si>
  <si>
    <t>B07JBZRMFF</t>
  </si>
  <si>
    <t>B07JBZRPC7</t>
  </si>
  <si>
    <t>KNOBS FLAT -10</t>
  </si>
  <si>
    <t>B07JVVM6WY</t>
  </si>
  <si>
    <t>KNOBS GREY -21</t>
  </si>
  <si>
    <t>B07JVWCP3J</t>
  </si>
  <si>
    <t>KNOBS TFR -20</t>
  </si>
  <si>
    <t>B07JVXKGX8</t>
  </si>
  <si>
    <t>KNOBS TFR -23</t>
  </si>
  <si>
    <t>B07JFBK3Y2</t>
  </si>
  <si>
    <t>KNOBS TFR -25</t>
  </si>
  <si>
    <t>B07JFBJXG3</t>
  </si>
  <si>
    <t>KNOBS TFR -22</t>
  </si>
  <si>
    <t>B07JF7GPJH</t>
  </si>
  <si>
    <t>KNOBS TFR -21</t>
  </si>
  <si>
    <t>B07JCP8NGD</t>
  </si>
  <si>
    <t>B07JF7GYW1</t>
  </si>
  <si>
    <t>B07JVZ435J</t>
  </si>
  <si>
    <t>TABLET -1</t>
  </si>
  <si>
    <t>B07JVYZY9Y</t>
  </si>
  <si>
    <t>POLYFILL -1</t>
  </si>
  <si>
    <t>B07JCPBZVT</t>
  </si>
  <si>
    <t>SHILA TAB -1</t>
  </si>
  <si>
    <t>B07JDSSPN1</t>
  </si>
  <si>
    <t>SHILA TAB -2</t>
  </si>
  <si>
    <t>B07JDCGRFY</t>
  </si>
  <si>
    <t>B07JDS41BW</t>
  </si>
  <si>
    <t>B07JDXDMYH</t>
  </si>
  <si>
    <t>B07JDMT2VZ</t>
  </si>
  <si>
    <t>CTN FABRC -1</t>
  </si>
  <si>
    <t>B07JDMSVWF</t>
  </si>
  <si>
    <t>BUCK -1</t>
  </si>
  <si>
    <t>B07JDMT76F</t>
  </si>
  <si>
    <t>BUCK -2</t>
  </si>
  <si>
    <t>B07JBZMQ4L</t>
  </si>
  <si>
    <t>POLYBAG -1</t>
  </si>
  <si>
    <t>B07JVJXV15</t>
  </si>
  <si>
    <t>B07JF7G9PN</t>
  </si>
  <si>
    <t>B07JVPWMQ4</t>
  </si>
  <si>
    <t>B07JF7GHS4</t>
  </si>
  <si>
    <t>JAGERY -1</t>
  </si>
  <si>
    <t>B07JFBK453</t>
  </si>
  <si>
    <t>SHILA TAB -3</t>
  </si>
  <si>
    <t>B07JF7GV82</t>
  </si>
  <si>
    <t>B07JFBHNF6</t>
  </si>
  <si>
    <t>B07JD1MXX1</t>
  </si>
  <si>
    <t>B07JDNRLPV</t>
  </si>
  <si>
    <t>B07JDCHFCC</t>
  </si>
  <si>
    <t>B07JDNQZ23</t>
  </si>
  <si>
    <t>B07JDCGPL7</t>
  </si>
  <si>
    <t>B07JDS3Z94</t>
  </si>
  <si>
    <t>B07JDX99R7</t>
  </si>
  <si>
    <t>B07JDX9J9G</t>
  </si>
  <si>
    <t>B07JDX9J6Y</t>
  </si>
  <si>
    <t>B07JDXDYG8</t>
  </si>
  <si>
    <t>B07JDDJN2X</t>
  </si>
  <si>
    <t>B07JF7GZJX</t>
  </si>
  <si>
    <t>PNDM - 20</t>
  </si>
  <si>
    <t>PNDM - 22</t>
  </si>
  <si>
    <t>B07VD8X7MQ</t>
  </si>
  <si>
    <t>B07VD91NLL</t>
  </si>
  <si>
    <t>B07VF8755V</t>
  </si>
  <si>
    <t>B07S754KK8</t>
  </si>
  <si>
    <t>B07V9N73DY</t>
  </si>
  <si>
    <t>B07VD8BKVG</t>
  </si>
  <si>
    <t>B07VC967L5</t>
  </si>
  <si>
    <t>B09VDDQGPL</t>
  </si>
  <si>
    <t>B09VDDY4N3</t>
  </si>
  <si>
    <t>B09VDF7K6V</t>
  </si>
  <si>
    <t>PYR -11</t>
  </si>
  <si>
    <t>B09VDFYV6C</t>
  </si>
  <si>
    <t>PYR -12</t>
  </si>
  <si>
    <t>B09VDQ769N</t>
  </si>
  <si>
    <t>B09VDDGS1M</t>
  </si>
  <si>
    <t>B09VDFWSR4</t>
  </si>
  <si>
    <t>B07WZG9Q38</t>
  </si>
  <si>
    <t>B09VDNQ5QM</t>
  </si>
  <si>
    <t>B07Y35X9XV</t>
  </si>
  <si>
    <t>B08G1HGPFY</t>
  </si>
  <si>
    <t>B09VDF7CY1</t>
  </si>
  <si>
    <t>B09VGGS31F</t>
  </si>
  <si>
    <t>B09VGKY98L</t>
  </si>
  <si>
    <t>B09VGG446Y</t>
  </si>
  <si>
    <t>B07X2KSDTL</t>
  </si>
  <si>
    <t>B09VGGGNGY</t>
  </si>
  <si>
    <t>B09VGFYV22</t>
  </si>
  <si>
    <t>B09VGGQ2HR</t>
  </si>
  <si>
    <t>B09VGFKCHQ</t>
  </si>
  <si>
    <t>PYR -24</t>
  </si>
  <si>
    <t>B09VDPWBGR</t>
  </si>
  <si>
    <t>PYR -25</t>
  </si>
  <si>
    <t>B09VGGCRLP</t>
  </si>
  <si>
    <t>PYR -27</t>
  </si>
  <si>
    <t>B09VGGPDYT</t>
  </si>
  <si>
    <t>PYR -28</t>
  </si>
  <si>
    <t>B09VGFSNGR</t>
  </si>
  <si>
    <t>PYR -29</t>
  </si>
  <si>
    <t>B09VDP4PP8</t>
  </si>
  <si>
    <t>B09VDPJG29</t>
  </si>
  <si>
    <t>PYR -30</t>
  </si>
  <si>
    <t>B09VGHVB9L</t>
  </si>
  <si>
    <t>PYR -31</t>
  </si>
  <si>
    <t>B09VGJ8Q2J</t>
  </si>
  <si>
    <t>PYR -32</t>
  </si>
  <si>
    <t>B09VGFXGL5</t>
  </si>
  <si>
    <t>PYR -33</t>
  </si>
  <si>
    <t>B09VDPJHT2</t>
  </si>
  <si>
    <t>PYR -34</t>
  </si>
  <si>
    <t>B09VDQ3M4C</t>
  </si>
  <si>
    <t>PYR -35</t>
  </si>
  <si>
    <t>B09VGG7VJW</t>
  </si>
  <si>
    <t>B08G1GZR73</t>
  </si>
  <si>
    <t>B09VDQ6TCZ</t>
  </si>
  <si>
    <t>PYR -37</t>
  </si>
  <si>
    <t>B09VDPG4S2</t>
  </si>
  <si>
    <t>PYR -39</t>
  </si>
  <si>
    <t>B09VGFMP78</t>
  </si>
  <si>
    <t>B09VGG18QX</t>
  </si>
  <si>
    <t>PYR -41</t>
  </si>
  <si>
    <t>B09VDFPLGT</t>
  </si>
  <si>
    <t>PYR -42</t>
  </si>
  <si>
    <t>B09VGG1BZN</t>
  </si>
  <si>
    <t>PYR -43</t>
  </si>
  <si>
    <t>B09VGG8HC6</t>
  </si>
  <si>
    <t>PYR -44</t>
  </si>
  <si>
    <t>B09VDP7745</t>
  </si>
  <si>
    <t>PYR -45</t>
  </si>
  <si>
    <t>B09VDQ41QK</t>
  </si>
  <si>
    <t>PYR -46</t>
  </si>
  <si>
    <t>B09VDPHPVF</t>
  </si>
  <si>
    <t>B09VGG4RW7</t>
  </si>
  <si>
    <t>PYR -49</t>
  </si>
  <si>
    <t>B09VGG6L56</t>
  </si>
  <si>
    <t>B09VDNBMPC</t>
  </si>
  <si>
    <t>PYR -50</t>
  </si>
  <si>
    <t>B09VDPM9QQ</t>
  </si>
  <si>
    <t>PYR -51</t>
  </si>
  <si>
    <t>B09VDNVGN1</t>
  </si>
  <si>
    <t>PYR -52</t>
  </si>
  <si>
    <t>B09VDPDYNJ</t>
  </si>
  <si>
    <t>PYR -53</t>
  </si>
  <si>
    <t>B09VDG535C</t>
  </si>
  <si>
    <t>PYR -54</t>
  </si>
  <si>
    <t>B09VDNY33R</t>
  </si>
  <si>
    <t>PYR -55</t>
  </si>
  <si>
    <t>B09VDQ13PX</t>
  </si>
  <si>
    <t>PYR -56</t>
  </si>
  <si>
    <t>B09VDNX4TC</t>
  </si>
  <si>
    <t>PYR -57</t>
  </si>
  <si>
    <t>B09VDGCJ3B</t>
  </si>
  <si>
    <t>PYR -58</t>
  </si>
  <si>
    <t>B09VDDMHBY</t>
  </si>
  <si>
    <t>PYR -59</t>
  </si>
  <si>
    <t>B09VDFDG9Q</t>
  </si>
  <si>
    <t>PYR -60</t>
  </si>
  <si>
    <t>B09VDDB4GC</t>
  </si>
  <si>
    <t>PYR -61</t>
  </si>
  <si>
    <t>B09VDG59HG</t>
  </si>
  <si>
    <t>PYR -62</t>
  </si>
  <si>
    <t>B09VDFYXXC</t>
  </si>
  <si>
    <t>PYR -63</t>
  </si>
  <si>
    <t>B09VDFHW1P</t>
  </si>
  <si>
    <t>PYR -64</t>
  </si>
  <si>
    <t>B09VDCXCWF</t>
  </si>
  <si>
    <t>PYR -65</t>
  </si>
  <si>
    <t>B09VDGSDL1</t>
  </si>
  <si>
    <t>PYR -66</t>
  </si>
  <si>
    <t>B09VDFK5Q4</t>
  </si>
  <si>
    <t>PYR -67</t>
  </si>
  <si>
    <t>B09VGH3554</t>
  </si>
  <si>
    <t>B09VGH4Z9Z</t>
  </si>
  <si>
    <t>B08G171PDK</t>
  </si>
  <si>
    <t>B07X1KZW5Z</t>
  </si>
  <si>
    <t>B09VDDD1KC</t>
  </si>
  <si>
    <t>PYR-21</t>
  </si>
  <si>
    <t>B083ZTQY55</t>
  </si>
  <si>
    <t>REI-TRE-0010</t>
  </si>
  <si>
    <t>B09DD3Y55V</t>
  </si>
  <si>
    <t>REK-BAL-0009</t>
  </si>
  <si>
    <t>B07WXRPNK6</t>
  </si>
  <si>
    <t>Rose Quartz Pendulums</t>
  </si>
  <si>
    <t>B07XCM2575</t>
  </si>
  <si>
    <t>S-120</t>
  </si>
  <si>
    <t>B0034JJTBU</t>
  </si>
  <si>
    <t>B07KN31YXN</t>
  </si>
  <si>
    <t>B07KN25BSQ</t>
  </si>
  <si>
    <t>B07KN3BGBD</t>
  </si>
  <si>
    <t>B07KN3L1WW</t>
  </si>
  <si>
    <t>B07KN38FYB</t>
  </si>
  <si>
    <t>B00UAGY63G</t>
  </si>
  <si>
    <t>B01IVO2CSO</t>
  </si>
  <si>
    <t>B0034J7Q9M</t>
  </si>
  <si>
    <t>B0031A99A8</t>
  </si>
  <si>
    <t>B07JZ3M5XC</t>
  </si>
  <si>
    <t>B07K26WTW8</t>
  </si>
  <si>
    <t>B07K26NB5C</t>
  </si>
  <si>
    <t>B07K35C8KL</t>
  </si>
  <si>
    <t>B07K355QWB</t>
  </si>
  <si>
    <t>B0843D6HKT</t>
  </si>
  <si>
    <t>SCRUBBER -2</t>
  </si>
  <si>
    <t>B0B7B9J7NX</t>
  </si>
  <si>
    <t>B0B7F4137V</t>
  </si>
  <si>
    <t>B084RGFGN1</t>
  </si>
  <si>
    <t>B084R7LG33</t>
  </si>
  <si>
    <t>B06ZYP2STH</t>
  </si>
  <si>
    <t>B07GJGBNL4</t>
  </si>
  <si>
    <t>B09PH9V3PJ</t>
  </si>
  <si>
    <t>B07J1P9ZNB</t>
  </si>
  <si>
    <t>B09PH9LT88</t>
  </si>
  <si>
    <t>B0863LNLLP</t>
  </si>
  <si>
    <t>B09PHR8CH2</t>
  </si>
  <si>
    <t>B09QHZ7P1Y</t>
  </si>
  <si>
    <t>SOAPSTONE -1A</t>
  </si>
  <si>
    <t>B09PHQJZMJ</t>
  </si>
  <si>
    <t>B00R2EHHP8</t>
  </si>
  <si>
    <t>B00ISWB1VO</t>
  </si>
  <si>
    <t>B00ISWCMG2</t>
  </si>
  <si>
    <t>B08R9WMRZQ</t>
  </si>
  <si>
    <t>B08R9T6B7K</t>
  </si>
  <si>
    <t>SOAPSTONE -6A</t>
  </si>
  <si>
    <t>B00M841TVA</t>
  </si>
  <si>
    <t>B08R9WG394</t>
  </si>
  <si>
    <t>B00ISW5QDI</t>
  </si>
  <si>
    <t>B08R9WBLMF</t>
  </si>
  <si>
    <t>SOASPSTONE -14</t>
  </si>
  <si>
    <t>B09PH8YN7X</t>
  </si>
  <si>
    <t>B09GMBVPHQ</t>
  </si>
  <si>
    <t>B07ZTL6S2C</t>
  </si>
  <si>
    <t>B00CJDUXTY</t>
  </si>
  <si>
    <t>B09PH7VBS2</t>
  </si>
  <si>
    <t>B07HF85XH7</t>
  </si>
  <si>
    <t>B09PH86ZSJ</t>
  </si>
  <si>
    <t>B09PH6RZ49</t>
  </si>
  <si>
    <t>B09PH7HYHQ</t>
  </si>
  <si>
    <t>B09PH6FZ6V</t>
  </si>
  <si>
    <t>B09PH76KPK</t>
  </si>
  <si>
    <t>B07VG1R2X6</t>
  </si>
  <si>
    <t>STK 0092 (L)</t>
  </si>
  <si>
    <t>B083ZVBTGF</t>
  </si>
  <si>
    <t>B083ZTT178</t>
  </si>
  <si>
    <t>B083ZTXQ68</t>
  </si>
  <si>
    <t>B083ZTCBNJ</t>
  </si>
  <si>
    <t>B083ZTTGZR</t>
  </si>
  <si>
    <t>B083ZT9D7C</t>
  </si>
  <si>
    <t>B083ZSQ4KV</t>
  </si>
  <si>
    <t>B083ZT8WRJ</t>
  </si>
  <si>
    <t>B083ZT3HP5</t>
  </si>
  <si>
    <t>B083ZTDCST</t>
  </si>
  <si>
    <t>B083ZTTLNZ</t>
  </si>
  <si>
    <t>B083ZTMZGZ</t>
  </si>
  <si>
    <t>B083ZV1CHS</t>
  </si>
  <si>
    <t>B096LW6JCH</t>
  </si>
  <si>
    <t>B083ZTPZJV</t>
  </si>
  <si>
    <t>B08DRDM1XF</t>
  </si>
  <si>
    <t>B07YXXV91Y</t>
  </si>
  <si>
    <t>TYNOR -1</t>
  </si>
  <si>
    <t>B07VQ87S6M</t>
  </si>
  <si>
    <t>VLVT POUCH -1</t>
  </si>
  <si>
    <t>B07VRD2WVH</t>
  </si>
  <si>
    <t>VLVT POUCH -2</t>
  </si>
  <si>
    <t>B07VSGN8QM</t>
  </si>
  <si>
    <t>VLVT POUCH -3</t>
  </si>
  <si>
    <t>B07VRD39N1</t>
  </si>
  <si>
    <t>B007RX1OX0</t>
  </si>
  <si>
    <t>WODOEN -53</t>
  </si>
  <si>
    <t>B07WSW82ZL</t>
  </si>
  <si>
    <t>B00UCZEQQW</t>
  </si>
  <si>
    <t>B07WSWB4SF</t>
  </si>
  <si>
    <t>B09QJ2P6N2</t>
  </si>
  <si>
    <t>B07WVX8YBK</t>
  </si>
  <si>
    <t>B09PH88M1Z</t>
  </si>
  <si>
    <t>B008H2PL66</t>
  </si>
  <si>
    <t>B08RJFSLMF</t>
  </si>
  <si>
    <t>B00PRSUDQQ</t>
  </si>
  <si>
    <t>B08RC3S93S</t>
  </si>
  <si>
    <t>B09Y5WG3D7</t>
  </si>
  <si>
    <t>B07NLL12G9</t>
  </si>
  <si>
    <t>B09PHR5HP9</t>
  </si>
  <si>
    <t>B009GDFFV6</t>
  </si>
  <si>
    <t>B07WTVXHNY</t>
  </si>
  <si>
    <t>B01D4TPYWC</t>
  </si>
  <si>
    <t>B09PGC1WXM</t>
  </si>
  <si>
    <t>B01D4TRZ0Q</t>
  </si>
  <si>
    <t>B01D4TQ9C6</t>
  </si>
  <si>
    <t>B08RC45Y1K</t>
  </si>
  <si>
    <t>WOODEN -29</t>
  </si>
  <si>
    <t>B01H6P1YTM</t>
  </si>
  <si>
    <t>B07WVZK94Z</t>
  </si>
  <si>
    <t>B08RC543YD</t>
  </si>
  <si>
    <t>B00LQDH55I</t>
  </si>
  <si>
    <t>B094Y1XTVM</t>
  </si>
  <si>
    <t>B01D4TRDYE</t>
  </si>
  <si>
    <t>B01D4TQ80E</t>
  </si>
  <si>
    <t>B09PGBKD3Z</t>
  </si>
  <si>
    <t>B09PGCBLQQ</t>
  </si>
  <si>
    <t>B01D4TRPPQ</t>
  </si>
  <si>
    <t>B01D4TPVOS</t>
  </si>
  <si>
    <t>B09PGD7H8W</t>
  </si>
  <si>
    <t>B09PGCPFB9</t>
  </si>
  <si>
    <t>B07WWYT7Z3</t>
  </si>
  <si>
    <t>B09PGDFS13</t>
  </si>
  <si>
    <t>B01D4TQJH6</t>
  </si>
  <si>
    <t>B01D4TQHOQ</t>
  </si>
  <si>
    <t>B09PGBTSCS</t>
  </si>
  <si>
    <t>B00PXZES14</t>
  </si>
  <si>
    <t>B09XXCSBN5</t>
  </si>
  <si>
    <t>B0084Z94IM</t>
  </si>
  <si>
    <t>B007RWLBFC</t>
  </si>
  <si>
    <t>B09QJ2LVM8</t>
  </si>
  <si>
    <t>B00ESE9QOU</t>
  </si>
  <si>
    <t>B00H5HOWG4</t>
  </si>
  <si>
    <t>WOODEN -54</t>
  </si>
  <si>
    <t>B09XXQHDRL</t>
  </si>
  <si>
    <t>B09XXQ4ZG3</t>
  </si>
  <si>
    <t>B00QBXRGY8</t>
  </si>
  <si>
    <t>B00MIJO9F8</t>
  </si>
  <si>
    <t>WOODEN -58</t>
  </si>
  <si>
    <t>B00AFT5XRG</t>
  </si>
  <si>
    <t>B09PHQYJJP</t>
  </si>
  <si>
    <t>B09QHZPY5H</t>
  </si>
  <si>
    <t>B09QHZ471Q</t>
  </si>
  <si>
    <t>B09QHZ1H34</t>
  </si>
  <si>
    <t>B09YMCT61X</t>
  </si>
  <si>
    <t>B09XY1NL7C</t>
  </si>
  <si>
    <t>B00QGOYBW2</t>
  </si>
  <si>
    <t>B09XX72FS5</t>
  </si>
  <si>
    <t>B09XXBHCSY</t>
  </si>
  <si>
    <t>B09P5CCV15</t>
  </si>
  <si>
    <t>B09XXBQ9M8</t>
  </si>
  <si>
    <t>B09QJ1QWV3</t>
  </si>
  <si>
    <t>B007RX1OB2</t>
  </si>
  <si>
    <t>WOODEN -78</t>
  </si>
  <si>
    <t>B09Y1L31YV</t>
  </si>
  <si>
    <t>WOODEN -79</t>
  </si>
  <si>
    <t>B07WX1SC7D</t>
  </si>
  <si>
    <t>B00N8Y91KK</t>
  </si>
  <si>
    <t>Z</t>
  </si>
  <si>
    <t>B09Z8P36MX</t>
  </si>
  <si>
    <t>B09Z8CK5BL</t>
  </si>
  <si>
    <t>B09P41M252</t>
  </si>
  <si>
    <t>B00W1NHBT2</t>
  </si>
  <si>
    <t>B00JHAOV2W</t>
  </si>
  <si>
    <t>B01AJJXADU</t>
  </si>
  <si>
    <t>B00WU252ZO</t>
  </si>
  <si>
    <t>B08SM1YG9N</t>
  </si>
  <si>
    <t>B00HR2BBRA</t>
  </si>
  <si>
    <t>B00BSNARAG</t>
  </si>
  <si>
    <t>B00N8X6V7W</t>
  </si>
  <si>
    <t>B00A2HSAHG</t>
  </si>
  <si>
    <t>B00OCZLJL8</t>
  </si>
  <si>
    <t>B006ILDLEW</t>
  </si>
  <si>
    <t>B007RX1ON0</t>
  </si>
  <si>
    <t>B007HI02GA</t>
  </si>
  <si>
    <t>B08DLZTPLG</t>
  </si>
  <si>
    <t>B08DM1F3H7</t>
  </si>
  <si>
    <t>B08DM1P9T8</t>
  </si>
  <si>
    <t>B08DLZXQK9</t>
  </si>
  <si>
    <t>B08DM2PW1Y</t>
  </si>
  <si>
    <t>B07SW4N18M</t>
  </si>
  <si>
    <t>B07SV3KJ95</t>
  </si>
  <si>
    <t>B07SW64FL6</t>
  </si>
  <si>
    <t>B07SV3HVZ5</t>
  </si>
  <si>
    <t>B07SJTDNN5</t>
  </si>
  <si>
    <t>B07SL2FF1V</t>
  </si>
  <si>
    <t>B07SLZQMNJ</t>
  </si>
  <si>
    <t>B07SNSWT35</t>
  </si>
  <si>
    <t>B07SNBQQ17</t>
  </si>
  <si>
    <t>B07SPB43SB</t>
  </si>
  <si>
    <t>B07SL2F124</t>
  </si>
  <si>
    <t>B07SPRS1BM</t>
  </si>
  <si>
    <t>B07SN4XM2R</t>
  </si>
  <si>
    <t>B07SN4MZSW</t>
  </si>
  <si>
    <t>B07SPS163D</t>
  </si>
  <si>
    <t>B07SPC21MM</t>
  </si>
  <si>
    <t>B07SLZHRKR</t>
  </si>
  <si>
    <t>B07SN4LX8R</t>
  </si>
  <si>
    <t>B07SPSKVLF</t>
  </si>
  <si>
    <t>B07SPB1VS1</t>
  </si>
  <si>
    <t>B08CVPRN3N</t>
  </si>
  <si>
    <t>B07S83Y598</t>
  </si>
  <si>
    <t>B07SVN3VMD</t>
  </si>
  <si>
    <t>B07SRM6NJZ</t>
  </si>
  <si>
    <t>B07STLLR22</t>
  </si>
  <si>
    <t>B07SVNWQQH</t>
  </si>
  <si>
    <t>B07SV3YFNX</t>
  </si>
  <si>
    <t>B07SX8F48Y</t>
  </si>
  <si>
    <t>B07SW6W3HT</t>
  </si>
  <si>
    <t>B07SV3YCDB</t>
  </si>
  <si>
    <t>B07T12RGRK</t>
  </si>
  <si>
    <t>B07SYJKJTM</t>
  </si>
  <si>
    <t>B07T49QQFR</t>
  </si>
  <si>
    <t>B07SYY9MFM</t>
  </si>
  <si>
    <t>B07SYJN3LD</t>
  </si>
  <si>
    <t>B07SYJRM3R</t>
  </si>
  <si>
    <t>B07SYJK7JF</t>
  </si>
  <si>
    <t>B07SW4V271</t>
  </si>
  <si>
    <t>B07SV3B8KW</t>
  </si>
  <si>
    <t>B07ST18JLF</t>
  </si>
  <si>
    <t>B07SV2GNSV</t>
  </si>
  <si>
    <t>B07STMC71Q</t>
  </si>
  <si>
    <t>B07SRM41XY</t>
  </si>
  <si>
    <t>B07SVNPY65</t>
  </si>
  <si>
    <t>B07SVNZ1K1</t>
  </si>
  <si>
    <t>B07SSZ5L2F</t>
  </si>
  <si>
    <t>B07SV2TBQV</t>
  </si>
  <si>
    <t>B07SSZCCPJ</t>
  </si>
  <si>
    <t>B07SSYPNFD</t>
  </si>
  <si>
    <t>B07SRM61LL</t>
  </si>
  <si>
    <t>B07SVQH417</t>
  </si>
  <si>
    <t>B07SVNH6BL</t>
  </si>
  <si>
    <t>B07SRM5VFK</t>
  </si>
  <si>
    <t>B07SX6G61T</t>
  </si>
  <si>
    <t>B07SSX74GL</t>
  </si>
  <si>
    <t>B07SY785DW</t>
  </si>
  <si>
    <t>B07SRWTLLV</t>
  </si>
  <si>
    <t>B07SL5FRD7</t>
  </si>
  <si>
    <t>B07SPCV1DM</t>
  </si>
  <si>
    <t>B07SK1WQST</t>
  </si>
  <si>
    <t>B07SPC2V2R</t>
  </si>
  <si>
    <t>B07SQJM5WT</t>
  </si>
  <si>
    <t>B07SVNN82N</t>
  </si>
  <si>
    <t>B07STNNVS3</t>
  </si>
  <si>
    <t>B07SQJLR9H</t>
  </si>
  <si>
    <t>B07STNQST7</t>
  </si>
  <si>
    <t>B07SSLW2C8</t>
  </si>
  <si>
    <t>B07SSLVR5S</t>
  </si>
  <si>
    <t>B07SRM37GD</t>
  </si>
  <si>
    <t>B06XBG6C6B</t>
  </si>
  <si>
    <t>B00NMEYPCU</t>
  </si>
  <si>
    <t>B00R27QYR2</t>
  </si>
  <si>
    <t>B00R2MWVO2</t>
  </si>
  <si>
    <t>B00LAVKRNI</t>
  </si>
  <si>
    <t>B00W52DYM2</t>
  </si>
  <si>
    <t>B073Q917RJ</t>
  </si>
  <si>
    <t>B01GU4N722</t>
  </si>
  <si>
    <t>B01HKD15NU</t>
  </si>
  <si>
    <t>B000JMBE8Q</t>
  </si>
  <si>
    <t>B018AT80W2</t>
  </si>
  <si>
    <t>B01BM02UMW</t>
  </si>
  <si>
    <t>B006T92BTO</t>
  </si>
  <si>
    <t>B001I4BQQE</t>
  </si>
  <si>
    <t>B01EIFXDHO</t>
  </si>
  <si>
    <t>B00DYW6KDC</t>
  </si>
  <si>
    <t>B000EWMI5O</t>
  </si>
  <si>
    <t>B07C6GJ4T4</t>
  </si>
  <si>
    <t>B01JEMX6F0</t>
  </si>
  <si>
    <t>B00TH58X3K</t>
  </si>
  <si>
    <t>B005EJOW9C</t>
  </si>
  <si>
    <t>B07V5FSQCR</t>
  </si>
  <si>
    <t>B07VJHBJ93</t>
  </si>
  <si>
    <t>B07V6DPRP3</t>
  </si>
  <si>
    <t>B07V4DJBFR</t>
  </si>
  <si>
    <t>B07V7Y9FJ4</t>
  </si>
  <si>
    <t>B07V3SJGVM</t>
  </si>
  <si>
    <t>B07V85P46Y</t>
  </si>
  <si>
    <t>B07V3W3PXP</t>
  </si>
  <si>
    <t>B07V72NKNC</t>
  </si>
  <si>
    <t>B07V2R5817</t>
  </si>
  <si>
    <t>B07V5Z2VQ5</t>
  </si>
  <si>
    <t>B07V874D14</t>
  </si>
  <si>
    <t>B07V5Z8YW8</t>
  </si>
  <si>
    <t>B07V3WYLS4</t>
  </si>
  <si>
    <t>B07V87HWBS</t>
  </si>
  <si>
    <t>B07V736GF9</t>
  </si>
  <si>
    <t>B07V86DWW3</t>
  </si>
  <si>
    <t>B07V619YFM</t>
  </si>
  <si>
    <t>B07V61DDWG</t>
  </si>
  <si>
    <t>B07V4X5Z96</t>
  </si>
  <si>
    <t>B07V4XXCDP</t>
  </si>
  <si>
    <t>B07V5Z7M7T</t>
  </si>
  <si>
    <t>B07V5ZRW2X</t>
  </si>
  <si>
    <t>B07V86N97J</t>
  </si>
  <si>
    <t>B07V86QG87</t>
  </si>
  <si>
    <t>B07V5ZMYK7</t>
  </si>
  <si>
    <t>B07V3YYV2W</t>
  </si>
  <si>
    <t>B07V4XHKBV</t>
  </si>
  <si>
    <t>B07V73N6KT</t>
  </si>
  <si>
    <t>B07V5ZGYFC</t>
  </si>
  <si>
    <t>B07V8717GF</t>
  </si>
  <si>
    <t>B07V2V3MP5</t>
  </si>
  <si>
    <t>B07V96HWS5</t>
  </si>
  <si>
    <t>B07V73SW36</t>
  </si>
  <si>
    <t>B07V3XFMPD</t>
  </si>
  <si>
    <t>B07V86S242</t>
  </si>
  <si>
    <t>B07V86BC63</t>
  </si>
  <si>
    <t>B07V3WFZXB</t>
  </si>
  <si>
    <t>B07V74DS3W</t>
  </si>
  <si>
    <t>B07V738F7K</t>
  </si>
  <si>
    <t>B07V72YQH4</t>
  </si>
  <si>
    <t>B07V4WGPX6</t>
  </si>
  <si>
    <t>B07VC4JFYR</t>
  </si>
  <si>
    <t>B07V6YRKKV</t>
  </si>
  <si>
    <t>B07V6YFH2K</t>
  </si>
  <si>
    <t>B07V2MVLLW</t>
  </si>
  <si>
    <t>B07V3RWSWV</t>
  </si>
  <si>
    <t>B07V4VVLX9</t>
  </si>
  <si>
    <t>B07V82MK8Y</t>
  </si>
  <si>
    <t>B07V5VHY4Q</t>
  </si>
  <si>
    <t>B07V3RSZ44</t>
  </si>
  <si>
    <t>B07V6Z7B19</t>
  </si>
  <si>
    <t>B07V5VXSVW</t>
  </si>
  <si>
    <t>B07V6YSWHW</t>
  </si>
  <si>
    <t>B08DX5GZBG</t>
  </si>
  <si>
    <t>B09GFV635Q</t>
  </si>
  <si>
    <t>B005Q8SHKG</t>
  </si>
  <si>
    <t>B006LXJ8VM</t>
  </si>
  <si>
    <t>B0073DCXK2</t>
  </si>
  <si>
    <t>B07VD8SJRM</t>
  </si>
  <si>
    <t>B07VD666SK</t>
  </si>
  <si>
    <t>B07VD749J8</t>
  </si>
  <si>
    <t>B07VC8PL5Y</t>
  </si>
  <si>
    <t>B07V9N5YSY</t>
  </si>
  <si>
    <t>B07V9N6SHH</t>
  </si>
  <si>
    <t>B09P64T1B4</t>
  </si>
  <si>
    <t>B01AJTXFCQ</t>
  </si>
  <si>
    <t>B075KCHQH9</t>
  </si>
  <si>
    <t>B06XCWSHZ5</t>
  </si>
  <si>
    <t>B09P57YR96</t>
  </si>
  <si>
    <t>B07VC3MWLP</t>
  </si>
  <si>
    <t>B07VC6MT37</t>
  </si>
  <si>
    <t>B001F6YAKO</t>
  </si>
  <si>
    <t>B09GM9K914</t>
  </si>
  <si>
    <t>B07VCR1BDM</t>
  </si>
  <si>
    <t>B00FOH4212</t>
  </si>
  <si>
    <t>B00LSNLFBQ</t>
  </si>
  <si>
    <t>B06XYJ7NZN</t>
  </si>
  <si>
    <t>B09P5DQYY6</t>
  </si>
  <si>
    <t>B00YX8KKIM</t>
  </si>
  <si>
    <t>B00IJ41378</t>
  </si>
  <si>
    <t>B00QBYE4LA</t>
  </si>
  <si>
    <t>B00QX3LMKU</t>
  </si>
  <si>
    <t>B007CX4UK4</t>
  </si>
  <si>
    <t>B00BSNASHS</t>
  </si>
  <si>
    <t>B007BKDGD0</t>
  </si>
  <si>
    <t>B006OL9I52</t>
  </si>
  <si>
    <t>B00FOH3ZOC</t>
  </si>
  <si>
    <t>B00D89MY04</t>
  </si>
  <si>
    <t>B009GVKBH6</t>
  </si>
  <si>
    <t>B00D89N06G</t>
  </si>
  <si>
    <t>B00D89MZCQ</t>
  </si>
  <si>
    <t>B01D4TQNWM</t>
  </si>
  <si>
    <t>B0084ZEK04</t>
  </si>
  <si>
    <t>B00WB2ATVK</t>
  </si>
  <si>
    <t>B00ESE9RCQ</t>
  </si>
  <si>
    <t>B007HI026U</t>
  </si>
  <si>
    <t>B009YQJ39K</t>
  </si>
  <si>
    <t>B09B7Q667Z</t>
  </si>
  <si>
    <t>B09P63TDQ3</t>
  </si>
  <si>
    <t>B07V6YXWR3</t>
  </si>
  <si>
    <t>B07V4SCS6T</t>
  </si>
  <si>
    <t>B07WXRPB3T</t>
  </si>
  <si>
    <t>B09PGCS6VF</t>
  </si>
  <si>
    <t>B07V5VT8MF</t>
  </si>
  <si>
    <t>B07SQJNRKY</t>
  </si>
  <si>
    <t>B07SV1S11M</t>
  </si>
  <si>
    <t>B07VF7QRZQ</t>
  </si>
  <si>
    <t>B07SHT9RMK</t>
  </si>
  <si>
    <t>B07SY7NFTL</t>
  </si>
  <si>
    <t>B09R22L5YZ</t>
  </si>
  <si>
    <t>B07V74FRW5</t>
  </si>
  <si>
    <t>B08DM21Z2G</t>
  </si>
  <si>
    <t>B09T3DTZBV</t>
  </si>
  <si>
    <t>B07SVN21KP</t>
  </si>
  <si>
    <t>B07V4W4JP7</t>
  </si>
  <si>
    <t>B09PH9DQ2C</t>
  </si>
  <si>
    <t>B07T13PGVL</t>
  </si>
  <si>
    <t>B0851KDWXK</t>
  </si>
  <si>
    <t>B09PHRWPKG</t>
  </si>
  <si>
    <t>B07SRM7582</t>
  </si>
  <si>
    <t>B07SSLSPQH</t>
  </si>
  <si>
    <t>B09Z8C4CQ1</t>
  </si>
  <si>
    <t>B07SPRJMKB</t>
  </si>
  <si>
    <t>B09FL9BQY8</t>
  </si>
  <si>
    <t>B09XX5NYVN</t>
  </si>
  <si>
    <t>B09VGGCLG7</t>
  </si>
  <si>
    <t>B09PGBVR4D</t>
  </si>
  <si>
    <t>B09TFG6972</t>
  </si>
  <si>
    <t>B09PG9JZHV</t>
  </si>
  <si>
    <t>B08DM1N3V4</t>
  </si>
  <si>
    <t>B08DM189WZ</t>
  </si>
  <si>
    <t>B09M71B554</t>
  </si>
  <si>
    <t>B07Y4XV8RL</t>
  </si>
  <si>
    <t>B07SVNXPK8</t>
  </si>
  <si>
    <t>B07WRR2M67</t>
  </si>
  <si>
    <t>B09VDGHD2M</t>
  </si>
  <si>
    <t>B07V2QTFLP</t>
  </si>
  <si>
    <t>B07V5VHRQZ</t>
  </si>
  <si>
    <t>B09PG923X5</t>
  </si>
  <si>
    <t>B09PGF8Z3M</t>
  </si>
  <si>
    <t>B09T6M33WJ</t>
  </si>
  <si>
    <t>B09PGD4H1H</t>
  </si>
  <si>
    <t>B09YHDBZRM</t>
  </si>
  <si>
    <t>B085B17W14</t>
  </si>
  <si>
    <t>B07T24GW8D</t>
  </si>
  <si>
    <t>B09PH6RKLS</t>
  </si>
  <si>
    <t>B09PGFK2J5</t>
  </si>
  <si>
    <t>B09XMC5RWX</t>
  </si>
  <si>
    <t>B07V4Z5YKH</t>
  </si>
  <si>
    <t>B07VC4VYF2</t>
  </si>
  <si>
    <t>B07SL48Y1L</t>
  </si>
  <si>
    <t>B07ST186F3</t>
  </si>
  <si>
    <t>B084MCN1CZ</t>
  </si>
  <si>
    <t>B08DM18TSZ</t>
  </si>
  <si>
    <t>B07VF8Z4J5</t>
  </si>
  <si>
    <t>B07SJT6P5X</t>
  </si>
  <si>
    <t>B07SNV6YLV</t>
  </si>
  <si>
    <t>B07SL5GV7R</t>
  </si>
  <si>
    <t>B07SW52GHJ</t>
  </si>
  <si>
    <t>B07SHTGVV8</t>
  </si>
  <si>
    <t>B07V3RWLFC</t>
  </si>
  <si>
    <t>B07V74GXMV</t>
  </si>
  <si>
    <t>B07Y22KT7X</t>
  </si>
  <si>
    <t>B09XXCZWB2</t>
  </si>
  <si>
    <t>B07V5VX7FS</t>
  </si>
  <si>
    <t>B08RC3P4Y5</t>
  </si>
  <si>
    <t>B07SV251C7</t>
  </si>
  <si>
    <t>B08DM1TKX8</t>
  </si>
  <si>
    <t>B09VDPWPX6</t>
  </si>
  <si>
    <t>B09XXP7MWR</t>
  </si>
  <si>
    <t>B08RC3QYTD</t>
  </si>
  <si>
    <t>B07N63R4W1</t>
  </si>
  <si>
    <t>B07PG91X3X</t>
  </si>
  <si>
    <t>B07JM66BXM</t>
  </si>
  <si>
    <t>B07LBT58RW</t>
  </si>
  <si>
    <t>B07LBS7NST</t>
  </si>
  <si>
    <t>B07LBTQ1P8</t>
  </si>
  <si>
    <t>B07LBTSRHQ</t>
  </si>
  <si>
    <t>B07LBS5WWS</t>
  </si>
  <si>
    <t>B07LBTYX6M</t>
  </si>
  <si>
    <t>B07LBT5FLW</t>
  </si>
  <si>
    <t>B07LBTTYFK</t>
  </si>
  <si>
    <t>B07LBTHP8S</t>
  </si>
  <si>
    <t>B07LBT8J3F</t>
  </si>
  <si>
    <t>B07LBT5F2L</t>
  </si>
  <si>
    <t>B07LBTMC7F</t>
  </si>
  <si>
    <t>B07LBTHMVX</t>
  </si>
  <si>
    <t>B07LBTRTMH</t>
  </si>
  <si>
    <t>B07LBVBCH4</t>
  </si>
  <si>
    <t>B07LBSS49V</t>
  </si>
  <si>
    <t>B07LBSZMM4</t>
  </si>
  <si>
    <t>B09S3RGFFK</t>
  </si>
  <si>
    <t>B09S3S52CT</t>
  </si>
  <si>
    <t>B07MLVV952</t>
  </si>
  <si>
    <t>B07MZ5JQXM</t>
  </si>
  <si>
    <t>B07N6CRZ3L</t>
  </si>
  <si>
    <t>B07N6K6T1Q</t>
  </si>
  <si>
    <t>B07N6K6D7R</t>
  </si>
  <si>
    <t>B07PCP3P53</t>
  </si>
  <si>
    <t>B07PCQ25FK</t>
  </si>
  <si>
    <t>B07PCMXLZG</t>
  </si>
  <si>
    <t>B07PCNPJZQ</t>
  </si>
  <si>
    <t>B07P8KZTQH</t>
  </si>
  <si>
    <t>B07PCN58VT</t>
  </si>
  <si>
    <t>B07PCL33KZ</t>
  </si>
  <si>
    <t>B07PCM4N1N</t>
  </si>
  <si>
    <t>B07PCQX38W</t>
  </si>
  <si>
    <t>B07P8L1QL6</t>
  </si>
  <si>
    <t>B07PCQ2ZLK</t>
  </si>
  <si>
    <t>B07PCNHFQF</t>
  </si>
  <si>
    <t>B07PCNL6P6</t>
  </si>
  <si>
    <t>B07PCM3WG2</t>
  </si>
  <si>
    <t>B07P8KYQL7</t>
  </si>
  <si>
    <t>B07P8KZL3Z</t>
  </si>
  <si>
    <t>B07P8L28K8</t>
  </si>
  <si>
    <t>B07P7FQXCH</t>
  </si>
  <si>
    <t>B07PBTZ6BS</t>
  </si>
  <si>
    <t>B07PCNN71K</t>
  </si>
  <si>
    <t>B07P9PKNG3</t>
  </si>
  <si>
    <t>B07P9PJ72T</t>
  </si>
  <si>
    <t>B07PCMNJQ2</t>
  </si>
  <si>
    <t>B07PBTYP1L</t>
  </si>
  <si>
    <t>B07P9PKR2B</t>
  </si>
  <si>
    <t>B07P7FQG3V</t>
  </si>
  <si>
    <t>B07PCPZKCG</t>
  </si>
  <si>
    <t>B07PCPLC4M</t>
  </si>
  <si>
    <t>B07PCQV5GF</t>
  </si>
  <si>
    <t>B07PCN8MFD</t>
  </si>
  <si>
    <t>B07PCLZPTS</t>
  </si>
  <si>
    <t>B07PCQ47CK</t>
  </si>
  <si>
    <t>B07P7FQVZH</t>
  </si>
  <si>
    <t>B07PCQ2P96</t>
  </si>
  <si>
    <t>B07PCM7KR9</t>
  </si>
  <si>
    <t>B07PBTZ1W1</t>
  </si>
  <si>
    <t>B07P7FQTRJ</t>
  </si>
  <si>
    <t>B07P9PJLD9</t>
  </si>
  <si>
    <t>B07P9PKN8M</t>
  </si>
  <si>
    <t>B07P9PKR9J</t>
  </si>
  <si>
    <t>B07PCLN23S</t>
  </si>
  <si>
    <t>B07P7FQJHB</t>
  </si>
  <si>
    <t>B07P9PJG8F</t>
  </si>
  <si>
    <t>B07P7FQKGP</t>
  </si>
  <si>
    <t>B07PCLQ6L3</t>
  </si>
  <si>
    <t>B07PBTZTPQ</t>
  </si>
  <si>
    <t>B07N6H7WZL</t>
  </si>
  <si>
    <t>B07PCNPJZN</t>
  </si>
  <si>
    <t>B07PCNZ4N5</t>
  </si>
  <si>
    <t>B07P9PK9QV</t>
  </si>
  <si>
    <t>B07PCQ892S</t>
  </si>
  <si>
    <t>B07PCP46JP</t>
  </si>
  <si>
    <t>B07PBQWW3Q</t>
  </si>
  <si>
    <t>B07P7FQSDK</t>
  </si>
  <si>
    <t>B07PBTZYD4</t>
  </si>
  <si>
    <t>B07P9PJG88</t>
  </si>
  <si>
    <t>B07PCL36GQ</t>
  </si>
  <si>
    <t>B07PCPP6LC</t>
  </si>
  <si>
    <t>B07PCPHHR5</t>
  </si>
  <si>
    <t>B07PCPS5TD</t>
  </si>
  <si>
    <t>B07PCNVNNR</t>
  </si>
  <si>
    <t>B07PCP46JN</t>
  </si>
  <si>
    <t>B07PCMNJQ4</t>
  </si>
  <si>
    <t>B07P7FRHML</t>
  </si>
  <si>
    <t>B07PCRL5N1</t>
  </si>
  <si>
    <t>B07P9PJFB9</t>
  </si>
  <si>
    <t>B07PCQ565K</t>
  </si>
  <si>
    <t>B07P7FR1RS</t>
  </si>
  <si>
    <t>B07P8KZYK1</t>
  </si>
  <si>
    <t>B07PCNPWML</t>
  </si>
  <si>
    <t>B07P8L229N</t>
  </si>
  <si>
    <t>B07PCQ565J</t>
  </si>
  <si>
    <t>B07PCQB3V4</t>
  </si>
  <si>
    <t>B07PCNC71P</t>
  </si>
  <si>
    <t>B07N6CTYFT</t>
  </si>
  <si>
    <t>B07P8KZZ7J</t>
  </si>
  <si>
    <t>B07P9PJ6MS</t>
  </si>
  <si>
    <t>B07P7FQYDZ</t>
  </si>
  <si>
    <t>B07P9PKRXN</t>
  </si>
  <si>
    <t>B07PBTZ2RV</t>
  </si>
  <si>
    <t>B07PCR7JG7</t>
  </si>
  <si>
    <t>B07PCM46ZD</t>
  </si>
  <si>
    <t>B07PCMSW6F</t>
  </si>
  <si>
    <t>B07P9PJ1QY</t>
  </si>
  <si>
    <t>B07N67SRSK</t>
  </si>
  <si>
    <t>B07N6BJVQ3</t>
  </si>
  <si>
    <t>B07PCND7Y1</t>
  </si>
  <si>
    <t>B07PBTZZ45</t>
  </si>
  <si>
    <t>B07P9PKH81</t>
  </si>
  <si>
    <t>B07P9PFM9Y</t>
  </si>
  <si>
    <t>B07P8L14DY</t>
  </si>
  <si>
    <t>B07P9PJL1K</t>
  </si>
  <si>
    <t>B07PBTCPZB</t>
  </si>
  <si>
    <t>B07P7FRPYJ</t>
  </si>
  <si>
    <t>B07PCQB916</t>
  </si>
  <si>
    <t>B07N6942XG</t>
  </si>
  <si>
    <t>B07PCQF384</t>
  </si>
  <si>
    <t>B07P8KYRDS</t>
  </si>
  <si>
    <t>B07PCNCVSK</t>
  </si>
  <si>
    <t>B07P8L1B6P</t>
  </si>
  <si>
    <t>B07PBTYT5R</t>
  </si>
  <si>
    <t>B07PCNR1D1</t>
  </si>
  <si>
    <t>B07PCQKLR4</t>
  </si>
  <si>
    <t>B07N67Y83V</t>
  </si>
  <si>
    <t>B07PBTZZC7</t>
  </si>
  <si>
    <t>B07PBTYYHX</t>
  </si>
  <si>
    <t>B07P9PJ55N</t>
  </si>
  <si>
    <t>B07P9PK98P</t>
  </si>
  <si>
    <t>B07PCNWZFT</t>
  </si>
  <si>
    <t>B07P7FQM6P</t>
  </si>
  <si>
    <t>B07P8L172S</t>
  </si>
  <si>
    <t>B07PCLZPTT</t>
  </si>
  <si>
    <t>B07P8L132D</t>
  </si>
  <si>
    <t>B07PCKJYRT</t>
  </si>
  <si>
    <t>B07N67XRPB</t>
  </si>
  <si>
    <t>B07P8L1LDW</t>
  </si>
  <si>
    <t>B07PCQJRZP</t>
  </si>
  <si>
    <t>B07PCP6NTF</t>
  </si>
  <si>
    <t>B07PBTYSJ4</t>
  </si>
  <si>
    <t>B07PCQGTKD</t>
  </si>
  <si>
    <t>B07PCPXXXJ</t>
  </si>
  <si>
    <t>B07P8L23TK</t>
  </si>
  <si>
    <t>B07P7FQMMP</t>
  </si>
  <si>
    <t>B07N676Z3S</t>
  </si>
  <si>
    <t>B07PCPMVGH</t>
  </si>
  <si>
    <t>B07PCMSW6C</t>
  </si>
  <si>
    <t>B07PCP93F7</t>
  </si>
  <si>
    <t>B07P8KZW3C</t>
  </si>
  <si>
    <t>B07PCM4CKJ</t>
  </si>
  <si>
    <t>B07PCMQ124</t>
  </si>
  <si>
    <t>B07P8L28KB</t>
  </si>
  <si>
    <t>B07PCNPCGP</t>
  </si>
  <si>
    <t>B07P9PJ72X</t>
  </si>
  <si>
    <t>B07N6DS3HM</t>
  </si>
  <si>
    <t>B07PCR2TKL</t>
  </si>
  <si>
    <t>B07PCMW6FQ</t>
  </si>
  <si>
    <t>B07PCQ66G8</t>
  </si>
  <si>
    <t>B07P8L13D2</t>
  </si>
  <si>
    <t>B07N69GGFV</t>
  </si>
  <si>
    <t>B07PCNC71N</t>
  </si>
  <si>
    <t>B07PCN21SV</t>
  </si>
  <si>
    <t>B07PCPSR51</t>
  </si>
  <si>
    <t>B07PBV14TQ</t>
  </si>
  <si>
    <t>B07N6H6W7H</t>
  </si>
  <si>
    <t>B07PCQF62M</t>
  </si>
  <si>
    <t>B07P7FQF2T</t>
  </si>
  <si>
    <t>B07PCNSDGH</t>
  </si>
  <si>
    <t>B07PCMRR5G</t>
  </si>
  <si>
    <t>B07PCP11WK</t>
  </si>
  <si>
    <t>B07PCP81ZZ</t>
  </si>
  <si>
    <t>B07PBTY9ZC</t>
  </si>
  <si>
    <t>B07N69LZJ8</t>
  </si>
  <si>
    <t>B07P8L1R3G</t>
  </si>
  <si>
    <t>B07P9PKMVG</t>
  </si>
  <si>
    <t>B07PCQFDDC</t>
  </si>
  <si>
    <t>B07P9PJ367</t>
  </si>
  <si>
    <t>B07PCN9KF1</t>
  </si>
  <si>
    <t>B07P8L11K2</t>
  </si>
  <si>
    <t>B07P8KZL3Y</t>
  </si>
  <si>
    <t>B07PCLGM9W</t>
  </si>
  <si>
    <t>B07P9PJJ31</t>
  </si>
  <si>
    <t>B07P9PKNY5</t>
  </si>
  <si>
    <t>B07N67WKVX</t>
  </si>
  <si>
    <t>B07PCNYNN8</t>
  </si>
  <si>
    <t>B07PCN1KKX</t>
  </si>
  <si>
    <t>B07PBTZBQC</t>
  </si>
  <si>
    <t>B07PCPP6LG</t>
  </si>
  <si>
    <t>B07PCKKSWR</t>
  </si>
  <si>
    <t>B07N69F66N</t>
  </si>
  <si>
    <t>B07N6BKH9Q</t>
  </si>
  <si>
    <t>B07P9PK91M</t>
  </si>
  <si>
    <t>B07PCP8DFV</t>
  </si>
  <si>
    <t>B07P8L13RD</t>
  </si>
  <si>
    <t>B07PBTZ17H</t>
  </si>
  <si>
    <t>B07PCMRR5D</t>
  </si>
  <si>
    <t>B07P9PGP8D</t>
  </si>
  <si>
    <t>B07PCQMBWQ</t>
  </si>
  <si>
    <t>B07PBTWBFR</t>
  </si>
  <si>
    <t>B07N67KBZP</t>
  </si>
  <si>
    <t>B07PBTYQY1</t>
  </si>
  <si>
    <t>B07P8L15Y4</t>
  </si>
  <si>
    <t>B07P8KZZV7</t>
  </si>
  <si>
    <t>B07PCNT4JV</t>
  </si>
  <si>
    <t>B07PBTZSY3</t>
  </si>
  <si>
    <t>B07PBTYWM9</t>
  </si>
  <si>
    <t>B07P9PJHRR</t>
  </si>
  <si>
    <t>B07N6BLNXF</t>
  </si>
  <si>
    <t>B07PCP8159</t>
  </si>
  <si>
    <t>B07N6B2M9Y</t>
  </si>
  <si>
    <t>B07MZ5QK9N</t>
  </si>
  <si>
    <t>B07MZ61LQZ</t>
  </si>
  <si>
    <t>B07N69M3Y9</t>
  </si>
  <si>
    <t>B07MZ6W2M7</t>
  </si>
  <si>
    <t>B07N6B31DS</t>
  </si>
  <si>
    <t>B07MZ6WJX3</t>
  </si>
  <si>
    <t>B07MZ5L5ZX</t>
  </si>
  <si>
    <t>B07MZ4JQRN</t>
  </si>
  <si>
    <t>B07N6C5JPV</t>
  </si>
  <si>
    <t>B07MZ4GGFQ</t>
  </si>
  <si>
    <t>B07MZ4F8GZ</t>
  </si>
  <si>
    <t>B07MZ5GB33</t>
  </si>
  <si>
    <t>B07MZ5FS9W</t>
  </si>
  <si>
    <t>B07MZ5ZJMS</t>
  </si>
  <si>
    <t>B07MZ5P3M6</t>
  </si>
  <si>
    <t>B07MZ52G3C</t>
  </si>
  <si>
    <t>B07MZ4WXK7</t>
  </si>
  <si>
    <t>B07MZ5KBG6</t>
  </si>
  <si>
    <t>B07N6B4W77</t>
  </si>
  <si>
    <t>B07MZ5BKVW</t>
  </si>
  <si>
    <t>B07MZ53W5F</t>
  </si>
  <si>
    <t>B07MZ53Z8D</t>
  </si>
  <si>
    <t>B07MZ5GC4R</t>
  </si>
  <si>
    <t>B07MZ5LPKT</t>
  </si>
  <si>
    <t>B07MZ6GVVF</t>
  </si>
  <si>
    <t>B07MZ4Y83H</t>
  </si>
  <si>
    <t>B07MZ6539K</t>
  </si>
  <si>
    <t>B07MZ4XJKP</t>
  </si>
  <si>
    <t>B07N6BHN6Q</t>
  </si>
  <si>
    <t>B07MZ61LQY</t>
  </si>
  <si>
    <t>B07MZ4WJ7P</t>
  </si>
  <si>
    <t>B07MZ4YQC4</t>
  </si>
  <si>
    <t>B07MZ5ZJMR</t>
  </si>
  <si>
    <t>B07MZ52XRM</t>
  </si>
  <si>
    <t>B07MZ515HD</t>
  </si>
  <si>
    <t>B07MZ5WD2C</t>
  </si>
  <si>
    <t>B07N6BM4N7</t>
  </si>
  <si>
    <t>B07N69KTWQ</t>
  </si>
  <si>
    <t>B07MZ53N5B</t>
  </si>
  <si>
    <t>B07MZ4YTPJ</t>
  </si>
  <si>
    <t>B07MZ68V4L</t>
  </si>
  <si>
    <t>B07MZ4PKXF</t>
  </si>
  <si>
    <t>B07MZ54JQY</t>
  </si>
  <si>
    <t>B07MZ4G25J</t>
  </si>
  <si>
    <t>B07MZ6F711</t>
  </si>
  <si>
    <t>B07MZ3XRRT</t>
  </si>
  <si>
    <t>B07MZ66QG9</t>
  </si>
  <si>
    <t>B07N696T5R</t>
  </si>
  <si>
    <t>B07MZ4SZR4</t>
  </si>
  <si>
    <t>B07MZ4Q3PW</t>
  </si>
  <si>
    <t>B07MZ5FDJS</t>
  </si>
  <si>
    <t>B07MZ5WB3Z</t>
  </si>
  <si>
    <t>B07MZ582JS</t>
  </si>
  <si>
    <t>B07MZ59NSQ</t>
  </si>
  <si>
    <t>B07MZ4RNYV</t>
  </si>
  <si>
    <t>B07MZ56G49</t>
  </si>
  <si>
    <t>B07MZ517ZR</t>
  </si>
  <si>
    <t>B07MZ53R5N</t>
  </si>
  <si>
    <t>B07MZ4X52K</t>
  </si>
  <si>
    <t>B07MZ5PDYB</t>
  </si>
  <si>
    <t>B07MZ4NBD8</t>
  </si>
  <si>
    <t>B07MZ53Z89</t>
  </si>
  <si>
    <t>B07MZ6191W</t>
  </si>
  <si>
    <t>B07MZ4YPZD</t>
  </si>
  <si>
    <t>B07MZ4X93Z</t>
  </si>
  <si>
    <t>B07MZ1PD6S</t>
  </si>
  <si>
    <t>B07MZ6LYQ6</t>
  </si>
  <si>
    <t>B07MZ4JTLN</t>
  </si>
  <si>
    <t>B07MZ4FQ7X</t>
  </si>
  <si>
    <t>B07MZ4QWYX</t>
  </si>
  <si>
    <t>B07MZ62J1Q</t>
  </si>
  <si>
    <t>B07MZ4PYNZ</t>
  </si>
  <si>
    <t>B07MZ4YTPM</t>
  </si>
  <si>
    <t>B07MZ4LWMN</t>
  </si>
  <si>
    <t>B07MZ6431V</t>
  </si>
  <si>
    <t>B07MZ477YP</t>
  </si>
  <si>
    <t>B07MZ4YPYF</t>
  </si>
  <si>
    <t>B07MZ4GVQL</t>
  </si>
  <si>
    <t>B07MZ4YMP4</t>
  </si>
  <si>
    <t>B07MZ5PTHC</t>
  </si>
  <si>
    <t>B07MZ1KZKN</t>
  </si>
  <si>
    <t>B07MZ1VGTK</t>
  </si>
  <si>
    <t>B07MZ5FF2B</t>
  </si>
  <si>
    <t>B07MZ5F3GB</t>
  </si>
  <si>
    <t>B07MZ5XR5X</t>
  </si>
  <si>
    <t>B07MZ5DPP5</t>
  </si>
  <si>
    <t>B07MZ51F85</t>
  </si>
  <si>
    <t>B07MZ5TPC7</t>
  </si>
  <si>
    <t>B07N6C5CQK</t>
  </si>
  <si>
    <t>B07MZ4HSB7</t>
  </si>
  <si>
    <t>B07MZ5NWBH</t>
  </si>
  <si>
    <t>B07N6D1DPC</t>
  </si>
  <si>
    <t>B07MZ6G4HC</t>
  </si>
  <si>
    <t>B07N69WQ83</t>
  </si>
  <si>
    <t>B07MZ5L4TT</t>
  </si>
  <si>
    <t>B07MZ5RS6Y</t>
  </si>
  <si>
    <t>B07N6BJHLL</t>
  </si>
  <si>
    <t>B07MZ3XRRX</t>
  </si>
  <si>
    <t>B07MZ58MX3</t>
  </si>
  <si>
    <t>B07MZ52CPS</t>
  </si>
  <si>
    <t>B07MZ57MST</t>
  </si>
  <si>
    <t>B07MZ4WPBC</t>
  </si>
  <si>
    <t>B07MZ5KCWM</t>
  </si>
  <si>
    <t>B07MZ61DP4</t>
  </si>
  <si>
    <t>B07MZ691CN</t>
  </si>
  <si>
    <t>B07MZ5KW5F</t>
  </si>
  <si>
    <t>B07MZ1DTRC</t>
  </si>
  <si>
    <t>B07N6FQXJ2</t>
  </si>
  <si>
    <t>B07N6GPPGR</t>
  </si>
  <si>
    <t>B07MZ614DF</t>
  </si>
  <si>
    <t>B07MZ62D75</t>
  </si>
  <si>
    <t>B07MZ5QK9R</t>
  </si>
  <si>
    <t>B07MZ58KSM</t>
  </si>
  <si>
    <t>B07MZ5B9X4</t>
  </si>
  <si>
    <t>B07MZ5CH52</t>
  </si>
  <si>
    <t>B07MZ6BKMQ</t>
  </si>
  <si>
    <t>B07MZ5RCDD</t>
  </si>
  <si>
    <t>B07MZ5WZV3</t>
  </si>
  <si>
    <t>B07MZ5JYY5</t>
  </si>
  <si>
    <t>B07MZ57S52</t>
  </si>
  <si>
    <t>B07MZ27T88</t>
  </si>
  <si>
    <t>B07MZ52G3F</t>
  </si>
  <si>
    <t>B07MZ53Z8B</t>
  </si>
  <si>
    <t>B07MZ4QW1Z</t>
  </si>
  <si>
    <t>B07MZ4H5PY</t>
  </si>
  <si>
    <t>B07MZ5K2KF</t>
  </si>
  <si>
    <t>B07MZ4FQ7V</t>
  </si>
  <si>
    <t>B07MZ3XSM3</t>
  </si>
  <si>
    <t>B07MZ555FD</t>
  </si>
  <si>
    <t>B07MZ647R3</t>
  </si>
  <si>
    <t>B07MZ5QMXP</t>
  </si>
  <si>
    <t>B07MZ5B5XZ</t>
  </si>
  <si>
    <t>B07MZ5ZGJ9</t>
  </si>
  <si>
    <t>B07MZ6WBD9</t>
  </si>
  <si>
    <t>B07MZ4XW51</t>
  </si>
  <si>
    <t>B07MZ6TP1K</t>
  </si>
  <si>
    <t>B07MZ5Q3BS</t>
  </si>
  <si>
    <t>B07MZ6CPYQ</t>
  </si>
  <si>
    <t>B07MZ5PNGL</t>
  </si>
  <si>
    <t>B07N68PXB6</t>
  </si>
  <si>
    <t>B07MZ6LYQ5</t>
  </si>
  <si>
    <t>B07MZ4Q3Q1</t>
  </si>
  <si>
    <t>B07MZ54MVM</t>
  </si>
  <si>
    <t>B07MZ55T4S</t>
  </si>
  <si>
    <t>B07MZ4HQ3R</t>
  </si>
  <si>
    <t>B07MZ5B9JP</t>
  </si>
  <si>
    <t>B07MZ5GLH2</t>
  </si>
  <si>
    <t>B07MZ4S4R1</t>
  </si>
  <si>
    <t>B07MZ5ZJWK</t>
  </si>
  <si>
    <t>B07MZ4KJ63</t>
  </si>
  <si>
    <t>B07MZ4VB81</t>
  </si>
  <si>
    <t>B07MZ5GC4T</t>
  </si>
  <si>
    <t>B07MZ4ZY7B</t>
  </si>
  <si>
    <t>B07MZ5KJ35</t>
  </si>
  <si>
    <t>B07MZ58TV3</t>
  </si>
  <si>
    <t>B07N6D9NWM</t>
  </si>
  <si>
    <t>B07MZ5N2ZQ</t>
  </si>
  <si>
    <t>B07MYZQ3DB</t>
  </si>
  <si>
    <t>B07MZ5QGX9</t>
  </si>
  <si>
    <t>B07MZ4KWWW</t>
  </si>
  <si>
    <t>B07MZ4XW54</t>
  </si>
  <si>
    <t>B07MZ5D9W9</t>
  </si>
  <si>
    <t>B07MZ539VJ</t>
  </si>
  <si>
    <t>B07MZ4H5Q2</t>
  </si>
  <si>
    <t>B07MZ5X3TM</t>
  </si>
  <si>
    <t>B07N6B47H7</t>
  </si>
  <si>
    <t>B07MZ5F7WM</t>
  </si>
  <si>
    <t>B07MZ53949</t>
  </si>
  <si>
    <t>B07MZ546GP</t>
  </si>
  <si>
    <t>B07MZ4VFKX</t>
  </si>
  <si>
    <t>B07MZ54MVN</t>
  </si>
  <si>
    <t>B07MZ5V7X7</t>
  </si>
  <si>
    <t>B07MZ4PFCJ</t>
  </si>
  <si>
    <t>B07MZ6TP1L</t>
  </si>
  <si>
    <t>B07MZ5MTCL</t>
  </si>
  <si>
    <t>B07N6K2MTB</t>
  </si>
  <si>
    <t>B07N6C51FD</t>
  </si>
  <si>
    <t>B07N6C3JLW</t>
  </si>
  <si>
    <t>B07N691VL4</t>
  </si>
  <si>
    <t>B07N6CHMX9</t>
  </si>
  <si>
    <t>B07N6GWL55</t>
  </si>
  <si>
    <t>B07N6CX48V</t>
  </si>
  <si>
    <t>B07N68KYLV</t>
  </si>
  <si>
    <t>B07N69TTML</t>
  </si>
  <si>
    <t>B07N6C52LX</t>
  </si>
  <si>
    <t>B07N6CF294</t>
  </si>
  <si>
    <t>B07N6K7N2R</t>
  </si>
  <si>
    <t>B07N68H976</t>
  </si>
  <si>
    <t>B07N68D7ZV</t>
  </si>
  <si>
    <t>B07N68PN3T</t>
  </si>
  <si>
    <t>B07N68WQQK</t>
  </si>
  <si>
    <t>B07N6DT3JN</t>
  </si>
  <si>
    <t>B07N6D3F9P</t>
  </si>
  <si>
    <t>B07N6D2LM8</t>
  </si>
  <si>
    <t>B07N6DW26W</t>
  </si>
  <si>
    <t>B07N68KYLW</t>
  </si>
  <si>
    <t>B07N6CYSSW</t>
  </si>
  <si>
    <t>B07N68LC76</t>
  </si>
  <si>
    <t>B07N68PJHD</t>
  </si>
  <si>
    <t>B07N6C5PPJ</t>
  </si>
  <si>
    <t>B07N66N6P3</t>
  </si>
  <si>
    <t>B07N69GK1T</t>
  </si>
  <si>
    <t>B07N686CTQ</t>
  </si>
  <si>
    <t>B07N6DQY5C</t>
  </si>
  <si>
    <t>B07N6JSN2K</t>
  </si>
  <si>
    <t>B07N69YSK6</t>
  </si>
  <si>
    <t>B07N6GNT3P</t>
  </si>
  <si>
    <t>B07N68LPB3</t>
  </si>
  <si>
    <t>B07MZ5GJZH</t>
  </si>
  <si>
    <t>B07MZ4KJ19</t>
  </si>
  <si>
    <t>B07MZ57LKC</t>
  </si>
  <si>
    <t>B07MZ57LKD</t>
  </si>
  <si>
    <t>B07N68DHZ9</t>
  </si>
  <si>
    <t>B07MZ4MSZS</t>
  </si>
  <si>
    <t>B07MZ1PY3B</t>
  </si>
  <si>
    <t>B07MZ53N5G</t>
  </si>
  <si>
    <t>B07MZ57PTC</t>
  </si>
  <si>
    <t>B07MZ45S6D</t>
  </si>
  <si>
    <t>B07MZ4JQRP</t>
  </si>
  <si>
    <t>B07MZ6WJX2</t>
  </si>
  <si>
    <t>B07MZ54Z7W</t>
  </si>
  <si>
    <t>B07MZ517ZN</t>
  </si>
  <si>
    <t>B07MZ5H7KT</t>
  </si>
  <si>
    <t>B07N6BJGJC</t>
  </si>
  <si>
    <t>B07MZ5X44Z</t>
  </si>
  <si>
    <t>B07MZ4N4HQ</t>
  </si>
  <si>
    <t>B07MZ54R7N</t>
  </si>
  <si>
    <t>B07MZ52S42</t>
  </si>
  <si>
    <t>B07MZ68V4R</t>
  </si>
  <si>
    <t>B07MZ28X2S</t>
  </si>
  <si>
    <t>B07MZ4Y3D5</t>
  </si>
  <si>
    <t>B07MZ56G1Y</t>
  </si>
  <si>
    <t>B07MZ66Z1X</t>
  </si>
  <si>
    <t>B07MZ5H8LP</t>
  </si>
  <si>
    <t>B07N6C5JPW</t>
  </si>
  <si>
    <t>B07MZ4CNMT</t>
  </si>
  <si>
    <t>B07MZ53R5L</t>
  </si>
  <si>
    <t>B07MZ5CHWG</t>
  </si>
  <si>
    <t>B07MZ5HF38</t>
  </si>
  <si>
    <t>B07MZ4VT7J</t>
  </si>
  <si>
    <t>B07MZ6W2M8</t>
  </si>
  <si>
    <t>B07MZ68LGK</t>
  </si>
  <si>
    <t>B07N67MJNM</t>
  </si>
  <si>
    <t>B07N6BJGJF</t>
  </si>
  <si>
    <t>B07N6CZFKW</t>
  </si>
  <si>
    <t>B07N6BKPV8</t>
  </si>
  <si>
    <t>B07N6CFCB4</t>
  </si>
  <si>
    <t>B07N6GPG3B</t>
  </si>
  <si>
    <t>B07N67NYKX</t>
  </si>
  <si>
    <t>B07N6CWXGV</t>
  </si>
  <si>
    <t>B07N6H17J1</t>
  </si>
  <si>
    <t>B07N6H6Q5B</t>
  </si>
  <si>
    <t>B07N68HB7C</t>
  </si>
  <si>
    <t>B07N68K4Y6</t>
  </si>
  <si>
    <t>B07N67RYNM</t>
  </si>
  <si>
    <t>B07N68761X</t>
  </si>
  <si>
    <t>B07N6CYSSY</t>
  </si>
  <si>
    <t>B07N6BRTPQ</t>
  </si>
  <si>
    <t>B07N67DG2N</t>
  </si>
  <si>
    <t>B07N6BK5KF</t>
  </si>
  <si>
    <t>B07N6CT8RG</t>
  </si>
  <si>
    <t>B07N68VL7T</t>
  </si>
  <si>
    <t>B07N6BL1HP</t>
  </si>
  <si>
    <t>B07N6CS7H6</t>
  </si>
  <si>
    <t>B07N68MP1B</t>
  </si>
  <si>
    <t>B07N69RQ71</t>
  </si>
  <si>
    <t>B07N6K8N4Q</t>
  </si>
  <si>
    <t>B07N6C6SNM</t>
  </si>
  <si>
    <t>B07N6C5621</t>
  </si>
  <si>
    <t>B07N6B9JX5</t>
  </si>
  <si>
    <t>B07N67R363</t>
  </si>
  <si>
    <t>B07N67WHQB</t>
  </si>
  <si>
    <t>B07N6JK42Q</t>
  </si>
  <si>
    <t>B07N6GPG3C</t>
  </si>
  <si>
    <t>B07N6K6P1Y</t>
  </si>
  <si>
    <t>B07N68PFDH</t>
  </si>
  <si>
    <t>B07N6D4Q6Z</t>
  </si>
  <si>
    <t>B07N67R148</t>
  </si>
  <si>
    <t>B07MZ5K3ZL</t>
  </si>
  <si>
    <t>B07MZ54H4Q</t>
  </si>
  <si>
    <t>B07N6D1HJ8</t>
  </si>
  <si>
    <t>B07MZ6TP1R</t>
  </si>
  <si>
    <t>B07MZ5HV99</t>
  </si>
  <si>
    <t>B07MZ5LV61</t>
  </si>
  <si>
    <t>B07MZ5LXJX</t>
  </si>
  <si>
    <t>B07MZ5PS7H</t>
  </si>
  <si>
    <t>B07MZ4T9L2</t>
  </si>
  <si>
    <t>B07MZ4YMP3</t>
  </si>
  <si>
    <t>B07MZ6FXR4</t>
  </si>
  <si>
    <t>B07MZ5NLWR</t>
  </si>
  <si>
    <t>B07MZ5BYPF</t>
  </si>
  <si>
    <t>B07MZ68LGM</t>
  </si>
  <si>
    <t>B07MZ5K2KD</t>
  </si>
  <si>
    <t>B07MZ5PTHH</t>
  </si>
  <si>
    <t>B07MZ6W2M9</t>
  </si>
  <si>
    <t>B07MZ5SJT1</t>
  </si>
  <si>
    <t>B07MZ4CNMS</t>
  </si>
  <si>
    <t>B07MZ4Q468</t>
  </si>
  <si>
    <t>B07MZ54Z7Q</t>
  </si>
  <si>
    <t>B07MZ5QRMZ</t>
  </si>
  <si>
    <t>B07MZ5FNFP</t>
  </si>
  <si>
    <t>B07MZ573QZ</t>
  </si>
  <si>
    <t>B07MZ6TP1T</t>
  </si>
  <si>
    <t>B07MZ4MSZP</t>
  </si>
  <si>
    <t>B07MZ25KQ1</t>
  </si>
  <si>
    <t>B07MZ3F41J</t>
  </si>
  <si>
    <t>B07MZ4Z46X</t>
  </si>
  <si>
    <t>B07MZ4FFTM</t>
  </si>
  <si>
    <t>B07MZ26B9Y</t>
  </si>
  <si>
    <t>B07MZ4T9KX</t>
  </si>
  <si>
    <t>B07MZ6337F</t>
  </si>
  <si>
    <t>B07MZ4VD1H</t>
  </si>
  <si>
    <t>B07MZ5L559</t>
  </si>
  <si>
    <t>B07MZ5TLZ8</t>
  </si>
  <si>
    <t>B07MZ5CHBN</t>
  </si>
  <si>
    <t>B07N6K8N4P</t>
  </si>
  <si>
    <t>B07MZ58R7W</t>
  </si>
  <si>
    <t>B07MZ5YWPY</t>
  </si>
  <si>
    <t>B07MZ4YTPL</t>
  </si>
  <si>
    <t>B07MZ1LGX6</t>
  </si>
  <si>
    <t>B07MZ5C3VR</t>
  </si>
  <si>
    <t>B07MZ528YR</t>
  </si>
  <si>
    <t>B07N68H975</t>
  </si>
  <si>
    <t>B07MZ5LG46</t>
  </si>
  <si>
    <t>B07MZ62J1S</t>
  </si>
  <si>
    <t>B07MZ5KD55</t>
  </si>
  <si>
    <t>B07MZ4RNYW</t>
  </si>
  <si>
    <t>B07MZ5M9R7</t>
  </si>
  <si>
    <t>B07MZ48JVG</t>
  </si>
  <si>
    <t>B07MZ61LR4</t>
  </si>
  <si>
    <t>B07MZ4Q1Y9</t>
  </si>
  <si>
    <t>B07MZ4QRJF</t>
  </si>
  <si>
    <t>B07MZ5MWN2</t>
  </si>
  <si>
    <t>B07N6DNPF6</t>
  </si>
  <si>
    <t>B07MZ62PJ7</t>
  </si>
  <si>
    <t>B07N69F66M</t>
  </si>
  <si>
    <t>B07N6D8YGF</t>
  </si>
  <si>
    <t>B07MZ4W4G7</t>
  </si>
  <si>
    <t>B07MZ4YPZF</t>
  </si>
  <si>
    <t>B07MZ59LRN</t>
  </si>
  <si>
    <t>B07MZ3XVJ4</t>
  </si>
  <si>
    <t>B07MZ5DFB5</t>
  </si>
  <si>
    <t>B07N6K6MS8</t>
  </si>
  <si>
    <t>B07N67H245</t>
  </si>
  <si>
    <t>B07MZ6FTQQ</t>
  </si>
  <si>
    <t>B07MZ5JXQ4</t>
  </si>
  <si>
    <t>B07MZ596PV</t>
  </si>
  <si>
    <t>B07MZ4GYQC</t>
  </si>
  <si>
    <t>B07MZ4LTYZ</t>
  </si>
  <si>
    <t>B07MZ66KJC</t>
  </si>
  <si>
    <t>B07MZ5SHL6</t>
  </si>
  <si>
    <t>B07MZ5JMYB</t>
  </si>
  <si>
    <t>B07MZ54WRF</t>
  </si>
  <si>
    <t>B07MZ3F41L</t>
  </si>
  <si>
    <t>B07MZ26ZW6</t>
  </si>
  <si>
    <t>B07MZ5ZK2R</t>
  </si>
  <si>
    <t>B07MZ52SCF</t>
  </si>
  <si>
    <t>B07MZ5CZG7</t>
  </si>
  <si>
    <t>B07MZ1MZXB</t>
  </si>
  <si>
    <t>B07MZ5SJJ6</t>
  </si>
  <si>
    <t>B07MZ517GD</t>
  </si>
  <si>
    <t>B07MZ5QRJK</t>
  </si>
  <si>
    <t>B07MZ5J7NJ</t>
  </si>
  <si>
    <t>B07MZ4D8NP</t>
  </si>
  <si>
    <t>B07MZ4Z6Y2</t>
  </si>
  <si>
    <t>B07MZ4XW56</t>
  </si>
  <si>
    <t>B07MZ4YPYH</t>
  </si>
  <si>
    <t>B07MZ5V54C</t>
  </si>
  <si>
    <t>B07MZ4GMNG</t>
  </si>
  <si>
    <t>B07MZ66QGH</t>
  </si>
  <si>
    <t>B07MZ2H19Z</t>
  </si>
  <si>
    <t>B07MZ588BZ</t>
  </si>
  <si>
    <t>B07MZ5YC62</t>
  </si>
  <si>
    <t>B07MZ5JGQ1</t>
  </si>
  <si>
    <t>B07MZ1HCCS</t>
  </si>
  <si>
    <t>B07MZ626JF</t>
  </si>
  <si>
    <t>B07MZ5P3M8</t>
  </si>
  <si>
    <t>B07MZ51X89</t>
  </si>
  <si>
    <t>B07MZ1DTRF</t>
  </si>
  <si>
    <t>B07MZ5H4S8</t>
  </si>
  <si>
    <t>B07MZ5C8B3</t>
  </si>
  <si>
    <t>B07MZ5M75W</t>
  </si>
  <si>
    <t>B07MZ27DKK</t>
  </si>
  <si>
    <t>B07MZ1PD6T</t>
  </si>
  <si>
    <t>B07MZ62P4L</t>
  </si>
  <si>
    <t>B07MZ573HZ</t>
  </si>
  <si>
    <t>B07MZ5RS74</t>
  </si>
  <si>
    <t>B07MZ59SP5</t>
  </si>
  <si>
    <t>B07MZ4FQ7Z</t>
  </si>
  <si>
    <t>B07MZ5NLWS</t>
  </si>
  <si>
    <t>B07MZ4FQ7W</t>
  </si>
  <si>
    <t>B07MZ4LFFQ</t>
  </si>
  <si>
    <t>B07MZ4KYVF</t>
  </si>
  <si>
    <t>B07MZ5WZV4</t>
  </si>
  <si>
    <t>B07MZ59NSV</t>
  </si>
  <si>
    <t>B07MZ4LB1N</t>
  </si>
  <si>
    <t>B07MZ52LDQ</t>
  </si>
  <si>
    <t>B07MZ4WLKD</t>
  </si>
  <si>
    <t>B07MZ54GHG</t>
  </si>
  <si>
    <t>B07MZ5P4DM</t>
  </si>
  <si>
    <t>B07MZ5GFHG</t>
  </si>
  <si>
    <t>B07MZ5BLTT</t>
  </si>
  <si>
    <t>B07MZ5FH5J</t>
  </si>
  <si>
    <t>B07MZ55KW3</t>
  </si>
  <si>
    <t>B07MZ5BJFL</t>
  </si>
  <si>
    <t>B07MZ6MYSM</t>
  </si>
  <si>
    <t>B07MZ58994</t>
  </si>
  <si>
    <t>B07MZ5F82Y</t>
  </si>
  <si>
    <t>B07N6DG3X5</t>
  </si>
  <si>
    <t>B07MZ6QKS2</t>
  </si>
  <si>
    <t>B07MZ4Z2SK</t>
  </si>
  <si>
    <t>B07MZ5NTSS</t>
  </si>
  <si>
    <t>B07N6DDN6J</t>
  </si>
  <si>
    <t>B07N8T8PL4</t>
  </si>
  <si>
    <t>B07N8YM5C4</t>
  </si>
  <si>
    <t>B07N8ZDNPD</t>
  </si>
  <si>
    <t>B07N6GY8TR</t>
  </si>
  <si>
    <t>B07N6CYQ5D</t>
  </si>
  <si>
    <t>B07N8XFXQX</t>
  </si>
  <si>
    <t>B07N8XKWYD</t>
  </si>
  <si>
    <t>B07N8XHM1R</t>
  </si>
  <si>
    <t>B07N8XZPHP</t>
  </si>
  <si>
    <t>B07N8YBHCB</t>
  </si>
  <si>
    <t>B07N8ZB5R2</t>
  </si>
  <si>
    <t>B07N8ZB2L3</t>
  </si>
  <si>
    <t>B07N8YXNSR</t>
  </si>
  <si>
    <t>B07N8VF28P</t>
  </si>
  <si>
    <t>B07N8YQPQY</t>
  </si>
  <si>
    <t>B07N686CTN</t>
  </si>
  <si>
    <t>B07N8Z3K98</t>
  </si>
  <si>
    <t>B07N8XNZRB</t>
  </si>
  <si>
    <t>B07N8Z4GWY</t>
  </si>
  <si>
    <t>B07N8ZFJLZ</t>
  </si>
  <si>
    <t>B07N8YL23K</t>
  </si>
  <si>
    <t>B07N8TZ5BD</t>
  </si>
  <si>
    <t>B07N8ZLY38</t>
  </si>
  <si>
    <t>B07N67DBT1</t>
  </si>
  <si>
    <t>B07N8XY7QX</t>
  </si>
  <si>
    <t>B07N8Y1LX7</t>
  </si>
  <si>
    <t>B07N8Y4ZW3</t>
  </si>
  <si>
    <t>B07N8Y1P87</t>
  </si>
  <si>
    <t>B07N8Y8W33</t>
  </si>
  <si>
    <t>B07N8YSFQ3</t>
  </si>
  <si>
    <t>B07N8XKLM8</t>
  </si>
  <si>
    <t>B07N8YRR9N</t>
  </si>
  <si>
    <t>B07N68XK4T</t>
  </si>
  <si>
    <t>B07N8XZS67</t>
  </si>
  <si>
    <t>B07N8ZJ7TH</t>
  </si>
  <si>
    <t>B07N8Z122G</t>
  </si>
  <si>
    <t>B07N8Y3C1X</t>
  </si>
  <si>
    <t>B07N8YC7VF</t>
  </si>
  <si>
    <t>B07N8Y8MGV</t>
  </si>
  <si>
    <t>B07N8Y68CF</t>
  </si>
  <si>
    <t>B07N68PJHB</t>
  </si>
  <si>
    <t>B07N8YJQ8R</t>
  </si>
  <si>
    <t>B07N8Y25RB</t>
  </si>
  <si>
    <t>B07N8YCNN6</t>
  </si>
  <si>
    <t>B07N8YX6VC</t>
  </si>
  <si>
    <t>B07N8ZJF45</t>
  </si>
  <si>
    <t>B07N8Y8C8M</t>
  </si>
  <si>
    <t>B07N8XXWNX</t>
  </si>
  <si>
    <t>B07N8ZFPXS</t>
  </si>
  <si>
    <t>B07N8Y655B</t>
  </si>
  <si>
    <t>B07N8XFRBW</t>
  </si>
  <si>
    <t>B07N6FP35L</t>
  </si>
  <si>
    <t>B07N8Y61XV</t>
  </si>
  <si>
    <t>B07N8XBRML</t>
  </si>
  <si>
    <t>B07N8XQ6R4</t>
  </si>
  <si>
    <t>B07N8ZJP8J</t>
  </si>
  <si>
    <t>B07N8XVMXN</t>
  </si>
  <si>
    <t>B07N8Z8ND3</t>
  </si>
  <si>
    <t>B07N8Y1LS4</t>
  </si>
  <si>
    <t>B07N8YCPY9</t>
  </si>
  <si>
    <t>B07N8XFYQ3</t>
  </si>
  <si>
    <t>B07N8YBHNY</t>
  </si>
  <si>
    <t>B07N6D33B1</t>
  </si>
  <si>
    <t>B07N8Z1B5L</t>
  </si>
  <si>
    <t>B07N8YVHCQ</t>
  </si>
  <si>
    <t>B07N8XQ6RF</t>
  </si>
  <si>
    <t>B07N8Y1XLZ</t>
  </si>
  <si>
    <t>B07N8Y6DG4</t>
  </si>
  <si>
    <t>B07N8XJ1F9</t>
  </si>
  <si>
    <t>B07N8Z23YF</t>
  </si>
  <si>
    <t>B07N8XXG1S</t>
  </si>
  <si>
    <t>B07N8YT1SJ</t>
  </si>
  <si>
    <t>B07N8ZGGPH</t>
  </si>
  <si>
    <t>B07N686FC3</t>
  </si>
  <si>
    <t>B07N8XV12H</t>
  </si>
  <si>
    <t>B07N8YC7VX</t>
  </si>
  <si>
    <t>B07N8YH2YF</t>
  </si>
  <si>
    <t>B07N8YDMZ1</t>
  </si>
  <si>
    <t>B07N8ZFPLB</t>
  </si>
  <si>
    <t>B07N8YLCBY</t>
  </si>
  <si>
    <t>B07N693PP4</t>
  </si>
  <si>
    <t>B07N8YBY3B</t>
  </si>
  <si>
    <t>B07N8YD5WQ</t>
  </si>
  <si>
    <t>B07N8YSFGH</t>
  </si>
  <si>
    <t>B07N8W9DGX</t>
  </si>
  <si>
    <t>B07N8YG4Y1</t>
  </si>
  <si>
    <t>B07N8YGT8Z</t>
  </si>
  <si>
    <t>B07N8XV11J</t>
  </si>
  <si>
    <t>B07N8ZQMSY</t>
  </si>
  <si>
    <t>B07N91CX2Q</t>
  </si>
  <si>
    <t>B07N91BSDS</t>
  </si>
  <si>
    <t>B07N8Z4JLK</t>
  </si>
  <si>
    <t>B07N8YJY29</t>
  </si>
  <si>
    <t>B07N8YL9JY</t>
  </si>
  <si>
    <t>B07N91BSDX</t>
  </si>
  <si>
    <t>B07N8YN4S1</t>
  </si>
  <si>
    <t>B07N8YFNN2</t>
  </si>
  <si>
    <t>B07N8Z93RQ</t>
  </si>
  <si>
    <t>B07N67DBT2</t>
  </si>
  <si>
    <t>B07N8Y4JS9</t>
  </si>
  <si>
    <t>B07N8YN9MF</t>
  </si>
  <si>
    <t>B07N8YQTWH</t>
  </si>
  <si>
    <t>B07N8YD4PG</t>
  </si>
  <si>
    <t>B07N8YNF77</t>
  </si>
  <si>
    <t>B07N8XZR23</t>
  </si>
  <si>
    <t>B07N8YNZHB</t>
  </si>
  <si>
    <t>B07N8ZBN9R</t>
  </si>
  <si>
    <t>B07N8Y54FZ</t>
  </si>
  <si>
    <t>B07N8XFV3N</t>
  </si>
  <si>
    <t>B07N8Y91CY</t>
  </si>
  <si>
    <t>B07N8YH4GZ</t>
  </si>
  <si>
    <t>B07N8YBHNS</t>
  </si>
  <si>
    <t>B07N8Y78DL</t>
  </si>
  <si>
    <t>B07N8Z5RW6</t>
  </si>
  <si>
    <t>B07N8XYX5C</t>
  </si>
  <si>
    <t>B07N8Z3TXB</t>
  </si>
  <si>
    <t>B07N8Y7P21</t>
  </si>
  <si>
    <t>B07N8YW6FL</t>
  </si>
  <si>
    <t>B07N8Y6FT2</t>
  </si>
  <si>
    <t>B07N8ZFM73</t>
  </si>
  <si>
    <t>B07N8YXT21</t>
  </si>
  <si>
    <t>B07N8YRR9S</t>
  </si>
  <si>
    <t>B07N8YRV9P</t>
  </si>
  <si>
    <t>B07N8YLCV4</t>
  </si>
  <si>
    <t>B07N8YT9SL</t>
  </si>
  <si>
    <t>B07N8YPK8D</t>
  </si>
  <si>
    <t>B07N8YB933</t>
  </si>
  <si>
    <t>B07N8Y5MHZ</t>
  </si>
  <si>
    <t>B07N6DXWXV</t>
  </si>
  <si>
    <t>B07N8Y5K85</t>
  </si>
  <si>
    <t>B07N8Y47C2</t>
  </si>
  <si>
    <t>B07N8YJYSG</t>
  </si>
  <si>
    <t>B07N8YR2FM</t>
  </si>
  <si>
    <t>B07N6K6WJ5</t>
  </si>
  <si>
    <t>B07NCXZ94G</t>
  </si>
  <si>
    <t>B07NCXPX4K</t>
  </si>
  <si>
    <t>B07NCXRC1N</t>
  </si>
  <si>
    <t>B07NCXGBJY</t>
  </si>
  <si>
    <t>B07NCY32RC</t>
  </si>
  <si>
    <t>B07NCSM1XP</t>
  </si>
  <si>
    <t>B07NCXW24S</t>
  </si>
  <si>
    <t>B07NCXB9T8</t>
  </si>
  <si>
    <t>B07NCWSXW2</t>
  </si>
  <si>
    <t>B07N681K69</t>
  </si>
  <si>
    <t>B07NCXM499</t>
  </si>
  <si>
    <t>B07NCXJKHJ</t>
  </si>
  <si>
    <t>B07NCXXQ77</t>
  </si>
  <si>
    <t>B07NCX7TZ5</t>
  </si>
  <si>
    <t>B07NCXWK8Z</t>
  </si>
  <si>
    <t>B07NCWYKTX</t>
  </si>
  <si>
    <t>B07NCXSYSZ</t>
  </si>
  <si>
    <t>B07NCWGWCB</t>
  </si>
  <si>
    <t>B07NCV51X7</t>
  </si>
  <si>
    <t>B07NCXPNZB</t>
  </si>
  <si>
    <t>B07N6CZYQ3</t>
  </si>
  <si>
    <t>B07NCXLWJP</t>
  </si>
  <si>
    <t>B07NCXFRWH</t>
  </si>
  <si>
    <t>B07NCXML89</t>
  </si>
  <si>
    <t>B07NCTMQCB</t>
  </si>
  <si>
    <t>B07NCXLWJJ</t>
  </si>
  <si>
    <t>B07NCXJWVP</t>
  </si>
  <si>
    <t>B07NCX8R2M</t>
  </si>
  <si>
    <t>B07NCTMTV9</t>
  </si>
  <si>
    <t>B07NCXW56V</t>
  </si>
  <si>
    <t>B07N67N5WF</t>
  </si>
  <si>
    <t>B07NCX8XXT</t>
  </si>
  <si>
    <t>B07NCXJK31</t>
  </si>
  <si>
    <t>B07NCYBLX3</t>
  </si>
  <si>
    <t>B07NCXN9PH</t>
  </si>
  <si>
    <t>B07NCWMRS3</t>
  </si>
  <si>
    <t>B07NCXBDR4</t>
  </si>
  <si>
    <t>B07N6GY8TS</t>
  </si>
  <si>
    <t>B07NCX1R9H</t>
  </si>
  <si>
    <t>B07NCWVRRZ</t>
  </si>
  <si>
    <t>B07NCXPHR8</t>
  </si>
  <si>
    <t>B07P73DFRP</t>
  </si>
  <si>
    <t>B07P752H4H</t>
  </si>
  <si>
    <t>B07P73D3P1</t>
  </si>
  <si>
    <t>B07P73TPR4</t>
  </si>
  <si>
    <t>B07P87FYMB</t>
  </si>
  <si>
    <t>B07P74Y57Y</t>
  </si>
  <si>
    <t>B07P97V4CQ</t>
  </si>
  <si>
    <t>B07N69M7W6</t>
  </si>
  <si>
    <t>B07N6C2WHH</t>
  </si>
  <si>
    <t>B07P74PTZM</t>
  </si>
  <si>
    <t>B07P74PQYL</t>
  </si>
  <si>
    <t>B07P74VVRL</t>
  </si>
  <si>
    <t>B07P6733SY</t>
  </si>
  <si>
    <t>B07P74Y583</t>
  </si>
  <si>
    <t>B07P6736C6</t>
  </si>
  <si>
    <t>B07P74LM3V</t>
  </si>
  <si>
    <t>B07P74CBZ5</t>
  </si>
  <si>
    <t>B07P8921C7</t>
  </si>
  <si>
    <t>B07P7568H1</t>
  </si>
  <si>
    <t>B07N6K8CCK</t>
  </si>
  <si>
    <t>B07P738VXL</t>
  </si>
  <si>
    <t>B07P72S43S</t>
  </si>
  <si>
    <t>B07P74PQYN</t>
  </si>
  <si>
    <t>B07P737PPF</t>
  </si>
  <si>
    <t>B07P673JMK</t>
  </si>
  <si>
    <t>B07P888H2M</t>
  </si>
  <si>
    <t>B07P73CV3B</t>
  </si>
  <si>
    <t>B07P73PCXW</t>
  </si>
  <si>
    <t>B07P74RHV2</t>
  </si>
  <si>
    <t>B07P87KC11</t>
  </si>
  <si>
    <t>B07N6B31DR</t>
  </si>
  <si>
    <t>B07P74CTZ4</t>
  </si>
  <si>
    <t>B07P87C5L4</t>
  </si>
  <si>
    <t>B07P748NZM</t>
  </si>
  <si>
    <t>B07P755LDL</t>
  </si>
  <si>
    <t>B07P73QNTH</t>
  </si>
  <si>
    <t>B07P74S77D</t>
  </si>
  <si>
    <t>B07P74Q2MC</t>
  </si>
  <si>
    <t>B07P74LZTV</t>
  </si>
  <si>
    <t>B07P753Y2C</t>
  </si>
  <si>
    <t>B07P74LY4Y</t>
  </si>
  <si>
    <t>B07N6GNBK1</t>
  </si>
  <si>
    <t>B07P738DKL</t>
  </si>
  <si>
    <t>B07P671NFT</t>
  </si>
  <si>
    <t>B07P74MX14</t>
  </si>
  <si>
    <t>B07P66Z4Z9</t>
  </si>
  <si>
    <t>B07P73VTGX</t>
  </si>
  <si>
    <t>B07P86TCFF</t>
  </si>
  <si>
    <t>B07P87NCXB</t>
  </si>
  <si>
    <t>B07P754T69</t>
  </si>
  <si>
    <t>B07P73M4R9</t>
  </si>
  <si>
    <t>B07P888L51</t>
  </si>
  <si>
    <t>B07N6CXSB5</t>
  </si>
  <si>
    <t>B07P739KYR</t>
  </si>
  <si>
    <t>B07P755JYF</t>
  </si>
  <si>
    <t>B07P86Z9LN</t>
  </si>
  <si>
    <t>B07P673QQB</t>
  </si>
  <si>
    <t>B07P74LG23</t>
  </si>
  <si>
    <t>B07P66MTV3</t>
  </si>
  <si>
    <t>B07PCJK8SD</t>
  </si>
  <si>
    <t>B07P86LWXR</t>
  </si>
  <si>
    <t>B07P66HMRW</t>
  </si>
  <si>
    <t>B07P66K485</t>
  </si>
  <si>
    <t>B07P86SXHJ</t>
  </si>
  <si>
    <t>B07P86QLSF</t>
  </si>
  <si>
    <t>B07P86R9NN</t>
  </si>
  <si>
    <t>B07P672LYJ</t>
  </si>
  <si>
    <t>B07P86HSGY</t>
  </si>
  <si>
    <t>B07P86T6T9</t>
  </si>
  <si>
    <t>B07P86YJ5W</t>
  </si>
  <si>
    <t>B07P73D17P</t>
  </si>
  <si>
    <t>B07P874FGV</t>
  </si>
  <si>
    <t>B07P87K55Y</t>
  </si>
  <si>
    <t>B07P738K76</t>
  </si>
  <si>
    <t>B07P75648N</t>
  </si>
  <si>
    <t>B07P673L1L</t>
  </si>
  <si>
    <t>B07P672TDY</t>
  </si>
  <si>
    <t>B07P882RZK</t>
  </si>
  <si>
    <t>B07P755S9J</t>
  </si>
  <si>
    <t>B07P888L4Z</t>
  </si>
  <si>
    <t>B07P67388J</t>
  </si>
  <si>
    <t>B07P7433QX</t>
  </si>
  <si>
    <t>B07P86SXHL</t>
  </si>
  <si>
    <t>B07P74482B</t>
  </si>
  <si>
    <t>B07P74X62B</t>
  </si>
  <si>
    <t>B07P6735QQ</t>
  </si>
  <si>
    <t>B07P86LF4S</t>
  </si>
  <si>
    <t>B07P67324J</t>
  </si>
  <si>
    <t>B07P869PLM</t>
  </si>
  <si>
    <t>B07P66JQKJ</t>
  </si>
  <si>
    <t>B07P73474P</t>
  </si>
  <si>
    <t>B07P87PLFY</t>
  </si>
  <si>
    <t>B07N6BJX9D</t>
  </si>
  <si>
    <t>B07P74LM41</t>
  </si>
  <si>
    <t>B07P74NF6B</t>
  </si>
  <si>
    <t>B07PCHQJCC</t>
  </si>
  <si>
    <t>B07P73GNSX</t>
  </si>
  <si>
    <t>B07P74QBC9</t>
  </si>
  <si>
    <t>B07P66MTV4</t>
  </si>
  <si>
    <t>B07P673KCC</t>
  </si>
  <si>
    <t>B07P6729YL</t>
  </si>
  <si>
    <t>B07P672KHF</t>
  </si>
  <si>
    <t>B07P753NPM</t>
  </si>
  <si>
    <t>B07N6CP2KL</t>
  </si>
  <si>
    <t>B07P6721NF</t>
  </si>
  <si>
    <t>B07P7442K9</t>
  </si>
  <si>
    <t>B07P673PGQ</t>
  </si>
  <si>
    <t>B07P75284D</t>
  </si>
  <si>
    <t>B07P67324K</t>
  </si>
  <si>
    <t>B07P87CF6T</t>
  </si>
  <si>
    <t>B07P73FMNY</t>
  </si>
  <si>
    <t>B07P73847Z</t>
  </si>
  <si>
    <t>B07P73NDCT</t>
  </si>
  <si>
    <t>B07P733ZR6</t>
  </si>
  <si>
    <t>B07N68WN3J</t>
  </si>
  <si>
    <t>B07N6BLBRH</t>
  </si>
  <si>
    <t>B07P865PGN</t>
  </si>
  <si>
    <t>B07P74GYQ1</t>
  </si>
  <si>
    <t>B07P74LCZZ</t>
  </si>
  <si>
    <t>B07PCHZ4G7</t>
  </si>
  <si>
    <t>B07P673W6Y</t>
  </si>
  <si>
    <t>B07P739KYQ</t>
  </si>
  <si>
    <t>B07P74BTKR</t>
  </si>
  <si>
    <t>B07P667CM2</t>
  </si>
  <si>
    <t>B07P6726R2</t>
  </si>
  <si>
    <t>B07P744Y49</t>
  </si>
  <si>
    <t>B07N6BBGVL</t>
  </si>
  <si>
    <t>B07P73WGR4</t>
  </si>
  <si>
    <t>B07P666QLX</t>
  </si>
  <si>
    <t>B07P74H2GF</t>
  </si>
  <si>
    <t>B07P67228J</t>
  </si>
  <si>
    <t>B07P87GPY6</t>
  </si>
  <si>
    <t>B07P73D3NT</t>
  </si>
  <si>
    <t>B07P74KXRH</t>
  </si>
  <si>
    <t>B07P667CLY</t>
  </si>
  <si>
    <t>B07P673JML</t>
  </si>
  <si>
    <t>B07P672RQG</t>
  </si>
  <si>
    <t>B07N68MP1C</t>
  </si>
  <si>
    <t>B07P66JJGL</t>
  </si>
  <si>
    <t>B07P74JM8P</t>
  </si>
  <si>
    <t>B07P7569RS</t>
  </si>
  <si>
    <t>B07P72Q2MY</t>
  </si>
  <si>
    <t>B07P672C4T</t>
  </si>
  <si>
    <t>B07P74SV12</t>
  </si>
  <si>
    <t>B07P755LNQ</t>
  </si>
  <si>
    <t>B07P671CTW</t>
  </si>
  <si>
    <t>B07P86QR1H</t>
  </si>
  <si>
    <t>B07P754VHS</t>
  </si>
  <si>
    <t>B07P865PGK</t>
  </si>
  <si>
    <t>B07P87764B</t>
  </si>
  <si>
    <t>B07P7528VR</t>
  </si>
  <si>
    <t>B07P74G9QJ</t>
  </si>
  <si>
    <t>B07P66VWTN</t>
  </si>
  <si>
    <t>B07P84YKNT</t>
  </si>
  <si>
    <t>B07P6726RC</t>
  </si>
  <si>
    <t>B07P74W3PT</t>
  </si>
  <si>
    <t>B07P672V8D</t>
  </si>
  <si>
    <t>B07P74J3R3</t>
  </si>
  <si>
    <t>B07P86X6ZS</t>
  </si>
  <si>
    <t>B07P738VXR</t>
  </si>
  <si>
    <t>B07P755PZF</t>
  </si>
  <si>
    <t>B07P867QGF</t>
  </si>
  <si>
    <t>B07P73LP6K</t>
  </si>
  <si>
    <t>B07PHP5P8X</t>
  </si>
  <si>
    <t>B07PFHGWC2</t>
  </si>
  <si>
    <t>B07PJR64PB</t>
  </si>
  <si>
    <t>B07PDKM3B7</t>
  </si>
  <si>
    <t>B07PFHGPNJ</t>
  </si>
  <si>
    <t>B07PDKQKYR</t>
  </si>
  <si>
    <t>B07PHRCCHM</t>
  </si>
  <si>
    <t>B07PJQHG3K</t>
  </si>
  <si>
    <t>B07PHRVRQV</t>
  </si>
  <si>
    <t>B07PHRB147</t>
  </si>
  <si>
    <t>B07PFHHTGG</t>
  </si>
  <si>
    <t>B07PHRTSVN</t>
  </si>
  <si>
    <t>B07PJRGPG4</t>
  </si>
  <si>
    <t>B07PHR4JGD</t>
  </si>
  <si>
    <t>B07PFHH9VN</t>
  </si>
  <si>
    <t>B07PHP45J9</t>
  </si>
  <si>
    <t>B07PGN1V5C</t>
  </si>
  <si>
    <t>B07PHQ1KG3</t>
  </si>
  <si>
    <t>B07PHPRL7S</t>
  </si>
  <si>
    <t>B07PHL788L</t>
  </si>
  <si>
    <t>B07PGN1VBH</t>
  </si>
  <si>
    <t>B07PHQ814D</t>
  </si>
  <si>
    <t>B07PHQFBHK</t>
  </si>
  <si>
    <t>B07PJQ7QGM</t>
  </si>
  <si>
    <t>B07PDKPFKS</t>
  </si>
  <si>
    <t>B07PDKM7B7</t>
  </si>
  <si>
    <t>B07PHMV7SH</t>
  </si>
  <si>
    <t>B07PHRVQG9</t>
  </si>
  <si>
    <t>B07PHQCLSP</t>
  </si>
  <si>
    <t>B07PHR9D6C</t>
  </si>
  <si>
    <t>B07PJPZ2PR</t>
  </si>
  <si>
    <t>B07PDKPJG5</t>
  </si>
  <si>
    <t>B07PFHH31P</t>
  </si>
  <si>
    <t>B07PFHJJVX</t>
  </si>
  <si>
    <t>B07PDKQ6TQ</t>
  </si>
  <si>
    <t>B07PDKPL9W</t>
  </si>
  <si>
    <t>B07PGMZQWK</t>
  </si>
  <si>
    <t>B07PJQY9RS</t>
  </si>
  <si>
    <t>B07PFHH3JN</t>
  </si>
  <si>
    <t>B07PHPV2NC</t>
  </si>
  <si>
    <t>B07PFHFXN9</t>
  </si>
  <si>
    <t>B07PGN1M97</t>
  </si>
  <si>
    <t>B07PHRWHTR</t>
  </si>
  <si>
    <t>B07PHQCBPD</t>
  </si>
  <si>
    <t>B07PGN23KY</t>
  </si>
  <si>
    <t>B07PHR18YN</t>
  </si>
  <si>
    <t>B07PDKPGQF</t>
  </si>
  <si>
    <t>B07PGN22L9</t>
  </si>
  <si>
    <t>B07PDKQD62</t>
  </si>
  <si>
    <t>B07PHRWGJ8</t>
  </si>
  <si>
    <t>B07PFHH2NZ</t>
  </si>
  <si>
    <t>B07N6FQ2SC</t>
  </si>
  <si>
    <t>B07PHQ8DFB</t>
  </si>
  <si>
    <t>B07PGN2NY7</t>
  </si>
  <si>
    <t>B07PGMYW2K</t>
  </si>
  <si>
    <t>B07PHRWHTW</t>
  </si>
  <si>
    <t>B07PJS4DS6</t>
  </si>
  <si>
    <t>B07PDKPS2K</t>
  </si>
  <si>
    <t>B07PHQTFBD</t>
  </si>
  <si>
    <t>B07PFHHBBL</t>
  </si>
  <si>
    <t>B07PHRW915</t>
  </si>
  <si>
    <t>B07PFHH3JM</t>
  </si>
  <si>
    <t>B07N6DY3HS</t>
  </si>
  <si>
    <t>B07PDKQVF5</t>
  </si>
  <si>
    <t>B07PFHHCW1</t>
  </si>
  <si>
    <t>B07PHRFBVD</t>
  </si>
  <si>
    <t>B07PHR8YBH</t>
  </si>
  <si>
    <t>B07PDKMFCH</t>
  </si>
  <si>
    <t>B07PJS55HM</t>
  </si>
  <si>
    <t>B07PHPVH6K</t>
  </si>
  <si>
    <t>B07PHPRL7M</t>
  </si>
  <si>
    <t>B07PJQ8TQ4</t>
  </si>
  <si>
    <t>B07PDKQD61</t>
  </si>
  <si>
    <t>B07N6815RM</t>
  </si>
  <si>
    <t>B07PFHHJR6</t>
  </si>
  <si>
    <t>B07PGN1CYJ</t>
  </si>
  <si>
    <t>B07PHR18YM</t>
  </si>
  <si>
    <t>B07PHP51RY</t>
  </si>
  <si>
    <t>B07PFHHQFG</t>
  </si>
  <si>
    <t>B07PGMZJRX</t>
  </si>
  <si>
    <t>B07PHRW4HY</t>
  </si>
  <si>
    <t>B07PHRWLNC</t>
  </si>
  <si>
    <t>B07PHPY9R5</t>
  </si>
  <si>
    <t>B07PGLRBB6</t>
  </si>
  <si>
    <t>B07N6CQRSR</t>
  </si>
  <si>
    <t>B07PHPFFZ3</t>
  </si>
  <si>
    <t>B07PHNVXKW</t>
  </si>
  <si>
    <t>B07PHQS1RK</t>
  </si>
  <si>
    <t>B07PDKPYG1</t>
  </si>
  <si>
    <t>B07PGN1ZTS</t>
  </si>
  <si>
    <t>B07PDKQ3JH</t>
  </si>
  <si>
    <t>B07PHR87YF</t>
  </si>
  <si>
    <t>B07PGN2MH8</t>
  </si>
  <si>
    <t>B07PGN1P6C</t>
  </si>
  <si>
    <t>B07PHQPHFT</t>
  </si>
  <si>
    <t>B07N6DBZSX</t>
  </si>
  <si>
    <t>B07PGN246X</t>
  </si>
  <si>
    <t>B07PDKQFP9</t>
  </si>
  <si>
    <t>B07PDKQ2PX</t>
  </si>
  <si>
    <t>B07PHNVXKY</t>
  </si>
  <si>
    <t>B07PFHG2MF</t>
  </si>
  <si>
    <t>B07PHPRG88</t>
  </si>
  <si>
    <t>B07PGN1M99</t>
  </si>
  <si>
    <t>B07PHPFFZ1</t>
  </si>
  <si>
    <t>B07PJQCYSW</t>
  </si>
  <si>
    <t>B07PFHGRGB</t>
  </si>
  <si>
    <t>B07PHRQV73</t>
  </si>
  <si>
    <t>B07PGN1NC9</t>
  </si>
  <si>
    <t>B07PFHHKV1</t>
  </si>
  <si>
    <t>B07PGMZQWJ</t>
  </si>
  <si>
    <t>B07PGN1QR9</t>
  </si>
  <si>
    <t>B07PJR16PC</t>
  </si>
  <si>
    <t>B07PDKQ6TR</t>
  </si>
  <si>
    <t>B07PFHH3ZM</t>
  </si>
  <si>
    <t>B07PHNZN4T</t>
  </si>
  <si>
    <t>B07PHP5P8W</t>
  </si>
  <si>
    <t>B07PDKPTX7</t>
  </si>
  <si>
    <t>B07PHRJL5B</t>
  </si>
  <si>
    <t>B07PDKQ45J</t>
  </si>
  <si>
    <t>B07PHR9QBS</t>
  </si>
  <si>
    <t>B07PFHGX1B</t>
  </si>
  <si>
    <t>B07PGN1ZG8</t>
  </si>
  <si>
    <t>B07PDKP4LC</t>
  </si>
  <si>
    <t>B07PHRMTZQ</t>
  </si>
  <si>
    <t>B07PHR3TVZ</t>
  </si>
  <si>
    <t>B07PDKQ8BB</t>
  </si>
  <si>
    <t>B07PHRT61W</t>
  </si>
  <si>
    <t>B07PGMZJTS</t>
  </si>
  <si>
    <t>B07PHQCKLK</t>
  </si>
  <si>
    <t>B07PHRJL58</t>
  </si>
  <si>
    <t>B07PHRFBVB</t>
  </si>
  <si>
    <t>B07PJR21N8</t>
  </si>
  <si>
    <t>B07PHQMH6X</t>
  </si>
  <si>
    <t>B07PHQZLNN</t>
  </si>
  <si>
    <t>B07PHQTZ9M</t>
  </si>
  <si>
    <t>B07PDKQC8P</t>
  </si>
  <si>
    <t>B07PGN2XC3</t>
  </si>
  <si>
    <t>B07PGN28C8</t>
  </si>
  <si>
    <t>B07N67WBZ1</t>
  </si>
  <si>
    <t>B07PDKPTMX</t>
  </si>
  <si>
    <t>B07PHRDWLN</t>
  </si>
  <si>
    <t>B07PGN1N3Z</t>
  </si>
  <si>
    <t>B07PHRMZHL</t>
  </si>
  <si>
    <t>B07PGN1Z7N</t>
  </si>
  <si>
    <t>B07PHQQKSR</t>
  </si>
  <si>
    <t>B07PFHHTQ4</t>
  </si>
  <si>
    <t>B07N6GZMKD</t>
  </si>
  <si>
    <t>B07N6JJ4QT</t>
  </si>
  <si>
    <t>B07PFHG5TC</t>
  </si>
  <si>
    <t>B07PHQ5H39</t>
  </si>
  <si>
    <t>B07PDKPLXY</t>
  </si>
  <si>
    <t>B07PDKPLM5</t>
  </si>
  <si>
    <t>B07PGN2LXR</t>
  </si>
  <si>
    <t>B07N68QGKK</t>
  </si>
  <si>
    <t>B07PDKQL3Z</t>
  </si>
  <si>
    <t>B07PFHHWYS</t>
  </si>
  <si>
    <t>B07PDKPGBY</t>
  </si>
  <si>
    <t>B07PDKQN35</t>
  </si>
  <si>
    <t>B07PFHHPN4</t>
  </si>
  <si>
    <t>B07PHRMTZR</t>
  </si>
  <si>
    <t>B07PGN2VPR</t>
  </si>
  <si>
    <t>B07PHRV229</t>
  </si>
  <si>
    <t>B07PDKQ5N6</t>
  </si>
  <si>
    <t>B07PFHH4FL</t>
  </si>
  <si>
    <t>B07N688MR3</t>
  </si>
  <si>
    <t>B07PDKQRSF</t>
  </si>
  <si>
    <t>B07PDKQDDN</t>
  </si>
  <si>
    <t>B07PDKQSXS</t>
  </si>
  <si>
    <t>B07PHNMG2Z</t>
  </si>
  <si>
    <t>B07PHRFQTX</t>
  </si>
  <si>
    <t>B07PHRW2FM</t>
  </si>
  <si>
    <t>B07PHQ4VXQ</t>
  </si>
  <si>
    <t>B07PHRR4YG</t>
  </si>
  <si>
    <t>B07PJS3VBH</t>
  </si>
  <si>
    <t>B07PHRB149</t>
  </si>
  <si>
    <t>B07N68728R</t>
  </si>
  <si>
    <t>B07PJQB4NH</t>
  </si>
  <si>
    <t>B07PJQMWT5</t>
  </si>
  <si>
    <t>B07PGMZVQ7</t>
  </si>
  <si>
    <t>B07PJQ97FP</t>
  </si>
  <si>
    <t>B07PJR59RR</t>
  </si>
  <si>
    <t>B07PJQL64M</t>
  </si>
  <si>
    <t>B07PHRV31Q</t>
  </si>
  <si>
    <t>B07PGMGD2M</t>
  </si>
  <si>
    <t>B07PDKPGWZ</t>
  </si>
  <si>
    <t>B07PHPVHGM</t>
  </si>
  <si>
    <t>B07N6BX7D1</t>
  </si>
  <si>
    <t>B07PFHFYXT</t>
  </si>
  <si>
    <t>B07PFHHK55</t>
  </si>
  <si>
    <t>B07PJSZYYW</t>
  </si>
  <si>
    <t>B07PJR6HL1</t>
  </si>
  <si>
    <t>B07PGMZPRZ</t>
  </si>
  <si>
    <t>B07PHQZLNR</t>
  </si>
  <si>
    <t>B07N69MHGT</t>
  </si>
  <si>
    <t>B07PDKQKJJ</t>
  </si>
  <si>
    <t>B07PJQHV1G</t>
  </si>
  <si>
    <t>B07PJR6HKX</t>
  </si>
  <si>
    <t>B07PGN1CRG</t>
  </si>
  <si>
    <t>B07PJQZZY6</t>
  </si>
  <si>
    <t>B07PHRGW33</t>
  </si>
  <si>
    <t>B07PDKN946</t>
  </si>
  <si>
    <t>B07PJR61BW</t>
  </si>
  <si>
    <t>B07PHQLYZY</t>
  </si>
  <si>
    <t>B07PFHJFST</t>
  </si>
  <si>
    <t>B07N6D39DS</t>
  </si>
  <si>
    <t>B07PGMYW2J</t>
  </si>
  <si>
    <t>B07PDKPWYW</t>
  </si>
  <si>
    <t>B07PDKM3B8</t>
  </si>
  <si>
    <t>B07PFHHHX3</t>
  </si>
  <si>
    <t>B07PGN2VPX</t>
  </si>
  <si>
    <t>B07PHR1NJ1</t>
  </si>
  <si>
    <t>B07PHN7CYZ</t>
  </si>
  <si>
    <t>B07PGN16K6</t>
  </si>
  <si>
    <t>B07PHPBMGH</t>
  </si>
  <si>
    <t>B07PHRCX8F</t>
  </si>
  <si>
    <t>B07PHMRL59</t>
  </si>
  <si>
    <t>B07PHRDWLP</t>
  </si>
  <si>
    <t>B07PGN1KZR</t>
  </si>
  <si>
    <t>B07PHRSCKN</t>
  </si>
  <si>
    <t>B07PDKPS2J</t>
  </si>
  <si>
    <t>B07PHL788K</t>
  </si>
  <si>
    <t>B07N6LW3W4</t>
  </si>
  <si>
    <t>B07PGN246R</t>
  </si>
  <si>
    <t>B07PHQZ6HK</t>
  </si>
  <si>
    <t>B07PJQXX4S</t>
  </si>
  <si>
    <t>B07PGMZG7N</t>
  </si>
  <si>
    <t>B07PHQWN82</t>
  </si>
  <si>
    <t>B07PHQS5X8</t>
  </si>
  <si>
    <t>B07PHR3T7S</t>
  </si>
  <si>
    <t>B07PGN1VBJ</t>
  </si>
  <si>
    <t>B07PHRJJ2S</t>
  </si>
  <si>
    <t>B07PDKPS2L</t>
  </si>
  <si>
    <t>B07PFHHRJ1</t>
  </si>
  <si>
    <t>B07PGN1KZN</t>
  </si>
  <si>
    <t>B07PDKPTMY</t>
  </si>
  <si>
    <t>B07PGMYFRN</t>
  </si>
  <si>
    <t>B07PFHHBTG</t>
  </si>
  <si>
    <t>B07PHRJRLV</t>
  </si>
  <si>
    <t>B07PFHJHS2</t>
  </si>
  <si>
    <t>B07N687KJB</t>
  </si>
  <si>
    <t>B07PJR61BV</t>
  </si>
  <si>
    <t>B07PHNVXV1</t>
  </si>
  <si>
    <t>B07PHRBTDG</t>
  </si>
  <si>
    <t>B07PHRCVBZ</t>
  </si>
  <si>
    <t>B07PDKQT3S</t>
  </si>
  <si>
    <t>B07PFHHJBP</t>
  </si>
  <si>
    <t>B07PHRTSVR</t>
  </si>
  <si>
    <t>B07PHRVHB7</t>
  </si>
  <si>
    <t>B07PHQ814F</t>
  </si>
  <si>
    <t>B07PGN28KN</t>
  </si>
  <si>
    <t>B07PFHJ55M</t>
  </si>
  <si>
    <t>B07PHRV227</t>
  </si>
  <si>
    <t>B07PHQF7F7</t>
  </si>
  <si>
    <t>B07PDKPKQ4</t>
  </si>
  <si>
    <t>B07PHQZNZ8</t>
  </si>
  <si>
    <t>B07PHPLZPL</t>
  </si>
  <si>
    <t>B07PJRF8PS</t>
  </si>
  <si>
    <t>B07PJQC1D8</t>
  </si>
  <si>
    <t>B07PFHHJBQ</t>
  </si>
  <si>
    <t>B07PGN22L8</t>
  </si>
  <si>
    <t>B07PFHHCG7</t>
  </si>
  <si>
    <t>B07PJQXWCB</t>
  </si>
  <si>
    <t>B07PDKQQVF</t>
  </si>
  <si>
    <t>B07PFHGR23</t>
  </si>
  <si>
    <t>B07PJR6HKZ</t>
  </si>
  <si>
    <t>B07PGN1BBV</t>
  </si>
  <si>
    <t>B07PFHHSW7</t>
  </si>
  <si>
    <t>B07PDKQL3Y</t>
  </si>
  <si>
    <t>B07PHRVBC4</t>
  </si>
  <si>
    <t>B07PHRW5KS</t>
  </si>
  <si>
    <t>B07PFHFNM8</t>
  </si>
  <si>
    <t>B07PFHH7ZM</t>
  </si>
  <si>
    <t>B07PGMZX5T</t>
  </si>
  <si>
    <t>B07PHPSV9Q</t>
  </si>
  <si>
    <t>B07PFHFXNB</t>
  </si>
  <si>
    <t>B07PHQFWRD</t>
  </si>
  <si>
    <t>B07PHRX3LW</t>
  </si>
  <si>
    <t>B07PJQY9RQ</t>
  </si>
  <si>
    <t>B07PFHHS93</t>
  </si>
  <si>
    <t>B07PGN23KZ</t>
  </si>
  <si>
    <t>B07PJRJXJP</t>
  </si>
  <si>
    <t>B07PGN2PT6</t>
  </si>
  <si>
    <t>B07PHQCWYQ</t>
  </si>
  <si>
    <t>B07PFHH9VP</t>
  </si>
  <si>
    <t>B07PGN1QR4</t>
  </si>
  <si>
    <t>B07PDKQVF9</t>
  </si>
  <si>
    <t>B07PHNTHH1</t>
  </si>
  <si>
    <t>B07PHNZN4X</t>
  </si>
  <si>
    <t>B07PDKQR7Z</t>
  </si>
  <si>
    <t>B07PJNWVPK</t>
  </si>
  <si>
    <t>B07PJQ6Z97</t>
  </si>
  <si>
    <t>B07PHM3FWR</t>
  </si>
  <si>
    <t>B07PHRD9N3</t>
  </si>
  <si>
    <t>B07PJQQGC9</t>
  </si>
  <si>
    <t>B07PFHHT9Q</t>
  </si>
  <si>
    <t>B07PGMZG7P</t>
  </si>
  <si>
    <t>B07PFHHJR4</t>
  </si>
  <si>
    <t>B07PFHHJR3</t>
  </si>
  <si>
    <t>B07PGN2FC1</t>
  </si>
  <si>
    <t>B07PJQQGC8</t>
  </si>
  <si>
    <t>B07PGN1QG3</t>
  </si>
  <si>
    <t>B07PHRVGC1</t>
  </si>
  <si>
    <t>B07PHRWLNB</t>
  </si>
  <si>
    <t>B07PFHHV1G</t>
  </si>
  <si>
    <t>B07PHRCX8G</t>
  </si>
  <si>
    <t>B07PDKM7B6</t>
  </si>
  <si>
    <t>B07PDKPXYQ</t>
  </si>
  <si>
    <t>B07PFHHVZW</t>
  </si>
  <si>
    <t>B07PFHGWC7</t>
  </si>
  <si>
    <t>B07PGN22BG</t>
  </si>
  <si>
    <t>B07PHQXL9F</t>
  </si>
  <si>
    <t>B07PHQ9PD2</t>
  </si>
  <si>
    <t>B07PFHH28P</t>
  </si>
  <si>
    <t>B07PFHJ1QS</t>
  </si>
  <si>
    <t>B07PHRNMSB</t>
  </si>
  <si>
    <t>B07PFHHQL6</t>
  </si>
  <si>
    <t>B07PDKQQ4R</t>
  </si>
  <si>
    <t>B07PGN12FW</t>
  </si>
  <si>
    <t>B07PGN2TJ8</t>
  </si>
  <si>
    <t>B07PHQMH6W</t>
  </si>
  <si>
    <t>B07PHR24Z6</t>
  </si>
  <si>
    <t>B07PHRMDK4</t>
  </si>
  <si>
    <t>B07PGN1NRY</t>
  </si>
  <si>
    <t>B07PJQB4NJ</t>
  </si>
  <si>
    <t>B07N68PXB8</t>
  </si>
  <si>
    <t>B07PGN27Z4</t>
  </si>
  <si>
    <t>B07PHRVJ54</t>
  </si>
  <si>
    <t>B07PHQPTBJ</t>
  </si>
  <si>
    <t>B07PDKPHGB</t>
  </si>
  <si>
    <t>B07PHQCKLF</t>
  </si>
  <si>
    <t>B07PHPWJKP</t>
  </si>
  <si>
    <t>B07PGN1MR4</t>
  </si>
  <si>
    <t>B07PDKQ3BC</t>
  </si>
  <si>
    <t>B07PFHHQFD</t>
  </si>
  <si>
    <t>B07PFHJF9R</t>
  </si>
  <si>
    <t>B07N6DM5M7</t>
  </si>
  <si>
    <t>B07N681L4P</t>
  </si>
  <si>
    <t>B07PDKPRVB</t>
  </si>
  <si>
    <t>B07PFHHWYR</t>
  </si>
  <si>
    <t>B07PHQ3YM7</t>
  </si>
  <si>
    <t>B07PGMVRTY</t>
  </si>
  <si>
    <t>B07PFHGR6Z</t>
  </si>
  <si>
    <t>B07PJRZQH3</t>
  </si>
  <si>
    <t>B07PJR8899</t>
  </si>
  <si>
    <t>B07PHQ89HC</t>
  </si>
  <si>
    <t>B07PFHHL46</t>
  </si>
  <si>
    <t>B07PDKPW2N</t>
  </si>
  <si>
    <t>B07N6DT3JM</t>
  </si>
  <si>
    <t>B07PGMRHHM</t>
  </si>
  <si>
    <t>B07PGN1WTK</t>
  </si>
  <si>
    <t>B07PHQWN7Z</t>
  </si>
  <si>
    <t>B07PHQJBC3</t>
  </si>
  <si>
    <t>B07PHRPYSQ</t>
  </si>
  <si>
    <t>B07PJQBMQ1</t>
  </si>
  <si>
    <t>B07PDKPM5S</t>
  </si>
  <si>
    <t>B07PHRML7B</t>
  </si>
  <si>
    <t>B07PHQQNJZ</t>
  </si>
  <si>
    <t>B07N6DRSB9</t>
  </si>
  <si>
    <t>B07PHRML7D</t>
  </si>
  <si>
    <t>B07PJR1BHD</t>
  </si>
  <si>
    <t>B07PHQS1RL</t>
  </si>
  <si>
    <t>B07PGLTXY3</t>
  </si>
  <si>
    <t>B07PHR3JBF</t>
  </si>
  <si>
    <t>B07PHR4JGH</t>
  </si>
  <si>
    <t>B07PGN1QWL</t>
  </si>
  <si>
    <t>B07PJQP8XV</t>
  </si>
  <si>
    <t>B07PHRVSDK</t>
  </si>
  <si>
    <t>B07N68KN5C</t>
  </si>
  <si>
    <t>B07PHQQRNF</t>
  </si>
  <si>
    <t>B07PFHGR24</t>
  </si>
  <si>
    <t>B07PGLYBXY</t>
  </si>
  <si>
    <t>B07PFHGPNK</t>
  </si>
  <si>
    <t>B07PJRCR52</t>
  </si>
  <si>
    <t>B07PHRCKC6</t>
  </si>
  <si>
    <t>B07PGN19ZC</t>
  </si>
  <si>
    <t>B07N6H27J8</t>
  </si>
  <si>
    <t>B07PHQRM7V</t>
  </si>
  <si>
    <t>B07PFHGCLD</t>
  </si>
  <si>
    <t>B07PHRWJCW</t>
  </si>
  <si>
    <t>B07PFHGQF3</t>
  </si>
  <si>
    <t>B07PGMZQWL</t>
  </si>
  <si>
    <t>B07PFHHJY3</t>
  </si>
  <si>
    <t>B07PJR59RQ</t>
  </si>
  <si>
    <t>B07PHND45N</t>
  </si>
  <si>
    <t>B07PHQS9MB</t>
  </si>
  <si>
    <t>B07PHQ9NQC</t>
  </si>
  <si>
    <t>B07N6DM7WZ</t>
  </si>
  <si>
    <t>B07PJQXS8M</t>
  </si>
  <si>
    <t>B07PGN1V5B</t>
  </si>
  <si>
    <t>B07PDKPNLR</t>
  </si>
  <si>
    <t>B07PHQPHFR</t>
  </si>
  <si>
    <t>B07PHRFX2Z</t>
  </si>
  <si>
    <t>B07PHQJ8X1</t>
  </si>
  <si>
    <t>B07PHRMY7Y</t>
  </si>
  <si>
    <t>B07PHQFWR9</t>
  </si>
  <si>
    <t>B07PHRVSS9</t>
  </si>
  <si>
    <t>B07PJR26XP</t>
  </si>
  <si>
    <t>B07N6865RV</t>
  </si>
  <si>
    <t>B07PDKQDMK</t>
  </si>
  <si>
    <t>B07PDKQ6KK</t>
  </si>
  <si>
    <t>B07PHQZLNP</t>
  </si>
  <si>
    <t>B07PHQCLSS</t>
  </si>
  <si>
    <t>B07PFHHC1F</t>
  </si>
  <si>
    <t>B07PHNTHH2</t>
  </si>
  <si>
    <t>B07PDKPX2G</t>
  </si>
  <si>
    <t>B07PDKQBN9</t>
  </si>
  <si>
    <t>B07PFHHR79</t>
  </si>
  <si>
    <t>B07PFHHCW3</t>
  </si>
  <si>
    <t>B07N68MP18</t>
  </si>
  <si>
    <t>B07PGN1QR3</t>
  </si>
  <si>
    <t>B07PJR8GP1</t>
  </si>
  <si>
    <t>B07PHPX24L</t>
  </si>
  <si>
    <t>B07P6732K2</t>
  </si>
  <si>
    <t>B07P7561NB</t>
  </si>
  <si>
    <t>B07P74TL98</t>
  </si>
  <si>
    <t>B07P74KXRJ</t>
  </si>
  <si>
    <t>B07P73Z88N</t>
  </si>
  <si>
    <t>B07P86911Y</t>
  </si>
  <si>
    <t>B07N6D8VKH</t>
  </si>
  <si>
    <t>B07P734755</t>
  </si>
  <si>
    <t>B07P74QMDD</t>
  </si>
  <si>
    <t>B07P749CCC</t>
  </si>
  <si>
    <t>B07P87141V</t>
  </si>
  <si>
    <t>B07P748NZV</t>
  </si>
  <si>
    <t>B07P73TWQH</t>
  </si>
  <si>
    <t>B07P74QH8M</t>
  </si>
  <si>
    <t>B07P896NBT</t>
  </si>
  <si>
    <t>B07P73MGM5</t>
  </si>
  <si>
    <t>B07P73BQZ8</t>
  </si>
  <si>
    <t>B07N68WXTL</t>
  </si>
  <si>
    <t>B07P66YJH6</t>
  </si>
  <si>
    <t>B07P75533R</t>
  </si>
  <si>
    <t>B07P65R1KJ</t>
  </si>
  <si>
    <t>B07P737PPG</t>
  </si>
  <si>
    <t>B07P744YVR</t>
  </si>
  <si>
    <t>B07PCGT6KL</t>
  </si>
  <si>
    <t>B07P868VGW</t>
  </si>
  <si>
    <t>B07PBTZPKW</t>
  </si>
  <si>
    <t>B07PCNHB8S</t>
  </si>
  <si>
    <t>B07P7FQKQ6</t>
  </si>
  <si>
    <t>B07NCTMTV7</t>
  </si>
  <si>
    <t>B07NCXXSLJ</t>
  </si>
  <si>
    <t>B07NCXH1FK</t>
  </si>
  <si>
    <t>B00XHS2GSG</t>
  </si>
  <si>
    <t>B07SXGSV37</t>
  </si>
  <si>
    <t>B07V6GS1SZ</t>
  </si>
  <si>
    <t>B08DXPSWJD</t>
  </si>
  <si>
    <t>B07MZ5DJDW</t>
  </si>
  <si>
    <t>B07N69MHGS</t>
  </si>
  <si>
    <t>B07N6GSGYS</t>
  </si>
  <si>
    <t>B07N61JD5B</t>
  </si>
  <si>
    <t>B07P74NVGS</t>
  </si>
  <si>
    <t>B07PHP71GS</t>
  </si>
  <si>
    <t>B07P753GGS</t>
  </si>
  <si>
    <t>NOT IN STOCK</t>
  </si>
  <si>
    <t>Sum of Ads</t>
  </si>
  <si>
    <t>Sum of Sponsored products (PPC)</t>
  </si>
  <si>
    <t>Sum of Sponsored Display</t>
  </si>
  <si>
    <t>Sum of Sponsored Brands Video</t>
  </si>
  <si>
    <t>Sum of Amazon fees</t>
  </si>
  <si>
    <t>TOTAL</t>
  </si>
  <si>
    <t>Sum of Gross profit</t>
  </si>
  <si>
    <t>Product</t>
  </si>
  <si>
    <t>Units</t>
  </si>
  <si>
    <t>Refunds</t>
  </si>
  <si>
    <t>Sales</t>
  </si>
  <si>
    <t>Promo</t>
  </si>
  <si>
    <t>Ads</t>
  </si>
  <si>
    <t>Sponsored products (PPC)</t>
  </si>
  <si>
    <t>Sponsored Display</t>
  </si>
  <si>
    <t>Sponsored brands (HSA)</t>
  </si>
  <si>
    <t>Sponsored Brands Video</t>
  </si>
  <si>
    <t>Google
ads</t>
  </si>
  <si>
    <t>Facebook
ads</t>
  </si>
  <si>
    <t>% Refunds</t>
  </si>
  <si>
    <t>Sellable Quota</t>
  </si>
  <si>
    <t>Refund сost</t>
  </si>
  <si>
    <t>Amazon fees</t>
  </si>
  <si>
    <t>Cost of Goods</t>
  </si>
  <si>
    <t>Gross profit</t>
  </si>
  <si>
    <t>Net profit</t>
  </si>
  <si>
    <t>Expenses</t>
  </si>
  <si>
    <t>Margin</t>
  </si>
  <si>
    <t>ROI</t>
  </si>
  <si>
    <t>BSR</t>
  </si>
  <si>
    <t>Real ACOS</t>
  </si>
  <si>
    <t>Account</t>
  </si>
  <si>
    <t>Tibetan Copper Bracelets Magnetic India Pattern Women's Men's Spiritual Yoga Jewelry Copper bracelet copper bracelet for men copper bracelets for women cobre bracelet cobre pulsera mujer
COG: 0 / Price: 13.1</t>
  </si>
  <si>
    <t>PK</t>
  </si>
  <si>
    <t>Spell Candles (80 Candles) - One Shipping Charge! (Multi-Colored)
COG: 0 / Price: 17.49</t>
  </si>
  <si>
    <t>Cosynee Washing Machine Cleaner Descaler 24 Pack - Washer Cleaner Tub Deep Cleaning Tabs For Front Loader And Top Load Household, Clean Inside Drum And Laundry Tub Seal Laundry Supplies Descaler Deodorizer Odor Remover
COG: 0 / Price: 10.99</t>
  </si>
  <si>
    <t>Shalinindia Handmade Indian Gold Beaded Napkin Rings - Set of 6 Rings
COG: 0 / Price: 11.45</t>
  </si>
  <si>
    <t>Cosynee - Spell Candles (40 Candles) - One Shipping Charge (Multi)
COG: 0 / Price: 9.99</t>
  </si>
  <si>
    <t>ShalinIndia Handmade Indian Stainless Steel &amp; Copper Serving Spoon Set of 2 - Genuine Copper Dinnerware Serving Pieces
COG: 0 / Price: 12.99</t>
  </si>
  <si>
    <t>Shalinindia Beaded Napkin Rings Set of 6 Silver Decorations Christmas Ornaments
COG: 0 / Price: 10.99</t>
  </si>
  <si>
    <t>Ladyrobyn Candles 100 pcs Unscented Assorted Colors Taper Candle 4 Inch Tall x 1/2 Inch Diameter Great for Casting Chimes Rituals Spells Vigil Witchcraft Wiccan Supplies Wax Play More Spell Candles
COG: 0 / Price: 23.99</t>
  </si>
  <si>
    <t>Cosynee 10 x Mix Vintage Look Flower Ceramic Knobs Door Handle Cabinet Drawer Cupboard Pull Mandala
COG: 0 / Price: 16.6</t>
  </si>
  <si>
    <t>cosynee Healing Gemstone Rune Stones with Pouch (Amethyst)
COG: 0 / Price: 11.55</t>
  </si>
  <si>
    <t>Shiny Self Inking Rubber Date Stamp, PAID, Red Ink (S-303)
COG: 0 / Price: 7.99</t>
  </si>
  <si>
    <t>Shalinindia Set of 6 Snow Flake Christmas Home Birthday Party Wedding Decor Ornaments - Handmade Decoration Gifts Set
COG: 0 / Price: 25.99</t>
  </si>
  <si>
    <t>cosynee Handmade Wooden Tic Tac Toe Game Traveling Board Game Great Gifts for All Occasions
COG: 0 / Price: 15.99</t>
  </si>
  <si>
    <t>Shiny Self-Inking Rubber Date Stamp - FAXED - S-303 - RED INK (42511-R-FAXED) by Shiny
COG: 0 / Price: 13.99</t>
  </si>
  <si>
    <t>Shalinindia Handmade Snowflake Iron and Glass Pendant Christmas Ornaments, 6 Inches
COG: 0 / Price: 25.99</t>
  </si>
  <si>
    <t>Handcrafted Indian Wooden Labyrinth Ball Maze Puzzle Game &amp; Decoration
COG: 0 / Price: 7.95</t>
  </si>
  <si>
    <t>Spell Candles (40 Candles) - One Shipping Charge!
COG: 0 / Price: 10</t>
  </si>
  <si>
    <t>Shiny Self-Inking Rubber Date Stamp - Received - S-303 - RED Ink (42511-R-RECEIVED)
COG: 0 / Price: 9.1</t>
  </si>
  <si>
    <t>Cosynee Shilajit 400mg - 6 Capsules - Pure Shilajit Extract Supplement and Powder Complex Pills - Natural Humic &amp; Plant Derived Fulvic Minerals for Metabolism, Strength and Immune System Support (6)
COG: 0 / Price: 9.99</t>
  </si>
  <si>
    <t>Spell Candles (40 Candles) - One Shipping Charge!
COG: 0 / Price: 9.3</t>
  </si>
  <si>
    <t>KU-AC7G-01XT</t>
  </si>
  <si>
    <t>Candile</t>
  </si>
  <si>
    <t>SKPR  CNLD -5</t>
  </si>
  <si>
    <t>Ladyrobyn Candles 100 pcs Unscented Assorted Colors Taper Candle 4 Inch Tall x 1/2 Inch Diameter Great for Casting Chimes Rituals Spells Vigil Witchcraft Wiccan Supplies Wax Play More Spell Candles
COG: 0 / Price: 30</t>
  </si>
  <si>
    <t>CANDLEUSA-CNDL-PACK-100</t>
  </si>
  <si>
    <t>Ladyrobyn Candles 100 pcs Unscented Assorted Colors Taper Candle 4 Inch Tall x 1/2 Inch Diameter Great for Casting Chimes Rituals Spells Vigil Witchcraft Wiccan Supplies Wax Play More Spell Candles</t>
  </si>
  <si>
    <t>Tibetan Copper Bracelets Magnetic India Pattern Women's Men's Spiritual Yoga Jewelry Copper bracelet copper bracelet for men copper bracelets for women cobre bracelet cobre pulsera mujer
COG: 0 / Price: 14.99</t>
  </si>
  <si>
    <t>MS US JWL-BCL-0044</t>
  </si>
  <si>
    <t>MS</t>
  </si>
  <si>
    <t>Spell Candles (40 Candles) - One Shipping Charge!
COG: 0 / Price: 9.99</t>
  </si>
  <si>
    <t>MS 40 Mix Candles</t>
  </si>
  <si>
    <t>Cosynee - Triple Moon Pentacle Copper 3", for Altar, Ritual use, Incense Burner, smudging, Decoration, offering Bowl, 3" Diameter 2" Height,
COG: 0 / Price: 12.55</t>
  </si>
  <si>
    <t>MS US RUNE -2</t>
  </si>
  <si>
    <t>Cosynee Natural Crystal Pendulum 12 Facet Reiki Charged (Rose Quartz)
COG: 0 / Price: 6.6</t>
  </si>
  <si>
    <t>cosynee Healing Gemstone Rune Stones with Pouch (Blood Stone)
COG: 0 / Price: 12.55</t>
  </si>
  <si>
    <t>cosynee Healing Gemstone Rune Stones with Pouch (Opolite)
COG: 0 / Price: 13.3</t>
  </si>
  <si>
    <t>cosynee Healing Gemstone Rune Stones with Pouch (Labradorite)
COG: 0 / Price: 12.55</t>
  </si>
  <si>
    <t>Cosynee Natural Amethyst Pendulum Crystal Dowsing rods amatista cuarzo Pendulums for Divination Pendulum Crystal Piedra amatista 12 Facet Reiki Charged (Amethyst)
COG: 0 / Price: 7.3</t>
  </si>
  <si>
    <t>cosynee Healing Gemstone Rune Stones with Pouch (Blue Onyx)
COG: 0 / Price: 11.55</t>
  </si>
  <si>
    <t>ShalinIndia Handmade Indian Stainless Steel &amp; Copper Serving Spoon Set of 2 - Genuine Copper Dinnerware Serving Pieces
COG: 0 / Price: 14.99</t>
  </si>
  <si>
    <t>MS USA SPOON -1</t>
  </si>
  <si>
    <t>cosynee Healing Gemstone Rune Stones with Pouch (Moon Stone)
COG: 0 / Price: 12.55</t>
  </si>
  <si>
    <t>cosynee Healing Gemstone Rune Stones with Pouch (Black Agate)
COG: 0 / Price: 10.55</t>
  </si>
  <si>
    <t>cosynee Healing Gemstone Rune Stones with Pouch (Lapis Lazuli)
COG: 0 / Price: 14.55</t>
  </si>
  <si>
    <t>cosynee Healing Gemstone Rune Stones with Pouch (Clear Quartz)
COG: 0 / Price: 12.55</t>
  </si>
  <si>
    <t>Cosynee Natural Crystal Pendulum 12 Facet Reiki Charged (Gold Metal)
COG: 0 / Price: 5.75</t>
  </si>
  <si>
    <t>cosynee Healing Gemstone Rune Stones with Pouch (Tiger Eye)
COG: 0 / Price: 14.55</t>
  </si>
  <si>
    <t>Cosynee Natural Stone Hexagonal Chakra Gemstone (Lapiz Lazuli)
COG: 0 / Price: 7.3</t>
  </si>
  <si>
    <t>cosynee Healing Gemstone Rune Stones with Pouch (Multi)
COG: 0 / Price: 10.99</t>
  </si>
  <si>
    <t>Opalite Merkaba Star "Stone of Eternity" Energy Healing Meditation Tool Sacred Geometry Tetrahedron Crystal Gemstone Altar Decor Spiritual Gifts
COG: 0 / Price: 7.95</t>
  </si>
  <si>
    <t>cosynee Healing Gemstone Rune Stones with Pouch (Tigereye)
COG: 0 / Price: 14.55</t>
  </si>
  <si>
    <t>1 X Cotton Muslin Bags 3x4 Inch Drawstring 50 Count Pack
COG: 0 / Price: 9.89</t>
  </si>
  <si>
    <t>cosynee Healing Gemstone Rune Stones with Pouch (Red Jasper)
COG: 0 / Price: 12.55</t>
  </si>
  <si>
    <t>cosynee Healing Gemstone Rune Stones with Pouch (Amazonite)
COG: 0 / Price: 12.55</t>
  </si>
  <si>
    <t>Cosynee Natural Stone Hexagonal Chakra Gemstone (Clear Quartz)
COG: 0 / Price: 7.3</t>
  </si>
  <si>
    <t>Cosynee Natural Crystal Pendulum Reiki Charged (Opalite)
COG: 0 / Price: 5.5</t>
  </si>
  <si>
    <t>cosynee Healing Gemstone Rune Stones with Pouch (Green Jade)
COG: 0 / Price: 12.55</t>
  </si>
  <si>
    <t>cosynee Healing Gemstone Rune Stones with Pouch (Hematite)
COG: 0 / Price: 14.55</t>
  </si>
  <si>
    <t>Cosynee Natural Crystal Pendulum Reiki Charged (Labradorite)
COG: 0 / Price: 5.17</t>
  </si>
  <si>
    <t>cosynee Healing Gemstone Rune Stones with Pouch (Sunstone)
COG: 0 / Price: 11.55</t>
  </si>
  <si>
    <t>cosynee Healing Gemstone Rune Stones with Pouch (Rose Quartz)
COG: 0 / Price: 12.55</t>
  </si>
  <si>
    <t>cosynee Healing Gemstone Rune Stones with Pouch (Carnelian)
COG: 0 / Price: 8.55</t>
  </si>
  <si>
    <t>Cosynee Natural Crystal Pendulum Reiki Charged (Amazonite)
COG: 0 / Price: 6.1</t>
  </si>
  <si>
    <t>Cosynee Natural Clear Quartz Gemstone Crystal Pendant Pendulums
COG: 0 / Price: 4.5</t>
  </si>
  <si>
    <t>"Ordered" Color- Red Colop Printer 20 Self-Inking Text Rubber Stamp Office Stationary Stamps
COG: 0 / Price: 8</t>
  </si>
  <si>
    <t>cosynee Healing Gemstone Rune Stones with Pouch (White Agate)
COG: 0 / Price: 12.55</t>
  </si>
  <si>
    <t>Cosynee Natural Crystal Pendulum 12 Facet Reiki Charged (Golden Spiral Metal)
COG: 0 / Price: 5</t>
  </si>
  <si>
    <t>STAMPRESSION MR. &amp; MRS Wedding Theme Cake Topper Customize Wedding Cake Topper Golden Glitter Cake Topper with Acrylic Stake Cake Decoration
COG: 0 / Price: 7.99</t>
  </si>
  <si>
    <t>Cosynee Selenite Small Sticks- Wands Premium Hand-Sorted, Reiki, Chakra, Good Luck, Healing, Protection Grids, Good Luck, Positive Energy, Brand6 to 8.5 Inches Long, 1 to 2 inches Wide
COG: 0 / Price: 9.99</t>
  </si>
  <si>
    <t>Cosynee Chakra Stacked Layered Healing Heart Crystal Dowsing Divination Pendulum
COG: 0 / Price: 7</t>
  </si>
  <si>
    <t>Cosynee Natural Crystal Pendulum 12 Facet Reiki Charged (Silver Spiral Metal)
COG: 0 / Price: 7.6</t>
  </si>
  <si>
    <t>Playing Cards, Poker Size Standard Index, Decks of Cards, for Blackjack, Euchre, Canasta Card Game, Casino Grade (2 Decks of Cards), Red
COG: 0 / Price: 5.09</t>
  </si>
  <si>
    <t>Cosynee Natural Crystal Pendulum 12 Facet Reiki Charged (Gold Metal Heavy)
COG: 0 / Price: 7</t>
  </si>
  <si>
    <t>cosynee Healing Gemstone Rune Stones with Pouch (Yellow Aventurine)
COG: 0 / Price: 12.55</t>
  </si>
  <si>
    <t>Cosynee Silver Metal Pendulum Healing Dowsing Metaphysical Spiritual
COG: 0 / Price: 5.75</t>
  </si>
  <si>
    <t>Entered QUICK BOOKS -Color-Blue- Shiny S-842 Self-Inking Clear Print Text Rubber Stamp Office Stationary Stamps
COG: 0 / Price: 8</t>
  </si>
  <si>
    <t>Cosynee Natural Crystal Pendulum 12 Facet Reiki Charged (Multi Stone with Turquoise)
COG: 0 / Price: 7.3</t>
  </si>
  <si>
    <t>"Ordered" Color- Red Shiny S-842 Self-Inking Clear Print Text Rubber Stamp Office Stationary Stamps
COG: 0 / Price: 8</t>
  </si>
  <si>
    <t>"Denied" Color- Red Shiny S-842 Self-Inking Clear Print Text Rubber Stamp Office Stationary Stamps
COG: 0 / Price: 8</t>
  </si>
  <si>
    <t>cosynee Reiki Healing Stone Tree for Balancing, Spiritual Meditation Home Interior Office Decor (Black Tourmaline, Silver Wired)
COG: 0 / Price: 12</t>
  </si>
  <si>
    <t>"Clients Copy" Color- Red Colop Printer 20 Self-Inking Text Rubber Stamp Office Stationary Stamps
COG: 0 / Price: 8</t>
  </si>
  <si>
    <t>"Received" Color- Red Shiny S-842 Self-Inking Clear Print Text Rubber Stamp Office Stationary Stamps
COG: 0 / Price: 8</t>
  </si>
  <si>
    <t>Cosynee Natural Crystal Pendulum Reiki Charged (Moonstone)
COG: 0 / Price: 6</t>
  </si>
  <si>
    <t>TOP Secret" Color- Red Shiny S-842 Self-Inking Clear Print Text Rubber Stamp Office Stationary Stamps
COG: 0 / Price: 8</t>
  </si>
  <si>
    <t>STAMPRESSION Happy Birthday Birthday Cake Topper Customize Cake Topper Silver Glitter Cake Topper with Acrylic Stake Cake Decoration
COG: 0 / Price: 7.99</t>
  </si>
  <si>
    <t>cosynee Reiki Healing Stone Tree for Balancing, Spiritual Meditation Home Interior Office Decor (Lapis Lazuli, Gold Wired)
COG: 0 / Price: 12.99</t>
  </si>
  <si>
    <t>Cosynee Natural Crystal Pendulum Reiki Charged (Red Jasper)
COG: 0 / Price: 6</t>
  </si>
  <si>
    <t>Cosynee Natural Crystal Pendulum 12 Facet Reiki Charged (Pink)
COG: 0 / Price: 2</t>
  </si>
  <si>
    <t>COLOP Printer 50 Self-Inking Text Stamp Office Stationary with Text"Direct Deposit Via Account Holder" Color- Red
COG: 0 / Price: 18</t>
  </si>
  <si>
    <t>"Final Notice" Color- Red Shiny S-843 Self-Inking Clear Print Text Rubber Stamp Office Stationary Stamps
COG: 0 / Price: 8</t>
  </si>
  <si>
    <t>Stampression Self Inking Colop S120, 16 Digit Number Rubber Dater Stamp with Blue Ink
COG: 0 / Price: 8</t>
  </si>
  <si>
    <t>cosynee Reiki Healing Stone Tree for Balancing, Spiritual Meditation Home Interior Office Decor (Green Aventurine, Silver Wired)
COG: 0 / Price: 16.99</t>
  </si>
  <si>
    <t>COLOP Printer 20 Self-Inking Text Stamp Office Stationary with Text"Direct Deposit VIA Account Holder" Color- Black
COG: 0 / Price: 8</t>
  </si>
  <si>
    <t>COLOP Printer 50 Self-Inking Text Stamp Office Stationary with Text"Direct Deposit Via Account Holder" Color- Black
COG: 0 / Price: 15</t>
  </si>
  <si>
    <t>COLOP Printer 20 Self-Inking Text Stamp Office Stationary with Text"Direct Deposit VIA Account Holder" Color- Blue
COG: 0 / Price: 8</t>
  </si>
  <si>
    <t>COLOP Printer 50 Self-Inking Text Stamp Office Stationary with Text"Direct Deposit Via Account Holder" Color- Blue
COG: 0 / Price: 15</t>
  </si>
  <si>
    <t>COLOP Printer 30 Self-Inking Text Stamp Office Stationary with Text"Direct Deposit Via Account Holder" Color- Red
COG: 0 / Price: 18</t>
  </si>
  <si>
    <t>COLOP Printer 50 Self-Inking Text Stamp Office Stationary with Text"for Information ONLY" Color- Red
COG: 0 / Price: 22</t>
  </si>
  <si>
    <t>"Void" Color- Red Colop Printer 20 Self-Inking Text Rubber Stamp Office Stationary Stamps
COG: 0 / Price: 8</t>
  </si>
  <si>
    <t>Void Color- Red Colop Printer 20 Self-Inking Text Rubber Stamp Office Stationary Stamps</t>
  </si>
  <si>
    <t>"TOP Secret" Color- Red Colop Printer 20 Self-Inking Text Rubber Stamp Office Stationary Stamps
COG: 0 / Price: 8</t>
  </si>
  <si>
    <t>"DEPOSITED" Color- Red Colop Printer 20 Self-Inking Text Rubber Stamp Office Stationary Stamps
COG: 0 / Price: 8</t>
  </si>
  <si>
    <t>DEPOSITED Color- Red Colop Printer 20 Self-Inking Text Rubber Stamp Office Stationary Stamps</t>
  </si>
  <si>
    <t>"Copy" Color- Red Colop Printer 20 Self-Inking Text Rubber Stamp Office Stationary Stamps
COG: 0 / Price: 8</t>
  </si>
  <si>
    <t>Copy Color- Red Colop Printer 20 Self-Inking Text Rubber Stamp Office Stationary Stamps</t>
  </si>
  <si>
    <t>"Please Sign and Return" Color- Red Shiny S-842 Self-Inking Clear Print Text Rubber Stamp Office Stationary Stamps
COG: 0 / Price: 8</t>
  </si>
  <si>
    <t>"Void" Color- Red Shiny S-842 Self-Inking Clear Print Text Rubber Stamp Office Stationary Stamps
COG: 0 / Price: 8</t>
  </si>
  <si>
    <t>"Incomplete Homework" Teacher Stamp - Shiny S 852 Teachers Stuff with Violet Color Ink
COG: 0 / Price: 8.99</t>
  </si>
  <si>
    <t>Stampression Self Inking Colop S120, 16 Digit Number Rubber Dater Stamp with Black Ink
COG: 0 / Price: 8</t>
  </si>
  <si>
    <t>Stampression Self Inking Colop S120, 13 Digit Number Rubber Dater Stamp with Red Ink
COG: 0 / Price: 8</t>
  </si>
  <si>
    <t>Stampression Self Inking Colop S120, 13 Digit Number Rubber Dater Stamp with Black Ink
COG: 0 / Price: 8</t>
  </si>
  <si>
    <t>Ozynee Ruby Fuchsite Healing Natural Crystal Gemstone Sphere Ball Reiki Balancing Spiritual Gift Table Décor
COG: 0 / Price: 20.99</t>
  </si>
  <si>
    <t>STAMPRESSION Merry Christmas Theme Cake Topper Premium Quality Wooden Golden Glitter Cake Topper with Acrylic Stick Cake Decoration
COG: 0 / Price: 5.99</t>
  </si>
  <si>
    <t>STAMPRESSION Happy Birthday Beautiful Birthday Theme Cake Topper Customize Cake Topper Silver Glitter Cake Topper with Acrylic Stake Cake Decoration
COG: 0 / Price: 5.49</t>
  </si>
  <si>
    <t xml:space="preserve">
COG: 0 / Price: 6</t>
  </si>
  <si>
    <t>ShalinIndia Handmade Indian Stainless Steel &amp; Copper Serving Spoon Set of 2 - Genuine Copper Dinnerware Serving Pieces
COG: 0 / Price: 0</t>
  </si>
  <si>
    <t>MS 2 Brass Spoons</t>
  </si>
  <si>
    <t>STAMPRESSION Merry Christmas Theme Cake Topper Premium Quality Wooden Silver Glitter Cake Topper with Acrylic Stick Cake Decoration
COG: 0 / Price: 5.99</t>
  </si>
  <si>
    <t>"HAPPY BIRTHDAY" Birthday Theme Cake Topper Customize Cake Topper Silver Glitter Cake Topper With Acrylic Stake Cake Decoration
COG: 0 / Price: 12.99</t>
  </si>
  <si>
    <t>∞</t>
  </si>
  <si>
    <t xml:space="preserve">
COG: 0 / Price: 0</t>
  </si>
  <si>
    <t xml:space="preserve">
COG: 0 / Price: 5.5</t>
  </si>
  <si>
    <t>cosynee Healing Gemstone Rune Stones with Pouch (Amethyst)
COG: 0 / Price: 0</t>
  </si>
  <si>
    <t>GS US RUNE -2</t>
  </si>
  <si>
    <t>cosynee Healing Gemstone Rune Stones with Pouch (Lapis Lazuli)
COG: 0 / Price: 0</t>
  </si>
  <si>
    <t>MS US RUNE -19</t>
  </si>
  <si>
    <t>cosynee Reiki Healing Stone Tree for Balancing, Spiritual Meditation Home Interior Office Decor (Tiger Eye, Silver Wired)
COG: 0 / Price: 11.99</t>
  </si>
  <si>
    <t>cosynee Reiki Healing Stone Tree for Balancing, Spiritual Meditation Home Interior Office Decor (Red Carnalian, Gold Wired)
COG: 0 / Price: 11.99</t>
  </si>
  <si>
    <t>cosynee Reiki Healing Stone Tree for Balancing, Spiritual Meditation Home Interior Office Decor (Clear Quartz, Gold Wired)
COG: 0 / Price: 11.99</t>
  </si>
  <si>
    <t>Cosynee Natural Crystal Pendulum Reiki Charged (White Agate)
COG: 0 / Price: 6</t>
  </si>
  <si>
    <t>Spell Candles (40 Candles) - One Shipping Charge!
COG: 0 / Price: 9.5</t>
  </si>
  <si>
    <t>GS US CNDL -1</t>
  </si>
  <si>
    <t>GS</t>
  </si>
  <si>
    <t>Ladyrobyn Candles 100 pcs Unscented Assorted Colors Taper Candle 4 Inch Tall x 1/2 Inch Diameter Great for Casting Chimes Rituals Spells Vigil Witchcraft Wiccan Supplies Wax Play More Spell Candles
COG: 0 / Price: 21.98</t>
  </si>
  <si>
    <t>CANDLES-PACK100</t>
  </si>
  <si>
    <t>ShalinIndia 3 in One Wooden 3D Puzzle Games Set Teens and Adults Includes Wood Interlocking Blocks Diagonal Burr and Snake Cube in Storage Box
COG: 0 / Price: 16.6</t>
  </si>
  <si>
    <t>GS USA JWL-BCL-0044</t>
  </si>
  <si>
    <t>Set of 4 Tibetan Copper Bracelets Magnetic India Pattern Women's Men's Spiritual Yoga Jewelry (Style -1)</t>
  </si>
  <si>
    <t>GS US BOWL -17</t>
  </si>
  <si>
    <t>Handcrafted Indian Wooden Labyrinth Ball Maze Puzzle Game &amp; Decoration
COG: 0 / Price: 9.7</t>
  </si>
  <si>
    <t>GS USA WOODEN -6</t>
  </si>
  <si>
    <t>Shalinindia Handcrafted Table Dinner Decorations Wooden Napkin Rings Set of 6 for Party Decor
COG: 0 / Price: 8.99</t>
  </si>
  <si>
    <t>cosynee Cabinet Knobs Drawer Pulls Dresser Knobs Drawer Knobs Kitchen Cabinet Knobs Assorted Drawer Knobs (Set -20)
COG: 0 / Price: 24.49</t>
  </si>
  <si>
    <t>Cosynee - Cotton Drawstring Muslin Bags, 2.75" X 4" - Pack of 50
COG: 0 / Price: 9.1</t>
  </si>
  <si>
    <t>Shalinindia Artisan Crafted Dinner Table Decorations Wood Napkin Rings Set of 8 for Wedding Party
COG: 0 / Price: 12.8</t>
  </si>
  <si>
    <t>NEW Soapstone Scrying and Smudge Bowl (Scrying - Bowls &amp; Mirrors)
COG: 0 / Price: 19.2</t>
  </si>
  <si>
    <t>100% Natural Pumice Stone for FEET-Dead Skin Remover for Body-Foot Scrubber Foot Scraper for Dead Skin Remover for feet-Foot Scrub-Foot Care-Foot Callus Eliminator-Foot Pumice Stone-calusses Remover
COG: 0 / Price: 7.9</t>
  </si>
  <si>
    <t>Shalinindia Set of 6 Snow Flake Christmas Home Birthday Party Wedding Decor Ornaments - Handmade Decoration Gifts Set
COG: 0 / Price: 39.99</t>
  </si>
  <si>
    <t>GS US SSF -1</t>
  </si>
  <si>
    <t>Set of 6 Handmade Snowflake Iron Glass and Plastic Beads Pendant Christmas Ornaments, 6 Inches</t>
  </si>
  <si>
    <t>COSYNEE - 1 Piece of 32 inch Multi-Surface Sturdy Outdoor Authentic Coconut Leaf Broom Asian Heavy Duty Broom Natural Coconut Leaf Broom (Country Rustic)
COG: 0 / Price: 21.9</t>
  </si>
  <si>
    <t>Shalinindia Indian Coin Bank Money Saving Box - Banks for Kids &amp; Adults - Wood Vacation Piggy Bank
COG: 0 / Price: 17.5</t>
  </si>
  <si>
    <t>Shalinindia Games Solitaire Board In Wood With Glass Marbles
COG: 0 / Price: 22.2</t>
  </si>
  <si>
    <t>Cosynee Natural Crystal Pendulum 12 Facet Reiki Charged (Gold Metal Heavy)
COG: 0 / Price: 4.69</t>
  </si>
  <si>
    <t>GS US PNDM -2</t>
  </si>
  <si>
    <t>Shalinindia Handmade Party Decor Wooden Napkin Rings Set of 12 for Table Dinner Decoration
COG: 0 / Price: 17.2</t>
  </si>
  <si>
    <t>Cosynee Selenite Small Sticks- Wands Premium Hand-Sorted, Reiki, Chakra, Good Luck, Healing, Protection Grids, Good Luck, Positive Energy, Brand6 to 8.5 Inches Long, 1 to 2 inches Wide
COG: 0 / Price: 6.94</t>
  </si>
  <si>
    <t>GS US SLNT -1</t>
  </si>
  <si>
    <t>Cosynee 10 LARGE COTTON FABRIC TOTE BAG COTTON FABRIC TOTE BAGS BULK 15X16.5" Tote Bags Bulk Reusable Bag Cloth Bags With Handles Reusable Bag Cotton fabricBag
COG: 0 / Price: 17.1</t>
  </si>
  <si>
    <t>cosynee 10 Pieces Dotted Ceramic Cabinet Pulls Colorful Drawer Knobs and Fancy Drawer Pulls - Perfect Ceramic Cabinet Knobs &amp; Ceramic Drawer Pulls (Assorted Knobs).
COG: 0 / Price: 18.39</t>
  </si>
  <si>
    <t>Shalinindia Skittle Handcrafted 12 Piece Wooden Bar Skittles Bowling Pin Set Game Birthday Gifts for him | Indoor Game for Kids
COG: 0 / Price: 18.2</t>
  </si>
  <si>
    <t>Cosynee Natural Crystal Pendulum 12 Facet Reiki Charged (Multi Stone with Lapis -Lazuli Stone with Pouch)
COG: 0 / Price: 9.99</t>
  </si>
  <si>
    <t>Shalinindia Stone Art Holder Soap Dish Accessories for Bathroom Shower Bath Tub
COG: 0 / Price: 13.59</t>
  </si>
  <si>
    <t>Shalinindia Handmade Artisan Crafted in India Wood Napkin Ring Set of 6
COG: 0 / Price: 12</t>
  </si>
  <si>
    <t>Shalinindia Handmade Party Decor Wooden Napkin Rings Set of 6 for Table Dinner Decoration
COG: 0 / Price: 14.2</t>
  </si>
  <si>
    <t>Cosynee 12 pc Door Knobs Hand Printed Ceramic Knobs and Pulls Handle Handmade Silver Finish (Gray &amp; White)
COG: 0 / Price: 18.39</t>
  </si>
  <si>
    <t>Handmade Wooden Domino Game with Nautical Storage Box - Complete Game Set Birthday Present Ideas
COG: 0 / Price: 18.35</t>
  </si>
  <si>
    <t>ShalinIndia Handcrafted Rustic Wooden Napkin Rings Set of 6 for Wedding Party Decoration
COG: 0 / Price: 13.59</t>
  </si>
  <si>
    <t>cosynee Tibetan Copper Bracelets Magnetic India Pattern Women's Men's Spiritual Yoga Jewelry
COG: 0 / Price: 12</t>
  </si>
  <si>
    <t>Shalinindia Wooden Dominoes Set Boat Tray - 28 Pieces - 11 inches by 3.5 inches - Great Gift for Adults
COG: 0 / Price: 17</t>
  </si>
  <si>
    <t>Shalinindia Handmade Artisan Crafted in India Wooden Napkin Ring Set of 12 - Napkin Holders
COG: 0 / Price: 24.39</t>
  </si>
  <si>
    <t>Shalinindia Handmade Party Decor Wooden Napkin Rings Set of 8 for Table Dinner Decoration
COG: 0 / Price: 13.6</t>
  </si>
  <si>
    <t>Cosynee Black &amp; White Premium Quality Assorted Ceramic Knobs- Multi Color Mix Designed Ceramic Cupboard Cabinet Door Knobs Drawer Pulls &amp; Chrome Hardware (12)
COG: 0 / Price: 19</t>
  </si>
  <si>
    <t>Shalinindia Handmade Wooden Mini 12 Piece Bowling Gifts Set with Storage Box
COG: 0 / Price: 22.7</t>
  </si>
  <si>
    <t>cosynee Set of 25 Assorted Ceramic Knobs Hand Painted Vintage Collection Blue and White Pumpkin and Round Knobs Cabinet Drawer Handles Pulls (Blue White, Silver, Assorted II)
COG: 0 / Price: 28.72</t>
  </si>
  <si>
    <t>cosynee Cabinet Knobs Drawer Pulls Dresser Knobs Drawer Knobs Kitchen Cabinet Knobs Assorted Drawer Knobs (Set -12)
COG: 0 / Price: 17.8</t>
  </si>
  <si>
    <t>Cosynee Silver Metal Pendulum Healing Dowsing Metaphysical Spiritual
COG: 0 / Price: 5</t>
  </si>
  <si>
    <t>GS US PNDM -6</t>
  </si>
  <si>
    <t>Cosynee Set of 12 Ceramic Blue Wheel Flat Knobs Drawer Pulls and Handmade Design
COG: 0 / Price: 18.19</t>
  </si>
  <si>
    <t>Shalinindia Large Decorative Wooden Ashtray with Cigarette Storage Case Box
COG: 0 / Price: 15.8</t>
  </si>
  <si>
    <t>Tibetan Buddhist Small Hand Painted Singing Bowl with Cushion from India for Meditation Sound Healing Prayer Percussion Musical Instrument 4 Inch
COG: 0 / Price: 28.1</t>
  </si>
  <si>
    <t>Tibetan Buddhist Small Singing Bowl with Cushion from India for Meditation Sound Healing Prayer Percussion Musical Instrument 4 Inch
COG: 0 / Price: 26.8</t>
  </si>
  <si>
    <t>Cosynee 10 LARGE COTTON FABRIC TOTE BAG COTTON FABRIC TOTE BAGS BULK 15X16.5" Tote Bags Bulk Reusable Bag Cloth Bags With Handles Reusable Bag Cotton fabricBag
COG: 0 / Price: 17.6</t>
  </si>
  <si>
    <t>GS US 10 Cotton Bags</t>
  </si>
  <si>
    <t>ShalinIndia Handmade Indian Stainless Steel &amp; Copper Serving Spoon Set of 2 - Genuine Copper Dinnerware Serving Pieces
COG: 0 / Price: 12.39</t>
  </si>
  <si>
    <t>GS US SPOON -1</t>
  </si>
  <si>
    <t>cosynee Lot of 12 Blue Ceramic Cabinet Knobs Silver
COG: 0 / Price: 19.6</t>
  </si>
  <si>
    <t>cosynee Knobs Grey &amp; White Cream Hand Painted Ceramic Knobs Cabinet Drawer Pull Pulls (12)
COG: 0 / Price: 18.19</t>
  </si>
  <si>
    <t>Karahi Indian Serving Dishes - 2-Piece Copper Bowl Set - Copper Kitchen Decor
COG: 0 / Price: 33</t>
  </si>
  <si>
    <t>4-in-One Wooden Puzzle Games Set - 3D Puzzles for Teens and Adults - Includes Wood Interlocking Blocks, Diagonal Burr,Soma Cube and Snake Cube in Storage Box
COG: 0 / Price: 18.19</t>
  </si>
  <si>
    <t>Handmade Indian Wooden Solitaire Board Game with Stainless Steel Balls - Travel Games for Adults
COG: 0 / Price: 19.9</t>
  </si>
  <si>
    <t>Shalinindia Artisan Crafted Dinner Table Decorations Wooden Napkin Rings Set of 12 for Wedding Party - Napkin Holders
COG: 0 / Price: 12</t>
  </si>
  <si>
    <t>cosynee Set of 3 Tibetan Copper Bracelets Magnetic India Pattern Women's Men's Spiritual Yoga Jewelry (Style -14)
COG: 0 / Price: 12</t>
  </si>
  <si>
    <t>ShalinIndia Wooden Game Dice Box With Five Dice Gifts For Christmas
COG: 0 / Price: 14.99</t>
  </si>
  <si>
    <t>Solitaire and Tic Tac Toe Two in One Game Set Wooden Toys from India by ShalinIndia
COG: 0 / Price: 22.6</t>
  </si>
  <si>
    <t>cosynee 10 Pieces Set of Sky Blue Color Ceramic Knobs Drawer Pulls with Different Design &amp; Chrome Hardware
COG: 0 / Price: 16.99</t>
  </si>
  <si>
    <t>Cosynee Handmade Tibetan Buddhist Prayer Flag, Handmade Tibetan Affirmation Prayer Flags, Himalayan Flags
COG: 0 / Price: 7.69</t>
  </si>
  <si>
    <t>GS US KNOBS R+P -7</t>
  </si>
  <si>
    <t>cosynee 12 pc Door Knobs Hand Printed Ceramic Knobs and Pulls Handle Handmade Silver Finish (Black)
COG: 0 / Price: 19.6</t>
  </si>
  <si>
    <t>Shalinindia Handmade Wooden Storage Box for Playing Cards - Unique Gifts for Any Occasion
COG: 0 / Price: 9.6</t>
  </si>
  <si>
    <t>Contemporary Stone Ornament Coasters Holder Set Dining Table Coffee
COG: 0 / Price: 23.39</t>
  </si>
  <si>
    <t>Cabinet Knobs Drawer Pulls Dresser Knobs Drawer Knobs Kitchen Cabinet Knobs Set Of 10 Assorted Drawer Knobs
COG: 0 / Price: 16.8</t>
  </si>
  <si>
    <t>GS US WOODEN -18</t>
  </si>
  <si>
    <t xml:space="preserve">
COG: 0 / Price: 12.75</t>
  </si>
  <si>
    <t>Cosynee Natural Crystal Pendulum 12 Facet Reiki Charged (Silver Spiral Metal)
COG: 0 / Price: 5.5</t>
  </si>
  <si>
    <t>GS US PNDM -5</t>
  </si>
  <si>
    <t>Coysnee Set Off 10 White &amp; Grey Knobs Hand Painted Ceramic Knobs Cabinet Drawer Pull
COG: 0 / Price: 18.39</t>
  </si>
  <si>
    <t>cosynee 20 Knobs White &amp; Grey Cream Hand Painted Ceramic Knobs Cabinet Drawer Pull Pulls
COG: 0 / Price: 25</t>
  </si>
  <si>
    <t>Shalinindia Indian Coin Bank Money Saving Box - Banks for Kids &amp; Adults - Wood Vacation Piggy Bank
COG: 0 / Price: 14</t>
  </si>
  <si>
    <t>Shalinindia Handcrafted Table Dinner Decorations Wooden Napkin Rings Set of 4 for Party Decor
COG: 0 / Price: 7</t>
  </si>
  <si>
    <t>ShalinIndia Anahata Buddhist Singing Bowl - Tuned to the 4th Chakra Heart Chakra - Fine Quality Brass - 5 Inches - Ideal for Meditations, Ayurveda &amp; Yoga (Blue)
COG: 0 / Price: 25</t>
  </si>
  <si>
    <t>Cosynee Handmade Tibetan Buddhist Prayer Flag, Handmade Tibetan Affirmation Prayer Flags, Himalayan Flags (set of 2)
COG: 0 / Price: 8</t>
  </si>
  <si>
    <t xml:space="preserve">
COG: 0 / Price: 5</t>
  </si>
  <si>
    <t>Shalinindia Artisan Crafted Dinner Table Decorations Wooden Napkin Rings Set of 12 for Wedding Party
COG: 0 / Price: 15</t>
  </si>
  <si>
    <t>Handmade Wooden Cup and Ball Game - Unique Handmade Gifts for Kids
COG: 0 / Price: 9.99</t>
  </si>
  <si>
    <t>Wooden Puzzle</t>
  </si>
  <si>
    <t>Hand Painted Metal Tibetan Buddhist Singing Bowl Musical Instrument for Meditation with Stick and Cushion 4 Inches
COG: 0 / Price: 26.49</t>
  </si>
  <si>
    <t>4 Inches Hand Painted Metal Tibetan Buddhist Singing Bowl Musical Instrument for Meditation with Stick and Cushion
COG: 0 / Price: 26.49</t>
  </si>
  <si>
    <t>Shalinindia  Handmade Wood Napkin Ring Set (Artisan Crafted in India), Set of 6
COG: 0 / Price: 11.4</t>
  </si>
  <si>
    <t>Shalinindia  Handmade Wood Napkin Ring Set (Artisan Crafted in India), Set of 6</t>
  </si>
  <si>
    <t>Gs Us Sea KNOBS  GREY -2</t>
  </si>
  <si>
    <t>Manjeera Indian Percussion Instrument Hand Cymbals for Hindu Bhajans 3.5 Inches
COG: 0 / Price: 22.2</t>
  </si>
  <si>
    <t>Hand Painted Metal Tibetan Buddhist Singing Bowl Musical Instrument for Meditation with Stick and Cushion 5.5 Inches
COG: 0 / Price: 35</t>
  </si>
  <si>
    <t>WOODEN GAME 3</t>
  </si>
  <si>
    <t>cosynee Cabinet Knobs Drawer Pulls Dresser Knobs Drawer Knobs Kitchen Cabinet Knobs Assorted Drawer Knobs (Lot of 30)
COG: 0 / Price: 32.59</t>
  </si>
  <si>
    <t>cosynee Vintage Cabinet knobs pulls &amp; Chrome Drawer knobs (Pumpkin)
COG: 0 / Price: 18.6</t>
  </si>
  <si>
    <t>Cosynee Natural Stone Hexagonal Chakra Gemstone (Lapiz Lazuli)
COG: 0 / Price: 6.99</t>
  </si>
  <si>
    <t>GS US PNDM -11</t>
  </si>
  <si>
    <t>cosynee Set of 8 Crackle White Knobs Cabinet Knobs Door Cupboard Pulls
COG: 0 / Price: 14.8</t>
  </si>
  <si>
    <t>Coysnee Set Off 12 White &amp; Grey Knobs Hand Painted Ceramic Knobs Cabinet Drawer Pull
COG: 0 / Price: 23.39</t>
  </si>
  <si>
    <t>cosynee Healing Gemstone Rune Stones with Pouch (Amethyst)
COG: 0 / Price: 12</t>
  </si>
  <si>
    <t>Cosynee Organic Cotton Reusable Produce Bags, Eco-Friendly Bulk Bin Bags for Food - Small 17 x 20 cms - Sachet Bags, Dry Fruit Storage, Drawstring Pouch (10)
COG: 0 / Price: 5.9</t>
  </si>
  <si>
    <t>Ladyrobyn Candles 100 pcs Unscented Assorted Colors Taper Candle 4 Inch Tall x 1/2 Inch Diameter Great for Casting Chimes Rituals Spells Vigil Witchcraft Wiccan Supplies Wax Play More Spell Candle
COG: 0 / Price: 30</t>
  </si>
  <si>
    <t>Handmade Cribbage Game Set with 2 Decks of Cards and 6 Pegs - Integrated Storage - Great Gift for Card Players
COG: 0 / Price: 25</t>
  </si>
  <si>
    <t>Gs usa  BOWL -6</t>
  </si>
  <si>
    <t>Meditation Bowl with Stick and Cushion 4 Inches Bell Metal Tibetan Buddhist Singing Bowl Superior Quality with best Design Cushion.
COG: 0 / Price: 35.99</t>
  </si>
  <si>
    <t>Shalinindia Handmade Indian Red Beaded Napkin Rings - Set of 4 Rings
COG: 0 / Price: 15</t>
  </si>
  <si>
    <t>GS US PNDM -1</t>
  </si>
  <si>
    <t>cosynee Orgone Reiki Pyramid Kit, EMF Protection Meditation Yoga Energy Generator, Crystal Quartz Energy Points, 7 Chakra Crystal Orgone Pyramid Kit (Tiger Eye)
COG: 0 / Price: 8.5</t>
  </si>
  <si>
    <t>cosynee Set of 2 Tibetan Copper Bracelets Magnetic India Pattern Women's Men's Spiritual Yoga Jewelry (Style -18)
COG: 0 / Price: 13.2</t>
  </si>
  <si>
    <t>Set of 1 Tibetan Copper Bracelets Magnetic India Pattern Women's Men's Spiritual Yoga Jewelry (Style -11)
COG: 0 / Price: 12.29</t>
  </si>
  <si>
    <t>cosynee Set of 3 Tibetan Copper Bracelets Magnetic India Pattern Women's Men's Spiritual Yoga Jewelry (Style -20)
COG: 0 / Price: 14.3</t>
  </si>
  <si>
    <t>Safe Money Box Savings Banks Wood Carving Handmade By Artisan by ShalinIndia
COG: 0 / Price: 28.99</t>
  </si>
  <si>
    <t>GS US WOODEN -31</t>
  </si>
  <si>
    <t>Shalinindia Handmade Party Decor Wooden Napkin Rings Set of 12 for Table Dinner Decoration
COG: 0 / Price: 17.19</t>
  </si>
  <si>
    <t>TESTS SKU WOODEN</t>
  </si>
  <si>
    <t>ShalinIndia Anahata Buddhist Singing Bowl - Tuned to the 4th Chakra Heart Chakra - Fine Quality Brass - 5 Inches - Ideal for Meditations, Ayurveda &amp; Yoga (Yellow)
COG: 0 / Price: 37.59</t>
  </si>
  <si>
    <t>Cosynee Amethyst Gemstone Pocket Angel Healing Statue (Amethyst)
COG: 0 / Price: 8.8</t>
  </si>
  <si>
    <t>Cosynee Natural Gemstone Pocket Angel Healing Statue 1.5" to 2" Inch (Lapis Lazuli)
COG: 0 / Price: 8.75</t>
  </si>
  <si>
    <t>Cosynee Natural Gemstone Pocket Angel Healing Statue 1.5" to 2" Inch (Labororite)
COG: 0 / Price: 8.75</t>
  </si>
  <si>
    <t>cosynee Natural Gemstone Pocket Angel Healing Statue 1.5" to 2" Inch (Clear Quartz)
COG: 0 / Price: 8.75</t>
  </si>
  <si>
    <t>Cosynee Natural Gemstone Pocket Angel Healing Statue 1.5" to 2" Inch (Opolite)
COG: 0 / Price: 5.76</t>
  </si>
  <si>
    <t>cosynee Reiki Pyramid Kit, EMF Protection Meditation Yoga Energy, Crystal Quartz Energy Points, 7 Chakra Crystal Orgone Pyramid Kit (Tiger Eye LS)
COG: 0 / Price: 5</t>
  </si>
  <si>
    <t>cosynee Reiki Pyramid Kit, EMF Protection Meditation Yoga Energy, Crystal Quartz Energy Points, 7 Chakra Crystal Orgone Pyramid Kit (Lapis Lazuli LS)
COG: 0 / Price: 8.99</t>
  </si>
  <si>
    <t>Cosynee Foil Pans with Lids – 4.5x5.5 Inch Aluminum Pans with Covers 25 Foil Pans &amp; 25 Foil Lids Disposable Food Containers Great for Baking Cooking Heating Storing Prepping Food Disposable Containers
COG: 0 / Price: 29.66</t>
  </si>
  <si>
    <t>Manjeera Indian Percussion Instrument Hand Cymbals for Hindu Bhajans 2.5 Inches
COG: 0 / Price: 22.2</t>
  </si>
  <si>
    <t>Shalinindia Handmade Wedding Party Decorations Wood Napkin Rings Set of 6 for Dinner Ideas
COG: 0 / Price: 9</t>
  </si>
  <si>
    <t>ShalinIndia Anahata Buddhist Singing Bowl - Tuned to the 4th Chakra Heart Chakra - Fine Quality Brass - 5 Inches - Ideal for Meditations, Ayurveda &amp; Yoga (Orange)
COG: 0 / Price: 38.5</t>
  </si>
  <si>
    <t>COSYNEE Handmade Indian Multicolor Color Beaded Napkin Rings Party Table Decor Set of 4 Rings
COG: 0 / Price: 9.4</t>
  </si>
  <si>
    <t>cosynee Healing Gemstone Rune Stones with Pouch (Howlite)
COG: 0 / Price: 12</t>
  </si>
  <si>
    <t>cosynee Set of 4 Tibetan Copper Bracelets Magnetic India Pattern Women's Men's Spiritual Yoga Jewelry (Style -19)
COG: 0 / Price: 14.3</t>
  </si>
  <si>
    <t>Cosynee Natural Gemstone Pocket Angel Healing Statue 1.5" to 2" Inch (Green Jade)
COG: 0 / Price: 5.76</t>
  </si>
  <si>
    <t>Cosynee Natural Gemstone Pocket Angel Healing Statue 1.5" to 2" Inch (Green Aventurine)
COG: 0 / Price: 5.78</t>
  </si>
  <si>
    <t>Cosynee Natural Clear Quartz Gemstone Crystal Pendant Pendulums
COG: 0 / Price: 6</t>
  </si>
  <si>
    <t>GS US PNDM -7</t>
  </si>
  <si>
    <t>cosynee Lot of 10 Ornate Ceramic Floral Knobs for Cabinets &amp; Drawer - Hand Painted Pulls (Red)
COG: 0 / Price: 17.8</t>
  </si>
  <si>
    <t>Gs Usa 10 Dott Knob</t>
  </si>
  <si>
    <t>Cosynee Natural Stone Hexagonal Chakra Gemstone (Tiger Eye)
COG: 0 / Price: 5.5</t>
  </si>
  <si>
    <t>GS US PNDM -13</t>
  </si>
  <si>
    <t>cosynee Blue Hand Painted Ceramic Round &amp; Pumpkin Assorted Knobs Cabinet Drawer Handles Pulls (25, Golden)
COG: 0 / Price: 29.19</t>
  </si>
  <si>
    <t>Cosynee - Triple Moon Pentacle Copper 3", for Altar, Ritual use, Incense Burner, smudging, Decoration, offering Bowl, 3" Diameter 2" Height,
COG: 0 / Price: 4.99</t>
  </si>
  <si>
    <t>GS USA BOWL -17</t>
  </si>
  <si>
    <t>cosynee Healing Gemstone Rune Stones with Pouch (Sodalite)
COG: 0 / Price: 8</t>
  </si>
  <si>
    <t>New Soapstone Scrying and Smudge Bowl (Scrying - Bowls &amp; Mirrors)
COG: 0 / Price: 29.14</t>
  </si>
  <si>
    <t>cosynee Set of Two Tibetan Copper Bracelets Magnetic India Pattern Women's Men's Spiritual Yoga Jewelry (Style -15)
COG: 0 / Price: 9.7</t>
  </si>
  <si>
    <t>cosynee Set of 3 Tibetan Copper Bracelets Magnetic India Pattern Women's Men's Spiritual Yoga Jewelry (Style -3)
COG: 0 / Price: 12</t>
  </si>
  <si>
    <t>cosynee Natural Gemstone Pocket Angel Healing Statue 1.5" to 2" Inch (Pyrite)
COG: 0 / Price: 6.6</t>
  </si>
  <si>
    <t>Cosynee Natural Gemstone Pocket Angel Healing Statue 1.5" to 2" Inch (Rose Quartz)
COG: 0 / Price: 5.78</t>
  </si>
  <si>
    <t>Spell Candles (40 Candles) - One Shipping Charge! (Blue)
COG: 0 / Price: 22</t>
  </si>
  <si>
    <t>Cosynee Tibetan Singing Bowl Set for Meditation, Sound Bowl Set for Chakra Healing, Yoga Singing Bowl, Buddhist Singing Bowl (Diameter 5 Inches and Weight 28.21 Oz) - Purple Singing Bowl
COG: 0 / Price: 40</t>
  </si>
  <si>
    <t>Cosynee Tibetan Singing Bowl Set for Meditation, Sound Bowl Set for Chakra Healing, Yoga Singing Bowl, Buddhist Singing Bowl (Diameter 5 Inches and Weight 28.21 Oz) - Red Singing Bowl
COG: 0 / Price: 37.59</t>
  </si>
  <si>
    <t>Cosynee Tibetan Singing Bowl Set for Meditation, Sound Bowl Set for Chakra Healing, Yoga Singing Bowl, Buddhist Singing Bowl (Diameter 4 Inches and Weight 22.92 Oz) - Green Singing Bowl
COG: 0 / Price: 35</t>
  </si>
  <si>
    <t>Indian Decorative Items for Home Handmade Lamps Tealight Candle Holder Grey Soap Stone 3 Inch
COG: 0 / Price: 13</t>
  </si>
  <si>
    <t>Indian Decorative Items for Home Handmade Lamps Tealight Candle Holder Grey Soap Stone 3 Inch (Grey)
COG: 0 / Price: 13</t>
  </si>
  <si>
    <t>Handmade Wooden Cup and Ball Game - Unique Handmade Gifts for Kids
COG: 0 / Price: 8</t>
  </si>
  <si>
    <t>GS USA WOODEN -17</t>
  </si>
  <si>
    <t>1 X Cotton Muslin Bags 3x4 Inch Drawstring 50 Count Pack
COG: 0 / Price: 11.8</t>
  </si>
  <si>
    <t>GS USA CTN POUCH -2</t>
  </si>
  <si>
    <t>NEW Soapstone Scrying and Smudge Bowl (Scrying - Bowls &amp; Mirrors)
COG: 0 / Price: 6.5</t>
  </si>
  <si>
    <t>GS US SOAPSTONE -10</t>
  </si>
  <si>
    <t>Shalinindia Set of 6 Red Beaded Table Decoration Napkin Rings -Perfect Wedding Napkin Rings, Parties and for General use
COG: 0 / Price: 6</t>
  </si>
  <si>
    <t>StarZebra - White Lucky Elephant Soapstone Figurine with Elephant in Belly Statue 4" Handmade in Jali or Openwork From a Single Block of Stone From India gift
COG: 0 / Price: 8.99</t>
  </si>
  <si>
    <t>BLACK</t>
  </si>
  <si>
    <t>POP UP Long Shrug Designer Kaftan Caftan Cardigans for Women Summer Beach Cotton Embroidery Long Bikini Cover-up Tops Kimono
COG: 0 / Price: 12</t>
  </si>
  <si>
    <t>cosynee Healing Gemstone Rune Stones with Velvet Pouch, EMF Protection Meditation Yoga Energy Generator, Crystal Quartz Energy Points, 7 Chakra Crystal Orgone Pyramid Kit (Multi Stone)
COG: 0 / Price: 10.99</t>
  </si>
  <si>
    <t>cosynee Cabinet Knobs Drawer Pulls Dresser Knobs Drawer Knobs Kitchen Cabinet Knobs Assorted Drawer Knobs (Set -30)
COG: 0 / Price: 27.9</t>
  </si>
  <si>
    <t>NEW Soapstone Scrying and Smudge Bowl (Scrying - Bowls &amp; Mirrors) (4 Inch)
COG: 0 / Price: 19.99</t>
  </si>
  <si>
    <t>cosynee Set of 4 Tibetan Copper Bracelets Magnetic India Pattern Women's Men's Spiritual Yoga Jewelry (Style -7)
COG: 0 / Price: 12.29</t>
  </si>
  <si>
    <t>cosynee Natural Gemstone Pocket Angel Healing Statue 1.5" to 2" Inch (7 Chkra)
COG: 0 / Price: 5.76</t>
  </si>
  <si>
    <t>cosynee Playing Cards, Poker Size Standard Index, Decks of Cards, for Blackjack, Euchre, Canasta Card Game, Casino Grade (Gold)
COG: 0 / Price: 4.5</t>
  </si>
  <si>
    <t>Cosynee Handmade Indian Silver Beaded Napkin Rings (Silver, Set of 8)
COG: 0 / Price: 8</t>
  </si>
  <si>
    <t>Handmade 8 Inches Bell Metal Tibetan Buddhist Singing Bowl Musical Instrument for Meditation with Stick and Cushion - Superior Quality
COG: 0 / Price: 87.09</t>
  </si>
  <si>
    <t>ShalinIndia Handmade Indian Stainless Steel &amp; Copper Serving Spoon - Genuine Copper Dinnerware Serving Pieces (4)
COG: 0 / Price: 17.2</t>
  </si>
  <si>
    <t>Cosynee Lot Off 8 Grey &amp; White Crackle Vintage Knobs (Grey &amp; White)
COG: 0 / Price: 12</t>
  </si>
  <si>
    <t>Cosynee Set of 8 Crackle Vintage Grey Knobs
COG: 0 / Price: 14.79</t>
  </si>
  <si>
    <t>POP UP Women's Bell Sleeve Frill Baby Doll Peplum Tops Blouse Crop top (M) Grey
COG: 0 / Price: 10</t>
  </si>
  <si>
    <t>cosynee Rose Quartz Orgone Pyramid for Love Vibes, EMF and Negative Energy Protection - Natural Rose Quartz Crystal Pyramid - Good Luck Home Decor Feng Shui Chakras Stones Aura Crystal Cleansing
COG: 0 / Price: 13.99</t>
  </si>
  <si>
    <t>cosynee Healing Gemstone Rune Stones with Pouch (Rose Quartz)
COG: 0 / Price: 7</t>
  </si>
  <si>
    <t>GS US RUNE -TEST</t>
  </si>
  <si>
    <t>cosynee Orgone Reiki Pyramid Kit, EMF Protection Meditation Yoga Energy Generator, Crystal Quartz Energy Points, 7 Chakra Crystal Orgone Pyramid Kit (Amethyst)
COG: 0 / Price: 10.26</t>
  </si>
  <si>
    <t>TFR -7</t>
  </si>
  <si>
    <t>cosynee Set of 1 Tibetan Copper Bracelets Magnetic India Pattern Women's Men's Spiritual Yoga Jewelry (Style -13)
COG: 0 / Price: 8</t>
  </si>
  <si>
    <t>cosynee Natural Gemstone Pocket Angel Healing Statue 1.5" to 2" Inch (Blue Aventurine)
COG: 0 / Price: 6.6</t>
  </si>
  <si>
    <t>Cosynee Natural Gemstone Pocket Angel Healing Statue 1.5" to 2" Inch (Howlite)
COG: 0 / Price: 6.6</t>
  </si>
  <si>
    <t>Cosynee - Spell Candles (40 Candles) - One Shipping Charge (Multi)
COG: 0 / Price: 6</t>
  </si>
  <si>
    <t>Cosyne CNDL -1</t>
  </si>
  <si>
    <t>Cosynee Indian Coin Bank Money Saving Box - Banks for Kids &amp; Adults - Wood Vacation Piggy Bank
COG: 0 / Price: 9.5</t>
  </si>
  <si>
    <t>Cosynee Brass Tibetan Singing Bowl Set for Meditation, Sound Bowl Set for Chakra Healing, Yoga Singing Bowl, Buddhist Singing Bowl (Diameter 6 Inches and Weight 37.65 Oz) - Brass Singing Bowl
COG: 0 / Price: 42</t>
  </si>
  <si>
    <t>Cosynee Washing Machine Cleaner Descaler 24 Pack - Washer Cleaner Tub Deep Cleaning Tabs For Front Loader And Top Load Household, Clean Inside Drum And Laundry Tub Seal Laundry Supplies Descaler Deodorizer Odor Remover
COG: 0 / Price: 12.4</t>
  </si>
  <si>
    <t>GS-COSYNEE-MACHINE-CLEANER-PACK-24</t>
  </si>
  <si>
    <t>Cosynee 100g/3.5oz Polyester Fiber Fill Premium Fiber Stuffing Fluff Stuffing High Resilience Fill Fiber for Stuffed Animal Crafts Pillow Stuffing Cushion Stuffing Poly Filling Stuffing Pillow Filler.
COG: 0 / Price: 19.99</t>
  </si>
  <si>
    <t>GS US WOODEN -55</t>
  </si>
  <si>
    <t>Singing Bowl for Healing Through Vibration Touch Bell Metal Art India
COG: 0 / Price: 93.99</t>
  </si>
  <si>
    <t>GS USA SPOON -1</t>
  </si>
  <si>
    <t>Spell Candles (40 Candles) - One Shipping Charge!
COG: 0 / Price: 8.97</t>
  </si>
  <si>
    <t>GS SEA CNDL -1</t>
  </si>
  <si>
    <t>Shalinindia- 5 Inch Handmade Soapstone Collectible Figurine Sculpture of Mother Elephant with Baby Inside - Unique Baby Shower Decorations Elephant Decor Statue from India
COG: 0 / Price: 18</t>
  </si>
  <si>
    <t>5.5 Inches Hand Painted Metal Tibetan Buddhist Singing Bowl Musical Instrument for Meditation with Stick and Cushion
COG: 0 / Price: 35.5</t>
  </si>
  <si>
    <t>Shalinindia Beaded Napkin Rings Set of 6 Silver Decorations Christmas Ornaments
COG: 0 / Price: 15</t>
  </si>
  <si>
    <t>GS USA NPKN -2</t>
  </si>
  <si>
    <t>Buddhist Chime Tibetan Cymbal Bell Musical Instrument 2.5 Inch
COG: 0 / Price: 8</t>
  </si>
  <si>
    <t>GS USA WOODEN -14</t>
  </si>
  <si>
    <t>StarZebra - Hand Carved 3' Oil Diffuser Made of Soapstone with Tea Light Holder
COG: 0 / Price: 12.99</t>
  </si>
  <si>
    <t>ShalinIndia Handmade Indian Black Beaded Napkin Rings - Set of 4 Rings
COG: 0 / Price: 5</t>
  </si>
  <si>
    <t>Shalinindia Artisan Crafted Rustic Wooden Napkin Rings Set of 8 for Dinner Table Decoration
COG: 0 / Price: 13</t>
  </si>
  <si>
    <t>GS USA SPOON -2</t>
  </si>
  <si>
    <t>ShalinIndia Vishuddha Blue Buddhist Singing Bowl - Tuned to the 5th Chakra Throat Chakra - Fine Quality Brass - 5 Inches - Ideal for Meditations, Ayurveda &amp; Yoga
COG: 0 / Price: 39</t>
  </si>
  <si>
    <t>ShalinIndia Anahata Buddhist Singing Bowl - Tuned to the 4th Chakra Heart Chakra - Fine Quality Brass - 5 Inches - Ideal for Meditations, Ayurveda &amp; Yoga (Purpule)
COG: 0 / Price: 39</t>
  </si>
  <si>
    <t>20 Assorted Drawer Knobs Dresser Knobs Kitchen Cabinet Knobs Decorative Drawer Knobs Pulls Vintage Cabinet Knobs Mixed Decorative Knobs For Dresser Drawers Kitchen Knobs For Cabinets Door Knob cosynee
COG: 0 / Price: 24.39</t>
  </si>
  <si>
    <t>Cosynee Handmade Indian Multiocolor Color Beaded Napkin Rings Party Table Decor Set of 6 Rings
COG: 0 / Price: 9.99</t>
  </si>
  <si>
    <t>Gs Us Knobs Flat -2</t>
  </si>
  <si>
    <t>Cosynee Cabinet Knobs Drawer Pulls Dresser Knobs Drawer Knobs Kitchen Cabinet Knobs Assorted Drawer Knobs (Set -12)</t>
  </si>
  <si>
    <t>POP UP Women's 3/4th Sleeve Teenagers Peplum Tops Blouse Crop top
COG: 0 / Price: 12</t>
  </si>
  <si>
    <t>Cosynee Natural Crystal Pendulum 12 Facet Reiki Charged (Golden Spiral Metal)
COG: 0 / Price: 0.5</t>
  </si>
  <si>
    <t>cosynee Shoulder Trendy Beach Caftan Kaftan Loungewear Short Dress Women Cover-ups, Swimwear, Kaftan (S) Orange
COG: 0 / Price: 12.99</t>
  </si>
  <si>
    <t>GS SEA KNOBS TFR -12</t>
  </si>
  <si>
    <t>Gs Us Sea KNOBS GREY -1</t>
  </si>
  <si>
    <t>GS SEA KNOBS GREY -3</t>
  </si>
  <si>
    <t>Shalinindia Wooden Eyewear Holder, Spectacle Holder for Men &amp; Women, Spec Holder, Wooden Eyeglass Stand, Eyewear Retainer, Sunglasses Holder, 6 Inch, Brown Color, Sheesham/Mango Wood (Plain)
COG: 0 / Price: 15.99</t>
  </si>
  <si>
    <t>cosynee Healing Gemstone Rune Stones with Pouch (Lapis Lazuli)
COG: 0 / Price: 7.99</t>
  </si>
  <si>
    <t>GS USA RUNE -7</t>
  </si>
  <si>
    <t>cosynee Healing Gemstone Rune Stones with Pouch (Black Agate)
COG: 0 / Price: 8</t>
  </si>
  <si>
    <t>GS US RUNE -4</t>
  </si>
  <si>
    <t>cosynee Orgone Reiki Pyramid Kit, EMF Protection Meditation Yoga Energy Generator, Crystal Quartz Energy Points, 7 Chakra Crystal Orgone Pyramid Kit (Rose, Amethyst, Clear Quartz)
COG: 0 / Price: 12.99</t>
  </si>
  <si>
    <t>cosynee Healing Gemstone Rune Stones with Pouch (Green Jade)
COG: 0 / Price: 8</t>
  </si>
  <si>
    <t>GS USA RUNE -13</t>
  </si>
  <si>
    <t>cosynee Healing Gemstone Rune Stones with Pouch (Blue Onyx)
COG: 0 / Price: 12</t>
  </si>
  <si>
    <t>GS USA RUNE -22</t>
  </si>
  <si>
    <t>cosynee Healing Gemstone Rune Stones with Pouch (Labradorite)
COG: 0 / Price: 8</t>
  </si>
  <si>
    <t>GS USA RUNE -19</t>
  </si>
  <si>
    <t>cosynee Reiki Healing Stone Tree for Balancing, Spiritual Meditation Home Interior Office Decor (Amethyst, Silver Wired)
COG: 0 / Price: 24.99</t>
  </si>
  <si>
    <t>cosynee Reiki Healing Stone Tree for Balancing, Spiritual Meditation Home Interior Office Decor (Clear Quartz, Silver Wired)
COG: 0 / Price: 12.5</t>
  </si>
  <si>
    <t>cosynee Set of 1 Tibetan Copper Bracelets Magnetic India Pattern Women's Men's Spiritual Yoga Jewelry (Style -8)
COG: 0 / Price: 12.29</t>
  </si>
  <si>
    <t>cosynee Set of 4 Tibetan Copper Bracelets Magnetic India Pattern Women's Men's Spiritual Yoga Jewelry (Style -22)
COG: 0 / Price: 8</t>
  </si>
  <si>
    <t>cosynee Set of 1 Tibetan Copper Bracelets Magnetic India Pattern Women's Men's Spiritual Yoga Jewelry (Style -9)
COG: 0 / Price: 14.59</t>
  </si>
  <si>
    <t>cosynee Reiki Pyramid Kit, EMF Protection Meditation Yoga Energy, Crystal Quartz Energy Points, 7 Chakra Crystal Orgone Pyramid Kit (RED Carnelian P)
COG: 0 / Price: 10.5</t>
  </si>
  <si>
    <t>cosynee Reiki Pyramid Kit, EMF Protection Meditation Yoga Energy, Crystal Quartz Energy Points, 7 Chakra Crystal Orgone Pyramid Kit (Calcite LS)
COG: 0 / Price: 8</t>
  </si>
  <si>
    <t>cosynee Dresser Drawer Cabinet Knobs Pulls for Kitchen Wardrobe Cupboard (Style -2)
COG: 0 / Price: 19.99</t>
  </si>
  <si>
    <t>cosynee - Traditional Round Solid Cabinet Hardware Knob (20)
COG: 0 / Price: 21.5</t>
  </si>
  <si>
    <t>cosynee Classic Round Wooden Brass Cabinet Knob (Brass KNOBS -53)
COG: 0 / Price: 24</t>
  </si>
  <si>
    <t>cosynee Classic Round Wooden Brass Cabinet Knob (Brass KNOBS -57)
COG: 0 / Price: 24</t>
  </si>
  <si>
    <t>cosynee - Macrame Woven Wall Hanging Boho Home Chic Bohemian Geometric Art Decor - Beautiful Apartment Bedroom Dorm Room Decoration (16 x 27 Inch)
COG: 0 / Price: 11.9</t>
  </si>
  <si>
    <t>cosynee Natural Gemstone Pocket Angel Healing Statue 1.5" to 2" Inch (Tiger Eye)
COG: 0 / Price: 5</t>
  </si>
  <si>
    <t>Cosynee Natural Gemstone Pocket Angel Healing Statue 1.5" to 2" Inch (Fluorite)
COG: 0 / Price: 11.5</t>
  </si>
  <si>
    <t>cosynee Natural Gemstone Pocket Angel Healing Statue 1.5" to 2" Inch (Ruby FUCHSITE)
COG: 0 / Price: 0.1</t>
  </si>
  <si>
    <t>cosynee - Crystal Sphere,Power Stone Ball for Crystal Healing, Meditation, Scrying (Amethyst)
COG: 0 / Price: 15</t>
  </si>
  <si>
    <t>Cosynee Natural Crystal Pendulum Reiki Charged (Moonstone)
COG: 0 / Price: 5</t>
  </si>
  <si>
    <t>GS US PNDM -20</t>
  </si>
  <si>
    <t>Cosynee Natural Crystal Pendulum Reiki Charged (Opalite)
COG: 0 / Price: 6.99</t>
  </si>
  <si>
    <t>GS US PNDM -22</t>
  </si>
  <si>
    <t>Cosynee India Small Decorated Brass Charcoal Screen Incense Burner (3 Inch)
COG: 0 / Price: 13.71</t>
  </si>
  <si>
    <t>Cosynee Handmade Party Decor Wooden Napkin Rings Set of 4 for Table Dinner Decoration
COG: 0 / Price: 6</t>
  </si>
  <si>
    <t>Cosynee Handmade Indian Gold Beaded Napkin Rings (Golden, Set of 8)
COG: 0 / Price: 8</t>
  </si>
  <si>
    <t xml:space="preserve">
COG: 0 / Price: 2</t>
  </si>
  <si>
    <t xml:space="preserve">
COG: 0 / Price: 1</t>
  </si>
  <si>
    <t>Cosynee Pure Brass Tibetan Singing Bowl for Meditation, Sound Bowl Set for Chakra Healing, Tibetan Singing Bowl Set, Yoga Singing Bowl (Diameter 8 Inches and Weight 63.49 Oz)
COG: 0 / Price: 89.17</t>
  </si>
  <si>
    <t>Cosynee Tibetan Singing Bowl Set for Meditation, Sound Bowl Set for Chakra Healing, Yoga Singing Bowl, Buddhist Singing Bowl (Diameter 4 Inches and Weight 22.92 Oz) - Blue Singing Bowl
COG: 0 / Price: 31.12</t>
  </si>
  <si>
    <t>Cosynee Tibetan Singing Bowl Set for Meditation, Sound Bowl Set for Chakra Healing, Yoga Singing Bowl, Buddhist Singing Bowl (Diameter 4 Inches and Weight 22.92 Oz) - Red Singing Bowl
COG: 0 / Price: 35</t>
  </si>
  <si>
    <t>Cosynee Handmade Indian Stainless Steel &amp; Copper Serving Spoon Set of 4 - Genuine Copper Dinnerware Serving Pieces
COG: 0 / Price: 12</t>
  </si>
  <si>
    <t>Cosynee Hammered Tibetan Singing Bowl Set for Meditation, Sound Bowl Set for Chakra Healing, Yoga Singing Bowl (Diameter 5 Inches and Weight 28.21 Oz) - Brass Hammered Singing Bowl
COG: 0 / Price: 35</t>
  </si>
  <si>
    <t>Handmade Cribbage Game Set with 2 Decks of Cards and 6 Pegs - Integrated Storage - Great Gift for Card Players
COG: 0 / Price: 50</t>
  </si>
  <si>
    <t>Cribbage Boards</t>
  </si>
  <si>
    <t>NEW Soapstone Scrying and Smudge Bowl (Scrying - Bowls &amp; Mirrors)
COG: 0 / Price: 0</t>
  </si>
  <si>
    <t>Handmade 8 Inches Bell Metal Tibetan Buddhist Singing Bowl Musical Instrument for Meditation with Stick and Cushion - Superior Quality
COG: 0 / Price: 99</t>
  </si>
  <si>
    <t>BRASS BOWL</t>
  </si>
  <si>
    <t>XE-ZCKO-B32C</t>
  </si>
  <si>
    <t>Shalinindia Handmade Snowflake Iron and Glass Pendant Christmas Ornaments, 6 Inches
COG: 0 / Price: 50.99</t>
  </si>
  <si>
    <t>GS US SSF -2</t>
  </si>
  <si>
    <t>Set of 6 Handmade Snowflake Iron and Glass Pendant Christmas Ornaments, 6 Inches</t>
  </si>
  <si>
    <t>5.5 Inches Hand Painted Metal Tibetan Buddhist Singing Bowl Musical Instrument for Meditation with Stick and Cushion
COG: 0 / Price: 50</t>
  </si>
  <si>
    <t>GS USA BOWL -25</t>
  </si>
  <si>
    <t>Handmade Wooden Domino Game with Nautical Storage Box - Complete Game Set Birthday Present Ideas
COG: 0 / Price: 20</t>
  </si>
  <si>
    <t>Wooden Domino Game</t>
  </si>
  <si>
    <t xml:space="preserve">
COG: 0 / Price: 10</t>
  </si>
  <si>
    <t>GS US AIR WOODEN -14</t>
  </si>
  <si>
    <t>Handmade 5 Inches Bell Metal Tibetan Buddhist Singing Bowl Musical Instrument for Meditation with Stick and Cushion
COG: 0 / Price: 50.8</t>
  </si>
  <si>
    <t>Grey Stone Art Holder Soap Dish Accessories for Bathroom Shower Bath Tub
COG: 0 / Price: 13.6</t>
  </si>
  <si>
    <t>Shalinindia Handmade Wooden Napkin - Holder Set of 4 Napkin Rings - Artisan Crafted in India - Napkin Holders
COG: 0 / Price: 11.4</t>
  </si>
  <si>
    <t>Shalinindia Handmade Rustic Wooden Napkin Rings Set of 4 for Table Decoration Ideas
COG: 0 / Price: 8.79</t>
  </si>
  <si>
    <t>ShalinIndia Vishuddha Blue Buddhist Singing Bowl - Tuned to the 5th Chakra Throat Chakra - Fine Quality Brass - 5 Inches - Ideal for Meditations, Ayurveda &amp; Yoga
COG: 0 / Price: 24</t>
  </si>
  <si>
    <t>GS USA BOWL -13</t>
  </si>
  <si>
    <t>ShalinIndia Anahata Buddhist Singing Bowl - Tuned to the 4th Chakra Heart Chakra - Fine Quality Brass - 5 Inches - Ideal for Meditations, Ayurveda &amp; Yoga (Blue)
COG: 0 / Price: 31</t>
  </si>
  <si>
    <t>ShalinIndia Anahata Buddhist Singing Bowl - Tuned to the 4th Chakra Heart Chakra - Fine Quality Brass - 5 Inches - Ideal for Meditations, Ayurveda &amp; Yoga (Blue)
COG: 0 / Price: 42</t>
  </si>
  <si>
    <t>GS US BOWL -12</t>
  </si>
  <si>
    <t>ShalinIndia Anahata Buddhist Singing Bowl - Tuned to the 4th Chakra Heart Chakra - Fine Quality Brass - 5 Inches - Ideal for Meditations, Ayurveda &amp; Yoga (Blue)</t>
  </si>
  <si>
    <t>GS USA BOWL -20</t>
  </si>
  <si>
    <t>Swadhistana Orange Brass Buddhist Tibetan Singing Bowl with Cushion from India for Meditation Sound Healing Prayer Tuned to the 2th sacral chakra</t>
  </si>
  <si>
    <t>cosynee Cabinet Knobs Drawer Pulls Dresser Knobs Drawer Knobs Kitchen Cabinet Knobs Assorted Drawer Knobs (Set -20)
COG: 0 / Price: 0</t>
  </si>
  <si>
    <t>Gs Us Knobs Flat -5</t>
  </si>
  <si>
    <t>FLAT -3</t>
  </si>
  <si>
    <t>cosynee Cabinet Knobs Drawer Pulls Dresser Knobs Drawer Knobs Kitchen Cabinet Knobs Assorted Drawer Knobs (Set -20)</t>
  </si>
  <si>
    <t>cosynee Lot of 10 Ornate Ceramic Floral Knobs for Cabinets &amp; Drawer - Hand Painted Pulls (Red)
COG: 0 / Price: 18.19</t>
  </si>
  <si>
    <t>GS US 10 Red Round Knobs</t>
  </si>
  <si>
    <t>cosynee Lot of 10 Ornate Ceramic Floral Knobs for Cabinets &amp; Drawer - Hand Painted Pulls (Red)</t>
  </si>
  <si>
    <t>GS US KNOBS R+P -5</t>
  </si>
  <si>
    <t>Gs Usa Air 30 Assorted Knobs</t>
  </si>
  <si>
    <t>cosynee Cabinet Knobs Drawer Pulls Dresser Knobs Drawer Knobs Kitchen Cabinet Knobs Assorted Drawer Knobs (Lot of 30)</t>
  </si>
  <si>
    <t>cosynee 12 pc Door Knobs Hand Printed Ceramic Knobs and Pulls Handle Handmade Silver Finish (Red)
COG: 0 / Price: 19.6</t>
  </si>
  <si>
    <t>cosynee 10 Pieces Set of Sky Blue Color Ceramic Knobs Drawer Pulls with Different Design &amp; Chrome Hardware
COG: 0 / Price: 14.99</t>
  </si>
  <si>
    <t>Gs Usa 10 Sky Blue Knobs</t>
  </si>
  <si>
    <t>cosynee Cabinet Knobs Drawer Pulls Dresser Knobs Drawer Knobs Kitchen Cabinet Knobs Assorted Drawer Knobs (Set -12)
COG: 0 / Price: 0</t>
  </si>
  <si>
    <t>FLAT -2</t>
  </si>
  <si>
    <t>cosynee Cabinet Knobs Drawer Pulls Dresser Knobs Drawer Knobs Kitchen Cabinet Knobs Assorted Drawer Knobs (Set -12)</t>
  </si>
  <si>
    <t>cosynee Lot of 12 White Ceramic Leaf Pumpkin Knobs
COG: 0 / Price: 19.5</t>
  </si>
  <si>
    <t>cosynee Lot of 10 Ornate Ceramic Floral Knobs for Cabinets &amp; Drawer - Hand Painted Pulls (Blue)
COG: 0 / Price: 20.2</t>
  </si>
  <si>
    <t>Cosynee Natural Stone Hexagonal Chakra Gemstone (Tiger Eye)
COG: 0 / Price: 0.2</t>
  </si>
  <si>
    <t>GS US Tiger-Eye</t>
  </si>
  <si>
    <t>GS US 8 Crackle Grey Knobs</t>
  </si>
  <si>
    <t>Grey -7</t>
  </si>
  <si>
    <t>POP UP Women's 3/4th Sleeve Teenagers Peplum Tops Blouse Crop top
COG: 0 / Price: 6</t>
  </si>
  <si>
    <t>KAF STK 0092</t>
  </si>
  <si>
    <t>Cosynee Natural Crystal Pendulum 12 Facet Reiki Charged (Golden Spiral Metal)
COG: 0 / Price: 6.99</t>
  </si>
  <si>
    <t>GS US PNDM -4</t>
  </si>
  <si>
    <t>cosynee Women's 3/4th Sleeve Teenagers Peplum Tops Blouse Crop top (Small) Navy Blue
COG: 0 / Price: 8</t>
  </si>
  <si>
    <t>KNOBS TRF -12</t>
  </si>
  <si>
    <t>POP UP Women's Bell Sleeve Frill Baby Doll Peplum Tops Blouse Crop top (S) Grey
COG: 0 / Price: 12.99</t>
  </si>
  <si>
    <t>CLEO'S SECRET ORIGINAL BENTONITE CLAY 500 MESH face masks beauty indian healing clay mud mask blackhead remover mask skin care face mask for acne mask mascarillas faciales armpit detox acne face mask
COG: 0 / Price: 21</t>
  </si>
  <si>
    <t>CLEO'S SECRET ORIGINAL BENTONITE CLAY 500 MESH face masks beauty indian healing clay mud mask blackhead remover mask skin care face mask for acne mask mascarillas faciales armpit detox acne face mask
COG: 0 / Price: 23.5</t>
  </si>
  <si>
    <t>29-YVGC-WGHI</t>
  </si>
  <si>
    <t>CLEO'S SECRET ORIGINAL BENTONITE CLAY 500 MESH face masks beauty indian healing clay mud mask blackhead remover mask skin care face mask for acne mask mascarillas faciales armpit detox acne face mask</t>
  </si>
  <si>
    <t>Coysnee Set Off 10 White &amp; Grey Knobs Hand Painted Ceramic Knobs Cabinet Drawer Pull
COG: 0 / Price: 0</t>
  </si>
  <si>
    <t>GREY -1</t>
  </si>
  <si>
    <t>cosynee Knobs Grey &amp; White Cream Hand Painted Ceramic Knobs Cabinet Drawer Pull Pulls (12)
COG: 0 / Price: 0</t>
  </si>
  <si>
    <t>GREY -2</t>
  </si>
  <si>
    <t>cosynee Knobs Grey &amp; White Cream Hand Painted Ceramic Knobs Cabinet Drawer Pull Pulls (12)</t>
  </si>
  <si>
    <t>cosynee 20 Knobs White &amp; Grey Cream Hand Painted Ceramic Knobs Cabinet Drawer Pull Pulls
COG: 0 / Price: 0</t>
  </si>
  <si>
    <t>GREY -3</t>
  </si>
  <si>
    <t>cosynee 20 Knobs White &amp; Grey Cream Hand Painted Ceramic Knobs Cabinet Drawer Pull Pulls</t>
  </si>
  <si>
    <t>Shalinindia Wooden Eyewear Holder, Spectacle Holder for Men &amp; Women, Spec Holder, Wooden Eyeglass Stand, Eyewear Retainer, Sunglasses Holder, 6 Inch, Brown Color, Mango Wood (Lips)
COG: 0 / Price: 7.99</t>
  </si>
  <si>
    <t>cosynee Lapis Lazuli Orgone Pyramid – Reiki Healing – Chakra Balancing – Positive Energy - Natural Gemstone – Emf Protection – Quartz Crystal Energy Generator - Height 2 inch – Wealth and Prosperity
COG: 0 / Price: 11.99</t>
  </si>
  <si>
    <t>cosynee Orgone Reiki Pyramid Kit, EMF Protection Meditation Yoga Energy Generator, Crystal Quartz Energy Points, 7 Chakra Crystal Orgone Pyramid Kit (Rainbow)
COG: 0 / Price: 12.99</t>
  </si>
  <si>
    <t>cosynee Orgone Reiki Pyramid Kit, EMF Protection Meditation Yoga Energy Generator, Crystal Quartz Energy Points, (Dyed Turquoise)
COG: 0 / Price: 8</t>
  </si>
  <si>
    <t>Coysnee Set Off 10 Multi Knobs Hand Painted Ceramic Knobs Cabinet Drawer Pull (Multi-02)
COG: 0 / Price: 16.6</t>
  </si>
  <si>
    <t>cosynee Healing Gemstone Rune Stones with Pouch (Tigereye)
COG: 0 / Price: 10</t>
  </si>
  <si>
    <t>GS US RUNE -21</t>
  </si>
  <si>
    <t>Magic Extra Durable, Stainless Steel Sponges, Scrubbing Scouring Pad, Steel Wool Scrubber (6)
COG: 0 / Price: 10</t>
  </si>
  <si>
    <t>Set of 4 Tibetan Copper Bracelets Magnetic India Pattern Women's Men's Spiritual Yoga Jewelry (Style -6)
COG: 0 / Price: 10</t>
  </si>
  <si>
    <t>Set of 4 Tibetan Copper Bracelets Magnetic India Pattern Women's Men's Spiritual Yoga Jewelry (Style -4)
COG: 0 / Price: 15</t>
  </si>
  <si>
    <t>Cosynee - Spell Candles (40 Candles) - One Shipping Charge (Multi)
COG: 0 / Price: 13.13</t>
  </si>
  <si>
    <t>GS CNDL -1</t>
  </si>
  <si>
    <t>cosynee Premium Quality Assorted Ceramic Knobs- Black &amp; White Color Designed Ceramic Cupboard Cabinet Door Knobs Drawer Pulls &amp; Chrome Hardware
COG: 0 / Price: 16.6</t>
  </si>
  <si>
    <t>cosynee Reiki Pyramid Kit, EMF Protection Meditation Yoga Energy, Crystal Quartz Energy Points, 7 Chakra Crystal Orgone Pyramid Kit (Clear Quartz LS)
COG: 0 / Price: 9.99</t>
  </si>
  <si>
    <t xml:space="preserve">
COG: 0 / Price: 4</t>
  </si>
  <si>
    <t>cosynee Premium Quality Assorted Ceramic Knobs- Multi Color Mix Designed Ceramic Cupboard Cabinet Door Knobs Drawer Pulls &amp; Chrome Hardware (KNOBS TFR -6)
COG: 0 / Price: 9</t>
  </si>
  <si>
    <t>cosynee Premium Quality Assorted Ceramic Knobs- Multi Color Mix Designed Ceramic Cupboard Cabinet Door Knobs Drawer Pulls &amp; Chrome Hardware (KNOBS TFR -6)
COG: 0 / Price: 5</t>
  </si>
  <si>
    <t>TFR -6</t>
  </si>
  <si>
    <t>GS PNDM -6</t>
  </si>
  <si>
    <t>cosynee Dresser Drawer Cabinet Knobs Pulls for Kitchen Wardrobe Cupboard (Style -5)
COG: 0 / Price: 17</t>
  </si>
  <si>
    <t>cosynee Dresser Drawer Cabinet Knobs Pulls for Kitchen Wardrobe Cupboard (Style -7)
COG: 0 / Price: 25</t>
  </si>
  <si>
    <t>cosynee Dresser Drawer Cabinet Knobs Pulls for Kitchen Wardrobe Cupboard (Style -4) Knobs for Dresser Drawers, Brass Cabinet Knobs for Kitchen Round Drawer Knobs White
COG: 0 / Price: 22.99</t>
  </si>
  <si>
    <t>cosynee Dresser Drawer Cabinet Knobs Pulls for Kitchen Wardrobe Cupboard (Style -3)
COG: 0 / Price: 17</t>
  </si>
  <si>
    <t>cosynee Dresser Drawer Cabinet Knobs Pulls for Kitchen Wardrobe Cupboard (Style -1)
COG: 0 / Price: 17</t>
  </si>
  <si>
    <t>cosynee Classic Round Wooden Brass Cabinet Knob (Brass KNOBS -50)
COG: 0 / Price: 16</t>
  </si>
  <si>
    <t>cosynee Classic Round Wooden Brass Cabinet Knob (Brass KNOBS -51)
COG: 0 / Price: 24</t>
  </si>
  <si>
    <t>cosynee Classic Round Wooden Brass Cabinet Knob (Brass KNOBS -52)
COG: 0 / Price: 16</t>
  </si>
  <si>
    <t>cosynee - Macrame Woven Wall Hanging Boho Home Chic Bohemian Geometric Art Decor - Beautiful Apartment Bedroom Dorm Room Decoration (14 x 27 inch)
COG: 0 / Price: 11.58</t>
  </si>
  <si>
    <t>cosynee - Macrame Woven Wall Hanging Boho Home Chic Bohemian Geometric Art Decor - Beautiful Apartment Bedroom Dorm Room Decoration (16 x 27 Inch)
COG: 0 / Price: 12.59</t>
  </si>
  <si>
    <t>cosynee - Macrame Woven Wall Hanging Boho Home Chic Bohemian Geometric Art Decor - Beautiful Apartment Bedroom Dorm Room Decoration (10 x 20 Inch (set of 2))
COG: 0 / Price: 12.99</t>
  </si>
  <si>
    <t>cosynee - Macrame Woven Wall Hanging Boho Home Chic Bohemian Geometric Art Decor - Beautiful Apartment Bedroom Dorm Room Decoration (15.5 x 36 Inch)
COG: 0 / Price: 12.59</t>
  </si>
  <si>
    <t>cosynee - Macrame Woven Wall Hanging Boho Home Chic Bohemian Geometric Art Decor - Beautiful Apartment Bedroom Dorm Room Decoration (10 x 20 Inch (set of 2))
COG: 0 / Price: 12.5</t>
  </si>
  <si>
    <t>cosynee - Macrame Woven Wall Hanging Boho Home Chic Bohemian Geometric Art Decor - Beautiful Apartment Bedroom Dorm Room Decoration (14 x 32 Inch)
COG: 0 / Price: 11.99</t>
  </si>
  <si>
    <t>cosynee - Macrame Woven Wall Hanging Boho Home Chic Bohemian Geometric Art Decor - Beautiful Apartment Bedroom Dorm Room Decoration (16 x 32 Inch)
COG: 0 / Price: 11.99</t>
  </si>
  <si>
    <t>Cosynee Handmade Indian Silver Beaded Napkin Rings (Silver, Set of 12)
COG: 0 / Price: 8</t>
  </si>
  <si>
    <t>Shalinindia Handmade Indian Gold Beaded Napkin Rings - Set of 6 Rings
COG: 0 / Price: 9.46</t>
  </si>
  <si>
    <t>Raja 6 gold napkin</t>
  </si>
  <si>
    <t>Shalinindia Handmade Indian Gold Beaded Napkin Rings (Set of 6)</t>
  </si>
  <si>
    <t>VKB</t>
  </si>
  <si>
    <t>Shalinindia Handmade Indian Silver Beaded Napkin Rings
COG: 0 / Price: 9.99</t>
  </si>
  <si>
    <t>Shalinindia Handmade Indian Silver Beaded Napkin Rings - Set of 12 Rings
COG: 0 / Price: 12.99</t>
  </si>
  <si>
    <t>Shalinindia Handmade Indian Silver Beaded Napkin Rings - Set of 4 Rings
COG: 0 / Price: 7.49</t>
  </si>
  <si>
    <t>Shalinindia Beaded Napkin Rings Set of 6 Silver Decorations Christmas Ornaments
COG: 0 / Price: 9.4</t>
  </si>
  <si>
    <t>Raja 6 Silver Napkin</t>
  </si>
  <si>
    <t>Shalinindia Handmade Indian Gold Beaded Napkin Rings - Set of 8 Rings
COG: 0 / Price: 8.94</t>
  </si>
  <si>
    <t>ShalinIndia Handmade Beaded Napkin Rings, Gold (Set of 12)
COG: 0 / Price: 13.2</t>
  </si>
  <si>
    <t>Shalinindia Handmade Indian Gold Beaded Napkin Rings - Set of 4 Rings
COG: 0 / Price: 9.99</t>
  </si>
  <si>
    <t>ShalinIndia Handmade Beaded Napkin Rings, Gold (Set of 12)
COG: 0 / Price: 11.19</t>
  </si>
  <si>
    <t>Raja 12 Gold Napkin Rings</t>
  </si>
  <si>
    <t>Raja 8 Golden Napkin Ring</t>
  </si>
  <si>
    <t>Cosynee Handmade Party Decor Wooden Napkin Rings Set of for 12 Table Dinner Decoration (Set of 12)
COG: 0 / Price: 9.99</t>
  </si>
  <si>
    <t>Opalite Gemstone Runes with Engraved Lettering and Velvet Bag
COG: 0 / Price: 15.99</t>
  </si>
  <si>
    <t>Cosynee Handcrafted Table Dinner Decorations Wooden Napkin Rings Set of 12 for Party Décor - Napkin Holders
COG: 0 / Price: 15</t>
  </si>
  <si>
    <t>Cosynee Artisan Crafted Dinner Table Decorations Wooden Napkin Rings Sets for Wedding Party (Set of 6)
COG: 0 / Price: 15</t>
  </si>
  <si>
    <t>cosynee New Age Rose Quartz Rune Set
COG: 0 / Price: 8</t>
  </si>
  <si>
    <t>Handcrafted Indian Wooden Labyrinth Ball Maze Puzzle Game &amp; Decoration
COG: 0 / Price: 7.45</t>
  </si>
  <si>
    <t>Raja 6 Labyrinth Puzzle Game</t>
  </si>
  <si>
    <t>Shalinindia Handmade Indian Gold Beaded Napkin Rings - Set of 6 Rings
COG: 0 / Price: 8.99</t>
  </si>
  <si>
    <t>Raja 6 Gold Napkin Rings</t>
  </si>
  <si>
    <t>Shalinindia Beaded Napkin Rings Set of 6 Silver Decorations Christmas Ornaments
COG: 0 / Price: 8</t>
  </si>
  <si>
    <t>Raja 6 Silver Napkin Rings</t>
  </si>
  <si>
    <t>Shalinindia Handmade Indian Silver Beaded Napkin Rings - Set of 4 Rings
COG: 0 / Price: 6.5</t>
  </si>
  <si>
    <t>Raja 4 Silver Napkin Ring</t>
  </si>
  <si>
    <t>Shalinindia Handmade Indian Silver Beaded Napkin Rings
COG: 0 / Price: 8</t>
  </si>
  <si>
    <t>Raja 8 Silver Napkin Rings</t>
  </si>
  <si>
    <t>Shalinindia Handmade Napkin Rings Set of 6 Light Red Glass Beaded Napkin Holders - 1.5 Inch in Size - Table Dinner Decoration
COG: 0 / Price: 11.99</t>
  </si>
  <si>
    <t>Shalinindia Handmade Wooden Napkin - Holder Set of 4 Napkin Rings - Artisan Crafted in India - Napkin Holders
COG: 0 / Price: 10.1</t>
  </si>
  <si>
    <t>Raja 4 plain wooden napkin</t>
  </si>
  <si>
    <t>Cosynee Handmade Party Decor Wooden Napkin Rings Set of for 8 Table Dinner Decoration (Set of 8)
COG: 0 / Price: 11.49</t>
  </si>
  <si>
    <t>Cosynee Handmade Party Decor Wooden Napkin Rings Set of for 4 Table Dinner Decoration (Set of 4)
COG: 0 / Price: 15</t>
  </si>
  <si>
    <t>Cosynee Handmade Party Decor Wooden Napkin Rings Set of for 6 Table Dinner Decoration (Set of 6)
COG: 0 / Price: 15</t>
  </si>
  <si>
    <t>Cosynee Handcrafted Table Dinner Decorations Wooden Napkin Rings Set of 4 for Party Décor - Napkin Holders
COG: 0 / Price: 15</t>
  </si>
  <si>
    <t>Cosynee Artisan Crafted Dinner Table Decorations Wooden Napkin Rings Sets for Wedding Party (Set of 4)
COG: 0 / Price: 15</t>
  </si>
  <si>
    <t>Cosynee Handmade Wedding Party Decorations Wood Napkin Rings Set of 12 for Dinner Ideas
COG: 0 / Price: 15</t>
  </si>
  <si>
    <t>Cosynee Handcrafted Table Dinner Decorations Wooden Napkin Rings Set of 8 for Party Décor - Napkin Holders
COG: 0 / Price: 15</t>
  </si>
  <si>
    <t>VKB WOODEN -33</t>
  </si>
  <si>
    <t>Cosynee Handcrafted Table Dinner Decorations Wooden Napkin Rings Set of 6 for Party Décor - Napkin Holders
COG: 0 / Price: 15</t>
  </si>
  <si>
    <t>VKB WOODEN -34</t>
  </si>
  <si>
    <t>Cosynee Artisan Crafted Dinner Table Decorations Wooden Napkin Rings Sets for Wedding Party (Set of 8)
COG: 0 / Price: 15</t>
  </si>
  <si>
    <t>Cosynee Juego de rompecabezas 3D de madera de 3 en uno, para adolescentes y adultos, incluye bloques entrelazados de madera, rebaba diagonal y cubo de serpiente en caja de almacenamiento
COG: 0 / Price: 0</t>
  </si>
  <si>
    <t>JD USA CNDL -1</t>
  </si>
  <si>
    <t>JD</t>
  </si>
  <si>
    <t>Shalinindia Handmade Party Decor Wooden Napkin Rings Set of 12 for Table Dinner Decoration
COG: 0 / Price: 15</t>
  </si>
  <si>
    <t>JD US WOODEN -19</t>
  </si>
  <si>
    <t>JD KNOBS TRF -7</t>
  </si>
  <si>
    <t>Cosynee - 10 x Mix Vintage Look Flower Ceramic Knobs Door Handle Cabinet Drawer Cupboard Pull Mandala</t>
  </si>
  <si>
    <t>Cosynee Washing Machine Cleaner Descaler 24 Pack - Washer Cleaner Tub Deep Cleaning Tabs For Front Loader And Top Load Household, Clean Inside Drum And Laundry Tub Seal Laundry Supplies Descaler Deodorizer Odor Remover
COG: 0 / Price: 17</t>
  </si>
  <si>
    <t>JD-COSYNEE-MACHINE-CLEANER-PACK-24</t>
  </si>
  <si>
    <t>Handmade Wooden Cup and Ball Game - Unique Handmade Gifts for Kids
COG: 0 / Price: 11.99</t>
  </si>
  <si>
    <t>JD US WOODEN -17</t>
  </si>
  <si>
    <t>JD KNOBS TRF -12</t>
  </si>
  <si>
    <t>JD US WOODEN -6</t>
  </si>
  <si>
    <t>JD NPKN -16</t>
  </si>
  <si>
    <t>Handmade 8 Inches Bell Metal Tibetan Buddhist Singing Bowl Musical Instrument for Meditation with Stick and Cushion - Superior Quality
COG: 0 / Price: 105</t>
  </si>
  <si>
    <t>JD US BOWL -1</t>
  </si>
  <si>
    <t>JD US CTN POUCH -2</t>
  </si>
  <si>
    <t>JD KNOBS TRF -11</t>
  </si>
  <si>
    <t>COSYNEE - 1 Piece of 32 inch Multi-Surface Sturdy Outdoor Authentic Coconut Leaf Broom Asian Heavy Duty Broom Natural Coconut Leaf Broom (Country Rustic)
COG: 0 / Price: 19.49</t>
  </si>
  <si>
    <t>JD BROOM -1</t>
  </si>
  <si>
    <t>JD KNOBS TFR -18</t>
  </si>
  <si>
    <t>JD US WOODEN -76</t>
  </si>
  <si>
    <t>JD S KNOBS R+P -5</t>
  </si>
  <si>
    <t>JD US SOAPSTONE -1A</t>
  </si>
  <si>
    <t>cosynee Cabinet Knobs Drawer Pulls Dresser Knobs Drawer Knobs Kitchen Cabinet Knobs Assorted Drawer Knobs (Set -20)
COG: 0 / Price: 25.2</t>
  </si>
  <si>
    <t>JD S KNOBS FLAT -3</t>
  </si>
  <si>
    <t>cosynee Set of 25 Assorted Ceramic Knobs Hand Painted Vintage Collection Blue and White Pumpkin and Round Knobs Cabinet Drawer Handles Pulls (Blue White, Silver, Assorted II)
COG: 0 / Price: 28.7</t>
  </si>
  <si>
    <t>JD S KNOBS R+P -7</t>
  </si>
  <si>
    <t>cosynee Cabinet Knobs Drawer Pulls Dresser Knobs Drawer Knobs Kitchen Cabinet Knobs Assorted Drawer Knobs (Set -30)
COG: 0 / Price: 31.9</t>
  </si>
  <si>
    <t>JD KNOBS FLAT -5</t>
  </si>
  <si>
    <t>ShalinIndia Handmade Indian Stainless Steel &amp; Copper Serving Spoon - Genuine Copper Dinnerware Serving Pieces (4)
COG: 0 / Price: 15.99</t>
  </si>
  <si>
    <t>JD US SPOON -2</t>
  </si>
  <si>
    <t>ShalinIndia Handmade Indian Stainless Steel &amp; Copper Serving Spoon - Genuine Copper Dinnerware Serving Pieces (4)</t>
  </si>
  <si>
    <t>Shalinindia Handcrafted Table Dinner Decorations Wooden Napkin Rings Set of 6 for Party Decor
COG: 0 / Price: 9.99</t>
  </si>
  <si>
    <t>JD US WOODEN -13</t>
  </si>
  <si>
    <t>cosynee Cabinet Knobs Drawer Pulls Dresser Knobs Drawer Knobs Kitchen Cabinet Knobs Assorted Drawer Knobs (Set -10)
COG: 0 / Price: 19.8</t>
  </si>
  <si>
    <t>JD KNOBS FLAT -6</t>
  </si>
  <si>
    <t>JD KNOBS FLAT -2</t>
  </si>
  <si>
    <t>JD S KNOBS R+P -3</t>
  </si>
  <si>
    <t>JD BOWL -2</t>
  </si>
  <si>
    <t>JD US WOODEN -18</t>
  </si>
  <si>
    <t>JD US WOODEN -36</t>
  </si>
  <si>
    <t>COSYNEE Handmade Indian Multicolor Color Beaded Napkin Rings Party Table Decor Set of 4 Rings
COG: 0 / Price: 6.99</t>
  </si>
  <si>
    <t>JD NPKN -23</t>
  </si>
  <si>
    <t>JD US SOAPSTONE -1</t>
  </si>
  <si>
    <t>Cosynee Ball T-Light Elephant 3.5" Stone Tealight Holder | Hand Carved Elephant Floral Motif | Soapstone Off White
COG: 0 / Price: 10.99</t>
  </si>
  <si>
    <t>Cosynee Set of 12 Ceramic Blue Wheel Flat Knobs Drawer Pulls and Handmade Design
COG: 0 / Price: 19.8</t>
  </si>
  <si>
    <t>JD KNOBS TRF -4</t>
  </si>
  <si>
    <t>JD S KNOBS TRF -2</t>
  </si>
  <si>
    <t>JD KNOBS GREY -1</t>
  </si>
  <si>
    <t>Shalinindia Handmade Wedding Party Decorations Wood Napkin Rings Set of 8 for Dinner Ideas
COG: 0 / Price: 7.2</t>
  </si>
  <si>
    <t>5" Brass Copper Boatswain Whistle With golden Chain Bosun Call Pipe
COG: 0 / Price: 2</t>
  </si>
  <si>
    <t>JD US WOODEN -38</t>
  </si>
  <si>
    <t>COSYNEE - Set of 3 Piece 32 inch Multi-Surface Sturdy Outdoor Authentic Coconut Leaf Broom Asian Heavy Duty Broom Natural Coconut Leaf Broom (Country Rustic)
COG: 0 / Price: 39.2</t>
  </si>
  <si>
    <t>4-in-One Wooden Puzzle Games Set - 3D Puzzles for Teens and Adults - Includes Wood Interlocking Blocks, Diagonal Burr,Soma Cube and Snake Cube in Storage Box
COG: 0 / Price: 18.2</t>
  </si>
  <si>
    <t>JD US WOODEN -66</t>
  </si>
  <si>
    <t>JD USA WOODEN -21</t>
  </si>
  <si>
    <t>Cabinet Knobs Drawer Pulls Dresser Knobs Drawer Knobs Kitchen Cabinet Knobs Set Of 10 Assorted Drawer Knobs
COG: 0 / Price: 19.8</t>
  </si>
  <si>
    <t>JD S KNOBS R+P -1</t>
  </si>
  <si>
    <t>JD KNOBS GREY -13</t>
  </si>
  <si>
    <t>ShalinIndia Handmade Indian Stainless Steel &amp; Copper Serving Spoon Set of 2 - Genuine Copper Dinnerware Serving Pieces
COG: 0 / Price: 11.81</t>
  </si>
  <si>
    <t>JD US SPOON -1</t>
  </si>
  <si>
    <t>Karahi Indian Serving Dishes - 2-Piece Copper Bowl Set - Copper Kitchen Decor
COG: 0 / Price: 31</t>
  </si>
  <si>
    <t>JD USA BOWL -18</t>
  </si>
  <si>
    <t>Tibetan Buddhist Large Singing Bowl with Cushion from India for Meditation Sound Healing Prayer Percussion Musical Instrument 5 Inch
COG: 0 / Price: 32.9</t>
  </si>
  <si>
    <t>JD S ORNATE - 1</t>
  </si>
  <si>
    <t>Cosynee 100g/3.5oz Polyester Fiber Fill Premium Fiber Stuffing Fluff Stuffing High Resilience Fill Fiber for Stuffed Animal Crafts Pillow Stuffing Cushion Stuffing Poly Filling Stuffing Pillow Filler.
COG: 0 / Price: 9.99</t>
  </si>
  <si>
    <t>JD S KNOBS TRF -1</t>
  </si>
  <si>
    <t>JD US WOODEN -31</t>
  </si>
  <si>
    <t>Shalinindia Artisan Crafted Dinner Table Decorations Wooden Napkin Rings Set of 4 for Wedding Party
COG: 0 / Price: 9.13</t>
  </si>
  <si>
    <t>JD S KNOBS TRF -3</t>
  </si>
  <si>
    <t>ShalinIndia Handcrafted Rustic Wooden Napkin Rings Set of 6 for Wedding Party Decoration
COG: 0 / Price: 13.6</t>
  </si>
  <si>
    <t>JD US WOODEN -45</t>
  </si>
  <si>
    <t>Cosynee Pure Brass Tibetan Singing Bowl for Meditation, Sound Bowl Set for Chakra Healing, Tibetan Singing Bowl Set, Yoga Singing Bowl (Diameter 8 Inches and Weight 63.49 Oz)
COG: 0 / Price: 95.99</t>
  </si>
  <si>
    <t>JD C BOWL -1</t>
  </si>
  <si>
    <t>Coysnee Cabinet Knobs Drawer Pulls Dresser Knobs Drawer Knobs Kitchen Cabinet Knobs Set of 25 Drawer Knobs (Grey -4)
COG: 0 / Price: 29.19</t>
  </si>
  <si>
    <t>JD COSYNEE WOODEN -19</t>
  </si>
  <si>
    <t>SET OF RUNES POLISHED TIGER'S EYE GEMSTONES
COG: 0 / Price: 19.99</t>
  </si>
  <si>
    <t>JD KNOBS R+P -6</t>
  </si>
  <si>
    <t>JD US KNOBS PMKN -1</t>
  </si>
  <si>
    <t>Cosynee Tibetan Singing Bowl Set for Meditation, Sound Bowl Set for Chakra Healing, Yoga Singing Bowl, Buddhist Singing Bowl (Diameter 5 Inches and Weight 28.21 Oz) - Purple Singing Bowl
COG: 0 / Price: 33.9</t>
  </si>
  <si>
    <t>JD C BOWL -14</t>
  </si>
  <si>
    <t>Shalinindia Handmade Tablecloth Napkin Rings Set of 8 Light Green Glass Beaded Napkin Holders - 1.5 Inch in Size - for Party Décor
COG: 0 / Price: 15.99</t>
  </si>
  <si>
    <t>cosynee Set of 2 Tibetan Copper Bracelets Magnetic India Pattern Women's Men's Spiritual Yoga Jewelry (Style -17)
COG: 0 / Price: 12.3</t>
  </si>
  <si>
    <t>Karahi Indian Serving Dishes - 2-Piece Copper Bowl Set - Copper Kitchen Decor &amp; Copper Anniversary Gifts (Lot of 2, 6 Inch)
COG: 0 / Price: 31</t>
  </si>
  <si>
    <t>JD US JWL-BCL-0014</t>
  </si>
  <si>
    <t>cosynee Set of 1 Tibetan Copper Bracelets Magnetic India Pattern Women's Men's Spiritual Yoga Jewelry (Style -12)
COG: 0 / Price: 13.6</t>
  </si>
  <si>
    <t>Cosynee Tibetan Singing Bowl Set for Meditation, Sound Bowl Set for Chakra Healing, Yoga Singing Bowl, Buddhist Singing Bowl (Diameter 5 Inches and Weight 28.21 Oz) - Green Singing Bowl Set
COG: 0 / Price: 37.6</t>
  </si>
  <si>
    <t>Contemporary Stone Ornament Coasters Holder Set Dining Table Coffee
COG: 0 / Price: 14.99</t>
  </si>
  <si>
    <t>JD US SOAPSTONE -2</t>
  </si>
  <si>
    <t>cosynee Set of 1 Tibetan Copper Bracelets Magnetic India Pattern Women's Men's Spiritual Yoga Jewelry (Style -10)
COG: 0 / Price: 13.6</t>
  </si>
  <si>
    <t>Cosynee Handmade Party Decor Wooden Napkin Rings Set of for 8 Table Dinner Decoration (Set of 8)
COG: 0 / Price: 12.99</t>
  </si>
  <si>
    <t>JD COSYNEE-WOODEN -20</t>
  </si>
  <si>
    <t>ShalinIndia Handmade Indian Stainless Steel &amp; Copper Serving Spoon - Genuine Copper Dinnerware Serving Pieces (4)
COG: 0 / Price: 16.4</t>
  </si>
  <si>
    <t>cosynee Set of 4 Tibetan Copper Bracelets Magnetic India Pattern Women's Men's Spiritual Yoga Jewelry (Style -7)
COG: 0 / Price: 11.84</t>
  </si>
  <si>
    <t>JD US JWL-BCL-0006</t>
  </si>
  <si>
    <t>JD KNOBS TRF -5</t>
  </si>
  <si>
    <t>cosynee 20 Knobs White &amp; Grey Cream Hand Painted Ceramic Knobs Cabinet Drawer Pull Pulls
COG: 0 / Price: 22.9</t>
  </si>
  <si>
    <t>JD KNOBS GREY -3</t>
  </si>
  <si>
    <t>Shalinindia Indian Coin Bank Money Saving Box - Banks for Kids &amp; Adults - Wood Vacation Piggy Bank
COG: 0 / Price: 13.99</t>
  </si>
  <si>
    <t>cosynee Knobs Grey &amp; White Cream Hand Painted Ceramic Knobs Cabinet Drawer Pull Pulls (12)
COG: 0 / Price: 18.2</t>
  </si>
  <si>
    <t>JD KNOBS GREY -2</t>
  </si>
  <si>
    <t>cosynee Set of 1 Tibetan Copper Bracelets Magnetic India Pattern Women's Men's Spiritual Yoga Jewelry (Style -9)
COG: 0 / Price: 14.6</t>
  </si>
  <si>
    <t>JD US JWL-BCL-0008</t>
  </si>
  <si>
    <t>cosynee Statue Goddess Idol Hindu Religious Art Brass 5 Inch (Goddess Durga)
COG: 0 / Price: 38.8</t>
  </si>
  <si>
    <t>Shalinindia Handmade Wooden Napkin - Holder Set of 4 Napkin Rings - Artisan Crafted in India - Napkin Holders
COG: 0 / Price: 0</t>
  </si>
  <si>
    <t>Shalinindia Handcrafted Table Dinner Decorations Wooden Napkin Rings Set of 12 for Party Decor
COG: 0 / Price: 24.8</t>
  </si>
  <si>
    <t>Cosynee Pure Brass Tibetan Singing Bowl for Meditation, Sound Bowl Set for Chakra Healing, Tibetan Singing Bowl Set, Handmade Bell Metal Buddhist Singing Bowl (Diameter 5 Inches and Weight 28.21 Oz)
COG: 0 / Price: 50.8</t>
  </si>
  <si>
    <t>100CANDLES</t>
  </si>
  <si>
    <t>cosynee Set of Two Tibetan Copper Bracelets Magnetic India Pattern Women's Men's Spiritual Yoga Jewelry (Style -16)
COG: 0 / Price: 12.3</t>
  </si>
  <si>
    <t>JD KNOBS GREY -6</t>
  </si>
  <si>
    <t>PYR-3</t>
  </si>
  <si>
    <t>Set of 1 Tibetan Copper Bracelets Magnetic India Pattern Women's Men's Spiritual Yoga Jewelry (Style -11)
COG: 0 / Price: 12.3</t>
  </si>
  <si>
    <t>JD US JWL-BCL-0010</t>
  </si>
  <si>
    <t>Cosynee Tibetan Singing Bowl Set for Meditation, Sound Bowl Set for Chakra Healing, Yoga Singing Bowl, Buddhist Singing Bowl (Diameter 5 Inches and Weight 28.21 Oz) - Blue Singing Bowl
COG: 0 / Price: 37.6</t>
  </si>
  <si>
    <t>Handmade 8 Inches Bell Metal Tibetan Buddhist Singing Bowl Musical Instrument for Meditation with Stick and Cushion - Superior Quality
COG: 0 / Price: 87</t>
  </si>
  <si>
    <t>cosynee Set of 1 Tibetan Copper Bracelets Magnetic India Pattern Women's Men's Spiritual Yoga Jewelry (Style -8)
COG: 0 / Price: 12.3</t>
  </si>
  <si>
    <t>JD US JWL-BCL-0007</t>
  </si>
  <si>
    <t>Cosynee Buckwheat Standard Size Pillow Organic Buckwheat Hulls with Natural Technology for Cool Sleep Neck &amp; Cervical Support for Back &amp; Side Sleepers Meditation Cushion &amp; Lumbar Support Pillow (Replace Buckwheat after every 3 months)
COG: 0 / Price: 39.23</t>
  </si>
  <si>
    <t>JD ORNATE - 2</t>
  </si>
  <si>
    <t>Cosynee Lot Off 8 Grey &amp; White Crackle Vintage Knobs (Grey &amp; White)
COG: 0 / Price: 15</t>
  </si>
  <si>
    <t>JD KNOBS GREY -8</t>
  </si>
  <si>
    <t>Indian Decorative Items for Home Handmade Lamps Tealight Candle Holder Grey Soap Stone 3 Inch
COG: 0 / Price: 16</t>
  </si>
  <si>
    <t>ShalinIndia Anahata Green Buddhist Singing Bowl - Tuned to the 4th Chakra Heart Chakra - Fine Quality Brass - 5 Inches - Ideal for Meditations, Ayurveda &amp; Yoga
COG: 0 / Price: 32</t>
  </si>
  <si>
    <t>cosynee 12 pc Door Knobs Hand Printed Ceramic Knobs and Pulls Handle Handmade Silver Finish (Red)
COG: 0 / Price: 12.5</t>
  </si>
  <si>
    <t>cosynee Goddess Saraswati Statue - Figurine Idol Hindu Religious Art Brass 5 Inches
COG: 0 / Price: 39.9</t>
  </si>
  <si>
    <t>JD US WOODEN -21</t>
  </si>
  <si>
    <t>Shalinindia Handmade Rustic Wooden Napkin Rings Set of 4 for Table Decoration Ideas
COG: 0 / Price: 0</t>
  </si>
  <si>
    <t>Cosynee Tibetan Singing Bowl Set for Meditation, Sound Bowl Set for Chakra Healing, Yoga Singing Bowl, Buddhist Singing Bowl (Diameter 5 Inches and Weight 28.21 Oz) - Yellow Singing Bowl
COG: 0 / Price: 37.6</t>
  </si>
  <si>
    <t>Cosynee Tibetan Singing Bowl Set with Silver Copper Color for Meditation, Sound Bowl Set for Chakra Healing, Yoga Singing Bowl, Buddhist Singing Bowl (Diameter 5.5 Inches and Weight 35.27 Oz)
COG: 0 / Price: 39.4</t>
  </si>
  <si>
    <t>ShalinIndia Anahata Buddhist Singing Bowl - Tuned to the 4th Chakra Heart Chakra - Fine Quality Brass - 5 Inches - Ideal for Meditations, Ayurveda &amp; Yoga (Yellow)
COG: 0 / Price: 37.6</t>
  </si>
  <si>
    <t>JD US BOWL -11</t>
  </si>
  <si>
    <t>Cosynee Tibetan Singing Bowl Set for Meditation, Sound Bowl Set for Chakra Healing, Yoga Singing Bowl, Buddhist Singing Bowl (Diameter 5 Inches and Weight 28.21 Oz) - Orange Singing Bowl
COG: 0 / Price: 37.6</t>
  </si>
  <si>
    <t>Cosynee Tibetan Singing Bowl Set for Meditation, Sound Bowl Set for Chakra Healing, Yoga Singing Bowl, Buddhist Singing Bowl (Diameter 5 Inches and Weight 28.21 Oz) - Red Singing Bowl
COG: 0 / Price: 37.6</t>
  </si>
  <si>
    <t>JD C BOWL -10</t>
  </si>
  <si>
    <t>Grey Stone Art Holder Soap Dish Accessories for Bathroom Shower Bath Tub
COG: 0 / Price: 11.9</t>
  </si>
  <si>
    <t>Shalinindia Handcrafted Table Dinner Decorations Wooden Napkin Rings Set of 12 for Party Decor
COG: 0 / Price: 0</t>
  </si>
  <si>
    <t>JD US WOODEN -40</t>
  </si>
  <si>
    <t>Shalinindia Handmade Party Decor Wooden Napkin Rings Set of 8 for Table Dinner Decoration
COG: 0 / Price: 2</t>
  </si>
  <si>
    <t>Shalinindia Handmade Artisan Crafted in India Wood Napkin Ring Set of 6
COG: 0 / Price: 4.99</t>
  </si>
  <si>
    <t>Cosynee Natural Crystal Pendulum 12 Facet Reiki Charged (Multi Oregon)
COG: 0 / Price: 2</t>
  </si>
  <si>
    <t>Cosynee Assorted Color Top Cotton Craft Fabric Bundle Squares Patchwork DIY Sewing Scrapbooking Quilting Dot Pattern (4" X 4" (30 Pcs))
COG: 0 / Price: 699</t>
  </si>
  <si>
    <t>Shalinindia Handmade Snowflake Iron and Glass Pendant Christmas Ornaments, 6 Inches
COG: 0 / Price: 45</t>
  </si>
  <si>
    <t>Cosynee Handmade Indian Multiocolor Color Beaded Napkin Rings Party Table Decor Set of 6 Rings
COG: 0 / Price: 7.72</t>
  </si>
  <si>
    <t>cosynee Orgone Reiki Pyramid Kit, EMF Protection Meditation Yoga Energy Generator, Crystal Quartz Energy Points, 7 Chakra Crystal Orgone Pyramid Kit (Amethyst Crystal)
COG: 0 / Price: 5</t>
  </si>
  <si>
    <t>Coysnee Set Off 10 Multi Knobs Hand Painted Ceramic Knobs Cabinet Drawer Pull (Multi-02)
COG: 0 / Price: 11.91</t>
  </si>
  <si>
    <t>cosynee Reiki Pyramid Kit, EMF Protection Meditation Yoga Energy, Crystal Quartz Energy Points, 7 Chakra Crystal Orgone Pyramid Kit (Selenite LS) Negative Energy Protection - Home Decor
COG: 0 / Price: 17</t>
  </si>
  <si>
    <t>Cosynee Tibetan Singing Bowl Set for Meditation, Sound Bowl Set for Chakra Healing, Yoga Singing Bowl, Buddhist Singing Bowl (Diameter 5 Inches and Weight 28.21 Oz) - Sky Blue Singing Bowl
COG: 0 / Price: 39.59</t>
  </si>
  <si>
    <t>Cosynee Tibetan Singing Bowl Set for Meditation, Sound Bowl Set for Chakra Healing, Yoga Singing Bowl, Buddhist Singing Bowl (Diameter 4 Inches and Weight 22.92 Oz) - Blue Singing Bowl
COG: 0 / Price: 31.1</t>
  </si>
  <si>
    <t>JD C BOWL -6</t>
  </si>
  <si>
    <t>Shalinindia Antique Goddess Durga Metal Brass Sculpture, H: 5 Inches, W: 0.8 Kg
COG: 0 / Price: 56.5</t>
  </si>
  <si>
    <t>ShalinIndia Handmade Indian Stainless Steel &amp; Copper Serving Spoon Set of 2 - Genuine Copper Dinnerware Serving Pieces
COG: 0 / Price: 9.4</t>
  </si>
  <si>
    <t>ShalinIndia 3 in One Wooden 3D Puzzle Games Set Teens and Adults Includes Wood Interlocking Blocks Diagonal Burr and Snake Cube in Storage Box
COG: 0 / Price: 0</t>
  </si>
  <si>
    <t xml:space="preserve">
COG: 0 / Price: 3</t>
  </si>
  <si>
    <t>Shalinindia Handcrafted Table Dinner Decorations Wooden Napkin Rings Set of 6 for Party Decor
COG: 0 / Price: 0</t>
  </si>
  <si>
    <t>Shalinindia Handmade Wood Napkin Ring Set, Set of 6
COG: 0 / Price: 4</t>
  </si>
  <si>
    <t>Shalinindia Handmade Wedding Party Decorations Wood Napkin Rings Set of 12 for Dinner Ideas
COG: 0 / Price: 8</t>
  </si>
  <si>
    <t>JD KNOBS GREY -7</t>
  </si>
  <si>
    <t>Cosynee Tibetan Singing Bowl Set for Meditation, Sound Bowl Set for Chakra Healing, Yoga Singing Bowl, Buddhist Singing Bowl (Diameter 4 Inches and Weight 22.92 Oz) - Green Singing Bowl
COG: 0 / Price: 30</t>
  </si>
  <si>
    <t>JD C BOWL -7</t>
  </si>
  <si>
    <t>Cosynee 2 Gram [100 Packets] Premium Pure and Safe Silica Gel Packets Desiccant Dehumidifiers, Silica Gel Packs - Rechargeable (Food Safe) Moisture Absorbers, Desiccant Packs Silica Packets
COG: 0 / Price: 9.6</t>
  </si>
  <si>
    <t xml:space="preserve">
COG: 0 / Price: 18</t>
  </si>
  <si>
    <t>JD US WOODEN -55</t>
  </si>
  <si>
    <t>4 Inches Hand Painted Metal Tibetan Buddhist Singing Bowl Musical Instrument for Meditation with Stick and Cushion
COG: 0 / Price: 31.6</t>
  </si>
  <si>
    <t>JD US BOWL -7</t>
  </si>
  <si>
    <t>Shalinindia Handmade Tablecloth Napkin Rings Set of 8 Light Green Glass Beaded Napkin Holders - 1.5 Inch in Size - for Party Décor
COG: 0 / Price: 0</t>
  </si>
  <si>
    <t>Shalinindia Handmade Artisan Crafted in India Wood Napkin Ring Set of 4
COG: 0 / Price: 2</t>
  </si>
  <si>
    <t>cosynee Lot of 12 White Ceramic Leaf Pumpkin Knobs
COG: 0 / Price: 42.5</t>
  </si>
  <si>
    <t>JD KNOBS PMKN -3</t>
  </si>
  <si>
    <t>cosynee Vintage Cabinet knobs pulls &amp; Chrome Drawer knobs (Pumpkin)
COG: 0 / Price: 11.91</t>
  </si>
  <si>
    <t>cosynee Black Tourmaline Orgone Pyramid – Reiki Healing – Chakra Balancing – Good Luck – Natural Gemstone – Emf Protection – Height 2 inch – Wealth and Prosperity – Physical Healing Energy
COG: 0 / Price: 2</t>
  </si>
  <si>
    <t>Cosynee Tibetan Singing Bowl Set for Meditation, Sound Bowl Set for Chakra Healing, Yoga Singing Bowl, Buddhist Singing Bowl (Diameter 4 Inches and Weight 22.92 Oz) - Black Singing Bowl
COG: 0 / Price: 31.1</t>
  </si>
  <si>
    <t>Radha Krishna Statue Hindu Gods Sculpture Ornament 8 Inches
COG: 0 / Price: 62.99</t>
  </si>
  <si>
    <t>1 X Cotton Muslin Bags 3x4 Inch Drawstring 50 Count Pack
COG: 0 / Price: 9</t>
  </si>
  <si>
    <t>JD CTN POUCH -2</t>
  </si>
  <si>
    <t>JD BOWL -18</t>
  </si>
  <si>
    <t>Karahi Indian Serving Dishes - 2-Piece Copper Bowl Set - Copper Kitchen Decor</t>
  </si>
  <si>
    <t>Shalinindia Set of 6 Snow Flake Christmas Home Birthday Party Wedding Decor Ornaments - Handmade Decoration Gifts Set
COG: 0 / Price: 40.5</t>
  </si>
  <si>
    <t>Tibetan Buddhist Small Hand Painted Singing Bowl with Cushion from India for Meditation Sound Healing Prayer Percussion Musical Instrument 4 Inch
COG: 0 / Price: 25.6</t>
  </si>
  <si>
    <t>Shalinindia Handmade Indian Beaded Black Napkin Rings Set of 6
COG: 0 / Price: 7</t>
  </si>
  <si>
    <t>cosynee Cabinet Knobs Drawer Pulls Dresser Knobs Drawer Knobs Kitchen Cabinet Knobs Assorted Drawer Knobs (Set -30)
COG: 0 / Price: 24.5</t>
  </si>
  <si>
    <t>Cosynee Natural Gemstone Pocket Angel Healing Statue 1.5" to 2" Inch (Green Jade)
COG: 0 / Price: 3</t>
  </si>
  <si>
    <t>cosynee Natural Gemstone Pocket Angel Healing Statue 1.5" to 2" Inch (Selenite)
COG: 0 / Price: 3</t>
  </si>
  <si>
    <t>Cosynee Tibetan Singing Bowl Set for Meditation, Sound Bowl Set for Chakra Healing, Yoga Singing Bowl, Buddhist Singing Bowl (Diameter 5 Inches and Weight 28.21 Oz) - Red Singing Bowl
COG: 0 / Price: 23</t>
  </si>
  <si>
    <t>Cosynee 4 Pack Extra Large Moving Bags with Zippers &amp; Carrying Handles, Heavy-Duty Storage Tote for Space Saving Moving Storage College Moving Bags Packing Bags for Moving
COG: 0 / Price: 19.99</t>
  </si>
  <si>
    <t xml:space="preserve">
COG: 0 / Price: 1.5</t>
  </si>
  <si>
    <t>Handcrafted Indian Wooden Labyrinth Ball Maze Puzzle Game &amp; Decoration
COG: 0 / Price: 0</t>
  </si>
  <si>
    <t>Saraswati Statue Goddess Figurine Idol Hindu Religious Art Brass 5 Inches 0.9 Kg
COG: 0 / Price: 26</t>
  </si>
  <si>
    <t>Buddhist Singing Bowl Meditation Tibetan Blue Art DÃcor 5.5 Inch
COG: 0 / Price: 45.5</t>
  </si>
  <si>
    <t>Shalinindia Handmade Wedding Party Decorations Wood Napkin Rings Set of 8 for Dinner Ideas
COG: 0 / Price: 8</t>
  </si>
  <si>
    <t>Shalinindia Artisan Crafted Dinner Table Decorations Wood Napkin Rings Set of 8 for Wedding Party
COG: 0 / Price: 19.2</t>
  </si>
  <si>
    <t>ShalinIndia Anahata Buddhist Singing Bowl - Tuned to the 4th Chakra Heart Chakra - Fine Quality Brass - 5 Inches - Ideal for Meditations, Ayurveda &amp; Yoga (Orange)
COG: 0 / Price: 45.5</t>
  </si>
  <si>
    <t>JD BOWL -20</t>
  </si>
  <si>
    <t>Cabinet Knobs Drawer Pulls Dresser Knobs Drawer Knobs Kitchen Cabinet Knobs Set Of 10 Assorted Drawer Knobs
COG: 0 / Price: 17.8</t>
  </si>
  <si>
    <t>ShalinIndia Napkin Ring Pack of 8 Christmas Table Decoration Ideas - Glass Beaded Decorative Round Red Textured Napkin Tissue Holder for Party
COG: 0 / Price: 6</t>
  </si>
  <si>
    <t>cosynee Cabinet Knobs Drawer Pulls Dresser Knobs Drawer Knobs Kitchen Cabinet Knobs Assorted Drawer Knobs (Set -20)
COG: 0 / Price: 18.49</t>
  </si>
  <si>
    <t>JD KNOBS FLAT -3</t>
  </si>
  <si>
    <t>JD KNOBS R+P -3</t>
  </si>
  <si>
    <t>cosynee 10 Pieces Set of Sky Blue Color Ceramic Knobs Drawer Pulls with Different Design &amp; Chrome Hardware
COG: 0 / Price: 11.55</t>
  </si>
  <si>
    <t>JD KNOBS FLAT -7</t>
  </si>
  <si>
    <t>cosynee 20 Knobs White &amp; Grey Cream Hand Painted Ceramic Knobs Cabinet Drawer Pull Pulls
COG: 0 / Price: 18.5</t>
  </si>
  <si>
    <t>Cosynee 20 Knobs White &amp; Grey Cream Hand Painted Ceramic Knobs Cabinet Drawer Pull Pulls</t>
  </si>
  <si>
    <t>cosynee Lapis Lazuli Orgone Pyramid – Reiki Healing – Chakra Balancing – Positive Energy - Natural Gemstone – Emf Protection – Quartz Crystal Energy Generator - Height 2 inch – Wealth and Prosperity
COG: 0 / Price: 15</t>
  </si>
  <si>
    <t>cosynee Lapis Lazuli Orgone Pyramid - Reiki Healing - Chakra Balancing - Positive Energy - Natural Gemstone - Emf Protection - Quartz Crystal Energy G</t>
  </si>
  <si>
    <t>cosynee Healing Gemstone Rune Stones with Velvet Pouch, EMF Protection Meditation Yoga Energy Generator, Crystal Quartz Energy Points, 7 Chakra Crystal Orgone Pyramid Kit (Multi Stone)
COG: 0 / Price: 13</t>
  </si>
  <si>
    <t>cosynee Orgone Reiki Pyramid Kit, EMF Protection Meditation Yoga Energy Generator, Crystal Quartz Energy Points, (Dyed Turquoise)
COG: 0 / Price: 5</t>
  </si>
  <si>
    <t>PYR-20</t>
  </si>
  <si>
    <t>cosynee Orgone Reiki Pyramid Kit, EMF Protection Meditation Yoga Energy Generator, Crystal Quartz Energy Points, (Dyed Turquoise)</t>
  </si>
  <si>
    <t>Cosynee Natural Gemstone Pocket Angel Healing Statue 1.5" to 2" Inch (Howlite)
COG: 0 / Price: 3</t>
  </si>
  <si>
    <t xml:space="preserve">
COG: 0 / Price: 1.99</t>
  </si>
  <si>
    <t>PYR-22</t>
  </si>
  <si>
    <t>cosynee Reiki Pyramid Kit, EMF Protection Meditation Yoga Energy, Crystal Quartz Energy Points, 7 Chakra Crystal Orgone Pyramid Kit (Lapis Lazuli LS)
COG: 0 / Price: 15</t>
  </si>
  <si>
    <t>PYR-1</t>
  </si>
  <si>
    <t>cosynee Premium Quality Assorted Ceramic Knobs- Multi Color Mix Designed Ceramic Cupboard Cabinet Door Knobs Drawer Pulls &amp; Chrome Hardware (KNOBS TFR -6)
COG: 0 / Price: 8</t>
  </si>
  <si>
    <t>JD PNDM -7</t>
  </si>
  <si>
    <t>Self-Inking Rubber Date Stamp - Received - S-303 - RED Ink (42511-R-RECEIVED)
COG: 0 / Price: 2</t>
  </si>
  <si>
    <t xml:space="preserve">
COG: 0 / Price: 0.01</t>
  </si>
  <si>
    <t>Cosynee Tibetan Singing Bowl Set for Meditation, Tibetan Art Decor for Chakra Healing, Yoga Singing Bowl, Buddhist Singing Bowl (Diameter 5.5 Inches and Weight 35.65) - Blue Singing Bowl Set
COG: 0 / Price: 38.8</t>
  </si>
  <si>
    <t>Cosynee Tibetan Singing Bowl Set for Meditation, Tibetan Art Decor for Chakra Healing, Yoga Singing Bowl, Buddhist Singing Bowl (Diameter 5.5 Inches and Weight 35.65) - Black Singing Bowl
COG: 0 / Price: 24</t>
  </si>
  <si>
    <t>Cosynee Buckwheat Standard Size Pillow Organic Buckwheat Hulls with Natural Technology for Cool Sleep Neck &amp; Cervical Support for Back &amp; Side Sleepers Meditation Cushion &amp; Lumbar Support Pillow (Replace Buckwheat after every 3 months)
COG: 0 / Price: 35.99</t>
  </si>
  <si>
    <t>EL-2AOF-GUSC</t>
  </si>
  <si>
    <t>Cosynee Buckwheat Standard Size Pillow Organic Buckwheat Hulls with Natural Technology for Cool Sleep Neck &amp; Cervical Support for Back &amp; Side Sleepers Meditation Cushion &amp; Lumbar Support Pillow (Replace Buckwheat after every 3 months)</t>
  </si>
  <si>
    <t>Cosynee Shilajit 400mg - 6 Capsules - Pure Shilajit Extract Supplement and Powder Complex Pills - Natural Humic &amp; Plant Derived Fulvic Minerals for Metabolism, Strength and Immune System Support
COG: 0 / Price: 6.99</t>
  </si>
  <si>
    <t>Shalinindia Artisan Crafted Dinner Table Decorations Wood Napkin Rings Set of 8 for Wedding Party
COG: 0 / Price: 8</t>
  </si>
  <si>
    <t>JD US WOODEN -20</t>
  </si>
  <si>
    <t>ShalinIndia Anahata Green Buddhist Singing Bowl - Tuned to the 4th Chakra Heart Chakra - Fine Quality Brass - 5 Inches - Ideal for Meditations, Ayurveda &amp; Yoga
COG: 0 / Price: 42.5</t>
  </si>
  <si>
    <t>ShalinIndia Anahata Green Buddhist Singing Bowl - Tuned to the 4th Chakra Heart Chakra - Fine Quality Brass - 5 Inches - Ideal for Meditations, Ayurve</t>
  </si>
  <si>
    <t>cosynee 12 pc Door Knobs Hand Printed Ceramic Knobs and Pulls Handle Handmade Silver Finish (Black)
COG: 0 / Price: 0</t>
  </si>
  <si>
    <t>JD 12 Black Transfer knobs</t>
  </si>
  <si>
    <t>cosynee 12 pc Door Knobs Hand Printed Ceramic Knobs and Pulls Handle Handmade Silver Finish (Black)</t>
  </si>
  <si>
    <t>Cosynee 12 pc Door Knobs Hand Printed Ceramic Knobs and Pulls Handle Handmade Silver Finish (Gray &amp; White)
COG: 0 / Price: 0</t>
  </si>
  <si>
    <t>JD 12 Grey Transfer knobs</t>
  </si>
  <si>
    <t>cosynee 10 Pieces Dotted Ceramic Cabinet Pulls Colorful Drawer Knobs and Fancy Drawer Pulls - Perfect Ceramic Cabinet Knobs &amp; Ceramic Drawer Pulls (Assorted Knobs).</t>
  </si>
  <si>
    <t>Cosynee Ball T-Light Elephant 3.5" Stone Tealight Holder | Hand Carved Elephant Floral Motif | Soapstone Off White
COG: 0 / Price: 0</t>
  </si>
  <si>
    <t>Cosynee Tibetan Singing Bowl Set for Meditation, Sound Bowl Set for Chakra Healing, Yoga Singing Bowl, Buddhist Singing Bowl (Diameter 4 Inches and Weight 22.92 Oz) - Red Singing Bowl
COG: 0 / Price: 23</t>
  </si>
  <si>
    <t>JD C BOWL -9</t>
  </si>
  <si>
    <t>Cosynee Tibetan Singing Bowl Set for Meditation, Tibetan Art Decor for Chakra Healing, Yoga Singing Bowl, Buddhist Singing Bowl (Diameter 5.5 Inches and Weight 35.65) - Red Singing Bowl Set
COG: 0 / Price: 38.8</t>
  </si>
  <si>
    <t>Cosynee Hammered Tibetan Singing Bowl Set for Meditation, Sound Bowl Set for Chakra Healing, Yoga Singing Bowl (Diameter 5 Inches and Weight 28.21 Oz) - Brass Hammered Singing Bowl
COG: 0 / Price: 24</t>
  </si>
  <si>
    <t>JD C BOWL -22</t>
  </si>
  <si>
    <t>Cosynee Brass Tibetan Singing Bowl Set for Meditation, Sound Bowl Set for Chakra Healing, Yoga Singing Bowl, Buddhist Singing Bowl (Diameter 6 Inches and Weight 37.65 Oz) - Brass Singing Bowl
COG: 0 / Price: 32</t>
  </si>
  <si>
    <t>JD C BOWL -21</t>
  </si>
  <si>
    <t>Cosynee Tibetan Singing Bowl Set with Silver Copper Color for Meditation, Sound Bowl Set for Chakra Healing, Yoga Singing Bowl, Buddhist Singing Bowl (Diameter 4 Inches and Weight 22.92 Oz)
COG: 0 / Price: 36.4</t>
  </si>
  <si>
    <t>Cosynee Buckwheat Pillow Replacement Hulls: Cosynee 100% Organic Premium Buckwheat Hulls – 1.54 Lb. (700 Gram) Refill Bag Stuffing for Pillows Also Works Great for Gardening and use as Mulch
COG: 0 / Price: 12.99</t>
  </si>
  <si>
    <t>Ramaroma Organic Jaggery Powder | Gur Powder | 16 Oz (453 Gram) | Raw Unrefined Natural Pure | No Color added, Gluten Free Ingredients | Vegan | Turbinado | Cane Sugar
COG: 0 / Price: 9.99</t>
  </si>
  <si>
    <t xml:space="preserve">profit loss </t>
  </si>
  <si>
    <t xml:space="preserve">WEIGHT /PER ITEM  IN KGS </t>
  </si>
  <si>
    <t>total expenses ( product costs + shipping)</t>
  </si>
  <si>
    <t xml:space="preserve">NET PROFIT / LOSS </t>
  </si>
  <si>
    <t xml:space="preserve">go to cell v23 for instructions </t>
  </si>
  <si>
    <t xml:space="preserve">Total Expenses ( unit costs X qty </t>
  </si>
  <si>
    <t xml:space="preserve">Revenue ( in usd ) </t>
  </si>
  <si>
    <t xml:space="preserve">Product costs ( without shipping ) </t>
  </si>
  <si>
    <t xml:space="preserve">Product  Costs INCLUDING SHIPPING </t>
  </si>
  <si>
    <t>TOTAL PROFIT/ LOSS  ( revenue - TOTAL Expense in usd )</t>
  </si>
  <si>
    <t>AVERAGE SALES PRICE( BRANDWISE)</t>
  </si>
  <si>
    <t>TOTAL QTY REFUNDED( BRANDWISE)</t>
  </si>
  <si>
    <t>AVERAGE REFUND PRICE  ( BRANDWISE)</t>
  </si>
  <si>
    <t>TOTAL REVENUE ( BRANDWISE)</t>
  </si>
  <si>
    <t xml:space="preserve">REFUND AMOUNT ( TOTAL EACH ITEMS) </t>
  </si>
  <si>
    <t>SALE PRICE EACH UNIT ( REVENUE DIVIDED BY QTY)</t>
  </si>
  <si>
    <t>INR</t>
  </si>
  <si>
    <t>USD</t>
  </si>
  <si>
    <t>usd</t>
  </si>
  <si>
    <t>you need to calculate costs per unit including shipping (Row: "Q" . Which would be costs without shipping( Row:"O") + shipping costs  ,</t>
  </si>
  <si>
    <t>HOW TO CALCULATE "R"</t>
  </si>
  <si>
    <t>we use two shipping mode one is "A" WHICH COSTS 450 RS. / PER KGS AND ANOTHER IS "S" which costs 120 rs. / per kgs so based on modes IN row:"P" you can use conditional Calculation ( if formula) for calculating shipping costs , each item have different weights so weights (Row :"N")multiply by shipping costs (Row :"P") plus product costs(Row:"O") would be its costs including shipping (ROW : "Q")</t>
  </si>
  <si>
    <t>TOTAL EXPENSES(ROW"R") Equals to product costs including shipping ( Row:"A" multiply by unit qty ( Row :"H") AND BRACKET DIVIDE BY DOLLAR VALUE  , 1 DOLLAR EQUALS TO "80 RS.)</t>
  </si>
  <si>
    <t>HOW TO CALUCLATE "S"</t>
  </si>
  <si>
    <t>THIS IS NET PROFIT OR LOSS : REVENUE - TOTAL EXPENSE ( ROW : "L" - ROW "R")</t>
  </si>
  <si>
    <t xml:space="preserve">CREATE A BRANDWISE TABLE </t>
  </si>
  <si>
    <t xml:space="preserve">SINCE WE SELL MULTIPLE BRAND AS MENSTIONED IN ROW : "B" WE NEED TO CALCULATE DATA FOR EACH BRAND , THIS CAN BE DONE VIA RANGE FORMULAS OR OTHER FORMULAS TOO </t>
  </si>
  <si>
    <t xml:space="preserve">HOW TO CALCULATE </t>
  </si>
  <si>
    <t>ROW : V</t>
  </si>
  <si>
    <t>ROW : W</t>
  </si>
  <si>
    <t>ROW : X</t>
  </si>
  <si>
    <t xml:space="preserve">ROW  : Y </t>
  </si>
  <si>
    <t>ROW : Z</t>
  </si>
  <si>
    <t>ROW : AA</t>
  </si>
  <si>
    <t xml:space="preserve">ROW : AB </t>
  </si>
  <si>
    <t>TOTAL QUANTITY SOLD ( ROW :H)</t>
  </si>
  <si>
    <t>AVERAGE SELLING PRICE FOR A BRAND ( TOTAL REVENUE ( L) DIVIDE BY TOTAL QUANTITY ( H)</t>
  </si>
  <si>
    <t>TOTAL REFUNDED QUANTITY ( J)</t>
  </si>
  <si>
    <t xml:space="preserve">AVERAGE REFUND AMOUNT  :  THIS DATA NEEDS NOT TO BE SHOWN IN NEGATIVE ( IF IT IS NEGATIVE MAKE IT POSITIVE ) </t>
  </si>
  <si>
    <t xml:space="preserve">TOTAL REVENUE : OF A BRAND </t>
  </si>
  <si>
    <t xml:space="preserve">TOTAL EXPENSE OF A BRAND </t>
  </si>
  <si>
    <t xml:space="preserve">NET PROFIT AND LOSS OF A BRAND </t>
  </si>
  <si>
    <t>How to calculate shipping costs :</t>
  </si>
  <si>
    <t xml:space="preserve">INSTRUCTION FOR DOING THIS TESTS : </t>
  </si>
  <si>
    <t>CALCULATE VALUE FOR ROW : "Q" , "R" AND "S" :</t>
  </si>
  <si>
    <t xml:space="preserve">CALCULATE VALUES FOR ROW  : U , V , W , X , Y , Z , AA , AB  : </t>
  </si>
  <si>
    <t>in rupees</t>
  </si>
  <si>
    <t xml:space="preserve">in usd </t>
  </si>
  <si>
    <t>HOW TO CALCULATE "Q"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</si>
</sst>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 #,##0.00_ ;_ * \-#,##0.00_ ;_ * &quot;-&quot;??_ ;_ @_ "/>
    <numFmt numFmtId="164" formatCode="_-[$$-409]* #,##0.00_ ;_-[$$-409]* \-#,##0.00\ ;_-[$$-409]* &quot;-&quot;??_ ;_-@_ "/>
    <numFmt numFmtId="165" formatCode="_ [$₹-4009]\ * #,##0.00_ ;_ [$₹-4009]\ * \-#,##0.00_ ;_ [$₹-4009]\ * &quot;-&quot;??_ ;_ @_ "/>
    <numFmt numFmtId="166" formatCode="#,##0_ ;\-#,##0\ "/>
    <numFmt numFmtId="167" formatCode="0.00;[Red]0.00"/>
  </numFmts>
  <fonts count="14">
    <font>
      <sz val="10"/>
      <color rgb="FF000000"/>
      <name val="Arial"/>
      <scheme val="minor"/>
    </font>
    <font>
      <b/>
      <sz val="11"/>
      <color rgb="FF000000"/>
      <name val="Calibri"/>
      <family val="2"/>
    </font>
    <font>
      <sz val="11"/>
      <color rgb="FF000000"/>
      <name val="Calibri"/>
      <family val="2"/>
    </font>
    <font>
      <sz val="10"/>
      <color theme="1"/>
      <name val="Arial"/>
      <family val="2"/>
      <scheme val="minor"/>
    </font>
    <font>
      <b/>
      <sz val="10"/>
      <color theme="1"/>
      <name val="Arial"/>
      <family val="2"/>
      <scheme val="minor"/>
    </font>
    <font>
      <b/>
      <sz val="11"/>
      <color rgb="FFFFFFFF"/>
      <name val="Calibri"/>
      <family val="2"/>
    </font>
    <font>
      <sz val="10"/>
      <color theme="1"/>
      <name val="Arial"/>
      <family val="2"/>
    </font>
    <font>
      <b/>
      <sz val="11"/>
      <color theme="1"/>
      <name val="Arial"/>
      <family val="2"/>
    </font>
    <font>
      <b/>
      <sz val="11"/>
      <color theme="1"/>
      <name val="Calibri"/>
      <family val="2"/>
    </font>
    <font>
      <sz val="11"/>
      <color theme="1"/>
      <name val="Calibri"/>
      <family val="2"/>
    </font>
    <font>
      <sz val="11"/>
      <color theme="1"/>
      <name val="Arial"/>
      <family val="2"/>
    </font>
    <font>
      <sz val="11"/>
      <color theme="1"/>
      <name val="Docs-Calibri"/>
    </font>
    <font>
      <sz val="10"/>
      <color rgb="FF000000"/>
      <name val="Arial"/>
      <family val="2"/>
      <scheme val="minor"/>
    </font>
    <font>
      <sz val="10"/>
      <color rgb="FF000000"/>
      <name val="Arial"/>
      <scheme val="minor"/>
    </font>
  </fonts>
  <fills count="19">
    <fill>
      <patternFill patternType="none"/>
    </fill>
    <fill>
      <patternFill patternType="gray125"/>
    </fill>
    <fill>
      <patternFill patternType="solid">
        <fgColor rgb="FFD8E4BC"/>
        <bgColor rgb="FFD8E4BC"/>
      </patternFill>
    </fill>
    <fill>
      <patternFill patternType="solid">
        <fgColor rgb="FFFFFF00"/>
        <bgColor rgb="FFFFFF00"/>
      </patternFill>
    </fill>
    <fill>
      <patternFill patternType="solid">
        <fgColor rgb="FFDAEEF3"/>
        <bgColor rgb="FFDAEEF3"/>
      </patternFill>
    </fill>
    <fill>
      <patternFill patternType="solid">
        <fgColor rgb="FFFDE9D9"/>
        <bgColor rgb="FFFDE9D9"/>
      </patternFill>
    </fill>
    <fill>
      <patternFill patternType="solid">
        <fgColor rgb="FF93C47D"/>
        <bgColor rgb="FF93C47D"/>
      </patternFill>
    </fill>
    <fill>
      <patternFill patternType="solid">
        <fgColor rgb="FFC0504D"/>
        <bgColor rgb="FFC0504D"/>
      </patternFill>
    </fill>
    <fill>
      <patternFill patternType="solid">
        <fgColor rgb="FFFCD5B4"/>
        <bgColor rgb="FFFCD5B4"/>
      </patternFill>
    </fill>
    <fill>
      <patternFill patternType="solid">
        <fgColor rgb="FFFFFFFF"/>
        <bgColor rgb="FFFFFFFF"/>
      </patternFill>
    </fill>
    <fill>
      <patternFill patternType="solid">
        <fgColor rgb="FFFFD966"/>
        <bgColor rgb="FFFFD966"/>
      </patternFill>
    </fill>
    <fill>
      <patternFill patternType="solid">
        <fgColor rgb="FF99FF66"/>
        <bgColor rgb="FF99FF66"/>
      </patternFill>
    </fill>
    <fill>
      <patternFill patternType="solid">
        <fgColor rgb="FFFF00FF"/>
        <bgColor rgb="FFFF00FF"/>
      </patternFill>
    </fill>
    <fill>
      <patternFill patternType="solid">
        <fgColor rgb="FF4A86E8"/>
        <bgColor rgb="FF4A86E8"/>
      </patternFill>
    </fill>
    <fill>
      <patternFill patternType="solid">
        <fgColor rgb="FF00FF00"/>
        <bgColor rgb="FF00FF00"/>
      </patternFill>
    </fill>
    <fill>
      <patternFill patternType="solid">
        <fgColor rgb="FF92D050"/>
        <bgColor rgb="FFC0504D"/>
      </patternFill>
    </fill>
    <fill>
      <patternFill patternType="solid">
        <fgColor rgb="FF92D050"/>
        <bgColor rgb="FFEAD1DC"/>
      </patternFill>
    </fill>
    <fill>
      <patternFill patternType="solid">
        <fgColor rgb="FFFFFF00"/>
        <bgColor rgb="FFEAD1DC"/>
      </patternFill>
    </fill>
    <fill>
      <patternFill patternType="solid">
        <fgColor rgb="FFFFFF00"/>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top/>
      <bottom/>
      <diagonal/>
    </border>
    <border>
      <left/>
      <right style="thin">
        <color rgb="FF000000"/>
      </right>
      <top/>
      <bottom/>
      <diagonal/>
    </border>
  </borders>
  <cellStyleXfs count="3">
    <xf numFmtId="0" fontId="0" fillId="0" borderId="0"/>
    <xf numFmtId="0" fontId="12" fillId="0" borderId="0"/>
    <xf numFmtId="43" fontId="13" fillId="0" borderId="0" applyFont="0" applyFill="0" applyBorder="0" applyAlignment="0" applyProtection="0"/>
  </cellStyleXfs>
  <cellXfs count="103">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3" borderId="2" xfId="0" applyFont="1" applyFill="1" applyBorder="1" applyAlignment="1">
      <alignment horizontal="center"/>
    </xf>
    <xf numFmtId="0" fontId="1" fillId="4" borderId="2" xfId="0" applyFont="1" applyFill="1" applyBorder="1" applyAlignment="1">
      <alignment horizontal="center"/>
    </xf>
    <xf numFmtId="0" fontId="1" fillId="5" borderId="2" xfId="0" applyFont="1" applyFill="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3" borderId="4" xfId="0" applyFont="1" applyFill="1" applyBorder="1" applyAlignment="1">
      <alignment horizontal="center"/>
    </xf>
    <xf numFmtId="0" fontId="1" fillId="4" borderId="4" xfId="0" applyFont="1" applyFill="1" applyBorder="1" applyAlignment="1">
      <alignment horizontal="center"/>
    </xf>
    <xf numFmtId="0" fontId="1" fillId="5" borderId="4" xfId="0" applyFont="1" applyFill="1" applyBorder="1" applyAlignment="1">
      <alignment horizontal="center"/>
    </xf>
    <xf numFmtId="0" fontId="2" fillId="0" borderId="0" xfId="0" applyFont="1" applyAlignment="1">
      <alignment horizontal="center"/>
    </xf>
    <xf numFmtId="0" fontId="1" fillId="11" borderId="1" xfId="0" applyFont="1" applyFill="1" applyBorder="1" applyAlignment="1">
      <alignment horizontal="center"/>
    </xf>
    <xf numFmtId="0" fontId="1" fillId="11" borderId="6" xfId="0" applyFont="1" applyFill="1" applyBorder="1" applyAlignment="1">
      <alignment horizontal="center"/>
    </xf>
    <xf numFmtId="0" fontId="6" fillId="0" borderId="10" xfId="0" applyFont="1" applyBorder="1"/>
    <xf numFmtId="0" fontId="7" fillId="0" borderId="2" xfId="0" applyFont="1" applyBorder="1"/>
    <xf numFmtId="0" fontId="8" fillId="0" borderId="2" xfId="0" applyFont="1" applyBorder="1" applyAlignment="1">
      <alignment horizontal="right"/>
    </xf>
    <xf numFmtId="0" fontId="8" fillId="9" borderId="2" xfId="0" applyFont="1" applyFill="1" applyBorder="1" applyAlignment="1">
      <alignment horizontal="right"/>
    </xf>
    <xf numFmtId="0" fontId="8" fillId="9" borderId="2" xfId="0" applyFont="1" applyFill="1" applyBorder="1" applyAlignment="1">
      <alignment horizontal="center"/>
    </xf>
    <xf numFmtId="0" fontId="2" fillId="0" borderId="8" xfId="0" applyFont="1" applyBorder="1" applyAlignment="1">
      <alignment horizontal="center"/>
    </xf>
    <xf numFmtId="0" fontId="2" fillId="0" borderId="0" xfId="0" applyFont="1"/>
    <xf numFmtId="0" fontId="9" fillId="0" borderId="10" xfId="0" applyFont="1" applyBorder="1" applyAlignment="1">
      <alignment horizontal="center"/>
    </xf>
    <xf numFmtId="0" fontId="9" fillId="9" borderId="4" xfId="0" applyFont="1" applyFill="1" applyBorder="1"/>
    <xf numFmtId="0" fontId="9" fillId="0" borderId="4" xfId="0" applyFont="1" applyBorder="1" applyAlignment="1">
      <alignment horizontal="right"/>
    </xf>
    <xf numFmtId="0" fontId="6" fillId="9" borderId="4" xfId="0" applyFont="1" applyFill="1" applyBorder="1"/>
    <xf numFmtId="0" fontId="9" fillId="12" borderId="4" xfId="0" applyFont="1" applyFill="1" applyBorder="1" applyAlignment="1">
      <alignment horizontal="right"/>
    </xf>
    <xf numFmtId="0" fontId="9" fillId="0" borderId="4" xfId="0" applyFont="1" applyBorder="1" applyAlignment="1">
      <alignment horizontal="center"/>
    </xf>
    <xf numFmtId="0" fontId="9" fillId="12" borderId="4" xfId="0" applyFont="1" applyFill="1" applyBorder="1" applyAlignment="1">
      <alignment horizontal="center"/>
    </xf>
    <xf numFmtId="0" fontId="6" fillId="0" borderId="4" xfId="0" applyFont="1" applyBorder="1" applyAlignment="1">
      <alignment horizontal="right"/>
    </xf>
    <xf numFmtId="0" fontId="10" fillId="9" borderId="10" xfId="0" applyFont="1" applyFill="1" applyBorder="1" applyAlignment="1">
      <alignment horizontal="center"/>
    </xf>
    <xf numFmtId="0" fontId="10" fillId="9" borderId="4" xfId="0" applyFont="1" applyFill="1" applyBorder="1"/>
    <xf numFmtId="0" fontId="9" fillId="9" borderId="10" xfId="0" applyFont="1" applyFill="1" applyBorder="1" applyAlignment="1">
      <alignment horizontal="center"/>
    </xf>
    <xf numFmtId="0" fontId="9" fillId="13" borderId="4" xfId="0" applyFont="1" applyFill="1" applyBorder="1" applyAlignment="1">
      <alignment horizontal="right"/>
    </xf>
    <xf numFmtId="0" fontId="9" fillId="13" borderId="4" xfId="0" applyFont="1" applyFill="1" applyBorder="1" applyAlignment="1">
      <alignment horizontal="center"/>
    </xf>
    <xf numFmtId="0" fontId="6" fillId="9" borderId="4" xfId="0" applyFont="1" applyFill="1" applyBorder="1" applyAlignment="1">
      <alignment horizontal="right"/>
    </xf>
    <xf numFmtId="0" fontId="9" fillId="9" borderId="4" xfId="0" applyFont="1" applyFill="1" applyBorder="1" applyAlignment="1">
      <alignment horizontal="right"/>
    </xf>
    <xf numFmtId="0" fontId="2" fillId="0" borderId="8" xfId="0" applyFont="1" applyBorder="1"/>
    <xf numFmtId="0" fontId="9" fillId="9" borderId="4" xfId="0" applyFont="1" applyFill="1" applyBorder="1" applyAlignment="1">
      <alignment horizontal="center"/>
    </xf>
    <xf numFmtId="0" fontId="11" fillId="9" borderId="4" xfId="0" applyFont="1" applyFill="1" applyBorder="1"/>
    <xf numFmtId="0" fontId="9" fillId="14" borderId="4" xfId="0" applyFont="1" applyFill="1" applyBorder="1" applyAlignment="1">
      <alignment horizontal="right"/>
    </xf>
    <xf numFmtId="0" fontId="9" fillId="14" borderId="4" xfId="0" applyFont="1" applyFill="1" applyBorder="1" applyAlignment="1">
      <alignment horizontal="center"/>
    </xf>
    <xf numFmtId="0" fontId="9" fillId="0" borderId="4" xfId="0" applyFont="1" applyBorder="1"/>
    <xf numFmtId="0" fontId="6" fillId="9" borderId="10" xfId="0" applyFont="1" applyFill="1" applyBorder="1"/>
    <xf numFmtId="0" fontId="6" fillId="9" borderId="4" xfId="0" applyFont="1" applyFill="1" applyBorder="1" applyAlignment="1">
      <alignment horizontal="center"/>
    </xf>
    <xf numFmtId="0" fontId="9" fillId="0" borderId="0" xfId="0" applyFont="1" applyAlignment="1">
      <alignment horizontal="center"/>
    </xf>
    <xf numFmtId="0" fontId="2" fillId="0" borderId="6" xfId="0" applyFont="1" applyBorder="1" applyAlignment="1">
      <alignment horizontal="center"/>
    </xf>
    <xf numFmtId="0" fontId="2" fillId="0" borderId="0" xfId="0" applyFont="1" applyAlignment="1">
      <alignment horizontal="left"/>
    </xf>
    <xf numFmtId="0" fontId="2" fillId="0" borderId="0" xfId="0" applyFont="1" applyAlignment="1">
      <alignment horizontal="right"/>
    </xf>
    <xf numFmtId="0" fontId="3" fillId="0" borderId="0" xfId="0" applyFont="1"/>
    <xf numFmtId="0" fontId="12" fillId="0" borderId="0" xfId="1"/>
    <xf numFmtId="0" fontId="3" fillId="0" borderId="0" xfId="1" applyFont="1" applyAlignment="1">
      <alignment horizontal="center"/>
    </xf>
    <xf numFmtId="0" fontId="3" fillId="6" borderId="0" xfId="1" applyFont="1" applyFill="1" applyAlignment="1">
      <alignment horizontal="center"/>
    </xf>
    <xf numFmtId="4" fontId="3" fillId="0" borderId="0" xfId="1" applyNumberFormat="1" applyFont="1" applyAlignment="1">
      <alignment horizontal="center"/>
    </xf>
    <xf numFmtId="0" fontId="2" fillId="0" borderId="9" xfId="1" applyFont="1" applyBorder="1" applyAlignment="1">
      <alignment horizontal="center"/>
    </xf>
    <xf numFmtId="0" fontId="2" fillId="0" borderId="0" xfId="1" applyFont="1" applyAlignment="1">
      <alignment horizontal="center"/>
    </xf>
    <xf numFmtId="0" fontId="3" fillId="0" borderId="9" xfId="1" applyFont="1" applyBorder="1" applyAlignment="1">
      <alignment horizontal="center"/>
    </xf>
    <xf numFmtId="0" fontId="3" fillId="6" borderId="10" xfId="1" applyFont="1" applyFill="1" applyBorder="1" applyAlignment="1">
      <alignment horizontal="center"/>
    </xf>
    <xf numFmtId="2" fontId="3" fillId="0" borderId="0" xfId="1" applyNumberFormat="1" applyFont="1" applyAlignment="1">
      <alignment horizontal="center"/>
    </xf>
    <xf numFmtId="4" fontId="3" fillId="0" borderId="10" xfId="1" applyNumberFormat="1" applyFont="1" applyBorder="1" applyAlignment="1">
      <alignment horizontal="center"/>
    </xf>
    <xf numFmtId="0" fontId="1" fillId="8" borderId="7" xfId="1" applyFont="1" applyFill="1" applyBorder="1" applyAlignment="1">
      <alignment horizontal="center"/>
    </xf>
    <xf numFmtId="0" fontId="1" fillId="8" borderId="8" xfId="1" applyFont="1" applyFill="1" applyBorder="1" applyAlignment="1">
      <alignment horizontal="center"/>
    </xf>
    <xf numFmtId="0" fontId="1" fillId="8" borderId="4" xfId="1" applyFont="1" applyFill="1" applyBorder="1" applyAlignment="1">
      <alignment horizontal="center"/>
    </xf>
    <xf numFmtId="0" fontId="5" fillId="7" borderId="7" xfId="1" applyFont="1" applyFill="1" applyBorder="1" applyAlignment="1">
      <alignment horizontal="center"/>
    </xf>
    <xf numFmtId="0" fontId="5" fillId="7" borderId="8" xfId="1" applyFont="1" applyFill="1" applyBorder="1" applyAlignment="1">
      <alignment horizontal="center"/>
    </xf>
    <xf numFmtId="0" fontId="5" fillId="7" borderId="4" xfId="1" applyFont="1" applyFill="1" applyBorder="1" applyAlignment="1">
      <alignment horizontal="center"/>
    </xf>
    <xf numFmtId="0" fontId="3" fillId="10" borderId="8" xfId="1" applyFont="1" applyFill="1" applyBorder="1" applyAlignment="1">
      <alignment horizontal="center"/>
    </xf>
    <xf numFmtId="4" fontId="3" fillId="10" borderId="4" xfId="1" applyNumberFormat="1" applyFont="1" applyFill="1" applyBorder="1" applyAlignment="1">
      <alignment horizontal="center"/>
    </xf>
    <xf numFmtId="0" fontId="5" fillId="7" borderId="5" xfId="1" applyFont="1" applyFill="1" applyBorder="1" applyAlignment="1">
      <alignment horizontal="center" wrapText="1"/>
    </xf>
    <xf numFmtId="0" fontId="5" fillId="7" borderId="6" xfId="1" applyFont="1" applyFill="1" applyBorder="1" applyAlignment="1">
      <alignment horizontal="center" wrapText="1"/>
    </xf>
    <xf numFmtId="0" fontId="12" fillId="0" borderId="0" xfId="1" applyAlignment="1">
      <alignment wrapText="1"/>
    </xf>
    <xf numFmtId="0" fontId="5" fillId="7" borderId="2" xfId="1" applyFont="1" applyFill="1" applyBorder="1" applyAlignment="1">
      <alignment horizontal="center" wrapText="1"/>
    </xf>
    <xf numFmtId="0" fontId="8" fillId="0" borderId="6" xfId="1" applyFont="1" applyBorder="1" applyAlignment="1">
      <alignment horizontal="center" wrapText="1"/>
    </xf>
    <xf numFmtId="0" fontId="8" fillId="0" borderId="2" xfId="1" applyFont="1" applyBorder="1" applyAlignment="1">
      <alignment horizontal="center" wrapText="1"/>
    </xf>
    <xf numFmtId="0" fontId="8" fillId="15" borderId="5" xfId="1" applyFont="1" applyFill="1" applyBorder="1" applyAlignment="1">
      <alignment horizontal="center" wrapText="1"/>
    </xf>
    <xf numFmtId="0" fontId="8" fillId="15" borderId="6" xfId="1" applyFont="1" applyFill="1" applyBorder="1" applyAlignment="1">
      <alignment horizontal="center" wrapText="1"/>
    </xf>
    <xf numFmtId="0" fontId="4" fillId="16" borderId="7" xfId="1" applyFont="1" applyFill="1" applyBorder="1" applyAlignment="1">
      <alignment horizontal="center" wrapText="1"/>
    </xf>
    <xf numFmtId="0" fontId="4" fillId="16" borderId="4" xfId="1" applyFont="1" applyFill="1" applyBorder="1" applyAlignment="1">
      <alignment horizontal="center" wrapText="1"/>
    </xf>
    <xf numFmtId="0" fontId="4" fillId="17" borderId="8" xfId="1" applyFont="1" applyFill="1" applyBorder="1" applyAlignment="1">
      <alignment horizontal="center" wrapText="1"/>
    </xf>
    <xf numFmtId="4" fontId="4" fillId="17" borderId="8" xfId="1" applyNumberFormat="1" applyFont="1" applyFill="1" applyBorder="1" applyAlignment="1">
      <alignment horizontal="center" wrapText="1"/>
    </xf>
    <xf numFmtId="4" fontId="4" fillId="17" borderId="4" xfId="1" applyNumberFormat="1" applyFont="1" applyFill="1" applyBorder="1" applyAlignment="1">
      <alignment horizontal="center" wrapText="1"/>
    </xf>
    <xf numFmtId="0" fontId="3" fillId="0" borderId="0" xfId="1" applyFont="1"/>
    <xf numFmtId="0" fontId="9" fillId="0" borderId="0" xfId="1" applyFont="1" applyAlignment="1">
      <alignment horizontal="center"/>
    </xf>
    <xf numFmtId="164" fontId="9" fillId="0" borderId="10" xfId="1" applyNumberFormat="1" applyFont="1" applyBorder="1" applyAlignment="1">
      <alignment horizontal="center"/>
    </xf>
    <xf numFmtId="0" fontId="8" fillId="0" borderId="8" xfId="1" applyFont="1" applyBorder="1" applyAlignment="1">
      <alignment horizontal="center"/>
    </xf>
    <xf numFmtId="164" fontId="8" fillId="0" borderId="4" xfId="1" applyNumberFormat="1" applyFont="1" applyBorder="1" applyAlignment="1">
      <alignment horizontal="center"/>
    </xf>
    <xf numFmtId="0" fontId="12" fillId="18" borderId="0" xfId="1" applyFill="1"/>
    <xf numFmtId="164" fontId="9" fillId="0" borderId="0" xfId="1" applyNumberFormat="1" applyFont="1" applyAlignment="1">
      <alignment horizontal="center"/>
    </xf>
    <xf numFmtId="164" fontId="8" fillId="0" borderId="8" xfId="1" applyNumberFormat="1" applyFont="1" applyBorder="1" applyAlignment="1">
      <alignment horizontal="center"/>
    </xf>
    <xf numFmtId="164" fontId="3" fillId="0" borderId="0" xfId="1" applyNumberFormat="1" applyFont="1"/>
    <xf numFmtId="164" fontId="8" fillId="0" borderId="6" xfId="1" applyNumberFormat="1" applyFont="1" applyBorder="1" applyAlignment="1">
      <alignment horizontal="center" wrapText="1"/>
    </xf>
    <xf numFmtId="164" fontId="3" fillId="0" borderId="0" xfId="2" applyNumberFormat="1" applyFont="1" applyFill="1" applyAlignment="1"/>
    <xf numFmtId="164" fontId="8" fillId="0" borderId="8" xfId="2" applyNumberFormat="1" applyFont="1" applyFill="1" applyBorder="1" applyAlignment="1">
      <alignment horizontal="center" wrapText="1"/>
    </xf>
    <xf numFmtId="164" fontId="9" fillId="0" borderId="0" xfId="2" applyNumberFormat="1" applyFont="1" applyFill="1" applyBorder="1" applyAlignment="1">
      <alignment horizontal="center"/>
    </xf>
    <xf numFmtId="164" fontId="8" fillId="0" borderId="8" xfId="2" applyNumberFormat="1" applyFont="1" applyFill="1" applyBorder="1" applyAlignment="1">
      <alignment horizontal="center"/>
    </xf>
    <xf numFmtId="165" fontId="12" fillId="0" borderId="0" xfId="1" applyNumberFormat="1"/>
    <xf numFmtId="165" fontId="3" fillId="0" borderId="0" xfId="1" applyNumberFormat="1" applyFont="1" applyAlignment="1">
      <alignment horizontal="center"/>
    </xf>
    <xf numFmtId="165" fontId="4" fillId="16" borderId="4" xfId="1" applyNumberFormat="1" applyFont="1" applyFill="1" applyBorder="1" applyAlignment="1">
      <alignment horizontal="center" wrapText="1"/>
    </xf>
    <xf numFmtId="165" fontId="3" fillId="0" borderId="10" xfId="1" applyNumberFormat="1" applyFont="1" applyBorder="1" applyAlignment="1">
      <alignment horizontal="center"/>
    </xf>
    <xf numFmtId="165" fontId="3" fillId="10" borderId="8" xfId="1" applyNumberFormat="1" applyFont="1" applyFill="1" applyBorder="1" applyAlignment="1">
      <alignment horizontal="center"/>
    </xf>
    <xf numFmtId="166" fontId="3" fillId="0" borderId="0" xfId="1" applyNumberFormat="1" applyFont="1" applyAlignment="1">
      <alignment horizontal="center"/>
    </xf>
    <xf numFmtId="167" fontId="1" fillId="8" borderId="8" xfId="1" applyNumberFormat="1" applyFont="1" applyFill="1" applyBorder="1" applyAlignment="1">
      <alignment horizontal="center"/>
    </xf>
  </cellXfs>
  <cellStyles count="3">
    <cellStyle name="Comma" xfId="2" builtinId="3"/>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22</xdr:col>
      <xdr:colOff>475577</xdr:colOff>
      <xdr:row>12</xdr:row>
      <xdr:rowOff>116541</xdr:rowOff>
    </xdr:from>
    <xdr:to>
      <xdr:col>23</xdr:col>
      <xdr:colOff>636494</xdr:colOff>
      <xdr:row>33</xdr:row>
      <xdr:rowOff>120575</xdr:rowOff>
    </xdr:to>
    <xdr:cxnSp macro="">
      <xdr:nvCxnSpPr>
        <xdr:cNvPr id="3" name="Straight Arrow Connector 2">
          <a:extLst>
            <a:ext uri="{FF2B5EF4-FFF2-40B4-BE49-F238E27FC236}">
              <a16:creationId xmlns:a16="http://schemas.microsoft.com/office/drawing/2014/main" id="{00000000-0008-0000-0200-000003000000}"/>
            </a:ext>
          </a:extLst>
        </xdr:cNvPr>
        <xdr:cNvCxnSpPr/>
      </xdr:nvCxnSpPr>
      <xdr:spPr>
        <a:xfrm flipH="1">
          <a:off x="22752871" y="3003176"/>
          <a:ext cx="1030494" cy="376921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576187</xdr:colOff>
      <xdr:row>6</xdr:row>
      <xdr:rowOff>157290</xdr:rowOff>
    </xdr:from>
    <xdr:to>
      <xdr:col>19</xdr:col>
      <xdr:colOff>246939</xdr:colOff>
      <xdr:row>25</xdr:row>
      <xdr:rowOff>101871</xdr:rowOff>
    </xdr:to>
    <xdr:cxnSp macro="">
      <xdr:nvCxnSpPr>
        <xdr:cNvPr id="5" name="Straight Arrow Connector 4">
          <a:extLst>
            <a:ext uri="{FF2B5EF4-FFF2-40B4-BE49-F238E27FC236}">
              <a16:creationId xmlns:a16="http://schemas.microsoft.com/office/drawing/2014/main" id="{00000000-0008-0000-0200-000005000000}"/>
            </a:ext>
          </a:extLst>
        </xdr:cNvPr>
        <xdr:cNvCxnSpPr/>
      </xdr:nvCxnSpPr>
      <xdr:spPr>
        <a:xfrm>
          <a:off x="16183740" y="1968161"/>
          <a:ext cx="2620140" cy="335116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J399"/>
  <sheetViews>
    <sheetView topLeftCell="A4" workbookViewId="0"/>
  </sheetViews>
  <sheetFormatPr defaultColWidth="12.6640625" defaultRowHeight="15.75" customHeight="1"/>
  <cols>
    <col min="8" max="8" width="11.6640625" bestFit="1" customWidth="1"/>
    <col min="9" max="9" width="12.77734375" bestFit="1" customWidth="1"/>
    <col min="10" max="10" width="18.44140625" bestFit="1" customWidth="1"/>
  </cols>
  <sheetData>
    <row r="2" spans="1:10" ht="15.75" customHeight="1">
      <c r="A2" s="1" t="s">
        <v>0</v>
      </c>
      <c r="B2" s="2" t="s">
        <v>1</v>
      </c>
      <c r="C2" s="3" t="s">
        <v>2</v>
      </c>
      <c r="D2" s="3" t="s">
        <v>3</v>
      </c>
      <c r="E2" s="3" t="s">
        <v>4</v>
      </c>
      <c r="F2" s="4" t="s">
        <v>5</v>
      </c>
      <c r="G2" s="4" t="s">
        <v>6</v>
      </c>
      <c r="H2" s="5" t="s">
        <v>7</v>
      </c>
      <c r="I2" s="5" t="s">
        <v>8</v>
      </c>
      <c r="J2" s="5" t="s">
        <v>9</v>
      </c>
    </row>
    <row r="3" spans="1:10" ht="15.75" customHeight="1">
      <c r="A3" s="6" t="s">
        <v>10</v>
      </c>
      <c r="B3" s="7" t="s">
        <v>11</v>
      </c>
      <c r="C3" s="7" t="e">
        <f ca="1">Image("https://images-na.ssl-images-amazon.com/images/I/41X+Cd3f7QL.jpg;https://images-na.ssl-images-amazon.com/images/I/316UmAiMAsL.jpg;https://images-na.ssl-images-amazon.com/images/I/31teahcaMhL.jpg;https://images-na.ssl-images-amazon.com/images/I/31b3ZDpPpIL"&amp;".jpg")</f>
        <v>#NAME?</v>
      </c>
      <c r="D3" s="7" t="s">
        <v>12</v>
      </c>
      <c r="E3" s="7" t="s">
        <v>13</v>
      </c>
      <c r="F3" s="7">
        <v>17142</v>
      </c>
      <c r="G3" s="7">
        <v>155652.25</v>
      </c>
      <c r="H3" s="7">
        <v>386</v>
      </c>
      <c r="I3" s="7">
        <v>-3078.82</v>
      </c>
      <c r="J3" s="7">
        <v>61083.81</v>
      </c>
    </row>
    <row r="4" spans="1:10" ht="15.75" customHeight="1">
      <c r="A4" s="6" t="s">
        <v>14</v>
      </c>
      <c r="B4" s="7" t="s">
        <v>15</v>
      </c>
      <c r="C4" s="7" t="e">
        <f ca="1">Image("https://images-na.ssl-images-amazon.com/images/I/51wu2q-zKuL.jpg;https://images-na.ssl-images-amazon.com/images/I/517-DmWn7iL.jpg;https://images-na.ssl-images-amazon.com/images/I/41veFufhgBL.jpg;https://images-na.ssl-images-amazon.com/images/I/41BTUKYzcuL"&amp;".jpg;https://images-na.ssl-images-amazon.com/images/I/51mgfxVp3wL.jpg")</f>
        <v>#NAME?</v>
      </c>
      <c r="D4" s="7" t="s">
        <v>16</v>
      </c>
      <c r="E4" s="7" t="s">
        <v>17</v>
      </c>
      <c r="F4" s="7">
        <v>265</v>
      </c>
      <c r="G4" s="7">
        <v>22208.46</v>
      </c>
      <c r="H4" s="7">
        <v>28</v>
      </c>
      <c r="I4" s="7">
        <v>-2062.79</v>
      </c>
      <c r="J4" s="7">
        <v>14817.54</v>
      </c>
    </row>
    <row r="5" spans="1:10" ht="15.75" customHeight="1">
      <c r="A5" s="6" t="s">
        <v>18</v>
      </c>
      <c r="B5" s="7" t="s">
        <v>19</v>
      </c>
      <c r="C5" s="7" t="e">
        <f ca="1">Image("https://images-na.ssl-images-amazon.com/images/I/51G57dAxSOL.jpg;https://images-na.ssl-images-amazon.com/images/I/51Dm33QSwjL.jpg;https://images-na.ssl-images-amazon.com/images/I/61TkksL6baL.jpg;https://images-na.ssl-images-amazon.com/images/I/51RywEkoTtL"&amp;".jpg;https://images-na.ssl-images-amazon.com/images/I/31jvCD4jNjL.jpg;https://images-na.ssl-images-amazon.com/images/I/51APxXUrzfL.jpg")</f>
        <v>#NAME?</v>
      </c>
      <c r="D5" s="7" t="s">
        <v>20</v>
      </c>
      <c r="E5" s="7" t="s">
        <v>21</v>
      </c>
      <c r="F5" s="7">
        <v>2637</v>
      </c>
      <c r="G5" s="7">
        <v>28822.17</v>
      </c>
      <c r="H5" s="7">
        <v>67</v>
      </c>
      <c r="I5" s="7">
        <v>-624.74</v>
      </c>
      <c r="J5" s="7">
        <v>13190.11</v>
      </c>
    </row>
    <row r="6" spans="1:10" ht="15.75" customHeight="1">
      <c r="A6" s="6" t="s">
        <v>22</v>
      </c>
      <c r="B6" s="7" t="s">
        <v>23</v>
      </c>
      <c r="C6" s="7" t="e">
        <f ca="1">Image("https://images-na.ssl-images-amazon.com/images/I/51Ty4k4RvPL.jpg;https://images-na.ssl-images-amazon.com/images/I/51PrNjO7d-L.jpg;https://images-na.ssl-images-amazon.com/images/I/51sg8npK3+L.jpg;https://images-na.ssl-images-amazon.com/images/I/51b+Fcjt19L"&amp;".jpg;https://images-na.ssl-images-amazon.com/images/I/61m+NIwIFzL.jpg;https://images-na.ssl-images-amazon.com/images/I/317+gBlW+yL.jpg;https://images-na.ssl-images-amazon.com/images/I/51Ty4k4RvPL.jpg")</f>
        <v>#NAME?</v>
      </c>
      <c r="D6" s="7" t="s">
        <v>12</v>
      </c>
      <c r="E6" s="7" t="s">
        <v>24</v>
      </c>
      <c r="F6" s="7">
        <v>613</v>
      </c>
      <c r="G6" s="7">
        <v>13436.49</v>
      </c>
      <c r="H6" s="7">
        <v>14</v>
      </c>
      <c r="I6" s="7">
        <v>-284.08999999999997</v>
      </c>
      <c r="J6" s="7">
        <v>6583.49</v>
      </c>
    </row>
    <row r="7" spans="1:10" ht="15.75" customHeight="1">
      <c r="A7" s="6" t="s">
        <v>25</v>
      </c>
      <c r="B7" s="7" t="s">
        <v>26</v>
      </c>
      <c r="C7" s="7" t="e">
        <f ca="1">Image("https://images-na.ssl-images-amazon.com/images/I/41sUHVqpF-L.jpg;https://images-na.ssl-images-amazon.com/images/I/51FTRdPiG4L.jpg;https://images-na.ssl-images-amazon.com/images/I/51sg8npK3+L.jpg;https://images-na.ssl-images-amazon.com/images/I/51b+Fcjt19L"&amp;".jpg;https://images-na.ssl-images-amazon.com/images/I/61m+NIwIFzL.jpg;https://images-na.ssl-images-amazon.com/images/I/317+gBlW+yL.jpg")</f>
        <v>#NAME?</v>
      </c>
      <c r="D7" s="7" t="s">
        <v>12</v>
      </c>
      <c r="E7" s="7" t="s">
        <v>27</v>
      </c>
      <c r="F7" s="7">
        <v>627</v>
      </c>
      <c r="G7" s="7">
        <v>11134.25</v>
      </c>
      <c r="H7" s="7">
        <v>28</v>
      </c>
      <c r="I7" s="7">
        <v>-441.74</v>
      </c>
      <c r="J7" s="7">
        <v>5575.82</v>
      </c>
    </row>
    <row r="8" spans="1:10" ht="15.75" customHeight="1">
      <c r="A8" s="6" t="s">
        <v>28</v>
      </c>
      <c r="B8" s="7" t="s">
        <v>29</v>
      </c>
      <c r="C8" s="7" t="e">
        <f ca="1">Image("https://images-na.ssl-images-amazon.com/images/I/414t+kaygYL.jpg;https://images-na.ssl-images-amazon.com/images/I/41a3E3q1+NL.jpg;https://images-na.ssl-images-amazon.com/images/I/41I4eWokYLL.jpg;https://images-na.ssl-images-amazon.com/images/I/41UFL7QUoCL"&amp;".jpg;https://images-na.ssl-images-amazon.com/images/I/41EwXDv1d2L.jpg;https://images-na.ssl-images-amazon.com/images/I/4107BtP3uCL.jpg;https://images-na.ssl-images-amazon.com/images/I/51I4fuQktAL.jpg")</f>
        <v>#NAME?</v>
      </c>
      <c r="D8" s="7" t="s">
        <v>16</v>
      </c>
      <c r="E8" s="7" t="s">
        <v>30</v>
      </c>
      <c r="F8" s="7">
        <v>673</v>
      </c>
      <c r="G8" s="7">
        <v>9869.7900000000009</v>
      </c>
      <c r="H8" s="7">
        <v>30</v>
      </c>
      <c r="I8" s="7">
        <v>-360.47</v>
      </c>
      <c r="J8" s="7">
        <v>4994.0600000000004</v>
      </c>
    </row>
    <row r="9" spans="1:10" ht="15.75" customHeight="1">
      <c r="A9" s="6" t="s">
        <v>31</v>
      </c>
      <c r="B9" s="7" t="s">
        <v>32</v>
      </c>
      <c r="C9" s="7" t="e">
        <f ca="1">Image("https://images-na.ssl-images-amazon.com/images/I/51hpfk8d-oL.jpg;https://images-na.ssl-images-amazon.com/images/I/51Xp1dzFxPL.jpg;https://images-na.ssl-images-amazon.com/images/I/51a1-EYbZOL.jpg;https://images-na.ssl-images-amazon.com/images/I/51Exg-ZkqoL"&amp;".jpg")</f>
        <v>#NAME?</v>
      </c>
      <c r="D9" s="7" t="s">
        <v>20</v>
      </c>
      <c r="E9" s="7" t="s">
        <v>33</v>
      </c>
      <c r="F9" s="7">
        <v>979</v>
      </c>
      <c r="G9" s="7">
        <v>9472.19</v>
      </c>
      <c r="H9" s="7">
        <v>18</v>
      </c>
      <c r="I9" s="7">
        <v>-165.37</v>
      </c>
      <c r="J9" s="7">
        <v>4522.59</v>
      </c>
    </row>
    <row r="10" spans="1:10" ht="15.75" customHeight="1">
      <c r="A10" s="6" t="s">
        <v>34</v>
      </c>
      <c r="B10" s="7" t="s">
        <v>35</v>
      </c>
      <c r="C10" s="7" t="e">
        <f ca="1">Image("https://images-na.ssl-images-amazon.com/images/I/41nu0L5qUvL.jpg;https://images-na.ssl-images-amazon.com/images/I/419kHqW8ZbL.jpg;https://images-na.ssl-images-amazon.com/images/I/21JW5zRTLvL.jpg")</f>
        <v>#NAME?</v>
      </c>
      <c r="D10" s="7" t="s">
        <v>16</v>
      </c>
      <c r="E10" s="7" t="s">
        <v>36</v>
      </c>
      <c r="F10" s="7">
        <v>1001</v>
      </c>
      <c r="G10" s="7">
        <v>10966.84</v>
      </c>
      <c r="H10" s="7">
        <v>41</v>
      </c>
      <c r="I10" s="7">
        <v>-403.96</v>
      </c>
      <c r="J10" s="7">
        <v>4228.07</v>
      </c>
    </row>
    <row r="11" spans="1:10" ht="15.75" customHeight="1">
      <c r="A11" s="6" t="s">
        <v>37</v>
      </c>
      <c r="B11" s="7" t="s">
        <v>38</v>
      </c>
      <c r="C11" s="7" t="e">
        <f ca="1">Image("https://images-na.ssl-images-amazon.com/images/I/51QNrY7+45L.jpg;https://images-na.ssl-images-amazon.com/images/I/41BGqOsQRbL.jpg;https://images-na.ssl-images-amazon.com/images/I/41mZYBF9UML.jpg;https://images-na.ssl-images-amazon.com/images/I/41f3-al81pL"&amp;".jpg;https://images-na.ssl-images-amazon.com/images/I/51tdwZD6Z1L.jpg;https://images-na.ssl-images-amazon.com/images/I/611wZYAJlEL.jpg;https://images-na.ssl-images-amazon.com/images/I/51SmOiqXgtL.jpg")</f>
        <v>#NAME?</v>
      </c>
      <c r="D11" s="7" t="s">
        <v>20</v>
      </c>
      <c r="E11" s="7" t="s">
        <v>39</v>
      </c>
      <c r="F11" s="7">
        <v>856</v>
      </c>
      <c r="G11" s="7">
        <v>10418.69</v>
      </c>
      <c r="H11" s="7">
        <v>102</v>
      </c>
      <c r="I11" s="7">
        <v>-1114.27</v>
      </c>
      <c r="J11" s="7">
        <v>3898.79</v>
      </c>
    </row>
    <row r="12" spans="1:10" ht="15.75" customHeight="1">
      <c r="A12" s="6" t="s">
        <v>40</v>
      </c>
      <c r="B12" s="7" t="s">
        <v>41</v>
      </c>
      <c r="C12" s="7" t="e">
        <f ca="1">Image("https://images-na.ssl-images-amazon.com/images/I/418XkK501gL.jpg;https://images-na.ssl-images-amazon.com/images/I/31F3m78sHOL.jpg;https://images-na.ssl-images-amazon.com/images/I/41hyQHOM+6L.jpg;https://images-na.ssl-images-amazon.com/images/I/31Fzjoqa-mL"&amp;".jpg")</f>
        <v>#NAME?</v>
      </c>
      <c r="D12" s="7" t="s">
        <v>16</v>
      </c>
      <c r="E12" s="7" t="s">
        <v>42</v>
      </c>
      <c r="F12" s="7">
        <v>115</v>
      </c>
      <c r="G12" s="7">
        <v>4773.09</v>
      </c>
      <c r="H12" s="7">
        <v>13</v>
      </c>
      <c r="I12" s="7">
        <v>-458.86</v>
      </c>
      <c r="J12" s="7">
        <v>2906.55</v>
      </c>
    </row>
    <row r="13" spans="1:10" ht="15.75" customHeight="1">
      <c r="A13" s="6" t="s">
        <v>43</v>
      </c>
      <c r="B13" s="7" t="s">
        <v>44</v>
      </c>
      <c r="C13" s="7" t="e">
        <f ca="1">Image("https://images-na.ssl-images-amazon.com/images/I/41qjLr9szXL.jpg;https://images-na.ssl-images-amazon.com/images/I/51NDwofsY9L.jpg;https://images-na.ssl-images-amazon.com/images/I/41TM8PrZnJL.jpg;https://images-na.ssl-images-amazon.com/images/I/413TjTXnyIL"&amp;".jpg;https://images-na.ssl-images-amazon.com/images/I/51ktGsjRZ6L.jpg;https://images-na.ssl-images-amazon.com/images/I/51loRx1BqCL.jpg;https://images-na.ssl-images-amazon.com/images/I/51pnsOsQ-PL.jpg;https://images-na.ssl-images-amazon.com/images/I/51Bfzn"&amp;"TgQ3L.jpg;https://images-na.ssl-images-amazon.com/images/I/51qBa1U+56L.jpg")</f>
        <v>#NAME?</v>
      </c>
      <c r="D13" s="7" t="s">
        <v>20</v>
      </c>
      <c r="E13" s="7" t="s">
        <v>45</v>
      </c>
      <c r="F13" s="7">
        <v>339</v>
      </c>
      <c r="G13" s="7">
        <v>6546.32</v>
      </c>
      <c r="H13" s="7">
        <v>20</v>
      </c>
      <c r="I13" s="7">
        <v>-346.05</v>
      </c>
      <c r="J13" s="7">
        <v>2711.04</v>
      </c>
    </row>
    <row r="14" spans="1:10" ht="15.75" customHeight="1">
      <c r="A14" s="6" t="s">
        <v>46</v>
      </c>
      <c r="B14" s="7" t="s">
        <v>47</v>
      </c>
      <c r="C14" s="7" t="e">
        <f ca="1">Image("https://images-na.ssl-images-amazon.com/images/I/31CBdF+1J4L.jpg;https://images-na.ssl-images-amazon.com/images/I/21ucIJxr87L.jpg;https://images-na.ssl-images-amazon.com/images/I/31FC8wsDksL.jpg;https://images-na.ssl-images-amazon.com/images/I/31sSF2oQGfL"&amp;".jpg;https://images-na.ssl-images-amazon.com/images/I/11Xse3KQL4L.jpg;https://images-na.ssl-images-amazon.com/images/I/31mrIpihA5L.jpg")</f>
        <v>#NAME?</v>
      </c>
      <c r="D14" s="7" t="s">
        <v>20</v>
      </c>
      <c r="E14" s="7" t="s">
        <v>48</v>
      </c>
      <c r="F14" s="7">
        <v>47</v>
      </c>
      <c r="G14" s="7">
        <v>3820.95</v>
      </c>
      <c r="H14" s="7">
        <v>5</v>
      </c>
      <c r="I14" s="7">
        <v>-365.67</v>
      </c>
      <c r="J14" s="7">
        <v>2457.34</v>
      </c>
    </row>
    <row r="15" spans="1:10" ht="15.75" customHeight="1">
      <c r="A15" s="6" t="s">
        <v>49</v>
      </c>
      <c r="B15" s="7" t="s">
        <v>50</v>
      </c>
      <c r="C15" s="7" t="e">
        <f ca="1">Image("https://images-na.ssl-images-amazon.com/images/I/51x4M5NGCjL.jpg;https://images-na.ssl-images-amazon.com/images/I/412S7MP0UUL.jpg;https://images-na.ssl-images-amazon.com/images/I/51QJdx9Qz6L.jpg;https://images-na.ssl-images-amazon.com/images/I/5187UFB8gmL"&amp;".jpg;https://images-na.ssl-images-amazon.com/images/I/41Vad5eroaL.jpg;https://images-na.ssl-images-amazon.com/images/I/51w-zadXJSL.jpg;https://images-na.ssl-images-amazon.com/images/I/41SHvwo5IsL.jpg")</f>
        <v>#NAME?</v>
      </c>
      <c r="D15" s="7" t="s">
        <v>20</v>
      </c>
      <c r="E15" s="7" t="s">
        <v>51</v>
      </c>
      <c r="F15" s="7">
        <v>220</v>
      </c>
      <c r="G15" s="7">
        <v>5672.96</v>
      </c>
      <c r="H15" s="7">
        <v>16</v>
      </c>
      <c r="I15" s="7">
        <v>-371.72</v>
      </c>
      <c r="J15" s="7">
        <v>2246.5700000000002</v>
      </c>
    </row>
    <row r="16" spans="1:10" ht="15.75" customHeight="1">
      <c r="A16" s="6" t="s">
        <v>52</v>
      </c>
      <c r="B16" s="7" t="s">
        <v>53</v>
      </c>
      <c r="C16" s="7" t="e">
        <f ca="1">Image("https://images-na.ssl-images-amazon.com/images/I/51NhfyJ8RXL.jpg;https://images-na.ssl-images-amazon.com/images/I/51fx5QVoZEL.jpg;https://images-na.ssl-images-amazon.com/images/I/51Pp3kjpyVL.jpg;https://images-na.ssl-images-amazon.com/images/I/51TkE7yOr8L"&amp;".jpg;https://images-na.ssl-images-amazon.com/images/I/51QbzfTP8aL.jpg;https://images-na.ssl-images-amazon.com/images/I/51x7uYgimCL.jpg;https://images-na.ssl-images-amazon.com/images/I/61xCBM3xztL.jpg")</f>
        <v>#NAME?</v>
      </c>
      <c r="D16" s="7" t="s">
        <v>20</v>
      </c>
      <c r="E16" s="7" t="s">
        <v>54</v>
      </c>
      <c r="F16" s="7">
        <v>554</v>
      </c>
      <c r="G16" s="7">
        <v>5567.04</v>
      </c>
      <c r="H16" s="7">
        <v>16</v>
      </c>
      <c r="I16" s="7">
        <v>-144.06</v>
      </c>
      <c r="J16" s="7">
        <v>2239.3000000000002</v>
      </c>
    </row>
    <row r="17" spans="1:10" ht="15.75" customHeight="1">
      <c r="A17" s="6" t="s">
        <v>55</v>
      </c>
      <c r="B17" s="7" t="s">
        <v>56</v>
      </c>
      <c r="C17" s="7" t="e">
        <f ca="1">Image("https://images-na.ssl-images-amazon.com/images/I/41sjg6LtdnL.jpg;https://images-na.ssl-images-amazon.com/images/I/41Is4NvWhGL.jpg;https://images-na.ssl-images-amazon.com/images/I/51lDHEsWl7L.jpg;https://images-na.ssl-images-amazon.com/images/I/41JtPOZpu8L"&amp;".jpg;https://images-na.ssl-images-amazon.com/images/I/516NJd0jFCL.jpg;https://images-na.ssl-images-amazon.com/images/I/41b59UwEiOL.jpg;https://images-na.ssl-images-amazon.com/images/I/51ywO-tRIkL.jpg;https://images-na.ssl-images-amazon.com/images/I/51HAwN"&amp;"WrdLL.jpg")</f>
        <v>#NAME?</v>
      </c>
      <c r="D17" s="7" t="s">
        <v>20</v>
      </c>
      <c r="E17" s="7" t="s">
        <v>57</v>
      </c>
      <c r="F17" s="7">
        <v>212</v>
      </c>
      <c r="G17" s="7">
        <v>4824.8599999999997</v>
      </c>
      <c r="H17" s="7">
        <v>20</v>
      </c>
      <c r="I17" s="7">
        <v>-408.35</v>
      </c>
      <c r="J17" s="7">
        <v>2138.92</v>
      </c>
    </row>
    <row r="18" spans="1:10" ht="15.75" customHeight="1">
      <c r="A18" s="6" t="s">
        <v>58</v>
      </c>
      <c r="B18" s="7" t="s">
        <v>59</v>
      </c>
      <c r="C18" s="7" t="e">
        <f ca="1">Image("https://images-na.ssl-images-amazon.com/images/I/51291o7fzdL.jpg;https://images-na.ssl-images-amazon.com/images/I/51NDwofsY9L.jpg;https://images-na.ssl-images-amazon.com/images/I/41TM8PrZnJL.jpg;https://images-na.ssl-images-amazon.com/images/I/413TjTXnyIL"&amp;".jpg;https://images-na.ssl-images-amazon.com/images/I/51qBa1U+56L.jpg;https://images-na.ssl-images-amazon.com/images/I/51BfznTgQ3L.jpg;https://images-na.ssl-images-amazon.com/images/I/51lHkguOGLL.jpg")</f>
        <v>#NAME?</v>
      </c>
      <c r="D18" s="7" t="s">
        <v>20</v>
      </c>
      <c r="E18" s="7" t="s">
        <v>60</v>
      </c>
      <c r="F18" s="7">
        <v>171</v>
      </c>
      <c r="G18" s="7">
        <v>4367.26</v>
      </c>
      <c r="H18" s="7">
        <v>17</v>
      </c>
      <c r="I18" s="7">
        <v>-382.71</v>
      </c>
      <c r="J18" s="7">
        <v>2048.35</v>
      </c>
    </row>
    <row r="19" spans="1:10" ht="15.75" customHeight="1">
      <c r="A19" s="6" t="s">
        <v>61</v>
      </c>
      <c r="B19" s="7" t="s">
        <v>62</v>
      </c>
      <c r="C19" s="7" t="e">
        <f ca="1">Image("https://images-na.ssl-images-amazon.com/images/I/61-vY+vY6-L.jpg;https://images-na.ssl-images-amazon.com/images/I/61ZwFXFkBeL.jpg;https://images-na.ssl-images-amazon.com/images/I/51Pe8vz+BJL.jpg;https://images-na.ssl-images-amazon.com/images/I/51zKGvKninL"&amp;".jpg;https://images-na.ssl-images-amazon.com/images/I/51UHY7APveL.jpg")</f>
        <v>#NAME?</v>
      </c>
      <c r="D19" s="7" t="s">
        <v>16</v>
      </c>
      <c r="E19" s="7" t="s">
        <v>63</v>
      </c>
      <c r="F19" s="7">
        <v>203</v>
      </c>
      <c r="G19" s="7">
        <v>3883.97</v>
      </c>
      <c r="H19" s="7">
        <v>15</v>
      </c>
      <c r="I19" s="7">
        <v>-259.02</v>
      </c>
      <c r="J19" s="7">
        <v>2017.29</v>
      </c>
    </row>
    <row r="20" spans="1:10" ht="15.75" customHeight="1">
      <c r="A20" s="6" t="s">
        <v>64</v>
      </c>
      <c r="B20" s="7" t="s">
        <v>65</v>
      </c>
      <c r="C20" s="7" t="e">
        <f ca="1">Image("https://images-na.ssl-images-amazon.com/images/I/41AOEKiwIhL.jpg;https://images-na.ssl-images-amazon.com/images/I/31exv-sLHFS.jpg;https://images-na.ssl-images-amazon.com/images/I/31wvL5ZhC-S.jpg;https://images-na.ssl-images-amazon.com/images/I/31Q5U5NIiXS"&amp;".jpg;https://images-na.ssl-images-amazon.com/images/I/31RGHfa+tWS.jpg;https://images-na.ssl-images-amazon.com/images/I/51zXI6J2ljS.jpg")</f>
        <v>#NAME?</v>
      </c>
      <c r="D20" s="7" t="s">
        <v>16</v>
      </c>
      <c r="E20" s="7" t="s">
        <v>66</v>
      </c>
      <c r="F20" s="7">
        <v>335</v>
      </c>
      <c r="G20" s="7">
        <v>4093.4</v>
      </c>
      <c r="H20" s="7">
        <v>27</v>
      </c>
      <c r="I20" s="7">
        <v>-279.83999999999997</v>
      </c>
      <c r="J20" s="7">
        <v>1995.51</v>
      </c>
    </row>
    <row r="21" spans="1:10" ht="15.75" customHeight="1">
      <c r="A21" s="6" t="s">
        <v>67</v>
      </c>
      <c r="B21" s="7" t="s">
        <v>68</v>
      </c>
      <c r="C21" s="7" t="e">
        <f ca="1">Image("https://images-na.ssl-images-amazon.com/images/I/51QqFxw8lHL.jpg;https://images-na.ssl-images-amazon.com/images/I/61A8tYoCoIL.jpg;https://images-na.ssl-images-amazon.com/images/I/51Zu6TkvbkL.jpg;https://images-na.ssl-images-amazon.com/images/I/51yI9L0VtZL"&amp;".jpg;https://images-na.ssl-images-amazon.com/images/I/51eK6dJ-9GL.jpg;https://images-na.ssl-images-amazon.com/images/I/516BOvXkzGL.jpg;https://images-na.ssl-images-amazon.com/images/I/51pUGIu1tVL.jpg;https://images-na.ssl-images-amazon.com/images/I/51RZ5g"&amp;"-rczL.jpg;https://images-na.ssl-images-amazon.com/images/I/51mRitk-o7L.jpg")</f>
        <v>#NAME?</v>
      </c>
      <c r="D21" s="7" t="s">
        <v>16</v>
      </c>
      <c r="E21" s="7" t="s">
        <v>69</v>
      </c>
      <c r="F21" s="7">
        <v>134</v>
      </c>
      <c r="G21" s="7">
        <v>3546.66</v>
      </c>
      <c r="H21" s="7">
        <v>13</v>
      </c>
      <c r="I21" s="7">
        <v>-297.31</v>
      </c>
      <c r="J21" s="7">
        <v>1942.34</v>
      </c>
    </row>
    <row r="22" spans="1:10" ht="15.75" customHeight="1">
      <c r="A22" s="6" t="s">
        <v>70</v>
      </c>
      <c r="B22" s="7" t="s">
        <v>71</v>
      </c>
      <c r="C22" s="7" t="e">
        <f ca="1">Image("https://images-na.ssl-images-amazon.com/images/I/413l3NMhAQL.jpg;https://images-na.ssl-images-amazon.com/images/I/51YJHQ4ILFL.jpg;https://images-na.ssl-images-amazon.com/images/I/51L1CnfS72L.jpg;https://images-na.ssl-images-amazon.com/images/I/41+r-n9QY0L"&amp;".jpg;https://images-na.ssl-images-amazon.com/images/I/51eyrJ4lM5L.jpg;https://images-na.ssl-images-amazon.com/images/I/51Jm2JId33L.jpg;https://images-na.ssl-images-amazon.com/images/I/41h-4X0e4iL.jpg;https://images-na.ssl-images-amazon.com/images/I/41ay8C"&amp;"KQtBL.jpg")</f>
        <v>#NAME?</v>
      </c>
      <c r="D22" s="7" t="s">
        <v>16</v>
      </c>
      <c r="E22" s="7" t="s">
        <v>72</v>
      </c>
      <c r="F22" s="7">
        <v>463</v>
      </c>
      <c r="G22" s="7">
        <v>4893.99</v>
      </c>
      <c r="H22" s="7">
        <v>36</v>
      </c>
      <c r="I22" s="7">
        <v>-328.82</v>
      </c>
      <c r="J22" s="7">
        <v>1903.85</v>
      </c>
    </row>
    <row r="23" spans="1:10" ht="15.75" customHeight="1">
      <c r="A23" s="6" t="s">
        <v>73</v>
      </c>
      <c r="B23" s="7" t="s">
        <v>74</v>
      </c>
      <c r="C23" s="7" t="e">
        <f ca="1">Image("https://images-na.ssl-images-amazon.com/images/I/41Riwv5rLIL.jpg;https://images-na.ssl-images-amazon.com/images/I/41am3P0IcdL.jpg;https://images-na.ssl-images-amazon.com/images/I/41jRuf03hTL.jpg;https://images-na.ssl-images-amazon.com/images/I/41sJxaJ4f0L"&amp;".jpg")</f>
        <v>#NAME?</v>
      </c>
      <c r="D23" s="7" t="s">
        <v>16</v>
      </c>
      <c r="E23" s="7" t="s">
        <v>75</v>
      </c>
      <c r="F23" s="7">
        <v>512</v>
      </c>
      <c r="G23" s="7">
        <v>4569.7700000000004</v>
      </c>
      <c r="H23" s="7">
        <v>11</v>
      </c>
      <c r="I23" s="7">
        <v>-86.86</v>
      </c>
      <c r="J23" s="7">
        <v>1900.83</v>
      </c>
    </row>
    <row r="24" spans="1:10" ht="15.75" customHeight="1">
      <c r="A24" s="6" t="s">
        <v>76</v>
      </c>
      <c r="B24" s="7" t="s">
        <v>77</v>
      </c>
      <c r="C24" s="7" t="e">
        <f ca="1">Image("https://images-na.ssl-images-amazon.com/images/I/41WfQlAKgEL.jpg;https://images-na.ssl-images-amazon.com/images/I/41A2eaJ3hvL.jpg;https://images-na.ssl-images-amazon.com/images/I/51o6bKBFqbL.jpg;https://images-na.ssl-images-amazon.com/images/I/41AHI5LW2SL"&amp;".jpg;https://images-na.ssl-images-amazon.com/images/I/5149HJf7zWL.jpg;https://images-na.ssl-images-amazon.com/images/I/513qvw4uCWL.jpg;https://images-na.ssl-images-amazon.com/images/I/61FbXfMSk1L.jpg")</f>
        <v>#NAME?</v>
      </c>
      <c r="D24" s="7" t="s">
        <v>20</v>
      </c>
      <c r="E24" s="7" t="s">
        <v>78</v>
      </c>
      <c r="F24" s="7">
        <v>388</v>
      </c>
      <c r="G24" s="7">
        <v>6154.47</v>
      </c>
      <c r="H24" s="7">
        <v>57</v>
      </c>
      <c r="I24" s="7">
        <v>-813</v>
      </c>
      <c r="J24" s="7">
        <v>1885.44</v>
      </c>
    </row>
    <row r="25" spans="1:10" ht="15.75" customHeight="1">
      <c r="A25" s="6" t="s">
        <v>79</v>
      </c>
      <c r="B25" s="7" t="s">
        <v>80</v>
      </c>
      <c r="C25" s="7" t="e">
        <f ca="1">Image("https://images-na.ssl-images-amazon.com/images/I/41H7i2SOcVL.jpg;https://images-na.ssl-images-amazon.com/images/I/41Ao5HzmU1L.jpg;https://images-na.ssl-images-amazon.com/images/I/41RBTL+FAML.jpg;https://images-na.ssl-images-amazon.com/images/I/41H7i2SOcVL"&amp;".jpg")</f>
        <v>#NAME?</v>
      </c>
      <c r="D25" s="7" t="s">
        <v>16</v>
      </c>
      <c r="E25" s="7" t="s">
        <v>81</v>
      </c>
      <c r="F25" s="7">
        <v>617</v>
      </c>
      <c r="G25" s="7">
        <v>4983.3500000000004</v>
      </c>
      <c r="H25" s="7">
        <v>23</v>
      </c>
      <c r="I25" s="7">
        <v>-163.66999999999999</v>
      </c>
      <c r="J25" s="7">
        <v>1875.43</v>
      </c>
    </row>
    <row r="26" spans="1:10" ht="15.75" customHeight="1">
      <c r="A26" s="6" t="s">
        <v>82</v>
      </c>
      <c r="B26" s="7" t="s">
        <v>83</v>
      </c>
      <c r="C26" s="7" t="e">
        <f ca="1">Image("https://images-na.ssl-images-amazon.com/images/I/41e1rbszsQL.jpg;https://images-na.ssl-images-amazon.com/images/I/21DNaUWkseL.jpg;https://images-na.ssl-images-amazon.com/images/I/31AUIAhX5+L.jpg;https://images-na.ssl-images-amazon.com/images/I/51yQoZzg+yL"&amp;".jpg;https://images-na.ssl-images-amazon.com/images/I/61MVDqWFf7L.jpg;https://images-na.ssl-images-amazon.com/images/I/513VyruhmEL.jpg;https://images-na.ssl-images-amazon.com/images/I/51xNAS7mwJL.jpg;https://images-na.ssl-images-amazon.com/images/I/61WfeJ"&amp;"caHhL.jpg")</f>
        <v>#NAME?</v>
      </c>
      <c r="D26" s="7" t="s">
        <v>20</v>
      </c>
      <c r="E26" s="7" t="s">
        <v>84</v>
      </c>
      <c r="F26" s="7">
        <v>338</v>
      </c>
      <c r="G26" s="7">
        <v>6644.41</v>
      </c>
      <c r="H26" s="7">
        <v>13</v>
      </c>
      <c r="I26" s="7">
        <v>-221.48</v>
      </c>
      <c r="J26" s="7">
        <v>1874.89</v>
      </c>
    </row>
    <row r="27" spans="1:10" ht="15.75" customHeight="1">
      <c r="A27" s="6" t="s">
        <v>85</v>
      </c>
      <c r="B27" s="7" t="s">
        <v>86</v>
      </c>
      <c r="C27" s="7" t="e">
        <f ca="1">Image("https://images-na.ssl-images-amazon.com/images/I/41GJWRVNJML.jpg;https://images-na.ssl-images-amazon.com/images/I/41GJWRVNJML.jpg")</f>
        <v>#NAME?</v>
      </c>
      <c r="D27" s="7" t="s">
        <v>16</v>
      </c>
      <c r="E27" s="7" t="s">
        <v>87</v>
      </c>
      <c r="F27" s="7">
        <v>190</v>
      </c>
      <c r="G27" s="7">
        <v>3041.26</v>
      </c>
      <c r="H27" s="7">
        <v>17</v>
      </c>
      <c r="I27" s="7">
        <v>-231.72</v>
      </c>
      <c r="J27" s="7">
        <v>1684.97</v>
      </c>
    </row>
    <row r="28" spans="1:10" ht="15.75" customHeight="1">
      <c r="A28" s="6" t="s">
        <v>88</v>
      </c>
      <c r="B28" s="7" t="s">
        <v>89</v>
      </c>
      <c r="C28" s="7" t="e">
        <f ca="1">Image("https://images-na.ssl-images-amazon.com/images/I/41aEb7Hdp4L.jpg;https://images-na.ssl-images-amazon.com/images/I/51RNobz9zqL.jpg;https://images-na.ssl-images-amazon.com/images/I/41SNgC83nwL.jpg;https://images-na.ssl-images-amazon.com/images/I/51hyWzhfNcL"&amp;".jpg;https://images-na.ssl-images-amazon.com/images/I/51YJISElv5L.jpg;https://images-na.ssl-images-amazon.com/images/I/51CYNJk1TWL.jpg;https://images-na.ssl-images-amazon.com/images/I/51qeaNwt+9L.jpg;https://images-na.ssl-images-amazon.com/images/I/512t8z"&amp;"C0MGL.jpg")</f>
        <v>#NAME?</v>
      </c>
      <c r="D28" s="7" t="s">
        <v>20</v>
      </c>
      <c r="E28" s="7" t="s">
        <v>90</v>
      </c>
      <c r="F28" s="7">
        <v>247</v>
      </c>
      <c r="G28" s="7">
        <v>2761.27</v>
      </c>
      <c r="H28" s="7">
        <v>5</v>
      </c>
      <c r="I28" s="7">
        <v>-54.43</v>
      </c>
      <c r="J28" s="7">
        <v>1548.1</v>
      </c>
    </row>
    <row r="29" spans="1:10" ht="14.4">
      <c r="A29" s="6" t="s">
        <v>91</v>
      </c>
      <c r="B29" s="7" t="s">
        <v>92</v>
      </c>
      <c r="C29" s="7" t="e">
        <f ca="1">Image("https://images-na.ssl-images-amazon.com/images/I/51SfzncLCrL.jpg;https://images-na.ssl-images-amazon.com/images/I/51ArNUbwoyL.jpg;https://images-na.ssl-images-amazon.com/images/I/51QsWzifNgL.jpg;https://images-na.ssl-images-amazon.com/images/I/4166ErZC6nL"&amp;".jpg")</f>
        <v>#NAME?</v>
      </c>
      <c r="D29" s="7" t="s">
        <v>16</v>
      </c>
      <c r="E29" s="7" t="s">
        <v>93</v>
      </c>
      <c r="F29" s="7">
        <v>174</v>
      </c>
      <c r="G29" s="7">
        <v>2799.16</v>
      </c>
      <c r="H29" s="7">
        <v>13</v>
      </c>
      <c r="I29" s="7">
        <v>-202.6</v>
      </c>
      <c r="J29" s="7">
        <v>1477.97</v>
      </c>
    </row>
    <row r="30" spans="1:10" ht="14.4">
      <c r="A30" s="6" t="s">
        <v>94</v>
      </c>
      <c r="B30" s="7" t="s">
        <v>95</v>
      </c>
      <c r="C30" s="7" t="e">
        <f ca="1">Image("https://images-na.ssl-images-amazon.com/images/I/41XxtP53SHL.jpg;https://images-na.ssl-images-amazon.com/images/I/41N4J-gvEOL.jpg;https://images-na.ssl-images-amazon.com/images/I/51NKQK93QwL.jpg;https://images-na.ssl-images-amazon.com/images/I/51ldLWl+xPL"&amp;".jpg;https://images-na.ssl-images-amazon.com/images/I/51-OBHwTsFL.jpg;https://images-na.ssl-images-amazon.com/images/I/51UHDnxz5gL.jpg;https://images-na.ssl-images-amazon.com/images/I/41EQ8YE35tL.jpg")</f>
        <v>#NAME?</v>
      </c>
      <c r="D30" s="7" t="s">
        <v>20</v>
      </c>
      <c r="E30" s="7" t="s">
        <v>96</v>
      </c>
      <c r="F30" s="7">
        <v>248</v>
      </c>
      <c r="G30" s="7">
        <v>3333.47</v>
      </c>
      <c r="H30" s="7">
        <v>21</v>
      </c>
      <c r="I30" s="7">
        <v>-244.82</v>
      </c>
      <c r="J30" s="7">
        <v>1360.31</v>
      </c>
    </row>
    <row r="31" spans="1:10" ht="14.4">
      <c r="A31" s="6" t="s">
        <v>97</v>
      </c>
      <c r="B31" s="7" t="s">
        <v>98</v>
      </c>
      <c r="C31" s="7" t="e">
        <f ca="1">Image("https://images-na.ssl-images-amazon.com/images/I/41efs2pFS2S.jpg;https://images-na.ssl-images-amazon.com/images/I/51U+Th7kKwS.jpg;https://images-na.ssl-images-amazon.com/images/I/51CMEnVrYcS.jpg;https://images-na.ssl-images-amazon.com/images/I/41qquD7NrcS"&amp;".jpg;https://images-na.ssl-images-amazon.com/images/I/41YjHQa3JgS.jpg;https://images-na.ssl-images-amazon.com/images/I/51cuTOz+a-S.jpg;https://images-na.ssl-images-amazon.com/images/I/61damUmO69S.jpg")</f>
        <v>#NAME?</v>
      </c>
      <c r="D31" s="7" t="s">
        <v>16</v>
      </c>
      <c r="E31" s="7" t="s">
        <v>99</v>
      </c>
      <c r="F31" s="7">
        <v>85</v>
      </c>
      <c r="G31" s="7">
        <v>2544.44</v>
      </c>
      <c r="H31" s="7">
        <v>8</v>
      </c>
      <c r="I31" s="7">
        <v>-215.6</v>
      </c>
      <c r="J31" s="7">
        <v>1300.49</v>
      </c>
    </row>
    <row r="32" spans="1:10" ht="14.4">
      <c r="A32" s="6" t="s">
        <v>100</v>
      </c>
      <c r="B32" s="7" t="s">
        <v>101</v>
      </c>
      <c r="C32" s="7" t="e">
        <f ca="1">Image("https://images-na.ssl-images-amazon.com/images/I/31eXRUjBMbL.jpg;https://images-na.ssl-images-amazon.com/images/I/216MqaMqpcL.jpg;https://images-na.ssl-images-amazon.com/images/I/513qXfkwQHL.jpg;https://images-na.ssl-images-amazon.com/images/I/51oOWnpHliL"&amp;".jpg;https://images-na.ssl-images-amazon.com/images/I/51IOJ0m18nL.jpg;https://images-na.ssl-images-amazon.com/images/I/51o4+P8zXtL.jpg;https://images-na.ssl-images-amazon.com/images/I/51rSrc9q7RL.jpg;https://images-na.ssl-images-amazon.com/images/I/6184X-"&amp;"sipfL.jpg")</f>
        <v>#NAME?</v>
      </c>
      <c r="D32" s="7" t="s">
        <v>20</v>
      </c>
      <c r="E32" s="7" t="s">
        <v>102</v>
      </c>
      <c r="F32" s="7">
        <v>235</v>
      </c>
      <c r="G32" s="7">
        <v>2940.8</v>
      </c>
      <c r="H32" s="7">
        <v>22</v>
      </c>
      <c r="I32" s="7">
        <v>-256.64999999999998</v>
      </c>
      <c r="J32" s="7">
        <v>1287.51</v>
      </c>
    </row>
    <row r="33" spans="1:10" ht="14.4">
      <c r="A33" s="6" t="s">
        <v>103</v>
      </c>
      <c r="B33" s="7" t="s">
        <v>104</v>
      </c>
      <c r="C33" s="7" t="e">
        <f ca="1">Image("https://images-na.ssl-images-amazon.com/images/I/51i+SfRFHdL.jpg;https://images-na.ssl-images-amazon.com/images/I/71+KsOmS3BL.jpg;https://images-na.ssl-images-amazon.com/images/I/61pV-HlDrTL.jpg;https://images-na.ssl-images-amazon.com/images/I/411fU-c6aZL"&amp;".jpg;https://images-na.ssl-images-amazon.com/images/I/41cS4Y02AbL.jpg")</f>
        <v>#NAME?</v>
      </c>
      <c r="D33" s="7" t="s">
        <v>16</v>
      </c>
      <c r="E33" s="7" t="s">
        <v>105</v>
      </c>
      <c r="F33" s="7">
        <v>524</v>
      </c>
      <c r="G33" s="7">
        <v>4656.84</v>
      </c>
      <c r="H33" s="7">
        <v>42</v>
      </c>
      <c r="I33" s="7">
        <v>-302.23</v>
      </c>
      <c r="J33" s="7">
        <v>1207.75</v>
      </c>
    </row>
    <row r="34" spans="1:10" ht="14.4">
      <c r="A34" s="6" t="s">
        <v>106</v>
      </c>
      <c r="B34" s="7" t="s">
        <v>107</v>
      </c>
      <c r="C34" s="7" t="e">
        <f ca="1">Image("https://images-na.ssl-images-amazon.com/images/I/51QPxP+AtNL.jpg;https://images-na.ssl-images-amazon.com/images/I/615xk-+7bPL.jpg;https://images-na.ssl-images-amazon.com/images/I/51uEMzjTWmL.jpg;https://images-na.ssl-images-amazon.com/images/I/41cBJbItpFL"&amp;".jpg")</f>
        <v>#NAME?</v>
      </c>
      <c r="D34" s="7" t="s">
        <v>16</v>
      </c>
      <c r="E34" s="7" t="s">
        <v>108</v>
      </c>
      <c r="F34" s="7">
        <v>53</v>
      </c>
      <c r="G34" s="7">
        <v>1709.36</v>
      </c>
      <c r="H34" s="7">
        <v>3</v>
      </c>
      <c r="I34" s="7">
        <v>-82.44</v>
      </c>
      <c r="J34" s="7">
        <v>1109.1199999999999</v>
      </c>
    </row>
    <row r="35" spans="1:10" ht="14.4">
      <c r="A35" s="6" t="s">
        <v>109</v>
      </c>
      <c r="B35" s="7" t="s">
        <v>110</v>
      </c>
      <c r="C35" s="7" t="e">
        <f ca="1">Image("https://images-na.ssl-images-amazon.com/images/I/51S+beLeB+L.jpg;https://images-na.ssl-images-amazon.com/images/I/51bP+QEm33L.jpg;https://images-na.ssl-images-amazon.com/images/I/51UX+C7CfWL.jpg;https://images-na.ssl-images-amazon.com/images/I/515y3Qli5rL"&amp;".jpg;https://images-na.ssl-images-amazon.com/images/I/51dKPuaBCrL.jpg;https://images-na.ssl-images-amazon.com/images/I/51q2V4XUXSL.jpg;https://images-na.ssl-images-amazon.com/images/I/41WuHjltXmL.jpg")</f>
        <v>#NAME?</v>
      </c>
      <c r="D35" s="7" t="s">
        <v>20</v>
      </c>
      <c r="E35" s="7" t="s">
        <v>111</v>
      </c>
      <c r="F35" s="7">
        <v>114</v>
      </c>
      <c r="G35" s="7">
        <v>2296.66</v>
      </c>
      <c r="H35" s="7">
        <v>10</v>
      </c>
      <c r="I35" s="7">
        <v>-176.25</v>
      </c>
      <c r="J35" s="7">
        <v>1063.25</v>
      </c>
    </row>
    <row r="36" spans="1:10" ht="14.4">
      <c r="A36" s="6" t="s">
        <v>112</v>
      </c>
      <c r="B36" s="7" t="s">
        <v>113</v>
      </c>
      <c r="C36" s="7" t="e">
        <f ca="1">Image("https://images-na.ssl-images-amazon.com/images/I/51GS85U8mIL.jpg;https://images-na.ssl-images-amazon.com/images/I/61hllX89pOL.jpg;https://images-na.ssl-images-amazon.com/images/I/518uvPo7gJL.jpg;https://images-na.ssl-images-amazon.com/images/I/41IHpEjv6BL"&amp;".jpg")</f>
        <v>#NAME?</v>
      </c>
      <c r="D36" s="7" t="s">
        <v>16</v>
      </c>
      <c r="E36" s="7" t="s">
        <v>114</v>
      </c>
      <c r="F36" s="7">
        <v>201</v>
      </c>
      <c r="G36" s="7">
        <v>2220.52</v>
      </c>
      <c r="H36" s="7">
        <v>13</v>
      </c>
      <c r="I36" s="7">
        <v>-121.13</v>
      </c>
      <c r="J36" s="7">
        <v>1054.6099999999999</v>
      </c>
    </row>
    <row r="37" spans="1:10" ht="14.4">
      <c r="A37" s="6" t="s">
        <v>115</v>
      </c>
      <c r="B37" s="7" t="s">
        <v>116</v>
      </c>
      <c r="C37" s="7" t="e">
        <f ca="1">Image("https://images-na.ssl-images-amazon.com/images/I/413ck9lsOKL.jpg;https://images-na.ssl-images-amazon.com/images/I/51UscLhaobL.jpg;https://images-na.ssl-images-amazon.com/images/I/419iX+USdLL.jpg;https://images-na.ssl-images-amazon.com/images/I/41dskjfBfCL"&amp;".jpg;https://images-na.ssl-images-amazon.com/images/I/41aiVR-WqFL.jpg;https://images-na.ssl-images-amazon.com/images/I/417VtmlIFML.jpg;https://images-na.ssl-images-amazon.com/images/I/41BHpUibkjL.jpg;https://images-na.ssl-images-amazon.com/images/I/61tPVZ"&amp;"EHwGL.jpg")</f>
        <v>#NAME?</v>
      </c>
      <c r="D37" s="7" t="s">
        <v>20</v>
      </c>
      <c r="E37" s="7" t="s">
        <v>117</v>
      </c>
      <c r="F37" s="7">
        <v>281</v>
      </c>
      <c r="G37" s="7">
        <v>2493.9299999999998</v>
      </c>
      <c r="H37" s="7">
        <v>8</v>
      </c>
      <c r="I37" s="7">
        <v>-64.52</v>
      </c>
      <c r="J37" s="7">
        <v>1019.32</v>
      </c>
    </row>
    <row r="38" spans="1:10" ht="14.4">
      <c r="A38" s="6" t="s">
        <v>118</v>
      </c>
      <c r="B38" s="7" t="s">
        <v>119</v>
      </c>
      <c r="C38" s="7" t="e">
        <f ca="1">Image("https://images-na.ssl-images-amazon.com/images/I/41y-G9NVZkL.jpg;https://images-na.ssl-images-amazon.com/images/I/31ZHUpZd3XL.jpg;https://images-na.ssl-images-amazon.com/images/I/31gZwW-zYPL.jpg;https://images-na.ssl-images-amazon.com/images/I/41Ohq1BKzHL"&amp;".jpg;https://images-na.ssl-images-amazon.com/images/I/31eH4IEysCL.jpg;https://images-na.ssl-images-amazon.com/images/I/51OKOeXMhWL.jpg")</f>
        <v>#NAME?</v>
      </c>
      <c r="D38" s="7" t="s">
        <v>20</v>
      </c>
      <c r="E38" s="7" t="s">
        <v>120</v>
      </c>
      <c r="F38" s="7">
        <v>61</v>
      </c>
      <c r="G38" s="7">
        <v>2170.1999999999998</v>
      </c>
      <c r="H38" s="7">
        <v>3</v>
      </c>
      <c r="I38" s="7">
        <v>-92.94</v>
      </c>
      <c r="J38" s="7">
        <v>982.18</v>
      </c>
    </row>
    <row r="39" spans="1:10" ht="14.4">
      <c r="A39" s="6" t="s">
        <v>121</v>
      </c>
      <c r="B39" s="7" t="s">
        <v>122</v>
      </c>
      <c r="C39" s="7" t="e">
        <f ca="1">Image("https://images-na.ssl-images-amazon.com/images/I/51hR1oa-eeL.jpg;https://images-na.ssl-images-amazon.com/images/I/51mV7gfc+wL.jpg;https://images-na.ssl-images-amazon.com/images/I/518tk2oalpL.jpg;https://images-na.ssl-images-amazon.com/images/I/411sLFpTzpL"&amp;".jpg;https://images-na.ssl-images-amazon.com/images/I/417MCp82FgL.jpg;https://images-na.ssl-images-amazon.com/images/I/51ZoF6mOtyL.jpg")</f>
        <v>#NAME?</v>
      </c>
      <c r="D39" s="7" t="s">
        <v>16</v>
      </c>
      <c r="E39" s="7" t="s">
        <v>123</v>
      </c>
      <c r="F39" s="7">
        <v>92</v>
      </c>
      <c r="G39" s="7">
        <v>1788.7</v>
      </c>
      <c r="H39" s="7">
        <v>2</v>
      </c>
      <c r="I39" s="7">
        <v>-32.020000000000003</v>
      </c>
      <c r="J39" s="7">
        <v>958.78</v>
      </c>
    </row>
    <row r="40" spans="1:10" ht="14.4">
      <c r="A40" s="6" t="s">
        <v>124</v>
      </c>
      <c r="B40" s="7" t="s">
        <v>125</v>
      </c>
      <c r="C40" s="7" t="e">
        <f ca="1">Image("https://images-na.ssl-images-amazon.com/images/I/41WXH4eXCPL.jpg;https://images-na.ssl-images-amazon.com/images/I/41hiBGIN59L.jpg;https://images-na.ssl-images-amazon.com/images/I/41pLcIqYpFL.jpg;https://images-na.ssl-images-amazon.com/images/I/41xohT54HIL"&amp;".jpg;https://images-na.ssl-images-amazon.com/images/I/518nEUk7pCL.jpg;https://images-na.ssl-images-amazon.com/images/I/41AaYUClzHL.jpg")</f>
        <v>#NAME?</v>
      </c>
      <c r="D40" s="7" t="s">
        <v>16</v>
      </c>
      <c r="E40" s="7" t="s">
        <v>126</v>
      </c>
      <c r="F40" s="7">
        <v>367</v>
      </c>
      <c r="G40" s="7">
        <v>2992.56</v>
      </c>
      <c r="H40" s="7">
        <v>23</v>
      </c>
      <c r="I40" s="7">
        <v>-169.85</v>
      </c>
      <c r="J40" s="7">
        <v>952.13</v>
      </c>
    </row>
    <row r="41" spans="1:10" ht="14.4">
      <c r="A41" s="6" t="s">
        <v>127</v>
      </c>
      <c r="B41" s="7" t="s">
        <v>128</v>
      </c>
      <c r="C41" s="7" t="e">
        <f ca="1">Image("https://images-na.ssl-images-amazon.com/images/I/41bJhvd6iWL.jpg;https://images-na.ssl-images-amazon.com/images/I/51NDwofsY9L.jpg;https://images-na.ssl-images-amazon.com/images/I/41TM8PrZnJL.jpg;https://images-na.ssl-images-amazon.com/images/I/413TjTXnyIL"&amp;".jpg;https://images-na.ssl-images-amazon.com/images/I/51qBa1U+56L.jpg;https://images-na.ssl-images-amazon.com/images/I/51BfznTgQ3L.jpg;https://images-na.ssl-images-amazon.com/images/I/51lHkguOGLL.jpg")</f>
        <v>#NAME?</v>
      </c>
      <c r="D41" s="7" t="s">
        <v>20</v>
      </c>
      <c r="E41" s="7" t="s">
        <v>129</v>
      </c>
      <c r="F41" s="7">
        <v>141</v>
      </c>
      <c r="G41" s="7">
        <v>1980.96</v>
      </c>
      <c r="H41" s="7">
        <v>3</v>
      </c>
      <c r="I41" s="7">
        <v>-38.409999999999997</v>
      </c>
      <c r="J41" s="7">
        <v>919.79</v>
      </c>
    </row>
    <row r="42" spans="1:10" ht="14.4">
      <c r="A42" s="6" t="s">
        <v>130</v>
      </c>
      <c r="B42" s="7" t="s">
        <v>131</v>
      </c>
      <c r="C42" s="7" t="e">
        <f ca="1">Image("https://images-na.ssl-images-amazon.com/images/I/51XXMHOfvHL.jpg;https://images-na.ssl-images-amazon.com/images/I/51zLdjSt2VL.jpg;https://images-na.ssl-images-amazon.com/images/I/51-oevD1sfL.jpg;https://images-na.ssl-images-amazon.com/images/I/51rlEk-ifVL"&amp;".jpg;https://images-na.ssl-images-amazon.com/images/I/61QFTeQHz7L.jpg;https://images-na.ssl-images-amazon.com/images/I/513kSGDfDbL.jpg;https://images-na.ssl-images-amazon.com/images/I/61-OE0Ece+L.jpg;https://images-na.ssl-images-amazon.com/images/I/518Yvv"&amp;"P9pvL.jpg;https://images-na.ssl-images-amazon.com/images/I/51L37dHsiuL.jpg")</f>
        <v>#NAME?</v>
      </c>
      <c r="D42" s="7" t="s">
        <v>20</v>
      </c>
      <c r="E42" s="7" t="s">
        <v>132</v>
      </c>
      <c r="F42" s="7">
        <v>346</v>
      </c>
      <c r="G42" s="7">
        <v>2596.4499999999998</v>
      </c>
      <c r="H42" s="7">
        <v>40</v>
      </c>
      <c r="I42" s="7">
        <v>-279.64</v>
      </c>
      <c r="J42" s="7">
        <v>919.05</v>
      </c>
    </row>
    <row r="43" spans="1:10" ht="14.4">
      <c r="A43" s="6" t="s">
        <v>133</v>
      </c>
      <c r="B43" s="7" t="s">
        <v>134</v>
      </c>
      <c r="C43" s="7" t="e">
        <f ca="1">Image("https://images-na.ssl-images-amazon.com/images/I/51nHGj1X3wL.jpg;https://images-na.ssl-images-amazon.com/images/I/41eH2MC-bxL.jpg;https://images-na.ssl-images-amazon.com/images/I/41BbOMETspL.jpg;https://images-na.ssl-images-amazon.com/images/I/41uoF6ucv5L"&amp;".jpg;https://images-na.ssl-images-amazon.com/images/I/51mvhruf2OL.jpg;https://images-na.ssl-images-amazon.com/images/I/61uCEYPxRvL.jpg;https://images-na.ssl-images-amazon.com/images/I/41ykDXxBy9L.jpg")</f>
        <v>#NAME?</v>
      </c>
      <c r="D43" s="7" t="s">
        <v>20</v>
      </c>
      <c r="E43" s="7" t="s">
        <v>135</v>
      </c>
      <c r="F43" s="7">
        <v>191</v>
      </c>
      <c r="G43" s="7">
        <v>2419.4299999999998</v>
      </c>
      <c r="H43" s="7">
        <v>20</v>
      </c>
      <c r="I43" s="7">
        <v>-216.3</v>
      </c>
      <c r="J43" s="7">
        <v>823.22</v>
      </c>
    </row>
    <row r="44" spans="1:10" ht="14.4">
      <c r="A44" s="6" t="s">
        <v>136</v>
      </c>
      <c r="B44" s="7" t="s">
        <v>137</v>
      </c>
      <c r="C44" s="7" t="e">
        <f ca="1">Image("https://images-na.ssl-images-amazon.com/images/I/41qXdOrQX2L.jpg;https://images-na.ssl-images-amazon.com/images/I/4190dN7yW4L.jpg;https://images-na.ssl-images-amazon.com/images/I/41q2DLqpG9L.jpg;https://images-na.ssl-images-amazon.com/images/I/51YygNcovnL"&amp;".jpg;https://images-na.ssl-images-amazon.com/images/I/51dJN7D8a7L.jpg;https://images-na.ssl-images-amazon.com/images/I/518bW09Od+L.jpg;https://images-na.ssl-images-amazon.com/images/I/51qeaNwt+9L.jpg;https://images-na.ssl-images-amazon.com/images/I/41ZkMr"&amp;"5aNHL.jpg;https://images-na.ssl-images-amazon.com/images/I/5126pbyaPlL.jpg")</f>
        <v>#NAME?</v>
      </c>
      <c r="D44" s="7" t="s">
        <v>20</v>
      </c>
      <c r="E44" s="7" t="s">
        <v>138</v>
      </c>
      <c r="F44" s="7">
        <v>118</v>
      </c>
      <c r="G44" s="7">
        <v>1357.4</v>
      </c>
      <c r="H44" s="7">
        <v>0</v>
      </c>
      <c r="I44" s="7">
        <v>0</v>
      </c>
      <c r="J44" s="7">
        <v>814.33</v>
      </c>
    </row>
    <row r="45" spans="1:10" ht="14.4">
      <c r="A45" s="6" t="s">
        <v>139</v>
      </c>
      <c r="B45" s="7" t="s">
        <v>140</v>
      </c>
      <c r="C45" s="7" t="e">
        <f ca="1">Image("https://images-na.ssl-images-amazon.com/images/I/51Rl9tbrpyL.jpg;https://images-na.ssl-images-amazon.com/images/I/51SPR+4SLiL.jpg;https://images-na.ssl-images-amazon.com/images/I/41vfB9m5tOL.jpg;https://images-na.ssl-images-amazon.com/images/I/41v0Aerb4OL"&amp;".jpg;https://images-na.ssl-images-amazon.com/images/I/31tls1anW+L.jpg;https://images-na.ssl-images-amazon.com/images/I/516ZXiYv7NL.jpg")</f>
        <v>#NAME?</v>
      </c>
      <c r="D45" s="7" t="s">
        <v>20</v>
      </c>
      <c r="E45" s="7" t="s">
        <v>141</v>
      </c>
      <c r="F45" s="7">
        <v>41</v>
      </c>
      <c r="G45" s="7">
        <v>1321.97</v>
      </c>
      <c r="H45" s="7">
        <v>3</v>
      </c>
      <c r="I45" s="7">
        <v>-80.069999999999993</v>
      </c>
      <c r="J45" s="7">
        <v>747.24</v>
      </c>
    </row>
    <row r="46" spans="1:10" ht="14.4">
      <c r="A46" s="6" t="s">
        <v>142</v>
      </c>
      <c r="B46" s="7" t="s">
        <v>143</v>
      </c>
      <c r="C46" s="7" t="e">
        <f ca="1">Image("https://images-na.ssl-images-amazon.com/images/I/51eH8U1xyNS.jpg;https://images-na.ssl-images-amazon.com/images/I/41rFiJt+kFS.jpg;https://images-na.ssl-images-amazon.com/images/I/51NTKTOi8BS.jpg;https://images-na.ssl-images-amazon.com/images/I/51WhGjWwBeS"&amp;".jpg;https://images-na.ssl-images-amazon.com/images/I/61YgG2pMjVS.jpg;https://images-na.ssl-images-amazon.com/images/I/51wgoIJRgwL.jpg;https://images-na.ssl-images-amazon.com/images/I/51gipCwoLjL.jpg")</f>
        <v>#NAME?</v>
      </c>
      <c r="D46" s="7" t="s">
        <v>16</v>
      </c>
      <c r="E46" s="7" t="s">
        <v>144</v>
      </c>
      <c r="F46" s="7">
        <v>144</v>
      </c>
      <c r="G46" s="7">
        <v>2076.5100000000002</v>
      </c>
      <c r="H46" s="7">
        <v>8</v>
      </c>
      <c r="I46" s="7">
        <v>-107.25</v>
      </c>
      <c r="J46" s="7">
        <v>732.6</v>
      </c>
    </row>
    <row r="47" spans="1:10" ht="14.4">
      <c r="A47" s="6" t="s">
        <v>145</v>
      </c>
      <c r="B47" s="7" t="s">
        <v>146</v>
      </c>
      <c r="C47" s="7" t="e">
        <f ca="1">Image("https://images-na.ssl-images-amazon.com/images/I/31q5fA+1dbL.jpg;https://images-na.ssl-images-amazon.com/images/I/51qQm37GqJL.jpg;https://images-na.ssl-images-amazon.com/images/I/51mYtBuhS-L.jpg;https://images-na.ssl-images-amazon.com/images/I/51SPPZ-kbIL"&amp;".jpg;https://images-na.ssl-images-amazon.com/images/I/41q2DLqpG9L.jpg;https://images-na.ssl-images-amazon.com/images/I/51gphCtXNTL.jpg;https://images-na.ssl-images-amazon.com/images/I/61PGVeOIkZS.jpg;https://images-na.ssl-images-amazon.com/images/I/61ec0p"&amp;"nWeQL.jpg")</f>
        <v>#NAME?</v>
      </c>
      <c r="D47" s="7" t="s">
        <v>20</v>
      </c>
      <c r="E47" s="7" t="s">
        <v>147</v>
      </c>
      <c r="F47" s="7">
        <v>110</v>
      </c>
      <c r="G47" s="7">
        <v>1261.1500000000001</v>
      </c>
      <c r="H47" s="7">
        <v>4</v>
      </c>
      <c r="I47" s="7">
        <v>-37.159999999999997</v>
      </c>
      <c r="J47" s="7">
        <v>718.61</v>
      </c>
    </row>
    <row r="48" spans="1:10" ht="14.4">
      <c r="A48" s="6" t="s">
        <v>148</v>
      </c>
      <c r="B48" s="7" t="s">
        <v>149</v>
      </c>
      <c r="C48" s="7" t="e">
        <f ca="1">Image("https://images-na.ssl-images-amazon.com/images/I/51lJ6C7xETL.jpg;https://images-na.ssl-images-amazon.com/images/I/619-4yd5huL.jpg;https://images-na.ssl-images-amazon.com/images/I/51g24DSmvwL.jpg;https://images-na.ssl-images-amazon.com/images/I/41ZV3p4+usL"&amp;".jpg;https://images-na.ssl-images-amazon.com/images/I/41SRZzSBCPL.jpg")</f>
        <v>#NAME?</v>
      </c>
      <c r="D48" s="7" t="s">
        <v>16</v>
      </c>
      <c r="E48" s="7" t="s">
        <v>150</v>
      </c>
      <c r="F48" s="7">
        <v>226</v>
      </c>
      <c r="G48" s="7">
        <v>2171.5100000000002</v>
      </c>
      <c r="H48" s="7">
        <v>13</v>
      </c>
      <c r="I48" s="7">
        <v>-101.02</v>
      </c>
      <c r="J48" s="7">
        <v>717.84</v>
      </c>
    </row>
    <row r="49" spans="1:10" ht="14.4">
      <c r="A49" s="6" t="s">
        <v>151</v>
      </c>
      <c r="B49" s="7" t="s">
        <v>152</v>
      </c>
      <c r="C49" s="7" t="e">
        <f ca="1">Image("https://images-na.ssl-images-amazon.com/images/I/416XiYEDXBL.jpg;https://images-na.ssl-images-amazon.com/images/I/41jESC25lUL.jpg;https://images-na.ssl-images-amazon.com/images/I/41CE38l2ZEL.jpg;https://images-na.ssl-images-amazon.com/images/I/41A77LWHqvL"&amp;".jpg;https://images-na.ssl-images-amazon.com/images/I/51P+Os+9qXL.jpg;https://images-na.ssl-images-amazon.com/images/I/51tVNVw8qSL.jpg;https://images-na.ssl-images-amazon.com/images/I/51QQtkNC4fL.jpg")</f>
        <v>#NAME?</v>
      </c>
      <c r="D49" s="7" t="s">
        <v>16</v>
      </c>
      <c r="E49" s="7" t="s">
        <v>153</v>
      </c>
      <c r="F49" s="7">
        <v>152</v>
      </c>
      <c r="G49" s="7">
        <v>1694.3</v>
      </c>
      <c r="H49" s="7">
        <v>4</v>
      </c>
      <c r="I49" s="7">
        <v>-37.39</v>
      </c>
      <c r="J49" s="7">
        <v>657.68</v>
      </c>
    </row>
    <row r="50" spans="1:10" ht="14.4">
      <c r="A50" s="6" t="s">
        <v>154</v>
      </c>
      <c r="B50" s="7" t="s">
        <v>155</v>
      </c>
      <c r="C50" s="7" t="e">
        <f ca="1">Image("https://images-na.ssl-images-amazon.com/images/I/418r1Ul4f6S.jpg;https://images-na.ssl-images-amazon.com/images/I/51+FjnQX7mS.jpg;https://images-na.ssl-images-amazon.com/images/I/41ldPjktwDS.jpg;https://images-na.ssl-images-amazon.com/images/I/61vB7MZUz3S"&amp;".jpg;https://images-na.ssl-images-amazon.com/images/I/314g2uvo+QS.jpg;https://images-na.ssl-images-amazon.com/images/I/41poqv9TyTL.jpg")</f>
        <v>#NAME?</v>
      </c>
      <c r="D50" s="7" t="s">
        <v>20</v>
      </c>
      <c r="E50" s="7" t="s">
        <v>156</v>
      </c>
      <c r="F50" s="7">
        <v>257</v>
      </c>
      <c r="G50" s="7">
        <v>2298.41</v>
      </c>
      <c r="H50" s="7">
        <v>6</v>
      </c>
      <c r="I50" s="7">
        <v>-47.49</v>
      </c>
      <c r="J50" s="7">
        <v>605.99</v>
      </c>
    </row>
    <row r="51" spans="1:10" ht="14.4">
      <c r="A51" s="6" t="s">
        <v>157</v>
      </c>
      <c r="B51" s="7" t="s">
        <v>158</v>
      </c>
      <c r="C51" s="7" t="e">
        <f ca="1">Image("https://images-na.ssl-images-amazon.com/images/I/51omqILQ3qL.jpg;https://images-na.ssl-images-amazon.com/images/I/510oEd39NnL.jpg;https://images-na.ssl-images-amazon.com/images/I/41q2DLqpG9L.jpg;https://images-na.ssl-images-amazon.com/images/I/51qeaNwt+9L"&amp;".jpg;https://images-na.ssl-images-amazon.com/images/I/41o30RPNFQL.jpg;https://images-na.ssl-images-amazon.com/images/I/61JtvfVX5xL.jpg;https://images-na.ssl-images-amazon.com/images/I/51HWVFhGIBL.jpg")</f>
        <v>#NAME?</v>
      </c>
      <c r="D51" s="7" t="s">
        <v>20</v>
      </c>
      <c r="E51" s="7" t="s">
        <v>159</v>
      </c>
      <c r="F51" s="7">
        <v>94</v>
      </c>
      <c r="G51" s="7">
        <v>1056.3399999999999</v>
      </c>
      <c r="H51" s="7">
        <v>2</v>
      </c>
      <c r="I51" s="7">
        <v>-22.1</v>
      </c>
      <c r="J51" s="7">
        <v>600.77</v>
      </c>
    </row>
    <row r="52" spans="1:10" ht="14.4">
      <c r="A52" s="6" t="s">
        <v>160</v>
      </c>
      <c r="B52" s="7" t="s">
        <v>161</v>
      </c>
      <c r="C52" s="7" t="e">
        <f ca="1">Image("https://images-na.ssl-images-amazon.com/images/I/41V+0CpepLL.jpg")</f>
        <v>#NAME?</v>
      </c>
      <c r="D52" s="7" t="s">
        <v>12</v>
      </c>
      <c r="E52" s="7" t="s">
        <v>24</v>
      </c>
      <c r="F52" s="7">
        <v>27</v>
      </c>
      <c r="G52" s="7">
        <v>1107.8599999999999</v>
      </c>
      <c r="H52" s="7">
        <v>2</v>
      </c>
      <c r="I52" s="7">
        <v>-72.14</v>
      </c>
      <c r="J52" s="7">
        <v>600.37</v>
      </c>
    </row>
    <row r="53" spans="1:10" ht="14.4">
      <c r="A53" s="6" t="s">
        <v>162</v>
      </c>
      <c r="B53" s="7" t="s">
        <v>163</v>
      </c>
      <c r="C53" s="7" t="e">
        <f ca="1">Image("https://images-na.ssl-images-amazon.com/images/I/51TA3mmUmJL.jpg;https://images-na.ssl-images-amazon.com/images/I/51TA3mmUmJL.jpg;https://images-na.ssl-images-amazon.com/images/I/41JhNSG9p0L.jpg;https://images-na.ssl-images-amazon.com/images/I/418LCldbhiL"&amp;".jpg;https://images-na.ssl-images-amazon.com/images/I/41WbzEPgdRL.jpg")</f>
        <v>#NAME?</v>
      </c>
      <c r="D53" s="7" t="s">
        <v>16</v>
      </c>
      <c r="E53" s="7" t="s">
        <v>164</v>
      </c>
      <c r="F53" s="7">
        <v>130</v>
      </c>
      <c r="G53" s="7">
        <v>1469.81</v>
      </c>
      <c r="H53" s="7">
        <v>13</v>
      </c>
      <c r="I53" s="7">
        <v>-133.77000000000001</v>
      </c>
      <c r="J53" s="7">
        <v>593.80999999999995</v>
      </c>
    </row>
    <row r="54" spans="1:10" ht="14.4">
      <c r="A54" s="6" t="s">
        <v>165</v>
      </c>
      <c r="B54" s="7" t="s">
        <v>166</v>
      </c>
      <c r="C54" s="7" t="e">
        <f ca="1">Image("https://images-na.ssl-images-amazon.com/images/I/41aKdLZnWxL.jpg;https://images-na.ssl-images-amazon.com/images/I/41b6HMl130L.jpg;https://images-na.ssl-images-amazon.com/images/I/410+NRt3MqL.jpg;https://images-na.ssl-images-amazon.com/images/I/41r4qdBIS0L"&amp;".jpg;https://images-na.ssl-images-amazon.com/images/I/61j03NBpzsL.jpg;https://images-na.ssl-images-amazon.com/images/I/51AOa6oTe4L.jpg;https://images-na.ssl-images-amazon.com/images/I/41rYE9Xu+ML.jpg")</f>
        <v>#NAME?</v>
      </c>
      <c r="D54" s="7" t="s">
        <v>20</v>
      </c>
      <c r="E54" s="7" t="s">
        <v>167</v>
      </c>
      <c r="F54" s="7">
        <v>45</v>
      </c>
      <c r="G54" s="7">
        <v>1015.09</v>
      </c>
      <c r="H54" s="7">
        <v>2</v>
      </c>
      <c r="I54" s="7">
        <v>-37.659999999999997</v>
      </c>
      <c r="J54" s="7">
        <v>587.55999999999995</v>
      </c>
    </row>
    <row r="55" spans="1:10" ht="14.4">
      <c r="A55" s="6" t="s">
        <v>168</v>
      </c>
      <c r="B55" s="7" t="s">
        <v>169</v>
      </c>
      <c r="C55" s="7" t="e">
        <f ca="1">Image("https://images-na.ssl-images-amazon.com/images/I/511dTfVh3qL.jpg;https://images-na.ssl-images-amazon.com/images/I/51ib6xDKXwL.jpg;https://images-na.ssl-images-amazon.com/images/I/41Lfp3uQhBL.jpg;https://images-na.ssl-images-amazon.com/images/I/41hx+s+7uIL"&amp;".jpg;https://images-na.ssl-images-amazon.com/images/I/51FQWAbFbTL.jpg")</f>
        <v>#NAME?</v>
      </c>
      <c r="D55" s="7" t="s">
        <v>20</v>
      </c>
      <c r="E55" s="7" t="s">
        <v>170</v>
      </c>
      <c r="F55" s="7">
        <v>142</v>
      </c>
      <c r="G55" s="7">
        <v>1802.4</v>
      </c>
      <c r="H55" s="7">
        <v>21</v>
      </c>
      <c r="I55" s="7">
        <v>-231.14</v>
      </c>
      <c r="J55" s="7">
        <v>583.59</v>
      </c>
    </row>
    <row r="56" spans="1:10" ht="14.4">
      <c r="A56" s="6" t="s">
        <v>171</v>
      </c>
      <c r="B56" s="7" t="s">
        <v>172</v>
      </c>
      <c r="C56" s="7" t="e">
        <f ca="1">Image("https://images-na.ssl-images-amazon.com/images/I/51ms-kSR2SL.jpg;https://images-na.ssl-images-amazon.com/images/I/41nI8pn5KIL.jpg;https://images-na.ssl-images-amazon.com/images/I/41+EChMV-RL.jpg;https://images-na.ssl-images-amazon.com/images/I/41pE7WZ1DbL"&amp;".jpg;https://images-na.ssl-images-amazon.com/images/I/51zXMiplYYL.jpg;https://images-na.ssl-images-amazon.com/images/I/51jxUEFT+QL.jpg;https://images-na.ssl-images-amazon.com/images/I/51NYT0cZc1L.jpg")</f>
        <v>#NAME?</v>
      </c>
      <c r="D56" s="7" t="s">
        <v>20</v>
      </c>
      <c r="E56" s="7" t="s">
        <v>173</v>
      </c>
      <c r="F56" s="7">
        <v>77</v>
      </c>
      <c r="G56" s="7">
        <v>1039.19</v>
      </c>
      <c r="H56" s="7">
        <v>6</v>
      </c>
      <c r="I56" s="7">
        <v>-83.99</v>
      </c>
      <c r="J56" s="7">
        <v>542.59</v>
      </c>
    </row>
    <row r="57" spans="1:10" ht="14.4">
      <c r="A57" s="6" t="s">
        <v>174</v>
      </c>
      <c r="B57" s="7" t="s">
        <v>175</v>
      </c>
      <c r="C57" s="7" t="e">
        <f ca="1">Image("https://images-na.ssl-images-amazon.com/images/I/41m0mV03IgL.jpg;https://images-na.ssl-images-amazon.com/images/I/61-maqKvXEL.jpg;https://images-na.ssl-images-amazon.com/images/I/51K9oYhqfPL.jpg;https://images-na.ssl-images-amazon.com/images/I/51Vjwwji4JL"&amp;".jpg;https://images-na.ssl-images-amazon.com/images/I/51oHl-hkKIL.jpg;https://images-na.ssl-images-amazon.com/images/I/41SRZzSBCPL.jpg")</f>
        <v>#NAME?</v>
      </c>
      <c r="D57" s="7" t="s">
        <v>16</v>
      </c>
      <c r="E57" s="7" t="s">
        <v>176</v>
      </c>
      <c r="F57" s="7">
        <v>114</v>
      </c>
      <c r="G57" s="7">
        <v>1436.95</v>
      </c>
      <c r="H57" s="7">
        <v>13</v>
      </c>
      <c r="I57" s="7">
        <v>-141.21</v>
      </c>
      <c r="J57" s="7">
        <v>523.92999999999995</v>
      </c>
    </row>
    <row r="58" spans="1:10" ht="14.4">
      <c r="A58" s="6" t="s">
        <v>177</v>
      </c>
      <c r="B58" s="7" t="s">
        <v>178</v>
      </c>
      <c r="C58" s="7" t="e">
        <f ca="1">Image("https://images-na.ssl-images-amazon.com/images/I/51Ehvwzry3L.jpg;https://images-na.ssl-images-amazon.com/images/I/51iHJKv8U7L.jpg;https://images-na.ssl-images-amazon.com/images/I/41BsSSDnaoL.jpg;https://images-na.ssl-images-amazon.com/images/I/41EA7HcLmRL"&amp;".jpg;https://images-na.ssl-images-amazon.com/images/I/41V2hKyQAfL.jpg;https://images-na.ssl-images-amazon.com/images/I/51mKkCBcUbL.jpg;https://images-na.ssl-images-amazon.com/images/I/61gwCr5gKGL.jpg")</f>
        <v>#NAME?</v>
      </c>
      <c r="D58" s="7" t="s">
        <v>20</v>
      </c>
      <c r="E58" s="7" t="s">
        <v>179</v>
      </c>
      <c r="F58" s="7">
        <v>47</v>
      </c>
      <c r="G58" s="7">
        <v>1089.95</v>
      </c>
      <c r="H58" s="7">
        <v>4</v>
      </c>
      <c r="I58" s="7">
        <v>-75.319999999999993</v>
      </c>
      <c r="J58" s="7">
        <v>485.91</v>
      </c>
    </row>
    <row r="59" spans="1:10" ht="14.4">
      <c r="A59" s="6" t="s">
        <v>180</v>
      </c>
      <c r="B59" s="7" t="s">
        <v>181</v>
      </c>
      <c r="C59" s="7" t="e">
        <f ca="1">Image("https://images-na.ssl-images-amazon.com/images/I/413ck9lsOKL.jpg;https://images-na.ssl-images-amazon.com/images/I/51UscLhaobL.jpg;https://images-na.ssl-images-amazon.com/images/I/419iX+USdLL.jpg;https://images-na.ssl-images-amazon.com/images/I/41dskjfBfCL"&amp;".jpg;https://images-na.ssl-images-amazon.com/images/I/41aiVR-WqFL.jpg;https://images-na.ssl-images-amazon.com/images/I/417VtmlIFML.jpg;https://images-na.ssl-images-amazon.com/images/I/41BHpUibkjL.jpg")</f>
        <v>#NAME?</v>
      </c>
      <c r="D59" s="7" t="s">
        <v>20</v>
      </c>
      <c r="E59" s="7" t="s">
        <v>182</v>
      </c>
      <c r="F59" s="7">
        <v>156</v>
      </c>
      <c r="G59" s="7">
        <v>1413.1</v>
      </c>
      <c r="H59" s="7">
        <v>4</v>
      </c>
      <c r="I59" s="7">
        <v>-31.84</v>
      </c>
      <c r="J59" s="7">
        <v>485.21</v>
      </c>
    </row>
    <row r="60" spans="1:10" ht="14.4">
      <c r="A60" s="6" t="s">
        <v>183</v>
      </c>
      <c r="B60" s="7" t="s">
        <v>184</v>
      </c>
      <c r="C60" s="7" t="e">
        <f ca="1">Image("https://images-na.ssl-images-amazon.com/images/I/31XCB-yz02L.jpg;https://images-na.ssl-images-amazon.com/images/I/31NTwjcGCeL.jpg;https://images-na.ssl-images-amazon.com/images/I/21bg0PLsNpL.jpg;https://images-na.ssl-images-amazon.com/images/I/516ZXiYv7NL"&amp;".jpg;https://images-na.ssl-images-amazon.com/images/I/21E-+BmFo5L.jpg;https://images-na.ssl-images-amazon.com/images/I/31Kps+HAoQL.jpg")</f>
        <v>#NAME?</v>
      </c>
      <c r="D60" s="7" t="s">
        <v>20</v>
      </c>
      <c r="E60" s="7" t="s">
        <v>185</v>
      </c>
      <c r="F60" s="7">
        <v>19</v>
      </c>
      <c r="G60" s="7">
        <v>888.27</v>
      </c>
      <c r="H60" s="7">
        <v>2</v>
      </c>
      <c r="I60" s="7">
        <v>-78.13</v>
      </c>
      <c r="J60" s="7">
        <v>456.18</v>
      </c>
    </row>
    <row r="61" spans="1:10" ht="14.4">
      <c r="A61" s="6" t="s">
        <v>186</v>
      </c>
      <c r="B61" s="7" t="s">
        <v>187</v>
      </c>
      <c r="C61" s="7" t="e">
        <f ca="1">Image("https://images-na.ssl-images-amazon.com/images/I/51UMwCTiswL.jpg;https://images-na.ssl-images-amazon.com/images/I/41y25dbr3mL.jpg;https://images-na.ssl-images-amazon.com/images/I/41DK6xflUDL.jpg;https://images-na.ssl-images-amazon.com/images/I/412dKAPx9zL"&amp;".jpg;https://images-na.ssl-images-amazon.com/images/I/31tls1anW+L.jpg;https://images-na.ssl-images-amazon.com/images/I/516ZXiYv7NL.jpg")</f>
        <v>#NAME?</v>
      </c>
      <c r="D61" s="7" t="s">
        <v>20</v>
      </c>
      <c r="E61" s="7" t="s">
        <v>141</v>
      </c>
      <c r="F61" s="7">
        <v>27</v>
      </c>
      <c r="G61" s="7">
        <v>754.31</v>
      </c>
      <c r="H61" s="7">
        <v>1</v>
      </c>
      <c r="I61" s="7">
        <v>-22</v>
      </c>
      <c r="J61" s="7">
        <v>452.77</v>
      </c>
    </row>
    <row r="62" spans="1:10" ht="14.4">
      <c r="A62" s="6" t="s">
        <v>188</v>
      </c>
      <c r="B62" s="7" t="s">
        <v>189</v>
      </c>
      <c r="C62" s="7" t="e">
        <f ca="1">Image("https://images-na.ssl-images-amazon.com/images/I/41i09UI3y5S.jpg;https://images-na.ssl-images-amazon.com/images/I/41xd5xp0bvS.jpg;https://images-na.ssl-images-amazon.com/images/I/418EFTN0CQS.jpg;https://images-na.ssl-images-amazon.com/images/I/31BF-CUEs1S"&amp;".jpg;https://images-na.ssl-images-amazon.com/images/I/41Qg1EFhOZS.jpg;https://images-na.ssl-images-amazon.com/images/I/61fhgSwXFJL.jpg;https://images-na.ssl-images-amazon.com/images/I/51XqxoUuIrL.jpg")</f>
        <v>#NAME?</v>
      </c>
      <c r="D62" s="7" t="s">
        <v>20</v>
      </c>
      <c r="E62" s="7" t="s">
        <v>190</v>
      </c>
      <c r="F62" s="7">
        <v>95</v>
      </c>
      <c r="G62" s="7">
        <v>1424.09</v>
      </c>
      <c r="H62" s="7">
        <v>21</v>
      </c>
      <c r="I62" s="7">
        <v>-274.79000000000002</v>
      </c>
      <c r="J62" s="7">
        <v>449.3</v>
      </c>
    </row>
    <row r="63" spans="1:10" ht="14.4">
      <c r="A63" s="6" t="s">
        <v>191</v>
      </c>
      <c r="B63" s="7" t="s">
        <v>192</v>
      </c>
      <c r="C63" s="7" t="e">
        <f ca="1">Image("https://images-na.ssl-images-amazon.com/images/I/51MAdIF8esL.jpg;https://images-na.ssl-images-amazon.com/images/I/41NYUThSpCL.jpg;https://images-na.ssl-images-amazon.com/images/I/41VboHcJQVL.jpg;https://images-na.ssl-images-amazon.com/images/I/41yqUaMB26L"&amp;".jpg;https://images-na.ssl-images-amazon.com/images/I/41DPNjtfr8L.jpg;https://images-na.ssl-images-amazon.com/images/I/51OX7hHl+wL.jpg")</f>
        <v>#NAME?</v>
      </c>
      <c r="D63" s="7" t="s">
        <v>20</v>
      </c>
      <c r="E63" s="7" t="s">
        <v>193</v>
      </c>
      <c r="F63" s="7">
        <v>21</v>
      </c>
      <c r="G63" s="7">
        <v>718.9</v>
      </c>
      <c r="H63" s="7">
        <v>2</v>
      </c>
      <c r="I63" s="7">
        <v>-57.01</v>
      </c>
      <c r="J63" s="7">
        <v>438.39</v>
      </c>
    </row>
    <row r="64" spans="1:10" ht="14.4">
      <c r="A64" s="6" t="s">
        <v>194</v>
      </c>
      <c r="B64" s="7" t="s">
        <v>195</v>
      </c>
      <c r="C64" s="7" t="e">
        <f ca="1">Image("https://images-na.ssl-images-amazon.com/images/I/51KcXSkthiL.jpg;https://images-na.ssl-images-amazon.com/images/I/61Sh8gi670L.jpg;https://images-na.ssl-images-amazon.com/images/I/51D6FCv9tNL.jpg;https://images-na.ssl-images-amazon.com/images/I/51LLLgzA3NL"&amp;".jpg;https://images-na.ssl-images-amazon.com/images/I/51oHl-hkKIL.jpg;https://images-na.ssl-images-amazon.com/images/I/41SRZzSBCPL.jpg")</f>
        <v>#NAME?</v>
      </c>
      <c r="D64" s="7" t="s">
        <v>16</v>
      </c>
      <c r="E64" s="7" t="s">
        <v>196</v>
      </c>
      <c r="F64" s="7">
        <v>116</v>
      </c>
      <c r="G64" s="7">
        <v>1120.7</v>
      </c>
      <c r="H64" s="7">
        <v>18</v>
      </c>
      <c r="I64" s="7">
        <v>-152.13</v>
      </c>
      <c r="J64" s="7">
        <v>432.1</v>
      </c>
    </row>
    <row r="65" spans="1:10" ht="14.4">
      <c r="A65" s="6" t="s">
        <v>197</v>
      </c>
      <c r="B65" s="7" t="s">
        <v>198</v>
      </c>
      <c r="C65" s="7" t="e">
        <f ca="1">Image("https://images-na.ssl-images-amazon.com/images/I/41J6tdTj5IL.jpg;https://images-na.ssl-images-amazon.com/images/I/4145Ci3ZBQL.jpg;https://images-na.ssl-images-amazon.com/images/I/41n2irdqHvL.jpg;https://images-na.ssl-images-amazon.com/images/I/41ASV4tybhL"&amp;".jpg;https://images-na.ssl-images-amazon.com/images/I/51UauncQgVL.jpg;https://images-na.ssl-images-amazon.com/images/I/61fs0aBX88L.jpg;https://images-na.ssl-images-amazon.com/images/I/51UnvBaMyDL.jpg")</f>
        <v>#NAME?</v>
      </c>
      <c r="D65" s="7" t="s">
        <v>20</v>
      </c>
      <c r="E65" s="7" t="s">
        <v>199</v>
      </c>
      <c r="F65" s="7">
        <v>62</v>
      </c>
      <c r="G65" s="7">
        <v>490.98</v>
      </c>
      <c r="H65" s="7">
        <v>0</v>
      </c>
      <c r="I65" s="7">
        <v>0</v>
      </c>
      <c r="J65" s="7">
        <v>417.48</v>
      </c>
    </row>
    <row r="66" spans="1:10" ht="14.4">
      <c r="A66" s="6" t="s">
        <v>200</v>
      </c>
      <c r="B66" s="7" t="s">
        <v>201</v>
      </c>
      <c r="C66" s="7" t="e">
        <f ca="1">Image("https://images-na.ssl-images-amazon.com/images/I/51KAxo3a-3L.jpg;https://images-na.ssl-images-amazon.com/images/I/51-8MIIOsVL.jpg;https://images-na.ssl-images-amazon.com/images/I/51Yxjdxj-RL.jpg;https://images-na.ssl-images-amazon.com/images/I/41IjNyOw+GL"&amp;".jpg;https://images-na.ssl-images-amazon.com/images/I/61YSpwZjHYL.jpg;https://images-na.ssl-images-amazon.com/images/I/61SxbPBq4VL.jpg;https://images-na.ssl-images-amazon.com/images/I/61B16W9kV0L.jpg")</f>
        <v>#NAME?</v>
      </c>
      <c r="D66" s="7" t="s">
        <v>20</v>
      </c>
      <c r="E66" s="7" t="s">
        <v>202</v>
      </c>
      <c r="F66" s="7">
        <v>73</v>
      </c>
      <c r="G66" s="7">
        <v>772.44</v>
      </c>
      <c r="H66" s="7">
        <v>3</v>
      </c>
      <c r="I66" s="7">
        <v>-30.4</v>
      </c>
      <c r="J66" s="7">
        <v>415.02</v>
      </c>
    </row>
    <row r="67" spans="1:10" ht="14.4">
      <c r="A67" s="6" t="s">
        <v>203</v>
      </c>
      <c r="B67" s="7" t="s">
        <v>204</v>
      </c>
      <c r="C67" s="7" t="e">
        <f ca="1">Image("https://images-na.ssl-images-amazon.com/images/I/41V7GUEZ4rL.jpg;https://images-na.ssl-images-amazon.com/images/I/41SM6fAxGLL.jpg;https://images-na.ssl-images-amazon.com/images/I/51Yxjdxj-RL.jpg;https://images-na.ssl-images-amazon.com/images/I/41jrAX77PLL"&amp;".jpg;https://images-na.ssl-images-amazon.com/images/I/611omcHeAvL.jpg;https://images-na.ssl-images-amazon.com/images/I/61bSvDpeNBL.jpg;https://images-na.ssl-images-amazon.com/images/I/51bdrOTZBZL.jpg")</f>
        <v>#NAME?</v>
      </c>
      <c r="D67" s="7" t="s">
        <v>20</v>
      </c>
      <c r="E67" s="7" t="s">
        <v>205</v>
      </c>
      <c r="F67" s="7">
        <v>69</v>
      </c>
      <c r="G67" s="7">
        <v>760.03</v>
      </c>
      <c r="H67" s="7">
        <v>4</v>
      </c>
      <c r="I67" s="7">
        <v>-36.950000000000003</v>
      </c>
      <c r="J67" s="7">
        <v>411.02</v>
      </c>
    </row>
    <row r="68" spans="1:10" ht="14.4">
      <c r="A68" s="6" t="s">
        <v>206</v>
      </c>
      <c r="B68" s="7" t="s">
        <v>207</v>
      </c>
      <c r="C68" s="7" t="e">
        <f ca="1">Image("https://images-na.ssl-images-amazon.com/images/I/51JXxV9SVlL.jpg;https://images-na.ssl-images-amazon.com/images/I/51bmI8M0lnL.jpg;https://images-na.ssl-images-amazon.com/images/I/51Yxjdxj-RL.jpg;https://images-na.ssl-images-amazon.com/images/I/41SbKlYf6yL"&amp;".jpg;https://images-na.ssl-images-amazon.com/images/I/61zFBHlaYkL.jpg;https://images-na.ssl-images-amazon.com/images/I/61U-7yYxGtL.jpg;https://images-na.ssl-images-amazon.com/images/I/61vqrdPd3FL.jpg")</f>
        <v>#NAME?</v>
      </c>
      <c r="D68" s="7" t="s">
        <v>20</v>
      </c>
      <c r="E68" s="7" t="s">
        <v>208</v>
      </c>
      <c r="F68" s="7">
        <v>57</v>
      </c>
      <c r="G68" s="7">
        <v>657.68</v>
      </c>
      <c r="H68" s="7">
        <v>1</v>
      </c>
      <c r="I68" s="7">
        <v>-8.8000000000000007</v>
      </c>
      <c r="J68" s="7">
        <v>404.88</v>
      </c>
    </row>
    <row r="69" spans="1:10" ht="14.4">
      <c r="A69" s="6" t="s">
        <v>209</v>
      </c>
      <c r="B69" s="7" t="s">
        <v>210</v>
      </c>
      <c r="C69" s="7" t="e">
        <f ca="1">Image("https://images-na.ssl-images-amazon.com/images/I/41+JHU14crL.jpg;https://images-na.ssl-images-amazon.com/images/I/41xoTJ4+dVL.jpg;https://images-na.ssl-images-amazon.com/images/I/41V+CYYfpnL.jpg;https://images-na.ssl-images-amazon.com/images/I/41azsv55EGL"&amp;".jpg;https://images-na.ssl-images-amazon.com/images/I/51QqJuzAkNL.jpg;https://images-na.ssl-images-amazon.com/images/I/513HYvwThzL.jpg;https://images-na.ssl-images-amazon.com/images/I/51AcoKF2QDL.jpg")</f>
        <v>#NAME?</v>
      </c>
      <c r="D69" s="7" t="s">
        <v>20</v>
      </c>
      <c r="E69" s="7" t="s">
        <v>211</v>
      </c>
      <c r="F69" s="7">
        <v>72</v>
      </c>
      <c r="G69" s="7">
        <v>959.86</v>
      </c>
      <c r="H69" s="7">
        <v>7</v>
      </c>
      <c r="I69" s="7">
        <v>-86.11</v>
      </c>
      <c r="J69" s="7">
        <v>383.55</v>
      </c>
    </row>
    <row r="70" spans="1:10" ht="14.4">
      <c r="A70" s="6" t="s">
        <v>212</v>
      </c>
      <c r="B70" s="7" t="s">
        <v>213</v>
      </c>
      <c r="C70" s="7" t="e">
        <f ca="1">Image("https://images-na.ssl-images-amazon.com/images/I/31ro7SZzScL.jpg;https://images-na.ssl-images-amazon.com/images/I/41rDv4ZdyWL.jpg;https://images-na.ssl-images-amazon.com/images/I/21nDHD-DMTL.jpg")</f>
        <v>#NAME?</v>
      </c>
      <c r="D70" s="7" t="s">
        <v>16</v>
      </c>
      <c r="E70" s="7" t="s">
        <v>214</v>
      </c>
      <c r="F70" s="7">
        <v>88</v>
      </c>
      <c r="G70" s="7">
        <v>811.05</v>
      </c>
      <c r="H70" s="7">
        <v>5</v>
      </c>
      <c r="I70" s="7">
        <v>-37.11</v>
      </c>
      <c r="J70" s="7">
        <v>382.53</v>
      </c>
    </row>
    <row r="71" spans="1:10" ht="14.4">
      <c r="A71" s="6" t="s">
        <v>215</v>
      </c>
      <c r="B71" s="7" t="s">
        <v>216</v>
      </c>
      <c r="C71" s="7" t="e">
        <f ca="1">Image("https://images-na.ssl-images-amazon.com/images/I/51m2E2rfIhS.jpg;https://images-na.ssl-images-amazon.com/images/I/51gnlyTK4VS.jpg;https://images-na.ssl-images-amazon.com/images/I/311VlKbj4uL.jpg;https://images-na.ssl-images-amazon.com/images/I/518UqmeV-XL"&amp;".jpg;https://images-na.ssl-images-amazon.com/images/I/61ov+Cs9e0L.jpg;https://images-na.ssl-images-amazon.com/images/I/51HCwVZiI8L.jpg")</f>
        <v>#NAME?</v>
      </c>
      <c r="D71" s="7" t="s">
        <v>20</v>
      </c>
      <c r="E71" s="7" t="s">
        <v>217</v>
      </c>
      <c r="F71" s="7">
        <v>33</v>
      </c>
      <c r="G71" s="7">
        <v>541.67999999999995</v>
      </c>
      <c r="H71" s="7">
        <v>4</v>
      </c>
      <c r="I71" s="7">
        <v>-52.88</v>
      </c>
      <c r="J71" s="7">
        <v>380.4</v>
      </c>
    </row>
    <row r="72" spans="1:10" ht="14.4">
      <c r="A72" s="6" t="s">
        <v>218</v>
      </c>
      <c r="B72" s="7" t="s">
        <v>219</v>
      </c>
      <c r="C72" s="7" t="e">
        <f ca="1">Image("https://images-na.ssl-images-amazon.com/images/I/51JaG88vTwL.jpg;https://images-na.ssl-images-amazon.com/images/I/41lkF3dx4-L.jpg;https://images-na.ssl-images-amazon.com/images/I/51P4G70yb+L.jpg;https://images-na.ssl-images-amazon.com/images/I/51Yxjdxj-RL"&amp;".jpg;https://images-na.ssl-images-amazon.com/images/I/61a3LacXPzL.jpg;https://images-na.ssl-images-amazon.com/images/I/41bIOBA+ZcL.jpg")</f>
        <v>#NAME?</v>
      </c>
      <c r="D72" s="7" t="s">
        <v>20</v>
      </c>
      <c r="E72" s="7" t="s">
        <v>220</v>
      </c>
      <c r="F72" s="7">
        <v>49</v>
      </c>
      <c r="G72" s="7">
        <v>606.35</v>
      </c>
      <c r="H72" s="7">
        <v>3</v>
      </c>
      <c r="I72" s="7">
        <v>-34.909999999999997</v>
      </c>
      <c r="J72" s="7">
        <v>361.67</v>
      </c>
    </row>
    <row r="73" spans="1:10" ht="14.4">
      <c r="A73" s="6" t="s">
        <v>221</v>
      </c>
      <c r="B73" s="7" t="s">
        <v>222</v>
      </c>
      <c r="C73" s="7" t="e">
        <f ca="1">Image("https://images-na.ssl-images-amazon.com/images/I/51GCGmrmyrL.jpg;https://images-na.ssl-images-amazon.com/images/I/61DIzNMPGpL.jpg;https://images-na.ssl-images-amazon.com/images/I/51Rh7IvxPvL.jpg;https://images-na.ssl-images-amazon.com/images/I/714pzWV0t2L"&amp;".jpg;https://images-na.ssl-images-amazon.com/images/I/41t0qw1nB-L.jpg")</f>
        <v>#NAME?</v>
      </c>
      <c r="D73" s="7" t="s">
        <v>16</v>
      </c>
      <c r="E73" s="7" t="s">
        <v>223</v>
      </c>
      <c r="F73" s="7">
        <v>32</v>
      </c>
      <c r="G73" s="7">
        <v>659.3</v>
      </c>
      <c r="H73" s="7">
        <v>4</v>
      </c>
      <c r="I73" s="7">
        <v>-88</v>
      </c>
      <c r="J73" s="7">
        <v>345.21</v>
      </c>
    </row>
    <row r="74" spans="1:10" ht="14.4">
      <c r="A74" s="6" t="s">
        <v>224</v>
      </c>
      <c r="B74" s="7" t="s">
        <v>225</v>
      </c>
      <c r="C74" s="7" t="e">
        <f ca="1">Image("https://images-na.ssl-images-amazon.com/images/I/41efs2pFS2S.jpg;https://images-na.ssl-images-amazon.com/images/I/51U+Th7kKwS.jpg;https://images-na.ssl-images-amazon.com/images/I/51CMEnVrYcS.jpg;https://images-na.ssl-images-amazon.com/images/I/41qquD7NrcS"&amp;".jpg;https://images-na.ssl-images-amazon.com/images/I/41YjHQa3JgS.jpg;https://images-na.ssl-images-amazon.com/images/I/51cuTOz+a-S.jpg;https://images-na.ssl-images-amazon.com/images/I/61damUmO69S.jpg")</f>
        <v>#NAME?</v>
      </c>
      <c r="D74" s="7" t="s">
        <v>16</v>
      </c>
      <c r="E74" s="7" t="s">
        <v>226</v>
      </c>
      <c r="F74" s="7">
        <v>27</v>
      </c>
      <c r="G74" s="7">
        <v>786.2</v>
      </c>
      <c r="H74" s="7">
        <v>7</v>
      </c>
      <c r="I74" s="7">
        <v>-175.3</v>
      </c>
      <c r="J74" s="7">
        <v>343.56</v>
      </c>
    </row>
    <row r="75" spans="1:10" ht="14.4">
      <c r="A75" s="6" t="s">
        <v>227</v>
      </c>
      <c r="B75" s="7" t="s">
        <v>228</v>
      </c>
      <c r="C75" s="7" t="e">
        <f ca="1">Image("https://images-na.ssl-images-amazon.com/images/I/41OVDNB8ZxL.jpg;https://images-na.ssl-images-amazon.com/images/I/51sf89CzEJL.jpg;https://images-na.ssl-images-amazon.com/images/I/41q2DLqpG9L.jpg;https://images-na.ssl-images-amazon.com/images/I/51qeaNwt+9L"&amp;".jpg;https://images-na.ssl-images-amazon.com/images/I/41lPflk+OgL.jpg;https://images-na.ssl-images-amazon.com/images/I/61geB7jq8YL.jpg;https://images-na.ssl-images-amazon.com/images/I/51l-NtkusjL.jpg")</f>
        <v>#NAME?</v>
      </c>
      <c r="D75" s="7" t="s">
        <v>20</v>
      </c>
      <c r="E75" s="7" t="s">
        <v>229</v>
      </c>
      <c r="F75" s="7">
        <v>60</v>
      </c>
      <c r="G75" s="7">
        <v>626.04999999999995</v>
      </c>
      <c r="H75" s="7">
        <v>1</v>
      </c>
      <c r="I75" s="7">
        <v>-7.7</v>
      </c>
      <c r="J75" s="7">
        <v>339.66</v>
      </c>
    </row>
    <row r="76" spans="1:10" ht="14.4">
      <c r="A76" s="6" t="s">
        <v>230</v>
      </c>
      <c r="B76" s="7" t="s">
        <v>231</v>
      </c>
      <c r="C76" s="7" t="e">
        <f ca="1">Image("https://images-na.ssl-images-amazon.com/images/I/31bjoOvrAcL.jpg;https://images-na.ssl-images-amazon.com/images/I/31A2-5A8EUL.jpg;https://images-na.ssl-images-amazon.com/images/I/31+D8jF7lsL.jpg;https://images-na.ssl-images-amazon.com/images/I/41HDY4AUpOL"&amp;".jpg;https://images-na.ssl-images-amazon.com/images/I/41-6UpxVJdL.jpg;https://images-na.ssl-images-amazon.com/images/I/41-waeHluML.jpg")</f>
        <v>#NAME?</v>
      </c>
      <c r="D76" s="7" t="s">
        <v>20</v>
      </c>
      <c r="E76" s="7" t="s">
        <v>232</v>
      </c>
      <c r="F76" s="7">
        <v>123</v>
      </c>
      <c r="G76" s="7">
        <v>778.99</v>
      </c>
      <c r="H76" s="7">
        <v>4</v>
      </c>
      <c r="I76" s="7">
        <v>-23.22</v>
      </c>
      <c r="J76" s="7">
        <v>316.95</v>
      </c>
    </row>
    <row r="77" spans="1:10" ht="14.4">
      <c r="A77" s="6" t="s">
        <v>233</v>
      </c>
      <c r="B77" s="7" t="s">
        <v>234</v>
      </c>
      <c r="C77" s="7" t="e">
        <f ca="1">Image("https://images-na.ssl-images-amazon.com/images/I/51u1ayT8SaL.jpg;https://images-na.ssl-images-amazon.com/images/I/51HMUGKDkdL.jpg;https://images-na.ssl-images-amazon.com/images/I/51eIPLC5gsL.jpg;https://images-na.ssl-images-amazon.com/images/I/51RuNx+MZ9L"&amp;".jpg;https://images-na.ssl-images-amazon.com/images/I/51tf-Rz8sXL.jpg;https://images-na.ssl-images-amazon.com/images/I/51FLepuGEeL.jpg;https://images-na.ssl-images-amazon.com/images/I/51u1ayT8SaL.jpg")</f>
        <v>#NAME?</v>
      </c>
      <c r="D77" s="7" t="s">
        <v>20</v>
      </c>
      <c r="E77" s="7" t="s">
        <v>235</v>
      </c>
      <c r="F77" s="7">
        <v>118</v>
      </c>
      <c r="G77" s="7">
        <v>772.3</v>
      </c>
      <c r="H77" s="7">
        <v>7</v>
      </c>
      <c r="I77" s="7">
        <v>-42.7</v>
      </c>
      <c r="J77" s="7">
        <v>299.24</v>
      </c>
    </row>
    <row r="78" spans="1:10" ht="14.4">
      <c r="A78" s="6" t="s">
        <v>236</v>
      </c>
      <c r="B78" s="7" t="s">
        <v>237</v>
      </c>
      <c r="C78" s="7" t="e">
        <f ca="1">Image("https://images-na.ssl-images-amazon.com/images/I/51ORlClkXYL.jpg;https://images-na.ssl-images-amazon.com/images/I/51lPR-ccaKL.jpg")</f>
        <v>#NAME?</v>
      </c>
      <c r="D78" s="7" t="s">
        <v>20</v>
      </c>
      <c r="E78" s="7" t="s">
        <v>238</v>
      </c>
      <c r="F78" s="7">
        <v>43</v>
      </c>
      <c r="G78" s="7">
        <v>439.14</v>
      </c>
      <c r="H78" s="7">
        <v>5</v>
      </c>
      <c r="I78" s="7">
        <v>-54.21</v>
      </c>
      <c r="J78" s="7">
        <v>297.08</v>
      </c>
    </row>
    <row r="79" spans="1:10" ht="14.4">
      <c r="A79" s="6" t="s">
        <v>239</v>
      </c>
      <c r="B79" s="7" t="s">
        <v>240</v>
      </c>
      <c r="C79" s="7" t="e">
        <f ca="1">Image("https://images-na.ssl-images-amazon.com/images/I/41ze7mM6wVL.jpg;https://images-na.ssl-images-amazon.com/images/I/41EUsg9pKYL.jpg;https://images-na.ssl-images-amazon.com/images/I/51Yxjdxj-RL.jpg;https://images-na.ssl-images-amazon.com/images/I/41Q3VVdbWUL"&amp;".jpg;https://images-na.ssl-images-amazon.com/images/I/61xWBrdBz+L.jpg;https://images-na.ssl-images-amazon.com/images/I/61902wogetL.jpg;https://images-na.ssl-images-amazon.com/images/I/51MTEWFCc6L.jpg")</f>
        <v>#NAME?</v>
      </c>
      <c r="D79" s="7" t="s">
        <v>20</v>
      </c>
      <c r="E79" s="7" t="s">
        <v>241</v>
      </c>
      <c r="F79" s="7">
        <v>46</v>
      </c>
      <c r="G79" s="7">
        <v>496.55</v>
      </c>
      <c r="H79" s="7">
        <v>0</v>
      </c>
      <c r="I79" s="7">
        <v>0</v>
      </c>
      <c r="J79" s="7">
        <v>294.58</v>
      </c>
    </row>
    <row r="80" spans="1:10" ht="14.4">
      <c r="A80" s="6" t="s">
        <v>242</v>
      </c>
      <c r="B80" s="7" t="s">
        <v>243</v>
      </c>
      <c r="C80" s="7" t="e">
        <f ca="1">Image("https://images-na.ssl-images-amazon.com/images/I/41ELdMKS5ZL.jpg;https://images-na.ssl-images-amazon.com/images/I/41iJio+uRKL.jpg;https://images-na.ssl-images-amazon.com/images/I/51Yxjdxj-RL.jpg;https://images-na.ssl-images-amazon.com/images/I/41rt5Ih977L"&amp;".jpg;https://images-na.ssl-images-amazon.com/images/I/61x2vm6K0sL.jpg;https://images-na.ssl-images-amazon.com/images/I/51rGJm3wZrL.jpg;https://images-na.ssl-images-amazon.com/images/I/61qhFU4IiQL.jpg")</f>
        <v>#NAME?</v>
      </c>
      <c r="D80" s="7" t="s">
        <v>20</v>
      </c>
      <c r="E80" s="7" t="s">
        <v>244</v>
      </c>
      <c r="F80" s="7">
        <v>53</v>
      </c>
      <c r="G80" s="7">
        <v>570.79999999999995</v>
      </c>
      <c r="H80" s="7">
        <v>2</v>
      </c>
      <c r="I80" s="7">
        <v>-17.600000000000001</v>
      </c>
      <c r="J80" s="7">
        <v>292.66000000000003</v>
      </c>
    </row>
    <row r="81" spans="1:10" ht="14.4">
      <c r="A81" s="6" t="s">
        <v>245</v>
      </c>
      <c r="B81" s="7" t="s">
        <v>246</v>
      </c>
      <c r="C81" s="7" t="e">
        <f ca="1">Image("https://images-na.ssl-images-amazon.com/images/I/41QgQruwukL.jpg;https://images-na.ssl-images-amazon.com/images/I/41H71gYb39L.jpg;https://images-na.ssl-images-amazon.com/images/I/319CQVMgHCL.jpg")</f>
        <v>#NAME?</v>
      </c>
      <c r="D81" s="7" t="s">
        <v>16</v>
      </c>
      <c r="E81" s="7" t="s">
        <v>247</v>
      </c>
      <c r="F81" s="7">
        <v>25</v>
      </c>
      <c r="G81" s="7">
        <v>364.89</v>
      </c>
      <c r="H81" s="7">
        <v>0</v>
      </c>
      <c r="I81" s="7">
        <v>0</v>
      </c>
      <c r="J81" s="7">
        <v>283.17</v>
      </c>
    </row>
    <row r="82" spans="1:10" ht="14.4">
      <c r="A82" s="6" t="s">
        <v>248</v>
      </c>
      <c r="B82" s="7" t="s">
        <v>249</v>
      </c>
      <c r="C82" s="7" t="e">
        <f ca="1">Image("https://images-na.ssl-images-amazon.com/images/I/61a5R3XJaeL.jpg;https://images-na.ssl-images-amazon.com/images/I/618NzOn9zeL.jpg;https://images-na.ssl-images-amazon.com/images/I/51z-vv9B4OL.jpg;https://images-na.ssl-images-amazon.com/images/I/61jSs7MjlzL"&amp;".jpg;https://images-na.ssl-images-amazon.com/images/I/41t0qw1nB-L.jpg")</f>
        <v>#NAME?</v>
      </c>
      <c r="D82" s="7" t="s">
        <v>16</v>
      </c>
      <c r="E82" s="7" t="s">
        <v>250</v>
      </c>
      <c r="F82" s="7">
        <v>22</v>
      </c>
      <c r="G82" s="7">
        <v>540.20000000000005</v>
      </c>
      <c r="H82" s="7">
        <v>2</v>
      </c>
      <c r="I82" s="7">
        <v>-40.479999999999997</v>
      </c>
      <c r="J82" s="7">
        <v>278.95</v>
      </c>
    </row>
    <row r="83" spans="1:10" ht="14.4">
      <c r="A83" s="6" t="s">
        <v>251</v>
      </c>
      <c r="B83" s="7" t="s">
        <v>252</v>
      </c>
      <c r="C83" s="7" t="e">
        <f ca="1">Image("https://images-na.ssl-images-amazon.com/images/I/31l35kFeWnL.jpg;https://images-na.ssl-images-amazon.com/images/I/41tkBtuxUDL.jpg;https://images-na.ssl-images-amazon.com/images/I/313Z3lDGZ7L.jpg;https://images-na.ssl-images-amazon.com/images/I/41rt6GUMjQL"&amp;".jpg;https://images-na.ssl-images-amazon.com/images/I/411-s0+b8oL.jpg;https://images-na.ssl-images-amazon.com/images/I/614CcAvYs3L.jpg;https://images-na.ssl-images-amazon.com/images/I/51aWtMiZE6L.jpg")</f>
        <v>#NAME?</v>
      </c>
      <c r="D83" s="7" t="s">
        <v>20</v>
      </c>
      <c r="E83" s="7" t="s">
        <v>253</v>
      </c>
      <c r="F83" s="7">
        <v>59</v>
      </c>
      <c r="G83" s="7">
        <v>374.39</v>
      </c>
      <c r="H83" s="7">
        <v>3</v>
      </c>
      <c r="I83" s="7">
        <v>-15.75</v>
      </c>
      <c r="J83" s="7">
        <v>278.01</v>
      </c>
    </row>
    <row r="84" spans="1:10" ht="14.4">
      <c r="A84" s="6" t="s">
        <v>254</v>
      </c>
      <c r="B84" s="7" t="s">
        <v>255</v>
      </c>
      <c r="C84" s="7" t="e">
        <f ca="1">Image("https://images-na.ssl-images-amazon.com/images/I/51JrPfM0MJL.jpg;https://images-na.ssl-images-amazon.com/images/I/71ThQhKriML.jpg;https://images-na.ssl-images-amazon.com/images/I/614SUtaHiUL.jpg;https://images-na.ssl-images-amazon.com/images/I/519YIxITq6L"&amp;".jpg;https://images-na.ssl-images-amazon.com/images/I/61ER4-lZ5mL.jpg;https://images-na.ssl-images-amazon.com/images/I/41cS4Y02AbL.jpg")</f>
        <v>#NAME?</v>
      </c>
      <c r="D84" s="7" t="s">
        <v>16</v>
      </c>
      <c r="E84" s="7" t="s">
        <v>256</v>
      </c>
      <c r="F84" s="7">
        <v>77</v>
      </c>
      <c r="G84" s="7">
        <v>680.49</v>
      </c>
      <c r="H84" s="7">
        <v>5</v>
      </c>
      <c r="I84" s="7">
        <v>-39.35</v>
      </c>
      <c r="J84" s="7">
        <v>277.39999999999998</v>
      </c>
    </row>
    <row r="85" spans="1:10" ht="14.4">
      <c r="A85" s="6" t="s">
        <v>257</v>
      </c>
      <c r="B85" s="7" t="s">
        <v>258</v>
      </c>
      <c r="C85" s="7" t="e">
        <f ca="1">Image("https://images-na.ssl-images-amazon.com/images/I/414uy19KyuL.jpg;https://images-na.ssl-images-amazon.com/images/I/51VgTgrqkBL.jpg;https://images-na.ssl-images-amazon.com/images/I/217R6QtYohL.jpg")</f>
        <v>#NAME?</v>
      </c>
      <c r="D85" s="7" t="s">
        <v>16</v>
      </c>
      <c r="E85" s="7" t="s">
        <v>259</v>
      </c>
      <c r="F85" s="7">
        <v>106</v>
      </c>
      <c r="G85" s="7">
        <v>693.1</v>
      </c>
      <c r="H85" s="7">
        <v>11</v>
      </c>
      <c r="I85" s="7">
        <v>-62.33</v>
      </c>
      <c r="J85" s="7">
        <v>265.70999999999998</v>
      </c>
    </row>
    <row r="86" spans="1:10" ht="14.4">
      <c r="A86" s="6" t="s">
        <v>260</v>
      </c>
      <c r="B86" s="7" t="s">
        <v>261</v>
      </c>
      <c r="C86" s="7" t="e">
        <f ca="1">Image("https://images-na.ssl-images-amazon.com/images/I/51aax+LXamL.jpg;https://images-na.ssl-images-amazon.com/images/I/51K8G8sxrGL.jpg;https://images-na.ssl-images-amazon.com/images/I/51Yxjdxj-RL.jpg;https://images-na.ssl-images-amazon.com/images/I/415XsatkMhL"&amp;".jpg;https://images-na.ssl-images-amazon.com/images/I/61UNLoniAoL.jpg;https://images-na.ssl-images-amazon.com/images/I/61XZSXM935L.jpg;https://images-na.ssl-images-amazon.com/images/I/618r+q6zVUL.jpg")</f>
        <v>#NAME?</v>
      </c>
      <c r="D86" s="7" t="s">
        <v>20</v>
      </c>
      <c r="E86" s="7" t="s">
        <v>262</v>
      </c>
      <c r="F86" s="7">
        <v>41</v>
      </c>
      <c r="G86" s="7">
        <v>477.6</v>
      </c>
      <c r="H86" s="7">
        <v>1</v>
      </c>
      <c r="I86" s="7">
        <v>-12.81</v>
      </c>
      <c r="J86" s="7">
        <v>265.33</v>
      </c>
    </row>
    <row r="87" spans="1:10" ht="14.4">
      <c r="A87" s="6" t="s">
        <v>263</v>
      </c>
      <c r="B87" s="7" t="s">
        <v>264</v>
      </c>
      <c r="C87" s="7" t="e">
        <f ca="1">Image("https://images-na.ssl-images-amazon.com/images/I/41GBW9I65pL.jpg;https://images-na.ssl-images-amazon.com/images/I/51lpvFoncpL.jpg;https://images-na.ssl-images-amazon.com/images/I/41wXdYkHizL.jpg;https://images-na.ssl-images-amazon.com/images/I/41HGjAQiKpL"&amp;".jpg;https://images-na.ssl-images-amazon.com/images/I/31kx3w+Gf1L.jpg;https://images-na.ssl-images-amazon.com/images/I/516ZXiYv7NL.jpg")</f>
        <v>#NAME?</v>
      </c>
      <c r="D87" s="7" t="s">
        <v>20</v>
      </c>
      <c r="E87" s="7" t="s">
        <v>141</v>
      </c>
      <c r="F87" s="7">
        <v>15</v>
      </c>
      <c r="G87" s="7">
        <v>423.95</v>
      </c>
      <c r="H87" s="7">
        <v>0</v>
      </c>
      <c r="I87" s="7">
        <v>0</v>
      </c>
      <c r="J87" s="7">
        <v>261.89999999999998</v>
      </c>
    </row>
    <row r="88" spans="1:10" ht="14.4">
      <c r="A88" s="6" t="s">
        <v>265</v>
      </c>
      <c r="B88" s="7" t="s">
        <v>266</v>
      </c>
      <c r="C88" s="7" t="e">
        <f ca="1">Image("https://images-na.ssl-images-amazon.com/images/I/51ZWxg4RY0L.jpg;https://images-na.ssl-images-amazon.com/images/I/61NzgyhJIyL.jpg;https://images-na.ssl-images-amazon.com/images/I/51BosQbvjML.jpg;https://images-na.ssl-images-amazon.com/images/I/51oHl-hkKIL"&amp;".jpg;https://images-na.ssl-images-amazon.com/images/I/41SRZzSBCPL.jpg")</f>
        <v>#NAME?</v>
      </c>
      <c r="D88" s="7" t="s">
        <v>16</v>
      </c>
      <c r="E88" s="7" t="s">
        <v>267</v>
      </c>
      <c r="F88" s="7">
        <v>101</v>
      </c>
      <c r="G88" s="7">
        <v>700.92</v>
      </c>
      <c r="H88" s="7">
        <v>4</v>
      </c>
      <c r="I88" s="7">
        <v>-24.62</v>
      </c>
      <c r="J88" s="7">
        <v>259.02999999999997</v>
      </c>
    </row>
    <row r="89" spans="1:10" ht="14.4">
      <c r="A89" s="6" t="s">
        <v>268</v>
      </c>
      <c r="B89" s="7" t="s">
        <v>269</v>
      </c>
      <c r="C89" s="7" t="e">
        <f ca="1">Image("https://images-na.ssl-images-amazon.com/images/I/513VTGGveqL.jpg;https://images-na.ssl-images-amazon.com/images/I/41-YXjLDFeL.jpg;https://images-na.ssl-images-amazon.com/images/I/31ngxov2kvL.jpg;https://images-na.ssl-images-amazon.com/images/I/41ECErp3h9L"&amp;".jpg;https://images-na.ssl-images-amazon.com/images/I/51U8ySi6pWL.jpg;https://images-na.ssl-images-amazon.com/images/I/610c29gpwUL.jpg;https://images-na.ssl-images-amazon.com/images/I/61nFhVKyMeL.jpg")</f>
        <v>#NAME?</v>
      </c>
      <c r="D89" s="7" t="s">
        <v>20</v>
      </c>
      <c r="E89" s="7" t="s">
        <v>270</v>
      </c>
      <c r="F89" s="7">
        <v>85</v>
      </c>
      <c r="G89" s="7">
        <v>1178.78</v>
      </c>
      <c r="H89" s="7">
        <v>12</v>
      </c>
      <c r="I89" s="7">
        <v>-143.22</v>
      </c>
      <c r="J89" s="7">
        <v>256.33</v>
      </c>
    </row>
    <row r="90" spans="1:10" ht="14.4">
      <c r="A90" s="6" t="s">
        <v>271</v>
      </c>
      <c r="B90" s="7" t="s">
        <v>272</v>
      </c>
      <c r="C90" s="7" t="e">
        <f ca="1">Image("https://images-na.ssl-images-amazon.com/images/I/41ia68IkwAL.jpg;https://images-na.ssl-images-amazon.com/images/I/41H71gYb39L.jpg;https://images-na.ssl-images-amazon.com/images/I/31wllfkDPGL.jpg")</f>
        <v>#NAME?</v>
      </c>
      <c r="D90" s="7" t="s">
        <v>16</v>
      </c>
      <c r="E90" s="7" t="s">
        <v>273</v>
      </c>
      <c r="F90" s="7">
        <v>104</v>
      </c>
      <c r="G90" s="7">
        <v>907.1</v>
      </c>
      <c r="H90" s="7">
        <v>14</v>
      </c>
      <c r="I90" s="7">
        <v>-103.47</v>
      </c>
      <c r="J90" s="7">
        <v>254.19</v>
      </c>
    </row>
    <row r="91" spans="1:10" ht="14.4">
      <c r="A91" s="6" t="s">
        <v>274</v>
      </c>
      <c r="B91" s="7" t="s">
        <v>275</v>
      </c>
      <c r="C91" s="7" t="e">
        <f ca="1">Image("https://images-na.ssl-images-amazon.com/images/I/51Oo4BAms1L.jpg;https://images-na.ssl-images-amazon.com/images/I/51qUjDHX7bL.jpg;https://images-na.ssl-images-amazon.com/images/I/41DgkjwPr-L.jpg;https://images-na.ssl-images-amazon.com/images/I/41wBFfQgLGL"&amp;".jpg;https://images-na.ssl-images-amazon.com/images/I/416Wmo-izaL.jpg;https://images-na.ssl-images-amazon.com/images/I/511Ta-1a0EL.jpg")</f>
        <v>#NAME?</v>
      </c>
      <c r="D91" s="7" t="s">
        <v>16</v>
      </c>
      <c r="E91" s="7" t="s">
        <v>276</v>
      </c>
      <c r="F91" s="7">
        <v>14</v>
      </c>
      <c r="G91" s="7">
        <v>437.43</v>
      </c>
      <c r="H91" s="7">
        <v>1</v>
      </c>
      <c r="I91" s="7">
        <v>-22</v>
      </c>
      <c r="J91" s="7">
        <v>251.8</v>
      </c>
    </row>
    <row r="92" spans="1:10" ht="14.4">
      <c r="A92" s="6" t="s">
        <v>277</v>
      </c>
      <c r="B92" s="7" t="s">
        <v>278</v>
      </c>
      <c r="C92" s="7" t="e">
        <f ca="1">Image("https://images-na.ssl-images-amazon.com/images/I/41aKdLZnWxL.jpg;https://images-na.ssl-images-amazon.com/images/I/41b6HMl130L.jpg;https://images-na.ssl-images-amazon.com/images/I/41KW8hFrpHS.jpg;https://images-na.ssl-images-amazon.com/images/I/41r4qdBIS0L"&amp;".jpg;https://images-na.ssl-images-amazon.com/images/I/41zpqNN3hAL.jpg;https://images-na.ssl-images-amazon.com/images/I/51AOa6oTe4L.jpg;https://images-na.ssl-images-amazon.com/images/I/41rYE9Xu+ML.jpg")</f>
        <v>#NAME?</v>
      </c>
      <c r="D92" s="7" t="s">
        <v>20</v>
      </c>
      <c r="E92" s="7" t="s">
        <v>279</v>
      </c>
      <c r="F92" s="7">
        <v>82</v>
      </c>
      <c r="G92" s="7">
        <v>1019.42</v>
      </c>
      <c r="H92" s="7">
        <v>7</v>
      </c>
      <c r="I92" s="7">
        <v>-75.2</v>
      </c>
      <c r="J92" s="7">
        <v>241.17</v>
      </c>
    </row>
    <row r="93" spans="1:10" ht="14.4">
      <c r="A93" s="6" t="s">
        <v>280</v>
      </c>
      <c r="B93" s="7" t="s">
        <v>281</v>
      </c>
      <c r="C93" s="7" t="e">
        <f ca="1">Image("https://images-na.ssl-images-amazon.com/images/I/51bcd2Fo6LL.jpg;https://images-na.ssl-images-amazon.com/images/I/6118bDsS7lL.jpg;https://images-na.ssl-images-amazon.com/images/I/51O27y+98GL.jpg;https://images-na.ssl-images-amazon.com/images/I/51jlidsealL"&amp;".jpg;https://images-na.ssl-images-amazon.com/images/I/51OMPy+5KqL.jpg;https://images-na.ssl-images-amazon.com/images/I/51VdYNwm4rL.jpg;https://images-na.ssl-images-amazon.com/images/I/51Dc9xjitqL.jpg;https://images-na.ssl-images-amazon.com/images/I/51TUIH"&amp;"3eKwL.jpg;https://images-na.ssl-images-amazon.com/images/I/51mRitk-o7L.jpg")</f>
        <v>#NAME?</v>
      </c>
      <c r="D93" s="7" t="s">
        <v>16</v>
      </c>
      <c r="E93" s="7" t="s">
        <v>282</v>
      </c>
      <c r="F93" s="7">
        <v>12</v>
      </c>
      <c r="G93" s="7">
        <v>363.9</v>
      </c>
      <c r="H93" s="7">
        <v>1</v>
      </c>
      <c r="I93" s="7">
        <v>-31.67</v>
      </c>
      <c r="J93" s="7">
        <v>237.62</v>
      </c>
    </row>
    <row r="94" spans="1:10" ht="14.4">
      <c r="A94" s="6" t="s">
        <v>283</v>
      </c>
      <c r="B94" s="7" t="s">
        <v>284</v>
      </c>
      <c r="C94" s="7" t="e">
        <f ca="1">Image("https://images-na.ssl-images-amazon.com/images/I/41z3+yL45NL.jpg;https://images-na.ssl-images-amazon.com/images/I/41H0-+YIxrL.jpg;https://images-na.ssl-images-amazon.com/images/I/41d08-mon-L.jpg;https://images-na.ssl-images-amazon.com/images/I/41cFQgfUAgL"&amp;".jpg;https://images-na.ssl-images-amazon.com/images/I/417cKmWwskL.jpg;https://images-na.ssl-images-amazon.com/images/I/41LEkHVe6WL.jpg;https://images-na.ssl-images-amazon.com/images/I/41yo6IdWrjL.jpg")</f>
        <v>#NAME?</v>
      </c>
      <c r="D94" s="7" t="s">
        <v>16</v>
      </c>
      <c r="E94" s="7" t="s">
        <v>285</v>
      </c>
      <c r="F94" s="7">
        <v>32</v>
      </c>
      <c r="G94" s="7">
        <v>512</v>
      </c>
      <c r="H94" s="7">
        <v>0</v>
      </c>
      <c r="I94" s="7">
        <v>0</v>
      </c>
      <c r="J94" s="7">
        <v>237.19</v>
      </c>
    </row>
    <row r="95" spans="1:10" ht="14.4">
      <c r="A95" s="6" t="s">
        <v>286</v>
      </c>
      <c r="B95" s="7" t="s">
        <v>287</v>
      </c>
      <c r="C95" s="7" t="e">
        <f ca="1">Image("https://images-na.ssl-images-amazon.com/images/I/41wmGLrrYxL.jpg;https://images-na.ssl-images-amazon.com/images/I/41eeXLDwWJL.jpg;https://images-na.ssl-images-amazon.com/images/I/51Jlw0bmluL.jpg")</f>
        <v>#NAME?</v>
      </c>
      <c r="D95" s="7" t="s">
        <v>16</v>
      </c>
      <c r="E95" s="7" t="s">
        <v>288</v>
      </c>
      <c r="F95" s="7">
        <v>31</v>
      </c>
      <c r="G95" s="7">
        <v>614.69000000000005</v>
      </c>
      <c r="H95" s="7">
        <v>6</v>
      </c>
      <c r="I95" s="7">
        <v>-111.56</v>
      </c>
      <c r="J95" s="7">
        <v>236.37</v>
      </c>
    </row>
    <row r="96" spans="1:10" ht="14.4">
      <c r="A96" s="6" t="s">
        <v>289</v>
      </c>
      <c r="B96" s="7" t="s">
        <v>290</v>
      </c>
      <c r="C96" s="7" t="e">
        <f ca="1">Image("https://images-na.ssl-images-amazon.com/images/I/41iZLaruS5L.jpg;https://images-na.ssl-images-amazon.com/images/I/41x55bzF7XL.jpg;https://images-na.ssl-images-amazon.com/images/I/416-9zqgTML.jpg;https://images-na.ssl-images-amazon.com/images/I/51ypuYlthYL"&amp;".jpg;https://images-na.ssl-images-amazon.com/images/I/51nZndGmkBL.jpg")</f>
        <v>#NAME?</v>
      </c>
      <c r="D96" s="7" t="s">
        <v>16</v>
      </c>
      <c r="E96" s="7" t="s">
        <v>291</v>
      </c>
      <c r="F96" s="7">
        <v>55</v>
      </c>
      <c r="G96" s="7">
        <v>497.19</v>
      </c>
      <c r="H96" s="7">
        <v>1</v>
      </c>
      <c r="I96" s="7">
        <v>-6.82</v>
      </c>
      <c r="J96" s="7">
        <v>232.48</v>
      </c>
    </row>
    <row r="97" spans="1:10" ht="14.4">
      <c r="A97" s="6" t="s">
        <v>292</v>
      </c>
      <c r="B97" s="7" t="s">
        <v>293</v>
      </c>
      <c r="C97" s="7" t="e">
        <f ca="1">Image("https://images-na.ssl-images-amazon.com/images/I/31Ka0DrMSgL.jpg;https://images-na.ssl-images-amazon.com/images/I/31t4bUYcRPL.jpg;https://images-na.ssl-images-amazon.com/images/I/312vyQoLUXL.jpg;https://images-na.ssl-images-amazon.com/images/I/31FMUkazwJL"&amp;".jpg;https://images-na.ssl-images-amazon.com/images/I/516ZXiYv7NL.jpg;https://images-na.ssl-images-amazon.com/images/I/31Kps+HAoQL.jpg")</f>
        <v>#NAME?</v>
      </c>
      <c r="D97" s="7" t="s">
        <v>20</v>
      </c>
      <c r="E97" s="7" t="s">
        <v>141</v>
      </c>
      <c r="F97" s="7">
        <v>11</v>
      </c>
      <c r="G97" s="7">
        <v>316.14</v>
      </c>
      <c r="H97" s="7">
        <v>1</v>
      </c>
      <c r="I97" s="7">
        <v>-27.27</v>
      </c>
      <c r="J97" s="7">
        <v>223.34</v>
      </c>
    </row>
    <row r="98" spans="1:10" ht="14.4">
      <c r="A98" s="6" t="s">
        <v>294</v>
      </c>
      <c r="B98" s="7" t="s">
        <v>295</v>
      </c>
      <c r="C98" s="7" t="e">
        <f ca="1">Image("https://images-na.ssl-images-amazon.com/images/I/31JBeLoo0SL.jpg;https://images-na.ssl-images-amazon.com/images/I/21i78FuHE2L.jpg;https://images-na.ssl-images-amazon.com/images/I/41LDBVedazL.jpg;https://images-na.ssl-images-amazon.com/images/I/21PH100fTaL"&amp;".jpg;https://images-na.ssl-images-amazon.com/images/I/516ZXiYv7NL.jpg")</f>
        <v>#NAME?</v>
      </c>
      <c r="D98" s="7" t="s">
        <v>20</v>
      </c>
      <c r="E98" s="7" t="s">
        <v>296</v>
      </c>
      <c r="F98" s="7">
        <v>8</v>
      </c>
      <c r="G98" s="7">
        <v>272.61</v>
      </c>
      <c r="H98" s="7">
        <v>0</v>
      </c>
      <c r="I98" s="7">
        <v>0</v>
      </c>
      <c r="J98" s="7">
        <v>219.95</v>
      </c>
    </row>
    <row r="99" spans="1:10" ht="14.4">
      <c r="A99" s="6" t="s">
        <v>297</v>
      </c>
      <c r="B99" s="7" t="s">
        <v>298</v>
      </c>
      <c r="C99" s="7" t="e">
        <f ca="1">Image("https://images-na.ssl-images-amazon.com/images/I/41giMMsjOOL.jpg;https://images-na.ssl-images-amazon.com/images/I/41zAWuf85IL.jpg;https://images-na.ssl-images-amazon.com/images/I/41EDVNJjN+L.jpg")</f>
        <v>#NAME?</v>
      </c>
      <c r="D99" s="7" t="s">
        <v>299</v>
      </c>
      <c r="E99" s="7" t="s">
        <v>300</v>
      </c>
      <c r="F99" s="7">
        <v>17</v>
      </c>
      <c r="G99" s="7">
        <v>255.54</v>
      </c>
      <c r="H99" s="7">
        <v>0</v>
      </c>
      <c r="I99" s="7">
        <v>0</v>
      </c>
      <c r="J99" s="7">
        <v>217.19</v>
      </c>
    </row>
    <row r="100" spans="1:10" ht="14.4">
      <c r="A100" s="6" t="s">
        <v>301</v>
      </c>
      <c r="B100" s="7" t="s">
        <v>302</v>
      </c>
      <c r="C100" s="7" t="e">
        <f ca="1">Image("https://images-na.ssl-images-amazon.com/images/I/51nf1p3N2cL.jpg;https://images-na.ssl-images-amazon.com/images/I/61-Li3UXBvL.jpg;https://images-na.ssl-images-amazon.com/images/I/61AzMecisYL.jpg;https://images-na.ssl-images-amazon.com/images/I/617WX-FE6PL"&amp;".jpg;https://images-na.ssl-images-amazon.com/images/I/61ER4-lZ5mL.jpg;https://images-na.ssl-images-amazon.com/images/I/41cS4Y02AbL.jpg")</f>
        <v>#NAME?</v>
      </c>
      <c r="D100" s="7" t="s">
        <v>16</v>
      </c>
      <c r="E100" s="7" t="s">
        <v>303</v>
      </c>
      <c r="F100" s="7">
        <v>79</v>
      </c>
      <c r="G100" s="7">
        <v>890.48</v>
      </c>
      <c r="H100" s="7">
        <v>6</v>
      </c>
      <c r="I100" s="7">
        <v>-59.13</v>
      </c>
      <c r="J100" s="7">
        <v>214.97</v>
      </c>
    </row>
    <row r="101" spans="1:10" ht="14.4">
      <c r="A101" s="6" t="s">
        <v>304</v>
      </c>
      <c r="B101" s="7" t="s">
        <v>305</v>
      </c>
      <c r="C101" s="7" t="e">
        <f ca="1">Image("https://images-na.ssl-images-amazon.com/images/I/41wGO2BxR9S.jpg;https://images-na.ssl-images-amazon.com/images/I/41PY4xQtSJS.jpg;https://images-na.ssl-images-amazon.com/images/I/51Yxjdxj-RL.jpg;https://images-na.ssl-images-amazon.com/images/I/61wIGWyfkKL"&amp;".jpg;https://images-na.ssl-images-amazon.com/images/I/61I2EpK6VHL.jpg")</f>
        <v>#NAME?</v>
      </c>
      <c r="D101" s="7" t="s">
        <v>20</v>
      </c>
      <c r="E101" s="7" t="s">
        <v>306</v>
      </c>
      <c r="F101" s="7">
        <v>26</v>
      </c>
      <c r="G101" s="7">
        <v>323.18</v>
      </c>
      <c r="H101" s="7">
        <v>1</v>
      </c>
      <c r="I101" s="7">
        <v>-11.05</v>
      </c>
      <c r="J101" s="7">
        <v>198.2</v>
      </c>
    </row>
    <row r="102" spans="1:10" ht="14.4">
      <c r="A102" s="6" t="s">
        <v>307</v>
      </c>
      <c r="B102" s="7" t="s">
        <v>308</v>
      </c>
      <c r="C102" s="7" t="e">
        <f ca="1">Image("https://images-na.ssl-images-amazon.com/images/I/41LPVSsdqIL.jpg;https://images-na.ssl-images-amazon.com/images/I/5103XKI2mhL.jpg;https://images-na.ssl-images-amazon.com/images/I/41q2DLqpG9L.jpg;https://images-na.ssl-images-amazon.com/images/I/51qeaNwt+9L"&amp;".jpg;https://images-na.ssl-images-amazon.com/images/I/41kfDKcNb+L.jpg;https://images-na.ssl-images-amazon.com/images/I/61aaPBB3vrL.jpg;https://images-na.ssl-images-amazon.com/images/I/5133oUOjsKL.jpg")</f>
        <v>#NAME?</v>
      </c>
      <c r="D102" s="7" t="s">
        <v>20</v>
      </c>
      <c r="E102" s="7" t="s">
        <v>309</v>
      </c>
      <c r="F102" s="7">
        <v>30</v>
      </c>
      <c r="G102" s="7">
        <v>324.64999999999998</v>
      </c>
      <c r="H102" s="7">
        <v>0</v>
      </c>
      <c r="I102" s="7">
        <v>0</v>
      </c>
      <c r="J102" s="7">
        <v>195.19</v>
      </c>
    </row>
    <row r="103" spans="1:10" ht="14.4">
      <c r="A103" s="6" t="s">
        <v>310</v>
      </c>
      <c r="B103" s="7" t="s">
        <v>311</v>
      </c>
      <c r="C103" s="7" t="e">
        <f ca="1">Image("https://images-na.ssl-images-amazon.com/images/I/41EUSaD5ClS.jpg;https://images-na.ssl-images-amazon.com/images/I/41HOiRHbEuS.jpg;https://images-na.ssl-images-amazon.com/images/I/41tzeQpwtBS.jpg;https://images-na.ssl-images-amazon.com/images/I/412HTsGnTpS"&amp;".jpg;https://images-na.ssl-images-amazon.com/images/I/51dIs+7iP6S.jpg;https://images-na.ssl-images-amazon.com/images/I/4156M7lZ6bS.jpg")</f>
        <v>#NAME?</v>
      </c>
      <c r="D103" s="7" t="s">
        <v>20</v>
      </c>
      <c r="E103" s="7" t="s">
        <v>312</v>
      </c>
      <c r="F103" s="7">
        <v>77</v>
      </c>
      <c r="G103" s="7">
        <v>833.64</v>
      </c>
      <c r="H103" s="7">
        <v>5</v>
      </c>
      <c r="I103" s="7">
        <v>-45.07</v>
      </c>
      <c r="J103" s="7">
        <v>194.22</v>
      </c>
    </row>
    <row r="104" spans="1:10" ht="14.4">
      <c r="A104" s="6" t="s">
        <v>313</v>
      </c>
      <c r="B104" s="7" t="s">
        <v>314</v>
      </c>
      <c r="C104" s="7" t="e">
        <f ca="1">Image("https://images-na.ssl-images-amazon.com/images/I/513M84LXxaS.jpg;https://images-na.ssl-images-amazon.com/images/I/51kwWidyANS.jpg;https://images-na.ssl-images-amazon.com/images/I/31olNVRQ24L.jpg;https://images-na.ssl-images-amazon.com/images/I/51eYh8AfwYL"&amp;".jpg;https://images-na.ssl-images-amazon.com/images/I/517lA+vxpTL.jpg;https://images-na.ssl-images-amazon.com/images/I/51ou1kBJ3iL.jpg")</f>
        <v>#NAME?</v>
      </c>
      <c r="D104" s="7" t="s">
        <v>20</v>
      </c>
      <c r="E104" s="7" t="s">
        <v>315</v>
      </c>
      <c r="F104" s="7">
        <v>19</v>
      </c>
      <c r="G104" s="7">
        <v>285.81</v>
      </c>
      <c r="H104" s="7">
        <v>3</v>
      </c>
      <c r="I104" s="7">
        <v>-38.61</v>
      </c>
      <c r="J104" s="7">
        <v>190</v>
      </c>
    </row>
    <row r="105" spans="1:10" ht="14.4">
      <c r="A105" s="6" t="s">
        <v>316</v>
      </c>
      <c r="B105" s="7" t="s">
        <v>317</v>
      </c>
      <c r="C105" s="7" t="e">
        <f ca="1">Image("https://images-na.ssl-images-amazon.com/images/I/51WmIjJY0QL.jpg;https://images-na.ssl-images-amazon.com/images/I/51yqgALKETL.jpg;https://images-na.ssl-images-amazon.com/images/I/51STaAyzahL.jpg;https://images-na.ssl-images-amazon.com/images/I/5136O+AQ01L"&amp;".jpg;https://images-na.ssl-images-amazon.com/images/I/51Xfjgx+ZwL.jpg;https://images-na.ssl-images-amazon.com/images/I/51MjFbI-6WL.jpg;https://images-na.ssl-images-amazon.com/images/I/51bC6gkAYpL.jpg;https://images-na.ssl-images-amazon.com/images/I/51wBOX"&amp;"dYjzL.jpg")</f>
        <v>#NAME?</v>
      </c>
      <c r="D105" s="7" t="s">
        <v>16</v>
      </c>
      <c r="E105" s="7" t="s">
        <v>318</v>
      </c>
      <c r="F105" s="7">
        <v>23</v>
      </c>
      <c r="G105" s="7">
        <v>350.8</v>
      </c>
      <c r="H105" s="7">
        <v>1</v>
      </c>
      <c r="I105" s="7">
        <v>-13.9</v>
      </c>
      <c r="J105" s="7">
        <v>186.93</v>
      </c>
    </row>
    <row r="106" spans="1:10" ht="14.4">
      <c r="A106" s="6" t="s">
        <v>319</v>
      </c>
      <c r="B106" s="7" t="s">
        <v>320</v>
      </c>
      <c r="C106" s="7" t="e">
        <f ca="1">Image("https://images-na.ssl-images-amazon.com/images/I/41Q645xYH3L.jpg;https://images-na.ssl-images-amazon.com/images/I/41bafk2jsNL.jpg;https://images-na.ssl-images-amazon.com/images/I/41C1dWWYYOL.jpg;https://images-na.ssl-images-amazon.com/images/I/41DTI-ExAPL"&amp;".jpg;https://images-na.ssl-images-amazon.com/images/I/41107xhGFAL.jpg;https://images-na.ssl-images-amazon.com/images/I/41zu8GI7GrL.jpg")</f>
        <v>#NAME?</v>
      </c>
      <c r="D106" s="7" t="s">
        <v>16</v>
      </c>
      <c r="E106" s="7" t="s">
        <v>321</v>
      </c>
      <c r="F106" s="7">
        <v>56</v>
      </c>
      <c r="G106" s="7">
        <v>1002.17</v>
      </c>
      <c r="H106" s="7">
        <v>2</v>
      </c>
      <c r="I106" s="7">
        <v>-28.34</v>
      </c>
      <c r="J106" s="7">
        <v>185.38</v>
      </c>
    </row>
    <row r="107" spans="1:10" ht="14.4">
      <c r="A107" s="6" t="s">
        <v>322</v>
      </c>
      <c r="B107" s="7" t="s">
        <v>323</v>
      </c>
      <c r="C107" s="7" t="e">
        <f ca="1">Image("https://images-na.ssl-images-amazon.com/images/I/41UjIhu3v4L.jpg;https://images-na.ssl-images-amazon.com/images/I/41FNmvhossL.jpg;https://images-na.ssl-images-amazon.com/images/I/51Yxjdxj-RL.jpg;https://images-na.ssl-images-amazon.com/images/I/41vyzjACAfL"&amp;".jpg;https://images-na.ssl-images-amazon.com/images/I/61hClIxxcLL.jpg;https://images-na.ssl-images-amazon.com/images/I/61Op1bcgPrL.jpg;https://images-na.ssl-images-amazon.com/images/I/519XXkzez1L.jpg")</f>
        <v>#NAME?</v>
      </c>
      <c r="D107" s="7" t="s">
        <v>20</v>
      </c>
      <c r="E107" s="7" t="s">
        <v>324</v>
      </c>
      <c r="F107" s="7">
        <v>27</v>
      </c>
      <c r="G107" s="7">
        <v>309.89</v>
      </c>
      <c r="H107" s="7">
        <v>0</v>
      </c>
      <c r="I107" s="7">
        <v>0</v>
      </c>
      <c r="J107" s="7">
        <v>184.4</v>
      </c>
    </row>
    <row r="108" spans="1:10" ht="14.4">
      <c r="A108" s="6" t="s">
        <v>325</v>
      </c>
      <c r="B108" s="7" t="s">
        <v>326</v>
      </c>
      <c r="C108" s="7" t="e">
        <f ca="1">Image("https://images-na.ssl-images-amazon.com/images/I/41dzhot5iQL.jpg;https://images-na.ssl-images-amazon.com/images/I/41Xp03GHduL.jpg")</f>
        <v>#NAME?</v>
      </c>
      <c r="D108" s="7" t="s">
        <v>20</v>
      </c>
      <c r="E108" s="7" t="s">
        <v>327</v>
      </c>
      <c r="F108" s="7">
        <v>28</v>
      </c>
      <c r="G108" s="7">
        <v>334.86</v>
      </c>
      <c r="H108" s="7">
        <v>2</v>
      </c>
      <c r="I108" s="7">
        <v>-19.559999999999999</v>
      </c>
      <c r="J108" s="7">
        <v>179.86</v>
      </c>
    </row>
    <row r="109" spans="1:10" ht="14.4">
      <c r="A109" s="6" t="s">
        <v>328</v>
      </c>
      <c r="B109" s="7" t="s">
        <v>329</v>
      </c>
      <c r="C109" s="7" t="e">
        <f ca="1">Image("https://images-na.ssl-images-amazon.com/images/I/31C0SlG4ZWL.jpg;https://images-na.ssl-images-amazon.com/images/I/31W0fZg-VfL.jpg;https://images-na.ssl-images-amazon.com/images/I/31KkKUK5fJL.jpg;https://images-na.ssl-images-amazon.com/images/I/51wGbT7sizL"&amp;".jpg;https://images-na.ssl-images-amazon.com/images/I/51EXDi+ejbL.jpg;https://images-na.ssl-images-amazon.com/images/I/51uumpRYccL.jpg")</f>
        <v>#NAME?</v>
      </c>
      <c r="D109" s="7" t="s">
        <v>20</v>
      </c>
      <c r="E109" s="7" t="s">
        <v>330</v>
      </c>
      <c r="F109" s="7">
        <v>27</v>
      </c>
      <c r="G109" s="7">
        <v>355.47</v>
      </c>
      <c r="H109" s="7">
        <v>3</v>
      </c>
      <c r="I109" s="7">
        <v>-32.06</v>
      </c>
      <c r="J109" s="7">
        <v>177.79</v>
      </c>
    </row>
    <row r="110" spans="1:10" ht="14.4">
      <c r="A110" s="6" t="s">
        <v>331</v>
      </c>
      <c r="B110" s="7" t="s">
        <v>332</v>
      </c>
      <c r="C110" s="7" t="e">
        <f ca="1">Image("https://images-na.ssl-images-amazon.com/images/I/51-YS2scMxL.jpg;https://images-na.ssl-images-amazon.com/images/I/51tmrgn3bqL.jpg;https://images-na.ssl-images-amazon.com/images/I/41X8sC2INXL.jpg;https://images-na.ssl-images-amazon.com/images/I/51EC51kvDOL"&amp;".jpg;https://images-na.ssl-images-amazon.com/images/I/51HCI94jOKL.jpg;https://images-na.ssl-images-amazon.com/images/I/51vIiDveGfL.jpg")</f>
        <v>#NAME?</v>
      </c>
      <c r="D110" s="7" t="s">
        <v>20</v>
      </c>
      <c r="E110" s="7" t="s">
        <v>333</v>
      </c>
      <c r="F110" s="7">
        <v>29</v>
      </c>
      <c r="G110" s="7">
        <v>342.53</v>
      </c>
      <c r="H110" s="7">
        <v>2</v>
      </c>
      <c r="I110" s="7">
        <v>-20.64</v>
      </c>
      <c r="J110" s="7">
        <v>173.52</v>
      </c>
    </row>
    <row r="111" spans="1:10" ht="14.4">
      <c r="A111" s="6" t="s">
        <v>334</v>
      </c>
      <c r="B111" s="7" t="s">
        <v>335</v>
      </c>
      <c r="C111" s="7" t="e">
        <f ca="1">Image("https://images-na.ssl-images-amazon.com/images/I/41w4nldMEXL.jpg;https://images-na.ssl-images-amazon.com/images/I/41wykx3OuuL.jpg;https://images-na.ssl-images-amazon.com/images/I/41QdvP4fhPL.jpg;https://images-na.ssl-images-amazon.com/images/I/515-99gEUKL"&amp;".jpg;https://images-na.ssl-images-amazon.com/images/I/51-Yk3L-V7L.jpg;https://images-na.ssl-images-amazon.com/images/I/51Fm8nrGEeL.jpg;https://images-na.ssl-images-amazon.com/images/I/51Yxjdxj-RL.jpg")</f>
        <v>#NAME?</v>
      </c>
      <c r="D111" s="7" t="s">
        <v>20</v>
      </c>
      <c r="E111" s="7" t="s">
        <v>336</v>
      </c>
      <c r="F111" s="7">
        <v>30</v>
      </c>
      <c r="G111" s="7">
        <v>346.3</v>
      </c>
      <c r="H111" s="7">
        <v>0</v>
      </c>
      <c r="I111" s="7">
        <v>0</v>
      </c>
      <c r="J111" s="7">
        <v>173.32</v>
      </c>
    </row>
    <row r="112" spans="1:10" ht="14.4">
      <c r="A112" s="6" t="s">
        <v>337</v>
      </c>
      <c r="B112" s="7" t="s">
        <v>338</v>
      </c>
      <c r="C112" s="7" t="e">
        <f ca="1">Image("https://images-na.ssl-images-amazon.com/images/I/41ZmkL51wSL.jpg;https://images-na.ssl-images-amazon.com/images/I/418X7RSxP6L.jpg;https://images-na.ssl-images-amazon.com/images/I/31DQPBMF9EL.jpg")</f>
        <v>#NAME?</v>
      </c>
      <c r="D112" s="7" t="s">
        <v>16</v>
      </c>
      <c r="E112" s="7" t="s">
        <v>339</v>
      </c>
      <c r="F112" s="7">
        <v>65</v>
      </c>
      <c r="G112" s="7">
        <v>505.19</v>
      </c>
      <c r="H112" s="7">
        <v>3</v>
      </c>
      <c r="I112" s="7">
        <v>-20.2</v>
      </c>
      <c r="J112" s="7">
        <v>170.5</v>
      </c>
    </row>
    <row r="113" spans="1:10" ht="14.4">
      <c r="A113" s="6" t="s">
        <v>340</v>
      </c>
      <c r="B113" s="7" t="s">
        <v>341</v>
      </c>
      <c r="C113" s="7" t="e">
        <f ca="1">Image("https://images-na.ssl-images-amazon.com/images/I/41j84QtYRvL.jpg;https://images-na.ssl-images-amazon.com/images/I/41H71gYb39L.jpg;https://images-na.ssl-images-amazon.com/images/I/31GBhoj1EdL.jpg")</f>
        <v>#NAME?</v>
      </c>
      <c r="D113" s="7" t="s">
        <v>16</v>
      </c>
      <c r="E113" s="7" t="s">
        <v>342</v>
      </c>
      <c r="F113" s="7">
        <v>53</v>
      </c>
      <c r="G113" s="7">
        <v>449.67</v>
      </c>
      <c r="H113" s="7">
        <v>5</v>
      </c>
      <c r="I113" s="7">
        <v>-34.56</v>
      </c>
      <c r="J113" s="7">
        <v>167.84</v>
      </c>
    </row>
    <row r="114" spans="1:10" ht="14.4">
      <c r="A114" s="6" t="s">
        <v>343</v>
      </c>
      <c r="B114" s="7" t="s">
        <v>344</v>
      </c>
      <c r="C114" s="7" t="e">
        <f ca="1">Image("https://images-na.ssl-images-amazon.com/images/I/518DoVOs+wL.jpg;https://images-na.ssl-images-amazon.com/images/I/51RpoOhF2pL.jpg;https://images-na.ssl-images-amazon.com/images/I/51Yxjdxj-RL.jpg;https://images-na.ssl-images-amazon.com/images/I/414AmS4f1zL"&amp;".jpg;https://images-na.ssl-images-amazon.com/images/I/61O8Ac8tAfL.jpg;https://images-na.ssl-images-amazon.com/images/I/61CzNQ2RuwL.jpg;https://images-na.ssl-images-amazon.com/images/I/61aMtyYcGAL.jpg")</f>
        <v>#NAME?</v>
      </c>
      <c r="D114" s="7" t="s">
        <v>20</v>
      </c>
      <c r="E114" s="7" t="s">
        <v>345</v>
      </c>
      <c r="F114" s="7">
        <v>26</v>
      </c>
      <c r="G114" s="7">
        <v>367.2</v>
      </c>
      <c r="H114" s="7">
        <v>0</v>
      </c>
      <c r="I114" s="7">
        <v>0</v>
      </c>
      <c r="J114" s="7">
        <v>163.79</v>
      </c>
    </row>
    <row r="115" spans="1:10" ht="14.4">
      <c r="A115" s="6" t="s">
        <v>346</v>
      </c>
      <c r="B115" s="7" t="s">
        <v>347</v>
      </c>
      <c r="C115" s="7" t="e">
        <f ca="1">Image("https://images-na.ssl-images-amazon.com/images/I/31v0xI7xWNL.jpg;https://images-na.ssl-images-amazon.com/images/I/41+ANEV0ldL.jpg;https://images-na.ssl-images-amazon.com/images/I/516Sd02Uo8L.jpg;https://images-na.ssl-images-amazon.com/images/I/41g9mhQLM7L"&amp;".jpg;https://images-na.ssl-images-amazon.com/images/I/41raibcWucL.jpg;https://images-na.ssl-images-amazon.com/images/I/41aOY3d1JvL.jpg;https://images-na.ssl-images-amazon.com/images/I/31LM4TYxu7L.jpg")</f>
        <v>#NAME?</v>
      </c>
      <c r="D115" s="7" t="s">
        <v>20</v>
      </c>
      <c r="E115" s="7" t="s">
        <v>348</v>
      </c>
      <c r="F115" s="7">
        <v>43</v>
      </c>
      <c r="G115" s="7">
        <v>342.89</v>
      </c>
      <c r="H115" s="7">
        <v>2</v>
      </c>
      <c r="I115" s="7">
        <v>-14</v>
      </c>
      <c r="J115" s="7">
        <v>162.61000000000001</v>
      </c>
    </row>
    <row r="116" spans="1:10" ht="14.4">
      <c r="A116" s="6" t="s">
        <v>349</v>
      </c>
      <c r="B116" s="7" t="s">
        <v>350</v>
      </c>
      <c r="C116" s="7" t="e">
        <f ca="1">Image("https://images-na.ssl-images-amazon.com/images/I/418SPFkyQxL.jpg;https://images-na.ssl-images-amazon.com/images/I/51f9dCmknwL.jpg;https://images-na.ssl-images-amazon.com/images/I/51Yxjdxj-RL.jpg;https://images-na.ssl-images-amazon.com/images/I/41jfoLLT0WL"&amp;".jpg;https://images-na.ssl-images-amazon.com/images/I/61vqS+q9gjL.jpg;https://images-na.ssl-images-amazon.com/images/I/61NkztjjVkL.jpg;https://images-na.ssl-images-amazon.com/images/I/51Tc6Skn-gL.jpg")</f>
        <v>#NAME?</v>
      </c>
      <c r="D116" s="7" t="s">
        <v>20</v>
      </c>
      <c r="E116" s="7" t="s">
        <v>351</v>
      </c>
      <c r="F116" s="7">
        <v>25</v>
      </c>
      <c r="G116" s="7">
        <v>269.45</v>
      </c>
      <c r="H116" s="7">
        <v>0</v>
      </c>
      <c r="I116" s="7">
        <v>0</v>
      </c>
      <c r="J116" s="7">
        <v>159.72999999999999</v>
      </c>
    </row>
    <row r="117" spans="1:10" ht="14.4">
      <c r="A117" s="6" t="s">
        <v>352</v>
      </c>
      <c r="B117" s="7" t="s">
        <v>353</v>
      </c>
      <c r="C117" s="7" t="e">
        <f ca="1">Image("https://images-na.ssl-images-amazon.com/images/I/41wt1AGgyRL.jpg;https://images-na.ssl-images-amazon.com/images/I/414CMAHH-FL.jpg;https://images-na.ssl-images-amazon.com/images/I/51W2AdjzIxL.jpg;https://images-na.ssl-images-amazon.com/images/I/41rhN0Z2RaL"&amp;".jpg;https://images-na.ssl-images-amazon.com/images/I/41cXTXcl0bL.jpg;https://images-na.ssl-images-amazon.com/images/I/41dclObNxJL.jpg;https://images-na.ssl-images-amazon.com/images/I/41P9x2oubnL.jpg")</f>
        <v>#NAME?</v>
      </c>
      <c r="D117" s="7" t="s">
        <v>20</v>
      </c>
      <c r="E117" s="7" t="s">
        <v>354</v>
      </c>
      <c r="F117" s="7">
        <v>10</v>
      </c>
      <c r="G117" s="7">
        <v>335.7</v>
      </c>
      <c r="H117" s="7">
        <v>3</v>
      </c>
      <c r="I117" s="7">
        <v>-88.78</v>
      </c>
      <c r="J117" s="7">
        <v>159.69999999999999</v>
      </c>
    </row>
    <row r="118" spans="1:10" ht="14.4">
      <c r="A118" s="6" t="s">
        <v>355</v>
      </c>
      <c r="B118" s="7" t="s">
        <v>356</v>
      </c>
      <c r="C118" s="7" t="e">
        <f ca="1">Image("https://images-na.ssl-images-amazon.com/images/I/31rfydc2mQL.jpg;https://images-na.ssl-images-amazon.com/images/I/312lrVBIHYL.jpg;https://images-na.ssl-images-amazon.com/images/I/31ZkyTzDxcL.jpg;https://images-na.ssl-images-amazon.com/images/I/510nwfBN1vL"&amp;".jpg;https://images-na.ssl-images-amazon.com/images/I/51-14-yMsIL.jpg;https://images-na.ssl-images-amazon.com/images/I/51OjJFS+R0L.jpg")</f>
        <v>#NAME?</v>
      </c>
      <c r="D118" s="7" t="s">
        <v>20</v>
      </c>
      <c r="E118" s="7" t="s">
        <v>357</v>
      </c>
      <c r="F118" s="7">
        <v>31</v>
      </c>
      <c r="G118" s="7">
        <v>321.95999999999998</v>
      </c>
      <c r="H118" s="7">
        <v>3</v>
      </c>
      <c r="I118" s="7">
        <v>-31.65</v>
      </c>
      <c r="J118" s="7">
        <v>157.25</v>
      </c>
    </row>
    <row r="119" spans="1:10" ht="14.4">
      <c r="A119" s="6" t="s">
        <v>358</v>
      </c>
      <c r="B119" s="7" t="s">
        <v>359</v>
      </c>
      <c r="C119" s="7" t="e">
        <f ca="1">Image("https://images-na.ssl-images-amazon.com/images/I/51aXb1Hwp7L.jpg;https://images-na.ssl-images-amazon.com/images/I/515xt-CqgAL.jpg;https://images-na.ssl-images-amazon.com/images/I/51k8zNqpANL.jpg;https://images-na.ssl-images-amazon.com/images/I/41hNYhOiX4L"&amp;".jpg;https://images-na.ssl-images-amazon.com/images/I/41ssZ0uTeDL.jpg;https://images-na.ssl-images-amazon.com/images/I/615z2hWIeUL.jpg")</f>
        <v>#NAME?</v>
      </c>
      <c r="D119" s="7" t="s">
        <v>16</v>
      </c>
      <c r="E119" s="7" t="s">
        <v>360</v>
      </c>
      <c r="F119" s="7">
        <v>10</v>
      </c>
      <c r="G119" s="7">
        <v>320</v>
      </c>
      <c r="H119" s="7">
        <v>2</v>
      </c>
      <c r="I119" s="7">
        <v>-67.540000000000006</v>
      </c>
      <c r="J119" s="7">
        <v>156.91999999999999</v>
      </c>
    </row>
    <row r="120" spans="1:10" ht="14.4">
      <c r="A120" s="6" t="s">
        <v>361</v>
      </c>
      <c r="B120" s="7" t="s">
        <v>362</v>
      </c>
      <c r="C120" s="7" t="e">
        <f ca="1">Image("https://images-na.ssl-images-amazon.com/images/I/4194Mgbqi8L.jpg;https://images-na.ssl-images-amazon.com/images/I/41EfBGiKHsL.jpg;https://images-na.ssl-images-amazon.com/images/I/21dWq0BcqiL.jpg")</f>
        <v>#NAME?</v>
      </c>
      <c r="D120" s="7" t="s">
        <v>16</v>
      </c>
      <c r="E120" s="7" t="s">
        <v>363</v>
      </c>
      <c r="F120" s="7">
        <v>38</v>
      </c>
      <c r="G120" s="7">
        <v>429.2</v>
      </c>
      <c r="H120" s="7">
        <v>12</v>
      </c>
      <c r="I120" s="7">
        <v>-121.37</v>
      </c>
      <c r="J120" s="7">
        <v>151.12</v>
      </c>
    </row>
    <row r="121" spans="1:10" ht="14.4">
      <c r="A121" s="6" t="s">
        <v>364</v>
      </c>
      <c r="B121" s="7" t="s">
        <v>365</v>
      </c>
      <c r="C121" s="7" t="e">
        <f ca="1">Image("https://images-na.ssl-images-amazon.com/images/I/51kYqN8VecL.jpg;https://images-na.ssl-images-amazon.com/images/I/51NjPwGo5PL.jpg;https://images-na.ssl-images-amazon.com/images/I/51VSOBRpXmL.jpg;https://images-na.ssl-images-amazon.com/images/I/51kYqN8VecL"&amp;".jpg;https://images-na.ssl-images-amazon.com/images/I/41sElGdth8L.jpg;https://images-na.ssl-images-amazon.com/images/I/51XLFzObTLL.jpg")</f>
        <v>#NAME?</v>
      </c>
      <c r="D121" s="7" t="s">
        <v>16</v>
      </c>
      <c r="E121" s="7" t="s">
        <v>366</v>
      </c>
      <c r="F121" s="7">
        <v>12</v>
      </c>
      <c r="G121" s="7">
        <v>300</v>
      </c>
      <c r="H121" s="7">
        <v>2</v>
      </c>
      <c r="I121" s="7">
        <v>-44</v>
      </c>
      <c r="J121" s="7">
        <v>143.34</v>
      </c>
    </row>
    <row r="122" spans="1:10" ht="14.4">
      <c r="A122" s="6" t="s">
        <v>367</v>
      </c>
      <c r="B122" s="7" t="s">
        <v>368</v>
      </c>
      <c r="C122" s="7" t="e">
        <f ca="1">Image("https://images-na.ssl-images-amazon.com/images/I/41XFnT5Ji9L.jpg;https://images-na.ssl-images-amazon.com/images/I/41zCirGbXDL.jpg;https://images-na.ssl-images-amazon.com/images/I/31S08UU4dcL.jpg")</f>
        <v>#NAME?</v>
      </c>
      <c r="D122" s="7" t="s">
        <v>16</v>
      </c>
      <c r="E122" s="7" t="s">
        <v>369</v>
      </c>
      <c r="F122" s="7">
        <v>29</v>
      </c>
      <c r="G122" s="7">
        <v>310.01</v>
      </c>
      <c r="H122" s="7">
        <v>1</v>
      </c>
      <c r="I122" s="7">
        <v>-9.41</v>
      </c>
      <c r="J122" s="7">
        <v>136.77000000000001</v>
      </c>
    </row>
    <row r="123" spans="1:10" ht="14.4">
      <c r="A123" s="6" t="s">
        <v>370</v>
      </c>
      <c r="B123" s="7" t="s">
        <v>371</v>
      </c>
      <c r="C123" s="7" t="e">
        <f ca="1">Image("https://images-na.ssl-images-amazon.com/images/I/311NYDDTGSL.jpg;https://images-na.ssl-images-amazon.com/images/I/41OwSASaDcL.jpg;https://images-na.ssl-images-amazon.com/images/I/31WOFOPMEDL.jpg;https://images-na.ssl-images-amazon.com/images/I/41joVqb+y6L"&amp;".jpg;https://images-na.ssl-images-amazon.com/images/I/51XDnlU4vyL.jpg;https://images-na.ssl-images-amazon.com/images/I/41fbIrKq8sL.jpg")</f>
        <v>#NAME?</v>
      </c>
      <c r="D123" s="7" t="s">
        <v>20</v>
      </c>
      <c r="E123" s="7" t="s">
        <v>372</v>
      </c>
      <c r="F123" s="7">
        <v>55</v>
      </c>
      <c r="G123" s="7">
        <v>343.94</v>
      </c>
      <c r="H123" s="7">
        <v>1</v>
      </c>
      <c r="I123" s="7">
        <v>-5.62</v>
      </c>
      <c r="J123" s="7">
        <v>135.58000000000001</v>
      </c>
    </row>
    <row r="124" spans="1:10" ht="14.4">
      <c r="A124" s="6" t="s">
        <v>373</v>
      </c>
      <c r="B124" s="7" t="s">
        <v>374</v>
      </c>
      <c r="C124" s="7" t="e">
        <f ca="1">Image("https://images-na.ssl-images-amazon.com/images/I/41VadFmDhhL.jpg;https://images-na.ssl-images-amazon.com/images/I/417yBKYlGKL.jpg;https://images-na.ssl-images-amazon.com/images/I/41uWx19yH4L.jpg;https://images-na.ssl-images-amazon.com/images/I/31I-0vebw0L"&amp;".jpg;https://images-na.ssl-images-amazon.com/images/I/31tls1anW+L.jpg;https://images-na.ssl-images-amazon.com/images/I/516ZXiYv7NL.jpg")</f>
        <v>#NAME?</v>
      </c>
      <c r="D124" s="7" t="s">
        <v>20</v>
      </c>
      <c r="E124" s="7" t="s">
        <v>141</v>
      </c>
      <c r="F124" s="7">
        <v>9</v>
      </c>
      <c r="G124" s="7">
        <v>237.59</v>
      </c>
      <c r="H124" s="7">
        <v>0</v>
      </c>
      <c r="I124" s="7">
        <v>0</v>
      </c>
      <c r="J124" s="7">
        <v>135.11000000000001</v>
      </c>
    </row>
    <row r="125" spans="1:10" ht="14.4">
      <c r="A125" s="6" t="s">
        <v>375</v>
      </c>
      <c r="B125" s="7" t="s">
        <v>376</v>
      </c>
      <c r="C125" s="7" t="e">
        <f ca="1">Image("https://images-na.ssl-images-amazon.com/images/I/51hCIM-4GwL.jpg;https://images-na.ssl-images-amazon.com/images/I/51EnomcgZqL.jpg;https://images-na.ssl-images-amazon.com/images/I/51XqkGWkmnL.jpg;https://images-na.ssl-images-amazon.com/images/I/61hgD2dKeEL"&amp;".jpg;https://images-na.ssl-images-amazon.com/images/I/41t0qw1nB-L.jpg")</f>
        <v>#NAME?</v>
      </c>
      <c r="D125" s="7" t="s">
        <v>16</v>
      </c>
      <c r="E125" s="7" t="s">
        <v>377</v>
      </c>
      <c r="F125" s="7">
        <v>12</v>
      </c>
      <c r="G125" s="7">
        <v>292.89999999999998</v>
      </c>
      <c r="H125" s="7">
        <v>0</v>
      </c>
      <c r="I125" s="7">
        <v>0</v>
      </c>
      <c r="J125" s="7">
        <v>133.47</v>
      </c>
    </row>
    <row r="126" spans="1:10" ht="14.4">
      <c r="A126" s="6" t="s">
        <v>378</v>
      </c>
      <c r="B126" s="7" t="s">
        <v>379</v>
      </c>
      <c r="C126" s="7" t="e">
        <f ca="1">Image("https://images-na.ssl-images-amazon.com/images/I/31PFzDEPNtL.jpg;https://images-na.ssl-images-amazon.com/images/I/31+U84xmOwL.jpg;https://images-na.ssl-images-amazon.com/images/I/41ngDl8a4cL.jpg;https://images-na.ssl-images-amazon.com/images/I/31+XrbwUUsL"&amp;".jpg;https://images-na.ssl-images-amazon.com/images/I/41AynnnEuUL.jpg;https://images-na.ssl-images-amazon.com/images/I/41C7PkSLz1L.jpg;https://images-na.ssl-images-amazon.com/images/I/51y-Yh2Gh7L.jpg")</f>
        <v>#NAME?</v>
      </c>
      <c r="D126" s="7" t="s">
        <v>20</v>
      </c>
      <c r="E126" s="7" t="s">
        <v>380</v>
      </c>
      <c r="F126" s="7">
        <v>83</v>
      </c>
      <c r="G126" s="7">
        <v>580.44000000000005</v>
      </c>
      <c r="H126" s="7">
        <v>6</v>
      </c>
      <c r="I126" s="7">
        <v>-39.97</v>
      </c>
      <c r="J126" s="7">
        <v>131.53</v>
      </c>
    </row>
    <row r="127" spans="1:10" ht="14.4">
      <c r="A127" s="6" t="s">
        <v>381</v>
      </c>
      <c r="B127" s="7" t="s">
        <v>382</v>
      </c>
      <c r="C127" s="7" t="e">
        <f ca="1">Image("https://images-na.ssl-images-amazon.com/images/I/51XXMHOfvHL.jpg;https://images-na.ssl-images-amazon.com/images/I/51-oevD1sfL.jpg;https://images-na.ssl-images-amazon.com/images/I/51rlEk-ifVL.jpg;https://images-na.ssl-images-amazon.com/images/I/61QFTeQHz7L"&amp;".jpg;https://images-na.ssl-images-amazon.com/images/I/513kSGDfDbL.jpg;https://images-na.ssl-images-amazon.com/images/I/518YvvP9pvL.jpg;https://images-na.ssl-images-amazon.com/images/I/51L37dHsiuL.jpg;https://images-na.ssl-images-amazon.com/images/I/419TMH"&amp;"jSq9L.jpg")</f>
        <v>#NAME?</v>
      </c>
      <c r="D127" s="7" t="s">
        <v>20</v>
      </c>
      <c r="E127" s="7" t="s">
        <v>383</v>
      </c>
      <c r="F127" s="7">
        <v>86</v>
      </c>
      <c r="G127" s="7">
        <v>615.46</v>
      </c>
      <c r="H127" s="7">
        <v>3</v>
      </c>
      <c r="I127" s="7">
        <v>-18.46</v>
      </c>
      <c r="J127" s="7">
        <v>128.16999999999999</v>
      </c>
    </row>
    <row r="128" spans="1:10" ht="14.4">
      <c r="A128" s="6" t="s">
        <v>384</v>
      </c>
      <c r="B128" s="7" t="s">
        <v>385</v>
      </c>
      <c r="C128" s="7" t="e">
        <f ca="1">Image("https://images-na.ssl-images-amazon.com/images/I/41kCsdgCDnL.jpg;https://images-na.ssl-images-amazon.com/images/I/41hZA8q-9fL.jpg;https://images-na.ssl-images-amazon.com/images/I/41VQfe+1BSL.jpg;https://images-na.ssl-images-amazon.com/images/I/51fY4XeOHmL"&amp;".jpg;https://images-na.ssl-images-amazon.com/images/I/41CBWdtyzBL.jpg;https://images-na.ssl-images-amazon.com/images/I/41rXJnxH-PL.jpg;https://images-na.ssl-images-amazon.com/images/I/413VMAUqkDL.jpg")</f>
        <v>#NAME?</v>
      </c>
      <c r="D128" s="7" t="s">
        <v>16</v>
      </c>
      <c r="E128" s="7" t="s">
        <v>386</v>
      </c>
      <c r="F128" s="7">
        <v>19</v>
      </c>
      <c r="G128" s="7">
        <v>273.39999999999998</v>
      </c>
      <c r="H128" s="7">
        <v>2</v>
      </c>
      <c r="I128" s="7">
        <v>-31.59</v>
      </c>
      <c r="J128" s="7">
        <v>127.97</v>
      </c>
    </row>
    <row r="129" spans="1:10" ht="14.4">
      <c r="A129" s="6" t="s">
        <v>387</v>
      </c>
      <c r="B129" s="7" t="s">
        <v>388</v>
      </c>
      <c r="C129" s="7" t="e">
        <f ca="1">Image("https://images-na.ssl-images-amazon.com/images/I/51wY1nPAduL.jpg;https://images-na.ssl-images-amazon.com/images/I/41gJEkWPxgL.jpg;https://images-na.ssl-images-amazon.com/images/I/516ZXiYv7NL.jpg;https://images-na.ssl-images-amazon.com/images/I/41RgtBH3nCS"&amp;".jpg;https://images-na.ssl-images-amazon.com/images/I/51DRrRncviL.jpg;https://images-na.ssl-images-amazon.com/images/I/31Kps+HAoQL.jpg")</f>
        <v>#NAME?</v>
      </c>
      <c r="D129" s="7" t="s">
        <v>20</v>
      </c>
      <c r="E129" s="7" t="s">
        <v>389</v>
      </c>
      <c r="F129" s="7">
        <v>8</v>
      </c>
      <c r="G129" s="7">
        <v>187.96</v>
      </c>
      <c r="H129" s="7">
        <v>0</v>
      </c>
      <c r="I129" s="7">
        <v>0</v>
      </c>
      <c r="J129" s="7">
        <v>126.99</v>
      </c>
    </row>
    <row r="130" spans="1:10" ht="14.4">
      <c r="A130" s="6" t="s">
        <v>390</v>
      </c>
      <c r="B130" s="7" t="s">
        <v>391</v>
      </c>
      <c r="C130" s="7" t="e">
        <f ca="1">Image("https://images-na.ssl-images-amazon.com/images/I/31zFMIkwk5L.jpg;https://images-na.ssl-images-amazon.com/images/I/41V9Wuc94HL.jpg;https://images-na.ssl-images-amazon.com/images/I/31eekZG8InL.jpg;https://images-na.ssl-images-amazon.com/images/I/51u69-wws9L"&amp;".jpg")</f>
        <v>#NAME?</v>
      </c>
      <c r="D130" s="7" t="s">
        <v>20</v>
      </c>
      <c r="E130" s="7" t="s">
        <v>392</v>
      </c>
      <c r="F130" s="7">
        <v>24</v>
      </c>
      <c r="G130" s="7">
        <v>287.41000000000003</v>
      </c>
      <c r="H130" s="7">
        <v>2</v>
      </c>
      <c r="I130" s="7">
        <v>-20.64</v>
      </c>
      <c r="J130" s="7">
        <v>124.73</v>
      </c>
    </row>
    <row r="131" spans="1:10" ht="14.4">
      <c r="A131" s="6" t="s">
        <v>393</v>
      </c>
      <c r="B131" s="7" t="s">
        <v>394</v>
      </c>
      <c r="C131" s="7" t="e">
        <f ca="1">Image("https://images-na.ssl-images-amazon.com/images/I/51c6tAKGoYL.jpg;https://images-na.ssl-images-amazon.com/images/I/41QOGsXOB0L.jpg;https://images-na.ssl-images-amazon.com/images/I/41p9V6FtZcL.jpg;https://images-na.ssl-images-amazon.com/images/I/51kqR-rkioL"&amp;".jpg;https://images-na.ssl-images-amazon.com/images/I/41MI2j5PI6L.jpg;https://images-na.ssl-images-amazon.com/images/I/41DQGJc6sFL.jpg;https://images-na.ssl-images-amazon.com/images/I/51TlGUEJwNL.jpg;https://images-na.ssl-images-amazon.com/images/I/51I0FX"&amp;"KtoGL.jpg;https://images-na.ssl-images-amazon.com/images/I/51tO9mSNCPL.jpg")</f>
        <v>#NAME?</v>
      </c>
      <c r="D131" s="7" t="s">
        <v>20</v>
      </c>
      <c r="E131" s="7" t="s">
        <v>395</v>
      </c>
      <c r="F131" s="7">
        <v>56</v>
      </c>
      <c r="G131" s="7">
        <v>662.91</v>
      </c>
      <c r="H131" s="7">
        <v>5</v>
      </c>
      <c r="I131" s="7">
        <v>-50.56</v>
      </c>
      <c r="J131" s="7">
        <v>122.65</v>
      </c>
    </row>
    <row r="132" spans="1:10" ht="14.4">
      <c r="A132" s="6" t="s">
        <v>396</v>
      </c>
      <c r="B132" s="7" t="s">
        <v>397</v>
      </c>
      <c r="C132" s="7" t="e">
        <f ca="1">Image("https://images-na.ssl-images-amazon.com/images/I/519wTG9762L.jpg")</f>
        <v>#NAME?</v>
      </c>
      <c r="D132" s="7" t="s">
        <v>398</v>
      </c>
      <c r="E132" s="7" t="s">
        <v>399</v>
      </c>
      <c r="F132" s="7">
        <v>41</v>
      </c>
      <c r="G132" s="7">
        <v>338.7</v>
      </c>
      <c r="H132" s="7">
        <v>3</v>
      </c>
      <c r="I132" s="7">
        <v>-23.49</v>
      </c>
      <c r="J132" s="7">
        <v>121.66</v>
      </c>
    </row>
    <row r="133" spans="1:10" ht="14.4">
      <c r="A133" s="6" t="s">
        <v>400</v>
      </c>
      <c r="B133" s="7" t="s">
        <v>401</v>
      </c>
      <c r="C133" s="7" t="e">
        <f ca="1">Image("https://images-na.ssl-images-amazon.com/images/I/418t99GsBeL.jpg;https://images-na.ssl-images-amazon.com/images/I/51dCrnM6mDL.jpg;https://images-na.ssl-images-amazon.com/images/I/41-a6e7+28L.jpg;https://images-na.ssl-images-amazon.com/images/I/51SdLXPDoNL"&amp;".jpg;https://images-na.ssl-images-amazon.com/images/I/51uSebeVkJS.jpg;https://images-na.ssl-images-amazon.com/images/I/51mLm3qCuxL.jpg;https://images-na.ssl-images-amazon.com/images/I/41mcV6mPDTL.jpg")</f>
        <v>#NAME?</v>
      </c>
      <c r="D133" s="7" t="s">
        <v>20</v>
      </c>
      <c r="E133" s="7" t="s">
        <v>402</v>
      </c>
      <c r="F133" s="7">
        <v>19</v>
      </c>
      <c r="G133" s="7">
        <v>155.12</v>
      </c>
      <c r="H133" s="7">
        <v>0</v>
      </c>
      <c r="I133" s="7">
        <v>0</v>
      </c>
      <c r="J133" s="7">
        <v>118.17</v>
      </c>
    </row>
    <row r="134" spans="1:10" ht="14.4">
      <c r="A134" s="6" t="s">
        <v>403</v>
      </c>
      <c r="B134" s="7" t="s">
        <v>404</v>
      </c>
      <c r="C134" s="7" t="e">
        <f ca="1">Image("https://images-na.ssl-images-amazon.com/images/I/414TxdU8BLL.jpg;https://images-na.ssl-images-amazon.com/images/I/5123BYH92DL.jpg;https://images-na.ssl-images-amazon.com/images/I/41AhO2AeTHL.jpg;https://images-na.ssl-images-amazon.com/images/I/51+Eztjn3fL"&amp;".jpg;https://images-na.ssl-images-amazon.com/images/I/41k9Qg3r+7L.jpg;https://images-na.ssl-images-amazon.com/images/I/51mLy7k98hL.jpg;https://images-na.ssl-images-amazon.com/images/I/41JwYiT88IL.jpg")</f>
        <v>#NAME?</v>
      </c>
      <c r="D134" s="7" t="s">
        <v>20</v>
      </c>
      <c r="E134" s="7" t="s">
        <v>405</v>
      </c>
      <c r="F134" s="7">
        <v>50</v>
      </c>
      <c r="G134" s="7">
        <v>664.76</v>
      </c>
      <c r="H134" s="7">
        <v>3</v>
      </c>
      <c r="I134" s="7">
        <v>-43.53</v>
      </c>
      <c r="J134" s="7">
        <v>116.89</v>
      </c>
    </row>
    <row r="135" spans="1:10" ht="14.4">
      <c r="A135" s="6" t="s">
        <v>406</v>
      </c>
      <c r="B135" s="7" t="s">
        <v>407</v>
      </c>
      <c r="C135" s="7" t="e">
        <f ca="1">Image("https://images-na.ssl-images-amazon.com/images/I/514HBBTdugL.jpg;https://images-na.ssl-images-amazon.com/images/I/61vSG4tVZpL.jpg;https://images-na.ssl-images-amazon.com/images/I/51rxRIzFmML.jpg;https://images-na.ssl-images-amazon.com/images/I/516PvsukVlL"&amp;".jpg;https://images-na.ssl-images-amazon.com/images/I/51b0zpqV5yL.jpg")</f>
        <v>#NAME?</v>
      </c>
      <c r="D135" s="7" t="s">
        <v>16</v>
      </c>
      <c r="E135" s="7" t="s">
        <v>408</v>
      </c>
      <c r="F135" s="7">
        <v>4</v>
      </c>
      <c r="G135" s="7">
        <v>133.72</v>
      </c>
      <c r="H135" s="7">
        <v>0</v>
      </c>
      <c r="I135" s="7">
        <v>0</v>
      </c>
      <c r="J135" s="7">
        <v>113.66</v>
      </c>
    </row>
    <row r="136" spans="1:10" ht="14.4">
      <c r="A136" s="6" t="s">
        <v>409</v>
      </c>
      <c r="B136" s="7" t="s">
        <v>410</v>
      </c>
      <c r="C136" s="7" t="e">
        <f ca="1">Image("https://images-na.ssl-images-amazon.com/images/I/31GeyANItrL.jpg;https://images-na.ssl-images-amazon.com/images/I/51nBifORE-L.jpg;https://images-na.ssl-images-amazon.com/images/I/51Zr8VrzF1L.jpg;https://images-na.ssl-images-amazon.com/images/I/51KD03os6CL"&amp;".jpg;https://images-na.ssl-images-amazon.com/images/I/517buProtvL.jpg;https://images-na.ssl-images-amazon.com/images/I/5195l-kHtAL.jpg;https://images-na.ssl-images-amazon.com/images/I/51YhBQOjFzL.jpg")</f>
        <v>#NAME?</v>
      </c>
      <c r="D136" s="7" t="s">
        <v>20</v>
      </c>
      <c r="E136" s="7" t="s">
        <v>411</v>
      </c>
      <c r="F136" s="7">
        <v>55</v>
      </c>
      <c r="G136" s="7">
        <v>554.46</v>
      </c>
      <c r="H136" s="7">
        <v>4</v>
      </c>
      <c r="I136" s="7">
        <v>-35.159999999999997</v>
      </c>
      <c r="J136" s="7">
        <v>113.55</v>
      </c>
    </row>
    <row r="137" spans="1:10" ht="14.4">
      <c r="A137" s="6" t="s">
        <v>412</v>
      </c>
      <c r="B137" s="7" t="s">
        <v>413</v>
      </c>
      <c r="C137" s="7" t="e">
        <f ca="1">Image("https://images-na.ssl-images-amazon.com/images/I/41QK3SL9q3L.jpg;https://images-na.ssl-images-amazon.com/images/I/41EDVNJjN+L.jpg")</f>
        <v>#NAME?</v>
      </c>
      <c r="D137" s="7" t="s">
        <v>299</v>
      </c>
      <c r="E137" s="7" t="s">
        <v>414</v>
      </c>
      <c r="F137" s="7">
        <v>9</v>
      </c>
      <c r="G137" s="7">
        <v>133.35</v>
      </c>
      <c r="H137" s="7">
        <v>0</v>
      </c>
      <c r="I137" s="7">
        <v>0</v>
      </c>
      <c r="J137" s="7">
        <v>113.35</v>
      </c>
    </row>
    <row r="138" spans="1:10" ht="14.4">
      <c r="A138" s="6" t="s">
        <v>415</v>
      </c>
      <c r="B138" s="7" t="s">
        <v>416</v>
      </c>
      <c r="C138" s="7" t="e">
        <f ca="1">Image("https://images-na.ssl-images-amazon.com/images/I/41ZmNJvRs4L.jpg;https://images-na.ssl-images-amazon.com/images/I/41A2ydZLV8L.jpg;https://images-na.ssl-images-amazon.com/images/I/41vLAFVNHyL.jpg;https://images-na.ssl-images-amazon.com/images/I/51GmWZVKs8L"&amp;".jpg;https://images-na.ssl-images-amazon.com/images/I/61cI9s7GHQL.jpg;https://images-na.ssl-images-amazon.com/images/I/51jLLEaGTBL.jpg")</f>
        <v>#NAME?</v>
      </c>
      <c r="D138" s="7" t="s">
        <v>20</v>
      </c>
      <c r="E138" s="7" t="s">
        <v>417</v>
      </c>
      <c r="F138" s="7">
        <v>18</v>
      </c>
      <c r="G138" s="7">
        <v>217.35</v>
      </c>
      <c r="H138" s="7">
        <v>1</v>
      </c>
      <c r="I138" s="7">
        <v>-10.32</v>
      </c>
      <c r="J138" s="7">
        <v>111.09</v>
      </c>
    </row>
    <row r="139" spans="1:10" ht="14.4">
      <c r="A139" s="6" t="s">
        <v>418</v>
      </c>
      <c r="B139" s="7" t="s">
        <v>419</v>
      </c>
      <c r="C139" s="7" t="e">
        <f ca="1">Image("https://images-na.ssl-images-amazon.com/images/I/31sAL+MNEEL.jpg")</f>
        <v>#NAME?</v>
      </c>
      <c r="D139" s="7" t="s">
        <v>12</v>
      </c>
      <c r="E139" s="7" t="s">
        <v>420</v>
      </c>
      <c r="F139" s="7">
        <v>4</v>
      </c>
      <c r="G139" s="7">
        <v>121.96</v>
      </c>
      <c r="H139" s="7">
        <v>0</v>
      </c>
      <c r="I139" s="7">
        <v>0</v>
      </c>
      <c r="J139" s="7">
        <v>103.66</v>
      </c>
    </row>
    <row r="140" spans="1:10" ht="14.4">
      <c r="A140" s="6" t="s">
        <v>421</v>
      </c>
      <c r="B140" s="7" t="s">
        <v>422</v>
      </c>
      <c r="C140" s="7" t="e">
        <f ca="1">Image("https://images-na.ssl-images-amazon.com/images/I/51+rHvUhTPL.jpg;https://images-na.ssl-images-amazon.com/images/I/51XCxYfI9TL.jpg;https://images-na.ssl-images-amazon.com/images/I/51ZgzaJxdPL.jpg;https://images-na.ssl-images-amazon.com/images/I/51i3vtyW80L"&amp;".jpg;https://images-na.ssl-images-amazon.com/images/I/41ZlytaBmDL.jpg;https://images-na.ssl-images-amazon.com/images/I/41JqlPIVwUL.jpg;https://images-na.ssl-images-amazon.com/images/I/51Uz5XHI04L.jpg")</f>
        <v>#NAME?</v>
      </c>
      <c r="D140" s="7" t="s">
        <v>16</v>
      </c>
      <c r="E140" s="7" t="s">
        <v>423</v>
      </c>
      <c r="F140" s="7">
        <v>40</v>
      </c>
      <c r="G140" s="7">
        <v>678.95</v>
      </c>
      <c r="H140" s="7">
        <v>3</v>
      </c>
      <c r="I140" s="7">
        <v>-48.45</v>
      </c>
      <c r="J140" s="7">
        <v>103.45</v>
      </c>
    </row>
    <row r="141" spans="1:10" ht="14.4">
      <c r="A141" s="6" t="s">
        <v>424</v>
      </c>
      <c r="B141" s="7" t="s">
        <v>425</v>
      </c>
      <c r="C141" s="7" t="e">
        <f ca="1">Image("https://images-na.ssl-images-amazon.com/images/I/31rxkYueElL.jpg;https://images-na.ssl-images-amazon.com/images/I/314idXZH1xL.jpg;https://images-na.ssl-images-amazon.com/images/I/315hH+9ybhL.jpg;https://images-na.ssl-images-amazon.com/images/I/51JAGc5-DRL"&amp;".jpg;https://images-na.ssl-images-amazon.com/images/I/51ClpcN1DsL.jpg;https://images-na.ssl-images-amazon.com/images/I/51kjqCLJaYL.jpg")</f>
        <v>#NAME?</v>
      </c>
      <c r="D141" s="7" t="s">
        <v>20</v>
      </c>
      <c r="E141" s="7" t="s">
        <v>426</v>
      </c>
      <c r="F141" s="7">
        <v>15</v>
      </c>
      <c r="G141" s="7">
        <v>179.79</v>
      </c>
      <c r="H141" s="7">
        <v>0</v>
      </c>
      <c r="I141" s="7">
        <v>0</v>
      </c>
      <c r="J141" s="7">
        <v>102.68</v>
      </c>
    </row>
    <row r="142" spans="1:10" ht="14.4">
      <c r="A142" s="6" t="s">
        <v>427</v>
      </c>
      <c r="B142" s="7" t="s">
        <v>428</v>
      </c>
      <c r="C142" s="7" t="e">
        <f ca="1">Image("https://images-na.ssl-images-amazon.com/images/I/41u3ZXUdfkL.jpg;https://images-na.ssl-images-amazon.com/images/I/51g+QC5ZUFL.jpg;https://images-na.ssl-images-amazon.com/images/I/51Yxjdxj-RL.jpg;https://images-na.ssl-images-amazon.com/images/I/41xBy9LksML"&amp;".jpg;https://images-na.ssl-images-amazon.com/images/I/61cILs-dThL.jpg;https://images-na.ssl-images-amazon.com/images/I/61r0RnfXcHL.jpg;https://images-na.ssl-images-amazon.com/images/I/51aV4JF+6oL.jpg")</f>
        <v>#NAME?</v>
      </c>
      <c r="D142" s="7" t="s">
        <v>20</v>
      </c>
      <c r="E142" s="7" t="s">
        <v>429</v>
      </c>
      <c r="F142" s="7">
        <v>24</v>
      </c>
      <c r="G142" s="7">
        <v>195.3</v>
      </c>
      <c r="H142" s="7">
        <v>0</v>
      </c>
      <c r="I142" s="7">
        <v>0</v>
      </c>
      <c r="J142" s="7">
        <v>101.92</v>
      </c>
    </row>
    <row r="143" spans="1:10" ht="14.4">
      <c r="A143" s="6" t="s">
        <v>430</v>
      </c>
      <c r="B143" s="7" t="s">
        <v>431</v>
      </c>
      <c r="C143" s="7" t="e">
        <f ca="1">Image("https://images-na.ssl-images-amazon.com/images/I/3170-0Ji0FS.jpg;https://images-na.ssl-images-amazon.com/images/I/41HdVCTs90S.jpg;https://images-na.ssl-images-amazon.com/images/I/41ZxLrrWpeS.jpg;https://images-na.ssl-images-amazon.com/images/I/41mi-vJRBSS"&amp;".jpg;https://images-na.ssl-images-amazon.com/images/I/51zfhJz3NRS.jpg;https://images-na.ssl-images-amazon.com/images/I/61EBR+7xgRS.jpg")</f>
        <v>#NAME?</v>
      </c>
      <c r="D143" s="7" t="s">
        <v>20</v>
      </c>
      <c r="E143" s="7" t="s">
        <v>432</v>
      </c>
      <c r="F143" s="7">
        <v>59</v>
      </c>
      <c r="G143" s="7">
        <v>343.75</v>
      </c>
      <c r="H143" s="7">
        <v>3</v>
      </c>
      <c r="I143" s="7">
        <v>-14.99</v>
      </c>
      <c r="J143" s="7">
        <v>100.29</v>
      </c>
    </row>
    <row r="144" spans="1:10" ht="14.4">
      <c r="A144" s="6" t="s">
        <v>433</v>
      </c>
      <c r="B144" s="7" t="s">
        <v>434</v>
      </c>
      <c r="C144" s="7" t="e">
        <f ca="1">Image("https://images-na.ssl-images-amazon.com/images/I/41Jkb7h0EgL.jpg;https://images-na.ssl-images-amazon.com/images/I/41FiFc4MQUL.jpg;https://images-na.ssl-images-amazon.com/images/I/41Nx0KLjyYL.jpg;https://images-na.ssl-images-amazon.com/images/I/41uBQX-iozL"&amp;".jpg;https://images-na.ssl-images-amazon.com/images/I/31tls1anW+L.jpg;https://images-na.ssl-images-amazon.com/images/I/516ZXiYv7NL.jpg")</f>
        <v>#NAME?</v>
      </c>
      <c r="D144" s="7" t="s">
        <v>20</v>
      </c>
      <c r="E144" s="7" t="s">
        <v>141</v>
      </c>
      <c r="F144" s="7">
        <v>7</v>
      </c>
      <c r="G144" s="7">
        <v>185.09</v>
      </c>
      <c r="H144" s="7">
        <v>0</v>
      </c>
      <c r="I144" s="7">
        <v>0</v>
      </c>
      <c r="J144" s="7">
        <v>97.61</v>
      </c>
    </row>
    <row r="145" spans="1:10" ht="14.4">
      <c r="A145" s="6" t="s">
        <v>435</v>
      </c>
      <c r="B145" s="7" t="s">
        <v>436</v>
      </c>
      <c r="C145" s="7" t="e">
        <f ca="1">Image("https://images-na.ssl-images-amazon.com/images/I/31DinjBV3hL.jpg;https://images-na.ssl-images-amazon.com/images/I/510-GPn9R9L.jpg;https://images-na.ssl-images-amazon.com/images/I/51UYRjk1KVL.jpg;https://images-na.ssl-images-amazon.com/images/I/51ADoc7xe4L"&amp;".jpg;https://images-na.ssl-images-amazon.com/images/I/411YVmiyj0L.jpg;https://images-na.ssl-images-amazon.com/images/I/51juEXUqQ6L.jpg")</f>
        <v>#NAME?</v>
      </c>
      <c r="D145" s="7" t="s">
        <v>20</v>
      </c>
      <c r="E145" s="7" t="s">
        <v>437</v>
      </c>
      <c r="F145" s="7">
        <v>15</v>
      </c>
      <c r="G145" s="7">
        <v>333.86</v>
      </c>
      <c r="H145" s="7">
        <v>5</v>
      </c>
      <c r="I145" s="7">
        <v>-103.79</v>
      </c>
      <c r="J145" s="7">
        <v>97.58</v>
      </c>
    </row>
    <row r="146" spans="1:10" ht="14.4">
      <c r="A146" s="6" t="s">
        <v>438</v>
      </c>
      <c r="B146" s="7" t="s">
        <v>439</v>
      </c>
      <c r="C146" s="7" t="e">
        <f ca="1">Image("https://images-na.ssl-images-amazon.com/images/I/51qOpCVI36L.jpg;https://images-na.ssl-images-amazon.com/images/I/51X7IpabZXL.jpg;https://images-na.ssl-images-amazon.com/images/I/51ZvX3mQQVL.jpg;https://images-na.ssl-images-amazon.com/images/I/41unlAhZpuL"&amp;".jpg;https://images-na.ssl-images-amazon.com/images/I/41W-esr3+mL.jpg;https://images-na.ssl-images-amazon.com/images/I/41SeF5aA9EL.jpg;https://images-na.ssl-images-amazon.com/images/I/31q50yMFM2L.jpg;https://images-na.ssl-images-amazon.com/images/I/31khp3"&amp;"6rORL.jpg")</f>
        <v>#NAME?</v>
      </c>
      <c r="D146" s="7" t="s">
        <v>16</v>
      </c>
      <c r="E146" s="7" t="s">
        <v>440</v>
      </c>
      <c r="F146" s="7">
        <v>10</v>
      </c>
      <c r="G146" s="7">
        <v>130.96</v>
      </c>
      <c r="H146" s="7">
        <v>1</v>
      </c>
      <c r="I146" s="7">
        <v>-13.86</v>
      </c>
      <c r="J146" s="7">
        <v>97.45</v>
      </c>
    </row>
    <row r="147" spans="1:10" ht="14.4">
      <c r="A147" s="6" t="s">
        <v>441</v>
      </c>
      <c r="B147" s="7" t="s">
        <v>442</v>
      </c>
      <c r="C147" s="7" t="e">
        <f ca="1">Image("https://images-na.ssl-images-amazon.com/images/I/51vE9yg+bSL.jpg")</f>
        <v>#NAME?</v>
      </c>
      <c r="D147" s="7" t="s">
        <v>20</v>
      </c>
      <c r="E147" s="7" t="s">
        <v>443</v>
      </c>
      <c r="F147" s="7">
        <v>23</v>
      </c>
      <c r="G147" s="7">
        <v>324.2</v>
      </c>
      <c r="H147" s="7">
        <v>4</v>
      </c>
      <c r="I147" s="7">
        <v>-46</v>
      </c>
      <c r="J147" s="7">
        <v>96.32</v>
      </c>
    </row>
    <row r="148" spans="1:10" ht="14.4">
      <c r="A148" s="6" t="s">
        <v>444</v>
      </c>
      <c r="B148" s="7" t="s">
        <v>445</v>
      </c>
      <c r="C148" s="7" t="e">
        <f ca="1">Image("https://images-na.ssl-images-amazon.com/images/I/41UJe5wbCmL.jpg;https://images-na.ssl-images-amazon.com/images/I/41E99IdNZaL.jpg;https://images-na.ssl-images-amazon.com/images/I/51Yxjdxj-RL.jpg;https://images-na.ssl-images-amazon.com/images/I/417zseSr+iL"&amp;".jpg;https://images-na.ssl-images-amazon.com/images/I/61JNpvQ3rLL.jpg;https://images-na.ssl-images-amazon.com/images/I/61-8dZ++4dL.jpg;https://images-na.ssl-images-amazon.com/images/I/51Fring6kcL.jpg")</f>
        <v>#NAME?</v>
      </c>
      <c r="D148" s="7" t="s">
        <v>20</v>
      </c>
      <c r="E148" s="7" t="s">
        <v>446</v>
      </c>
      <c r="F148" s="7">
        <v>16</v>
      </c>
      <c r="G148" s="7">
        <v>166.95</v>
      </c>
      <c r="H148" s="7">
        <v>0</v>
      </c>
      <c r="I148" s="7">
        <v>0</v>
      </c>
      <c r="J148" s="7">
        <v>96.29</v>
      </c>
    </row>
    <row r="149" spans="1:10" ht="14.4">
      <c r="A149" s="6" t="s">
        <v>447</v>
      </c>
      <c r="B149" s="7" t="s">
        <v>448</v>
      </c>
      <c r="C149" s="7" t="e">
        <f ca="1">Image("https://images-na.ssl-images-amazon.com/images/I/41N5B+fPtpL.jpg;https://images-na.ssl-images-amazon.com/images/I/41hnk-Qh8+L.jpg;https://images-na.ssl-images-amazon.com/images/I/41TMZ8YZInL.jpg")</f>
        <v>#NAME?</v>
      </c>
      <c r="D149" s="7" t="s">
        <v>16</v>
      </c>
      <c r="E149" s="7" t="s">
        <v>449</v>
      </c>
      <c r="F149" s="7">
        <v>8</v>
      </c>
      <c r="G149" s="7">
        <v>151.91999999999999</v>
      </c>
      <c r="H149" s="7">
        <v>2</v>
      </c>
      <c r="I149" s="7">
        <v>-33.42</v>
      </c>
      <c r="J149" s="7">
        <v>95.7</v>
      </c>
    </row>
    <row r="150" spans="1:10" ht="14.4">
      <c r="A150" s="6" t="s">
        <v>450</v>
      </c>
      <c r="B150" s="7" t="s">
        <v>451</v>
      </c>
      <c r="C150" s="7" t="e">
        <f ca="1">Image("https://images-na.ssl-images-amazon.com/images/I/314pyQvUGzL.jpg;https://images-na.ssl-images-amazon.com/images/I/31ld8nPK9mL.jpg;https://images-na.ssl-images-amazon.com/images/I/313BKQCS8xL.jpg;https://images-na.ssl-images-amazon.com/images/I/61EdZcyPleL"&amp;".jpg;https://images-na.ssl-images-amazon.com/images/I/51Pueuvx0oL.jpg;https://images-na.ssl-images-amazon.com/images/I/51GL1QedrWL.jpg")</f>
        <v>#NAME?</v>
      </c>
      <c r="D150" s="7" t="s">
        <v>20</v>
      </c>
      <c r="E150" s="7" t="s">
        <v>452</v>
      </c>
      <c r="F150" s="7">
        <v>26</v>
      </c>
      <c r="G150" s="7">
        <v>323.75</v>
      </c>
      <c r="H150" s="7">
        <v>4</v>
      </c>
      <c r="I150" s="7">
        <v>-38.21</v>
      </c>
      <c r="J150" s="7">
        <v>93.15</v>
      </c>
    </row>
    <row r="151" spans="1:10" ht="14.4">
      <c r="A151" s="6" t="s">
        <v>453</v>
      </c>
      <c r="B151" s="7" t="s">
        <v>454</v>
      </c>
      <c r="C151" s="7" t="e">
        <f ca="1">Image("https://images-na.ssl-images-amazon.com/images/I/51c-ZnewzrL.jpg;https://images-na.ssl-images-amazon.com/images/I/51T+D5xCxaL.jpg;https://images-na.ssl-images-amazon.com/images/I/41JUeLUoI4L.jpg;https://images-na.ssl-images-amazon.com/images/I/51jKllj0ndL"&amp;".jpg;https://images-na.ssl-images-amazon.com/images/I/516rH+inV7L.jpg")</f>
        <v>#NAME?</v>
      </c>
      <c r="D151" s="7" t="s">
        <v>16</v>
      </c>
      <c r="E151" s="7" t="s">
        <v>455</v>
      </c>
      <c r="F151" s="7">
        <v>11</v>
      </c>
      <c r="G151" s="7">
        <v>120.89</v>
      </c>
      <c r="H151" s="7">
        <v>1</v>
      </c>
      <c r="I151" s="7">
        <v>-9.67</v>
      </c>
      <c r="J151" s="7">
        <v>93.07</v>
      </c>
    </row>
    <row r="152" spans="1:10" ht="14.4">
      <c r="A152" s="6" t="s">
        <v>456</v>
      </c>
      <c r="B152" s="7" t="s">
        <v>457</v>
      </c>
      <c r="C152" s="7" t="e">
        <f ca="1">Image("https://images-na.ssl-images-amazon.com/images/I/513NqFzVMPL.jpg;https://images-na.ssl-images-amazon.com/images/I/513NqFzVMPL.jpg;https://images-na.ssl-images-amazon.com/images/I/51tkxdsHfXL.jpg;https://images-na.ssl-images-amazon.com/images/I/51N1DfHF48L"&amp;".jpg;https://images-na.ssl-images-amazon.com/images/I/51xwCjsyQYL.jpg;https://images-na.ssl-images-amazon.com/images/I/51KZ9sJi7JL.jpg;https://images-na.ssl-images-amazon.com/images/I/51ZCKWVdtaL.jpg")</f>
        <v>#NAME?</v>
      </c>
      <c r="D152" s="7" t="s">
        <v>16</v>
      </c>
      <c r="E152" s="7" t="s">
        <v>458</v>
      </c>
      <c r="F152" s="7">
        <v>2</v>
      </c>
      <c r="G152" s="7">
        <v>122.08</v>
      </c>
      <c r="H152" s="7">
        <v>0</v>
      </c>
      <c r="I152" s="7">
        <v>0</v>
      </c>
      <c r="J152" s="7">
        <v>88.65</v>
      </c>
    </row>
    <row r="153" spans="1:10" ht="14.4">
      <c r="A153" s="6" t="s">
        <v>459</v>
      </c>
      <c r="B153" s="7" t="s">
        <v>460</v>
      </c>
      <c r="C153" s="7" t="e">
        <f ca="1">Image("https://images-na.ssl-images-amazon.com/images/I/51LlffdIDiL.jpg;https://images-na.ssl-images-amazon.com/images/I/61NSOG6K67L.jpg;https://images-na.ssl-images-amazon.com/images/I/51X0FyBaNLL.jpg;https://images-na.ssl-images-amazon.com/images/I/51jfXxyjLVL"&amp;".jpg")</f>
        <v>#NAME?</v>
      </c>
      <c r="D153" s="7" t="s">
        <v>16</v>
      </c>
      <c r="E153" s="7" t="s">
        <v>93</v>
      </c>
      <c r="F153" s="7">
        <v>12</v>
      </c>
      <c r="G153" s="7">
        <v>167</v>
      </c>
      <c r="H153" s="7">
        <v>0</v>
      </c>
      <c r="I153" s="7">
        <v>0</v>
      </c>
      <c r="J153" s="7">
        <v>87.27</v>
      </c>
    </row>
    <row r="154" spans="1:10" ht="14.4">
      <c r="A154" s="6" t="s">
        <v>461</v>
      </c>
      <c r="B154" s="7" t="s">
        <v>462</v>
      </c>
      <c r="C154" s="7" t="e">
        <f ca="1">Image("https://images-na.ssl-images-amazon.com/images/I/4195PiargeL.jpg;https://images-na.ssl-images-amazon.com/images/I/415YChq2O9L.jpg;https://images-na.ssl-images-amazon.com/images/I/41gyHfWTMiL.jpg;https://images-na.ssl-images-amazon.com/images/I/51+ewYN7mAL"&amp;".jpg;https://images-na.ssl-images-amazon.com/images/I/411Ob8x4WAL.jpg;https://images-na.ssl-images-amazon.com/images/I/51cgHjR5VVL.jpg;https://images-na.ssl-images-amazon.com/images/I/51vlwkKMgCL.jpg")</f>
        <v>#NAME?</v>
      </c>
      <c r="D154" s="7" t="s">
        <v>20</v>
      </c>
      <c r="E154" s="7" t="s">
        <v>463</v>
      </c>
      <c r="F154" s="7">
        <v>14</v>
      </c>
      <c r="G154" s="7">
        <v>215.73</v>
      </c>
      <c r="H154" s="7">
        <v>1</v>
      </c>
      <c r="I154" s="7">
        <v>-13.2</v>
      </c>
      <c r="J154" s="7">
        <v>85.96</v>
      </c>
    </row>
    <row r="155" spans="1:10" ht="14.4">
      <c r="A155" s="6" t="s">
        <v>464</v>
      </c>
      <c r="B155" s="7" t="s">
        <v>465</v>
      </c>
      <c r="C155" s="7" t="e">
        <f ca="1">Image("https://images-na.ssl-images-amazon.com/images/I/51G3d8z6d3L.jpg;https://images-na.ssl-images-amazon.com/images/I/51n-CEBXgKL.jpg;https://images-na.ssl-images-amazon.com/images/I/41fpi6qYQRL.jpg;https://images-na.ssl-images-amazon.com/images/I/61lsVlrc3XL"&amp;".jpg;https://images-na.ssl-images-amazon.com/images/I/51QdR5mhrdL.jpg")</f>
        <v>#NAME?</v>
      </c>
      <c r="D155" s="7" t="s">
        <v>16</v>
      </c>
      <c r="E155" s="7" t="s">
        <v>466</v>
      </c>
      <c r="F155" s="7">
        <v>7</v>
      </c>
      <c r="G155" s="7">
        <v>185.95</v>
      </c>
      <c r="H155" s="7">
        <v>0</v>
      </c>
      <c r="I155" s="7">
        <v>0</v>
      </c>
      <c r="J155" s="7">
        <v>84.54</v>
      </c>
    </row>
    <row r="156" spans="1:10" ht="14.4">
      <c r="A156" s="6" t="s">
        <v>467</v>
      </c>
      <c r="B156" s="7" t="s">
        <v>468</v>
      </c>
      <c r="C156" s="7" t="e">
        <f ca="1">Image("https://images-na.ssl-images-amazon.com/images/I/51MjbX3qn6L.jpg;https://images-na.ssl-images-amazon.com/images/I/614jKEOEcBL.jpg;https://images-na.ssl-images-amazon.com/images/I/51+qXz0DwzL.jpg;https://images-na.ssl-images-amazon.com/images/I/51VZlj5rB9L"&amp;".jpg;https://images-na.ssl-images-amazon.com/images/I/51MjbX3qn6L.jpg")</f>
        <v>#NAME?</v>
      </c>
      <c r="D156" s="7" t="s">
        <v>16</v>
      </c>
      <c r="E156" s="7" t="s">
        <v>469</v>
      </c>
      <c r="F156" s="7">
        <v>7</v>
      </c>
      <c r="G156" s="7">
        <v>97.93</v>
      </c>
      <c r="H156" s="7">
        <v>0</v>
      </c>
      <c r="I156" s="7">
        <v>0</v>
      </c>
      <c r="J156" s="7">
        <v>83.23</v>
      </c>
    </row>
    <row r="157" spans="1:10" ht="14.4">
      <c r="A157" s="6" t="s">
        <v>470</v>
      </c>
      <c r="B157" s="7" t="s">
        <v>471</v>
      </c>
      <c r="C157" s="7" t="e">
        <f ca="1">Image("https://images-na.ssl-images-amazon.com/images/I/51iEN7rTzOL.jpg;https://images-na.ssl-images-amazon.com/images/I/51D0zYrA0BL.jpg;https://images-na.ssl-images-amazon.com/images/I/41aZFAVVBUL.jpg;https://images-na.ssl-images-amazon.com/images/I/51csQ3LBQWL"&amp;".jpg;https://images-na.ssl-images-amazon.com/images/I/51PFJ1EOFwL.jpg;https://images-na.ssl-images-amazon.com/images/I/51UwIe1ZT1L.jpg")</f>
        <v>#NAME?</v>
      </c>
      <c r="D157" s="7" t="s">
        <v>20</v>
      </c>
      <c r="E157" s="7" t="s">
        <v>472</v>
      </c>
      <c r="F157" s="7">
        <v>7</v>
      </c>
      <c r="G157" s="7">
        <v>103.13</v>
      </c>
      <c r="H157" s="7">
        <v>0</v>
      </c>
      <c r="I157" s="7">
        <v>0</v>
      </c>
      <c r="J157" s="7">
        <v>82.49</v>
      </c>
    </row>
    <row r="158" spans="1:10" ht="14.4">
      <c r="A158" s="6" t="s">
        <v>473</v>
      </c>
      <c r="B158" s="7" t="s">
        <v>474</v>
      </c>
      <c r="C158" s="7" t="e">
        <f ca="1">Image("https://images-na.ssl-images-amazon.com/images/I/313vOEFnV6L.jpg;https://images-na.ssl-images-amazon.com/images/I/31e9E9Gum6L.jpg;https://images-na.ssl-images-amazon.com/images/I/21-wO-l67jL.jpg;https://images-na.ssl-images-amazon.com/images/I/31jBt72gVQL"&amp;".jpg;https://images-na.ssl-images-amazon.com/images/I/312B8YmA4sL.jpg;https://images-na.ssl-images-amazon.com/images/I/31KDLWdDnmL.jpg")</f>
        <v>#NAME?</v>
      </c>
      <c r="D158" s="7" t="s">
        <v>20</v>
      </c>
      <c r="E158" s="7" t="s">
        <v>389</v>
      </c>
      <c r="F158" s="7">
        <v>6</v>
      </c>
      <c r="G158" s="7">
        <v>145.99</v>
      </c>
      <c r="H158" s="7">
        <v>0</v>
      </c>
      <c r="I158" s="7">
        <v>0</v>
      </c>
      <c r="J158" s="7">
        <v>82.3</v>
      </c>
    </row>
    <row r="159" spans="1:10" ht="14.4">
      <c r="A159" s="6" t="s">
        <v>475</v>
      </c>
      <c r="B159" s="7" t="s">
        <v>476</v>
      </c>
      <c r="C159" s="7" t="e">
        <f ca="1">Image("https://images-na.ssl-images-amazon.com/images/I/4109Y77ZB9L.jpg;https://images-na.ssl-images-amazon.com/images/I/41zAWuf85IL.jpg;https://images-na.ssl-images-amazon.com/images/I/41EDVNJjN+L.jpg")</f>
        <v>#NAME?</v>
      </c>
      <c r="D159" s="7" t="s">
        <v>477</v>
      </c>
      <c r="E159" s="7" t="s">
        <v>478</v>
      </c>
      <c r="F159" s="7">
        <v>5</v>
      </c>
      <c r="G159" s="7">
        <v>94.95</v>
      </c>
      <c r="H159" s="7">
        <v>0</v>
      </c>
      <c r="I159" s="7">
        <v>0</v>
      </c>
      <c r="J159" s="7">
        <v>80.7</v>
      </c>
    </row>
    <row r="160" spans="1:10" ht="14.4">
      <c r="A160" s="6" t="s">
        <v>479</v>
      </c>
      <c r="B160" s="7" t="s">
        <v>480</v>
      </c>
      <c r="C160" s="7" t="e">
        <f ca="1">Image("https://images-na.ssl-images-amazon.com/images/I/412A9j4CdiL.jpg;https://images-na.ssl-images-amazon.com/images/I/31crTxK0jML.jpg;https://images-na.ssl-images-amazon.com/images/I/21VghECfFgL.jpg;https://images-na.ssl-images-amazon.com/images/I/41pcRbTAszL"&amp;".jpg;https://images-na.ssl-images-amazon.com/images/I/419v2yA3TdL.jpg")</f>
        <v>#NAME?</v>
      </c>
      <c r="D160" s="7" t="s">
        <v>16</v>
      </c>
      <c r="E160" s="7" t="s">
        <v>481</v>
      </c>
      <c r="F160" s="7">
        <v>19</v>
      </c>
      <c r="G160" s="7">
        <v>190</v>
      </c>
      <c r="H160" s="7">
        <v>1</v>
      </c>
      <c r="I160" s="7">
        <v>-8.8000000000000007</v>
      </c>
      <c r="J160" s="7">
        <v>79.56</v>
      </c>
    </row>
    <row r="161" spans="1:10" ht="14.4">
      <c r="A161" s="6" t="s">
        <v>482</v>
      </c>
      <c r="B161" s="7" t="s">
        <v>483</v>
      </c>
      <c r="C161" s="7" t="e">
        <f ca="1">Image("https://images-na.ssl-images-amazon.com/images/I/41iHJ38k61L.jpg;https://images-na.ssl-images-amazon.com/images/I/41D7Ob7WA7L.jpg;https://images-na.ssl-images-amazon.com/images/I/41afjj8PxdL.jpg;https://images-na.ssl-images-amazon.com/images/I/515Gj1IxW3L"&amp;".jpg;https://images-na.ssl-images-amazon.com/images/I/51rhdLSHn4L.jpg;https://images-na.ssl-images-amazon.com/images/I/41AiekfLTEL.jpg")</f>
        <v>#NAME?</v>
      </c>
      <c r="D161" s="7" t="s">
        <v>16</v>
      </c>
      <c r="E161" s="7" t="s">
        <v>484</v>
      </c>
      <c r="F161" s="7">
        <v>79</v>
      </c>
      <c r="G161" s="7">
        <v>925.45</v>
      </c>
      <c r="H161" s="7">
        <v>11</v>
      </c>
      <c r="I161" s="7">
        <v>-118.78</v>
      </c>
      <c r="J161" s="7">
        <v>78.22</v>
      </c>
    </row>
    <row r="162" spans="1:10" ht="14.4">
      <c r="A162" s="6" t="s">
        <v>485</v>
      </c>
      <c r="B162" s="7" t="s">
        <v>486</v>
      </c>
      <c r="C162" s="7" t="e">
        <f ca="1">Image("https://images-na.ssl-images-amazon.com/images/I/412oNqHH5CL.jpg;https://images-na.ssl-images-amazon.com/images/I/41xkFgCKcFL.jpg;https://images-na.ssl-images-amazon.com/images/I/41Qms6P5QZL.jpg;https://images-na.ssl-images-amazon.com/images/I/41B2M6MHPCL"&amp;".jpg;https://images-na.ssl-images-amazon.com/images/I/417JzqBY3nL.jpg;https://images-na.ssl-images-amazon.com/images/I/51ZMeTez5QL.jpg;https://images-na.ssl-images-amazon.com/images/I/51aK6Y10v6L.jpg")</f>
        <v>#NAME?</v>
      </c>
      <c r="D162" s="7" t="s">
        <v>20</v>
      </c>
      <c r="E162" s="7" t="s">
        <v>487</v>
      </c>
      <c r="F162" s="7">
        <v>25</v>
      </c>
      <c r="G162" s="7">
        <v>235.2</v>
      </c>
      <c r="H162" s="7">
        <v>1</v>
      </c>
      <c r="I162" s="7">
        <v>-9.68</v>
      </c>
      <c r="J162" s="7">
        <v>77.42</v>
      </c>
    </row>
    <row r="163" spans="1:10" ht="14.4">
      <c r="A163" s="6" t="s">
        <v>488</v>
      </c>
      <c r="B163" s="7" t="s">
        <v>489</v>
      </c>
      <c r="C163" s="7" t="e">
        <f ca="1">Image("https://images-na.ssl-images-amazon.com/images/I/31d+++76HYL.jpg;https://images-na.ssl-images-amazon.com/images/I/21msLb3LRUL.jpg;https://images-na.ssl-images-amazon.com/images/I/21w6j3xmjML.jpg;https://images-na.ssl-images-amazon.com/images/I/516ZXiYv7NL"&amp;".jpg;https://images-na.ssl-images-amazon.com/images/I/21E-+BmFo5L.jpg;https://images-na.ssl-images-amazon.com/images/I/31Kps+HAoQL.jpg")</f>
        <v>#NAME?</v>
      </c>
      <c r="D163" s="7" t="s">
        <v>20</v>
      </c>
      <c r="E163" s="7" t="s">
        <v>490</v>
      </c>
      <c r="F163" s="7">
        <v>2</v>
      </c>
      <c r="G163" s="7">
        <v>87.98</v>
      </c>
      <c r="H163" s="7">
        <v>0</v>
      </c>
      <c r="I163" s="7">
        <v>0</v>
      </c>
      <c r="J163" s="7">
        <v>74.75</v>
      </c>
    </row>
    <row r="164" spans="1:10" ht="14.4">
      <c r="A164" s="6" t="s">
        <v>491</v>
      </c>
      <c r="B164" s="7" t="s">
        <v>492</v>
      </c>
      <c r="C164" s="7" t="e">
        <f ca="1">Image("https://images-na.ssl-images-amazon.com/images/I/41M+BnRmcyL.jpg;https://images-na.ssl-images-amazon.com/images/I/41qZLOjP3NL.jpg;https://images-na.ssl-images-amazon.com/images/I/51F5c+bp78L.jpg")</f>
        <v>#NAME?</v>
      </c>
      <c r="D164" s="7" t="s">
        <v>16</v>
      </c>
      <c r="E164" s="7" t="s">
        <v>493</v>
      </c>
      <c r="F164" s="7">
        <v>4</v>
      </c>
      <c r="G164" s="7">
        <v>62.97</v>
      </c>
      <c r="H164" s="7">
        <v>0</v>
      </c>
      <c r="I164" s="7">
        <v>0</v>
      </c>
      <c r="J164" s="7">
        <v>71.010000000000005</v>
      </c>
    </row>
    <row r="165" spans="1:10" ht="14.4">
      <c r="A165" s="6" t="s">
        <v>494</v>
      </c>
      <c r="B165" s="7" t="s">
        <v>495</v>
      </c>
      <c r="C165" s="7" t="e">
        <f ca="1">Image("https://images-na.ssl-images-amazon.com/images/I/51LaeT1yY8L.jpg;https://images-na.ssl-images-amazon.com/images/I/51Aol0zIEkL.jpg;https://images-na.ssl-images-amazon.com/images/I/41IJq1CQCPL.jpg;https://images-na.ssl-images-amazon.com/images/I/41nJZ5+j+PL"&amp;".jpg;https://images-na.ssl-images-amazon.com/images/I/51QCXzJY7rL.jpg;https://images-na.ssl-images-amazon.com/images/I/51oofA-fP2L.jpg")</f>
        <v>#NAME?</v>
      </c>
      <c r="D165" s="7" t="s">
        <v>16</v>
      </c>
      <c r="E165" s="7" t="s">
        <v>496</v>
      </c>
      <c r="F165" s="7">
        <v>17</v>
      </c>
      <c r="G165" s="7">
        <v>244.85</v>
      </c>
      <c r="H165" s="7">
        <v>5</v>
      </c>
      <c r="I165" s="7">
        <v>-61.18</v>
      </c>
      <c r="J165" s="7">
        <v>70.87</v>
      </c>
    </row>
    <row r="166" spans="1:10" ht="14.4">
      <c r="A166" s="6" t="s">
        <v>497</v>
      </c>
      <c r="B166" s="7" t="s">
        <v>498</v>
      </c>
      <c r="C166" s="7" t="e">
        <f ca="1">Image("https://images-na.ssl-images-amazon.com/images/I/41mwnbxymdL.jpg;https://images-na.ssl-images-amazon.com/images/I/41EDVNJjN+L.jpg")</f>
        <v>#NAME?</v>
      </c>
      <c r="D166" s="7" t="s">
        <v>477</v>
      </c>
      <c r="E166" s="7" t="s">
        <v>499</v>
      </c>
      <c r="F166" s="7">
        <v>6</v>
      </c>
      <c r="G166" s="7">
        <v>82.98</v>
      </c>
      <c r="H166" s="7">
        <v>0</v>
      </c>
      <c r="I166" s="7">
        <v>0</v>
      </c>
      <c r="J166" s="7">
        <v>70.540000000000006</v>
      </c>
    </row>
    <row r="167" spans="1:10" ht="14.4">
      <c r="A167" s="6" t="s">
        <v>500</v>
      </c>
      <c r="B167" s="7" t="s">
        <v>501</v>
      </c>
      <c r="C167" s="7" t="e">
        <f ca="1">Image("https://images-na.ssl-images-amazon.com/images/I/41ihCi6Z4rL.jpg;https://images-na.ssl-images-amazon.com/images/I/41xqdP+NGQL.jpg;https://images-na.ssl-images-amazon.com/images/I/31VL-9MWbDL.jpg")</f>
        <v>#NAME?</v>
      </c>
      <c r="D167" s="7" t="s">
        <v>16</v>
      </c>
      <c r="E167" s="7" t="s">
        <v>502</v>
      </c>
      <c r="F167" s="7">
        <v>11</v>
      </c>
      <c r="G167" s="7">
        <v>143</v>
      </c>
      <c r="H167" s="7">
        <v>0</v>
      </c>
      <c r="I167" s="7">
        <v>0</v>
      </c>
      <c r="J167" s="7">
        <v>68.34</v>
      </c>
    </row>
    <row r="168" spans="1:10" ht="14.4">
      <c r="A168" s="6" t="s">
        <v>503</v>
      </c>
      <c r="B168" s="7" t="s">
        <v>504</v>
      </c>
      <c r="C168" s="7" t="e">
        <f ca="1">Image("https://images-na.ssl-images-amazon.com/images/I/316wB+2rSnL.jpg;https://images-na.ssl-images-amazon.com/images/I/31tQSWHh7wL.jpg;https://images-na.ssl-images-amazon.com/images/I/311qT4B5uJL.jpg;https://images-na.ssl-images-amazon.com/images/I/31kx3w+Gf1L"&amp;".jpg;https://images-na.ssl-images-amazon.com/images/I/516ZXiYv7NL.jpg;https://images-na.ssl-images-amazon.com/images/I/31Kps+HAoQL.jpg")</f>
        <v>#NAME?</v>
      </c>
      <c r="D168" s="7" t="s">
        <v>20</v>
      </c>
      <c r="E168" s="7" t="s">
        <v>141</v>
      </c>
      <c r="F168" s="7">
        <v>5</v>
      </c>
      <c r="G168" s="7">
        <v>151.86000000000001</v>
      </c>
      <c r="H168" s="7">
        <v>1</v>
      </c>
      <c r="I168" s="7">
        <v>-28.76</v>
      </c>
      <c r="J168" s="7">
        <v>67.98</v>
      </c>
    </row>
    <row r="169" spans="1:10" ht="14.4">
      <c r="A169" s="6" t="s">
        <v>505</v>
      </c>
      <c r="B169" s="7" t="s">
        <v>506</v>
      </c>
      <c r="C169" s="7" t="e">
        <f ca="1">Image("https://images-na.ssl-images-amazon.com/images/I/51l+8tQtjIL.jpg")</f>
        <v>#NAME?</v>
      </c>
      <c r="D169" s="7" t="s">
        <v>507</v>
      </c>
      <c r="E169" s="7" t="s">
        <v>508</v>
      </c>
      <c r="F169" s="7">
        <v>9</v>
      </c>
      <c r="G169" s="7">
        <v>127.95</v>
      </c>
      <c r="H169" s="7">
        <v>0</v>
      </c>
      <c r="I169" s="7">
        <v>0</v>
      </c>
      <c r="J169" s="7">
        <v>67.31</v>
      </c>
    </row>
    <row r="170" spans="1:10" ht="14.4">
      <c r="A170" s="6" t="s">
        <v>509</v>
      </c>
      <c r="B170" s="7" t="s">
        <v>510</v>
      </c>
      <c r="C170" s="7" t="e">
        <f ca="1">Image("https://images-na.ssl-images-amazon.com/images/I/51IvLIgIvlL.jpg;https://images-na.ssl-images-amazon.com/images/I/51ScKbU54XL.jpg;https://images-na.ssl-images-amazon.com/images/I/51JUmJLuTUL.jpg;https://images-na.ssl-images-amazon.com/images/I/51pvv+t1YVL"&amp;".jpg")</f>
        <v>#NAME?</v>
      </c>
      <c r="D170" s="7" t="s">
        <v>16</v>
      </c>
      <c r="E170" s="7" t="s">
        <v>511</v>
      </c>
      <c r="F170" s="7">
        <v>6</v>
      </c>
      <c r="G170" s="7">
        <v>118.94</v>
      </c>
      <c r="H170" s="7">
        <v>2</v>
      </c>
      <c r="I170" s="7">
        <v>-36.94</v>
      </c>
      <c r="J170" s="7">
        <v>64.150000000000006</v>
      </c>
    </row>
    <row r="171" spans="1:10" ht="14.4">
      <c r="A171" s="6" t="s">
        <v>512</v>
      </c>
      <c r="B171" s="7" t="s">
        <v>513</v>
      </c>
      <c r="C171" s="7" t="e">
        <f ca="1">Image("https://images-na.ssl-images-amazon.com/images/I/41nqJs9rWfL.jpg;https://images-na.ssl-images-amazon.com/images/I/31cfoZJy8WL.jpg;https://images-na.ssl-images-amazon.com/images/I/51Yxjdxj-RL.jpg;https://images-na.ssl-images-amazon.com/images/I/51xrWYBGhJL"&amp;".jpg;https://images-na.ssl-images-amazon.com/images/I/51LgTBMU3QL.jpg;https://images-na.ssl-images-amazon.com/images/I/51qltnEr4KL.jpg")</f>
        <v>#NAME?</v>
      </c>
      <c r="D171" s="7" t="s">
        <v>20</v>
      </c>
      <c r="E171" s="7" t="s">
        <v>514</v>
      </c>
      <c r="F171" s="7">
        <v>5</v>
      </c>
      <c r="G171" s="7">
        <v>74.349999999999994</v>
      </c>
      <c r="H171" s="7">
        <v>0</v>
      </c>
      <c r="I171" s="7">
        <v>0</v>
      </c>
      <c r="J171" s="7">
        <v>63.21</v>
      </c>
    </row>
    <row r="172" spans="1:10" ht="14.4">
      <c r="A172" s="6" t="s">
        <v>515</v>
      </c>
      <c r="B172" s="7" t="s">
        <v>516</v>
      </c>
      <c r="C172" s="7" t="e">
        <f ca="1">Image("https://images-na.ssl-images-amazon.com/images/I/41OO4v+z14L.jpg;https://images-na.ssl-images-amazon.com/images/I/41umzU7+V5L.jpg;https://images-na.ssl-images-amazon.com/images/I/41-mDtN1KEL.jpg;https://images-na.ssl-images-amazon.com/images/I/41ixO9sAGeL"&amp;".jpg")</f>
        <v>#NAME?</v>
      </c>
      <c r="D172" s="7" t="s">
        <v>20</v>
      </c>
      <c r="E172" s="7" t="s">
        <v>517</v>
      </c>
      <c r="F172" s="7">
        <v>7</v>
      </c>
      <c r="G172" s="7">
        <v>104.23</v>
      </c>
      <c r="H172" s="7">
        <v>2</v>
      </c>
      <c r="I172" s="7">
        <v>-23.5</v>
      </c>
      <c r="J172" s="7">
        <v>59.87</v>
      </c>
    </row>
    <row r="173" spans="1:10" ht="14.4">
      <c r="A173" s="6" t="s">
        <v>518</v>
      </c>
      <c r="B173" s="7" t="s">
        <v>519</v>
      </c>
      <c r="C173" s="7" t="e">
        <f ca="1">Image("https://images-na.ssl-images-amazon.com/images/I/416kCWZQWdL.jpg;https://images-na.ssl-images-amazon.com/images/I/41QoXUsC0zL.jpg;https://images-na.ssl-images-amazon.com/images/I/41yXDWQT51L.jpg;https://images-na.ssl-images-amazon.com/images/I/41CNkbEvNuL"&amp;".jpg;https://images-na.ssl-images-amazon.com/images/I/513k6zCY5TL.jpg;https://images-na.ssl-images-amazon.com/images/I/51yvcbscM8L.jpg;https://images-na.ssl-images-amazon.com/images/I/51OGdAJV8cL.jpg")</f>
        <v>#NAME?</v>
      </c>
      <c r="D173" s="7" t="s">
        <v>20</v>
      </c>
      <c r="E173" s="7" t="s">
        <v>520</v>
      </c>
      <c r="F173" s="7">
        <v>17</v>
      </c>
      <c r="G173" s="7">
        <v>232</v>
      </c>
      <c r="H173" s="7">
        <v>4</v>
      </c>
      <c r="I173" s="7">
        <v>-54.7</v>
      </c>
      <c r="J173" s="7">
        <v>59.59</v>
      </c>
    </row>
    <row r="174" spans="1:10" ht="14.4">
      <c r="A174" s="6" t="s">
        <v>521</v>
      </c>
      <c r="B174" s="7" t="s">
        <v>522</v>
      </c>
      <c r="C174" s="7" t="e">
        <f ca="1">Image("https://images-na.ssl-images-amazon.com/images/I/41lrbL94IZL.jpg")</f>
        <v>#NAME?</v>
      </c>
      <c r="D174" s="7" t="s">
        <v>398</v>
      </c>
      <c r="E174" s="7" t="s">
        <v>523</v>
      </c>
      <c r="F174" s="7">
        <v>16</v>
      </c>
      <c r="G174" s="7">
        <v>143.88999999999999</v>
      </c>
      <c r="H174" s="7">
        <v>0</v>
      </c>
      <c r="I174" s="7">
        <v>0</v>
      </c>
      <c r="J174" s="7">
        <v>58.48</v>
      </c>
    </row>
    <row r="175" spans="1:10" ht="14.4">
      <c r="A175" s="6" t="s">
        <v>524</v>
      </c>
      <c r="B175" s="7" t="s">
        <v>525</v>
      </c>
      <c r="C175" s="7" t="e">
        <f ca="1">Image("https://images-na.ssl-images-amazon.com/images/I/41cmUSOaQYL.jpg;https://images-na.ssl-images-amazon.com/images/I/41EDVNJjN+L.jpg")</f>
        <v>#NAME?</v>
      </c>
      <c r="D175" s="7" t="s">
        <v>299</v>
      </c>
      <c r="E175" s="7" t="s">
        <v>526</v>
      </c>
      <c r="F175" s="7">
        <v>6</v>
      </c>
      <c r="G175" s="7">
        <v>82.98</v>
      </c>
      <c r="H175" s="7">
        <v>1</v>
      </c>
      <c r="I175" s="7">
        <v>-15.84</v>
      </c>
      <c r="J175" s="7">
        <v>54.7</v>
      </c>
    </row>
    <row r="176" spans="1:10" ht="14.4">
      <c r="A176" s="6" t="s">
        <v>527</v>
      </c>
      <c r="B176" s="7" t="s">
        <v>528</v>
      </c>
      <c r="C176" s="7" t="e">
        <f ca="1">Image("https://images-na.ssl-images-amazon.com/images/I/41OtfN89EHL.jpg;https://images-na.ssl-images-amazon.com/images/I/51RV2TbVADL.jpg;https://images-na.ssl-images-amazon.com/images/I/51M9misNY0L.jpg;https://images-na.ssl-images-amazon.com/images/I/51-0NrxGLdL"&amp;".jpg")</f>
        <v>#NAME?</v>
      </c>
      <c r="D176" s="7" t="s">
        <v>16</v>
      </c>
      <c r="E176" s="7" t="s">
        <v>529</v>
      </c>
      <c r="F176" s="7">
        <v>7</v>
      </c>
      <c r="G176" s="7">
        <v>175</v>
      </c>
      <c r="H176" s="7">
        <v>1</v>
      </c>
      <c r="I176" s="7">
        <v>-22</v>
      </c>
      <c r="J176" s="7">
        <v>53.61</v>
      </c>
    </row>
    <row r="177" spans="1:10" ht="14.4">
      <c r="A177" s="6" t="s">
        <v>530</v>
      </c>
      <c r="B177" s="7" t="s">
        <v>531</v>
      </c>
      <c r="C177" s="7" t="e">
        <f ca="1">Image("https://images-na.ssl-images-amazon.com/images/I/51f1huhKIkL.jpg;https://images-na.ssl-images-amazon.com/images/I/61OIh7jia0L.jpg;https://images-na.ssl-images-amazon.com/images/I/51eX9UiNTlL.jpg;https://images-na.ssl-images-amazon.com/images/I/61h4HUZF6tL"&amp;".jpg;https://images-na.ssl-images-amazon.com/images/I/41t0qw1nB-L.jpg")</f>
        <v>#NAME?</v>
      </c>
      <c r="D177" s="7" t="s">
        <v>16</v>
      </c>
      <c r="E177" s="7" t="s">
        <v>532</v>
      </c>
      <c r="F177" s="7">
        <v>8</v>
      </c>
      <c r="G177" s="7">
        <v>192</v>
      </c>
      <c r="H177" s="7">
        <v>0</v>
      </c>
      <c r="I177" s="7">
        <v>0</v>
      </c>
      <c r="J177" s="7">
        <v>51.98</v>
      </c>
    </row>
    <row r="178" spans="1:10" ht="14.4">
      <c r="A178" s="6" t="s">
        <v>533</v>
      </c>
      <c r="B178" s="7" t="s">
        <v>534</v>
      </c>
      <c r="C178" s="7" t="e">
        <f ca="1">Image("https://images-na.ssl-images-amazon.com/images/I/41UKyCayfVL.jpg;https://images-na.ssl-images-amazon.com/images/I/416Q8oChquL.jpg;https://images-na.ssl-images-amazon.com/images/I/51Yxjdxj-RL.jpg;https://images-na.ssl-images-amazon.com/images/I/41nv8soafuL"&amp;".jpg;https://images-na.ssl-images-amazon.com/images/I/61919xho04L.jpg;https://images-na.ssl-images-amazon.com/images/I/61ogBak3BnL.jpg;https://images-na.ssl-images-amazon.com/images/I/51bxw2FuOIL.jpg")</f>
        <v>#NAME?</v>
      </c>
      <c r="D178" s="7" t="s">
        <v>20</v>
      </c>
      <c r="E178" s="7" t="s">
        <v>535</v>
      </c>
      <c r="F178" s="7">
        <v>10</v>
      </c>
      <c r="G178" s="7">
        <v>108.4</v>
      </c>
      <c r="H178" s="7">
        <v>1</v>
      </c>
      <c r="I178" s="7">
        <v>-9.2899999999999991</v>
      </c>
      <c r="J178" s="7">
        <v>51.59</v>
      </c>
    </row>
    <row r="179" spans="1:10" ht="14.4">
      <c r="A179" s="6" t="s">
        <v>536</v>
      </c>
      <c r="B179" s="7" t="s">
        <v>537</v>
      </c>
      <c r="C179" s="7" t="e">
        <f ca="1">Image("https://images-na.ssl-images-amazon.com/images/I/41ahpgxKRJL.jpg;https://images-na.ssl-images-amazon.com/images/I/41-scGl6iML.jpg;https://images-na.ssl-images-amazon.com/images/I/41JaW1F11nL.jpg;https://images-na.ssl-images-amazon.com/images/I/41M-ZM4SHrL"&amp;".jpg;https://images-na.ssl-images-amazon.com/images/I/41ZXvYtypjL.jpg;https://images-na.ssl-images-amazon.com/images/I/41wQzoUSQ+L.jpg")</f>
        <v>#NAME?</v>
      </c>
      <c r="D179" s="7" t="s">
        <v>16</v>
      </c>
      <c r="E179" s="7" t="s">
        <v>538</v>
      </c>
      <c r="F179" s="7">
        <v>17</v>
      </c>
      <c r="G179" s="7">
        <v>158.99</v>
      </c>
      <c r="H179" s="7">
        <v>2</v>
      </c>
      <c r="I179" s="7">
        <v>-15.84</v>
      </c>
      <c r="J179" s="7">
        <v>50.84</v>
      </c>
    </row>
    <row r="180" spans="1:10" ht="14.4">
      <c r="A180" s="6" t="s">
        <v>539</v>
      </c>
      <c r="B180" s="7" t="s">
        <v>540</v>
      </c>
      <c r="C180" s="7" t="e">
        <f ca="1">Image("https://images-na.ssl-images-amazon.com/images/I/317r31q1MzL.jpg;https://images-na.ssl-images-amazon.com/images/I/31Mo+VL8Y0L.jpg;https://images-na.ssl-images-amazon.com/images/I/3152JEeuqnL.jpg;https://images-na.ssl-images-amazon.com/images/I/41WqCjB8hyL"&amp;".jpg;https://images-na.ssl-images-amazon.com/images/I/41NbMPA08qL.jpg;https://images-na.ssl-images-amazon.com/images/I/41TL6egbrJL.jpg")</f>
        <v>#NAME?</v>
      </c>
      <c r="D180" s="7" t="s">
        <v>20</v>
      </c>
      <c r="E180" s="7" t="s">
        <v>541</v>
      </c>
      <c r="F180" s="7">
        <v>36</v>
      </c>
      <c r="G180" s="7">
        <v>187.24</v>
      </c>
      <c r="H180" s="7">
        <v>1</v>
      </c>
      <c r="I180" s="7">
        <v>-6.54</v>
      </c>
      <c r="J180" s="7">
        <v>50.54</v>
      </c>
    </row>
    <row r="181" spans="1:10" ht="14.4">
      <c r="A181" s="6" t="s">
        <v>542</v>
      </c>
      <c r="B181" s="7" t="s">
        <v>543</v>
      </c>
      <c r="C181" s="7" t="e">
        <f ca="1">Image("https://images-na.ssl-images-amazon.com/images/I/41kilqpK8eL.jpg;https://images-na.ssl-images-amazon.com/images/I/51ETP+-btDL.jpg;https://images-na.ssl-images-amazon.com/images/I/51RJS48UBHL.jpg;https://images-na.ssl-images-amazon.com/images/I/51kJ9dk2trL"&amp;".jpg;https://images-na.ssl-images-amazon.com/images/I/51k6ezLp0bL.jpg;https://images-na.ssl-images-amazon.com/images/I/51vyz8l8q5L.jpg")</f>
        <v>#NAME?</v>
      </c>
      <c r="D181" s="7" t="s">
        <v>20</v>
      </c>
      <c r="E181" s="7" t="s">
        <v>544</v>
      </c>
      <c r="F181" s="7">
        <v>20</v>
      </c>
      <c r="G181" s="7">
        <v>210.8</v>
      </c>
      <c r="H181" s="7">
        <v>0</v>
      </c>
      <c r="I181" s="7">
        <v>0</v>
      </c>
      <c r="J181" s="7">
        <v>48.04</v>
      </c>
    </row>
    <row r="182" spans="1:10" ht="14.4">
      <c r="A182" s="6" t="s">
        <v>545</v>
      </c>
      <c r="B182" s="7" t="s">
        <v>546</v>
      </c>
      <c r="C182" s="7" t="e">
        <f ca="1">Image("https://images-na.ssl-images-amazon.com/images/I/21PI-hYxmJL.jpg;https://images-na.ssl-images-amazon.com/images/I/21Ghpe9VbvL.jpg;https://images-na.ssl-images-amazon.com/images/I/11mcDBOpnDL.jpg;https://images-na.ssl-images-amazon.com/images/I/21UfEckZSbL"&amp;".jpg;https://images-na.ssl-images-amazon.com/images/I/31UWnLINN2L.jpg;https://images-na.ssl-images-amazon.com/images/I/41s6L0G-UhL.jpg")</f>
        <v>#NAME?</v>
      </c>
      <c r="D182" s="7" t="s">
        <v>20</v>
      </c>
      <c r="E182" s="7" t="s">
        <v>547</v>
      </c>
      <c r="F182" s="7">
        <v>26</v>
      </c>
      <c r="G182" s="7">
        <v>127.38</v>
      </c>
      <c r="H182" s="7">
        <v>0</v>
      </c>
      <c r="I182" s="7">
        <v>0</v>
      </c>
      <c r="J182" s="7">
        <v>45.89</v>
      </c>
    </row>
    <row r="183" spans="1:10" ht="14.4">
      <c r="A183" s="6" t="s">
        <v>548</v>
      </c>
      <c r="B183" s="7" t="s">
        <v>549</v>
      </c>
      <c r="C183" s="7" t="e">
        <f ca="1">Image("https://images-na.ssl-images-amazon.com/images/I/41Dld8-KkkL.jpg;https://images-na.ssl-images-amazon.com/images/I/410uZZVr9pL.jpg;https://images-na.ssl-images-amazon.com/images/I/41xFegftz2L.jpg;https://images-na.ssl-images-amazon.com/images/I/516rmYUsj5L"&amp;".jpg;https://images-na.ssl-images-amazon.com/images/I/61cjnPXQqhL.jpg;https://images-na.ssl-images-amazon.com/images/I/51Gvx6cfBdL.jpg;https://images-na.ssl-images-amazon.com/images/I/51KOzTFKBiL.jpg")</f>
        <v>#NAME?</v>
      </c>
      <c r="D183" s="7" t="s">
        <v>20</v>
      </c>
      <c r="E183" s="7" t="s">
        <v>550</v>
      </c>
      <c r="F183" s="7">
        <v>6</v>
      </c>
      <c r="G183" s="7">
        <v>59.22</v>
      </c>
      <c r="H183" s="7">
        <v>1</v>
      </c>
      <c r="I183" s="7">
        <v>-6.32</v>
      </c>
      <c r="J183" s="7">
        <v>45.43</v>
      </c>
    </row>
    <row r="184" spans="1:10" ht="14.4">
      <c r="A184" s="6" t="s">
        <v>551</v>
      </c>
      <c r="B184" s="7" t="s">
        <v>552</v>
      </c>
      <c r="C184" s="7" t="e">
        <f ca="1">Image("https://images-na.ssl-images-amazon.com/images/I/21p+ILRg6TL.jpg;https://images-na.ssl-images-amazon.com/images/I/41Dm7AAbLjL.jpg;https://images-na.ssl-images-amazon.com/images/I/31+GpQnVaDL.jpg;https://images-na.ssl-images-amazon.com/images/I/41mPq-P30bL"&amp;".jpg;https://images-na.ssl-images-amazon.com/images/I/51jHIudoHLL.jpg")</f>
        <v>#NAME?</v>
      </c>
      <c r="D184" s="7" t="s">
        <v>20</v>
      </c>
      <c r="E184" s="7" t="s">
        <v>553</v>
      </c>
      <c r="F184" s="7">
        <v>30</v>
      </c>
      <c r="G184" s="7">
        <v>157.5</v>
      </c>
      <c r="H184" s="7">
        <v>1</v>
      </c>
      <c r="I184" s="7">
        <v>-4.84</v>
      </c>
      <c r="J184" s="7">
        <v>43.25</v>
      </c>
    </row>
    <row r="185" spans="1:10" ht="14.4">
      <c r="A185" s="6" t="s">
        <v>554</v>
      </c>
      <c r="B185" s="7" t="s">
        <v>555</v>
      </c>
      <c r="C185" s="7" t="e">
        <f ca="1">Image("https://images-na.ssl-images-amazon.com/images/I/31Ad5HrLpOL.jpg;https://images-na.ssl-images-amazon.com/images/I/21LwDgCQ0dL.jpg;https://images-na.ssl-images-amazon.com/images/I/215dW+udfIL.jpg;https://images-na.ssl-images-amazon.com/images/I/41QQuAx931L"&amp;".jpg;https://images-na.ssl-images-amazon.com/images/I/41w4VajnmLL.jpg")</f>
        <v>#NAME?</v>
      </c>
      <c r="D185" s="7" t="s">
        <v>20</v>
      </c>
      <c r="E185" s="7" t="s">
        <v>556</v>
      </c>
      <c r="F185" s="7">
        <v>7</v>
      </c>
      <c r="G185" s="7">
        <v>105</v>
      </c>
      <c r="H185" s="7">
        <v>0</v>
      </c>
      <c r="I185" s="7">
        <v>0</v>
      </c>
      <c r="J185" s="7">
        <v>42.56</v>
      </c>
    </row>
    <row r="186" spans="1:10" ht="14.4">
      <c r="A186" s="6" t="s">
        <v>557</v>
      </c>
      <c r="B186" s="7" t="s">
        <v>558</v>
      </c>
      <c r="C186" s="7" t="e">
        <f ca="1">Image("https://images-na.ssl-images-amazon.com/images/I/41AUiodrs2L.jpg;https://images-na.ssl-images-amazon.com/images/I/41EDVNJjN+L.jpg")</f>
        <v>#NAME?</v>
      </c>
      <c r="D186" s="7" t="s">
        <v>477</v>
      </c>
      <c r="E186" s="7" t="s">
        <v>559</v>
      </c>
      <c r="F186" s="7">
        <v>4</v>
      </c>
      <c r="G186" s="7">
        <v>49.83</v>
      </c>
      <c r="H186" s="7">
        <v>0</v>
      </c>
      <c r="I186" s="7">
        <v>0</v>
      </c>
      <c r="J186" s="7">
        <v>42.38</v>
      </c>
    </row>
    <row r="187" spans="1:10" ht="14.4">
      <c r="A187" s="6" t="s">
        <v>560</v>
      </c>
      <c r="B187" s="7" t="s">
        <v>561</v>
      </c>
      <c r="C187" s="7" t="e">
        <f ca="1">Image("https://images-na.ssl-images-amazon.com/images/I/411kEgan53L.jpg;https://images-na.ssl-images-amazon.com/images/I/41w4ROC6D1L.jpg;https://images-na.ssl-images-amazon.com/images/I/313BUOgA2gL.jpg;https://images-na.ssl-images-amazon.com/images/I/51UZrtSSLfL"&amp;".jpg")</f>
        <v>#NAME?</v>
      </c>
      <c r="D187" s="7" t="s">
        <v>16</v>
      </c>
      <c r="E187" s="7" t="s">
        <v>562</v>
      </c>
      <c r="F187" s="7">
        <v>32</v>
      </c>
      <c r="G187" s="7">
        <v>312.24</v>
      </c>
      <c r="H187" s="7">
        <v>26</v>
      </c>
      <c r="I187" s="7">
        <v>-223.27</v>
      </c>
      <c r="J187" s="7">
        <v>42.21</v>
      </c>
    </row>
    <row r="188" spans="1:10" ht="14.4">
      <c r="A188" s="6" t="s">
        <v>563</v>
      </c>
      <c r="B188" s="7" t="s">
        <v>564</v>
      </c>
      <c r="C188" s="7" t="e">
        <f ca="1">Image("https://images-na.ssl-images-amazon.com/images/I/31wpkKyJhUL.jpg;https://images-na.ssl-images-amazon.com/images/I/31OljM0tliL.jpg;https://images-na.ssl-images-amazon.com/images/I/31K8E-WicxL.jpg;https://images-na.ssl-images-amazon.com/images/I/51YP17Df0kL"&amp;".jpg;https://images-na.ssl-images-amazon.com/images/I/41IiDjD3unL.jpg;https://images-na.ssl-images-amazon.com/images/I/51--EGoBBQL.jpg;https://images-na.ssl-images-amazon.com/images/I/51V0N0K2LRL.jpg")</f>
        <v>#NAME?</v>
      </c>
      <c r="D188" s="7" t="s">
        <v>20</v>
      </c>
      <c r="E188" s="7" t="s">
        <v>565</v>
      </c>
      <c r="F188" s="7">
        <v>29</v>
      </c>
      <c r="G188" s="7">
        <v>192.18</v>
      </c>
      <c r="H188" s="7">
        <v>3</v>
      </c>
      <c r="I188" s="7">
        <v>-18.829999999999998</v>
      </c>
      <c r="J188" s="7">
        <v>42.02</v>
      </c>
    </row>
    <row r="189" spans="1:10" ht="14.4">
      <c r="A189" s="6" t="s">
        <v>566</v>
      </c>
      <c r="B189" s="7" t="s">
        <v>567</v>
      </c>
      <c r="C189" s="7" t="e">
        <f ca="1">Image("https://images-na.ssl-images-amazon.com/images/I/31KCPTP+qNL.jpg;https://images-na.ssl-images-amazon.com/images/I/319VuiJ2nvL.jpg;https://images-na.ssl-images-amazon.com/images/I/31VDfo7Uj5L.jpg;https://images-na.ssl-images-amazon.com/images/I/41JIPc31d6L"&amp;".jpg;https://images-na.ssl-images-amazon.com/images/I/41YDRczuiGL.jpg;https://images-na.ssl-images-amazon.com/images/I/51TAiw2MGTL.jpg;https://images-na.ssl-images-amazon.com/images/I/41cLO3ZWQoL.jpg")</f>
        <v>#NAME?</v>
      </c>
      <c r="D189" s="7" t="s">
        <v>20</v>
      </c>
      <c r="E189" s="7" t="s">
        <v>568</v>
      </c>
      <c r="F189" s="7">
        <v>26</v>
      </c>
      <c r="G189" s="7">
        <v>123.25</v>
      </c>
      <c r="H189" s="7">
        <v>1</v>
      </c>
      <c r="I189" s="7">
        <v>-4.21</v>
      </c>
      <c r="J189" s="7">
        <v>42.02</v>
      </c>
    </row>
    <row r="190" spans="1:10" ht="14.4">
      <c r="A190" s="6" t="s">
        <v>569</v>
      </c>
      <c r="B190" s="7" t="s">
        <v>570</v>
      </c>
      <c r="C190" s="7" t="e">
        <f ca="1">Image("https://images-na.ssl-images-amazon.com/images/I/41ZVaXJ1UQL.jpg;https://images-na.ssl-images-amazon.com/images/I/416WTLax7RL.jpg;https://images-na.ssl-images-amazon.com/images/I/31otxfAdYcL.jpg;https://images-na.ssl-images-amazon.com/images/I/41yqwsPgCAL"&amp;".jpg")</f>
        <v>#NAME?</v>
      </c>
      <c r="D190" s="7" t="s">
        <v>16</v>
      </c>
      <c r="E190" s="7" t="s">
        <v>571</v>
      </c>
      <c r="F190" s="7">
        <v>4</v>
      </c>
      <c r="G190" s="7">
        <v>49.24</v>
      </c>
      <c r="H190" s="7">
        <v>0</v>
      </c>
      <c r="I190" s="7">
        <v>0</v>
      </c>
      <c r="J190" s="7">
        <v>41.86</v>
      </c>
    </row>
    <row r="191" spans="1:10" ht="14.4">
      <c r="A191" s="6" t="s">
        <v>572</v>
      </c>
      <c r="B191" s="7" t="s">
        <v>573</v>
      </c>
      <c r="C191" s="7" t="e">
        <f ca="1">Image("https://images-na.ssl-images-amazon.com/images/I/41r1PEy27pL.jpg;https://images-na.ssl-images-amazon.com/images/I/41EDVNJjN+L.jpg")</f>
        <v>#NAME?</v>
      </c>
      <c r="D191" s="7" t="s">
        <v>477</v>
      </c>
      <c r="E191" s="7" t="s">
        <v>574</v>
      </c>
      <c r="F191" s="7">
        <v>2</v>
      </c>
      <c r="G191" s="7">
        <v>49</v>
      </c>
      <c r="H191" s="7">
        <v>0</v>
      </c>
      <c r="I191" s="7">
        <v>0</v>
      </c>
      <c r="J191" s="7">
        <v>41.64</v>
      </c>
    </row>
    <row r="192" spans="1:10" ht="14.4">
      <c r="A192" s="6" t="s">
        <v>575</v>
      </c>
      <c r="B192" s="7" t="s">
        <v>576</v>
      </c>
      <c r="C192" s="7" t="e">
        <f ca="1">Image("https://images-na.ssl-images-amazon.com/images/I/41Kf488QYHL.jpg;https://images-na.ssl-images-amazon.com/images/I/412osnW94qL.jpg;https://images-na.ssl-images-amazon.com/images/I/41szeYYs6CL.jpg;https://images-na.ssl-images-amazon.com/images/I/31+Xz-RtcgL"&amp;".jpg;https://images-na.ssl-images-amazon.com/images/I/21tNNHDftqL.jpg;https://images-na.ssl-images-amazon.com/images/I/21xrXz5FDyL.jpg")</f>
        <v>#NAME?</v>
      </c>
      <c r="D192" s="7" t="s">
        <v>20</v>
      </c>
      <c r="E192" s="7" t="s">
        <v>577</v>
      </c>
      <c r="F192" s="7">
        <v>4</v>
      </c>
      <c r="G192" s="7">
        <v>48.93</v>
      </c>
      <c r="H192" s="7">
        <v>0</v>
      </c>
      <c r="I192" s="7">
        <v>0</v>
      </c>
      <c r="J192" s="7">
        <v>41.58</v>
      </c>
    </row>
    <row r="193" spans="1:10" ht="14.4">
      <c r="A193" s="6" t="s">
        <v>578</v>
      </c>
      <c r="B193" s="7" t="s">
        <v>579</v>
      </c>
      <c r="C193" s="7" t="e">
        <f ca="1">Image("https://images-na.ssl-images-amazon.com/images/I/41NI7O+XdLL.jpg;https://images-na.ssl-images-amazon.com/images/I/41cmYfhJpzL.jpg;https://images-na.ssl-images-amazon.com/images/I/41WnOXaDm3L.jpg;https://images-na.ssl-images-amazon.com/images/I/318b8VdLmrL"&amp;".jpg;https://images-na.ssl-images-amazon.com/images/I/31L0mZ5N2iL.jpg;https://images-na.ssl-images-amazon.com/images/I/51p22NM6GaL.jpg;https://images-na.ssl-images-amazon.com/images/I/61xaxM5bkZL.jpg;https://images-na.ssl-images-amazon.com/images/I/418vJz"&amp;"t74mL.jpg")</f>
        <v>#NAME?</v>
      </c>
      <c r="D193" s="7" t="s">
        <v>20</v>
      </c>
      <c r="E193" s="7" t="s">
        <v>580</v>
      </c>
      <c r="F193" s="7">
        <v>91</v>
      </c>
      <c r="G193" s="7">
        <v>1162.28</v>
      </c>
      <c r="H193" s="7">
        <v>19</v>
      </c>
      <c r="I193" s="7">
        <v>-207.02</v>
      </c>
      <c r="J193" s="7">
        <v>41.02</v>
      </c>
    </row>
    <row r="194" spans="1:10" ht="14.4">
      <c r="A194" s="6" t="s">
        <v>581</v>
      </c>
      <c r="B194" s="7" t="s">
        <v>582</v>
      </c>
      <c r="C194" s="7" t="e">
        <f ca="1">Image("https://images-na.ssl-images-amazon.com/images/I/41hUI-doAyL.jpg;https://images-na.ssl-images-amazon.com/images/I/41MTO8joLNL.jpg;https://images-na.ssl-images-amazon.com/images/I/415O2xkP8eL.jpg;https://images-na.ssl-images-amazon.com/images/I/41MJsAwGKDL"&amp;".jpg;https://images-na.ssl-images-amazon.com/images/I/31vzSFOnAyL.jpg;https://images-na.ssl-images-amazon.com/images/I/61Ex8c7thXL.jpg")</f>
        <v>#NAME?</v>
      </c>
      <c r="D194" s="7" t="s">
        <v>20</v>
      </c>
      <c r="E194" s="7" t="s">
        <v>440</v>
      </c>
      <c r="F194" s="7">
        <v>4</v>
      </c>
      <c r="G194" s="7">
        <v>54.16</v>
      </c>
      <c r="H194" s="7">
        <v>0</v>
      </c>
      <c r="I194" s="7">
        <v>-5.27</v>
      </c>
      <c r="J194" s="7">
        <v>40.770000000000003</v>
      </c>
    </row>
    <row r="195" spans="1:10" ht="14.4">
      <c r="A195" s="6" t="s">
        <v>583</v>
      </c>
      <c r="B195" s="7" t="s">
        <v>584</v>
      </c>
      <c r="C195" s="7" t="e">
        <f ca="1">Image("https://images-na.ssl-images-amazon.com/images/I/31OsGoWy2cL.jpg;https://images-na.ssl-images-amazon.com/images/I/41L2yeoahDL.jpg;https://images-na.ssl-images-amazon.com/images/I/41+aTR5HyCL.jpg;https://images-na.ssl-images-amazon.com/images/I/41zqW+BqNOL"&amp;".jpg;https://images-na.ssl-images-amazon.com/images/I/51JWe3vOpnL.jpg;https://images-na.ssl-images-amazon.com/images/I/41ay+0Vwc7L.jpg")</f>
        <v>#NAME?</v>
      </c>
      <c r="D195" s="7" t="s">
        <v>16</v>
      </c>
      <c r="E195" s="7" t="s">
        <v>369</v>
      </c>
      <c r="F195" s="7">
        <v>6</v>
      </c>
      <c r="G195" s="7">
        <v>46.98</v>
      </c>
      <c r="H195" s="7">
        <v>0</v>
      </c>
      <c r="I195" s="7">
        <v>0</v>
      </c>
      <c r="J195" s="7">
        <v>39.94</v>
      </c>
    </row>
    <row r="196" spans="1:10" ht="14.4">
      <c r="A196" s="6" t="s">
        <v>585</v>
      </c>
      <c r="B196" s="7" t="s">
        <v>586</v>
      </c>
      <c r="C196" s="7" t="e">
        <f ca="1">Image("https://images-na.ssl-images-amazon.com/images/I/51Ee6K8aSML.jpg;https://images-na.ssl-images-amazon.com/images/I/41DRdTWp7pL.jpg;https://images-na.ssl-images-amazon.com/images/I/41MZeoFL0fL.jpg;https://images-na.ssl-images-amazon.com/images/I/41MOB2OVIfL"&amp;".jpg;https://images-na.ssl-images-amazon.com/images/I/51FbVmOiwNL.jpg")</f>
        <v>#NAME?</v>
      </c>
      <c r="D196" s="7" t="s">
        <v>16</v>
      </c>
      <c r="E196" s="7" t="s">
        <v>587</v>
      </c>
      <c r="F196" s="7">
        <v>1</v>
      </c>
      <c r="G196" s="7">
        <v>44.99</v>
      </c>
      <c r="H196" s="7">
        <v>0</v>
      </c>
      <c r="I196" s="7">
        <v>0</v>
      </c>
      <c r="J196" s="7">
        <v>38.24</v>
      </c>
    </row>
    <row r="197" spans="1:10" ht="14.4">
      <c r="A197" s="6" t="s">
        <v>588</v>
      </c>
      <c r="B197" s="7" t="s">
        <v>589</v>
      </c>
      <c r="C197" s="7" t="e">
        <f ca="1">Image("https://images-na.ssl-images-amazon.com/images/I/51Zrxssed5L.jpg;https://images-na.ssl-images-amazon.com/images/I/51tQCD01BWL.jpg;https://images-na.ssl-images-amazon.com/images/I/510dipRDMkL.jpg;https://images-na.ssl-images-amazon.com/images/I/41lUC0VbbEL"&amp;".jpg;https://images-na.ssl-images-amazon.com/images/I/41jjSE1vfLL.jpg;https://images-na.ssl-images-amazon.com/images/I/61jIp12XfOL.jpg")</f>
        <v>#NAME?</v>
      </c>
      <c r="D197" s="7" t="s">
        <v>16</v>
      </c>
      <c r="E197" s="7" t="s">
        <v>360</v>
      </c>
      <c r="F197" s="7">
        <v>1</v>
      </c>
      <c r="G197" s="7">
        <v>44.99</v>
      </c>
      <c r="H197" s="7">
        <v>0</v>
      </c>
      <c r="I197" s="7">
        <v>0</v>
      </c>
      <c r="J197" s="7">
        <v>38.24</v>
      </c>
    </row>
    <row r="198" spans="1:10" ht="14.4">
      <c r="A198" s="6" t="s">
        <v>590</v>
      </c>
      <c r="B198" s="7" t="s">
        <v>591</v>
      </c>
      <c r="C198" s="7" t="e">
        <f ca="1">Image("https://images-na.ssl-images-amazon.com/images/I/31020BwR3gL.jpg;https://images-na.ssl-images-amazon.com/images/I/41ho8gpp+cL.jpg;https://images-na.ssl-images-amazon.com/images/I/31lQVp64HCL.jpg;https://images-na.ssl-images-amazon.com/images/I/31-XZAY0lFL"&amp;".jpg")</f>
        <v>#NAME?</v>
      </c>
      <c r="D198" s="7" t="s">
        <v>20</v>
      </c>
      <c r="E198" s="7" t="s">
        <v>592</v>
      </c>
      <c r="F198" s="7">
        <v>21</v>
      </c>
      <c r="G198" s="7">
        <v>111.55</v>
      </c>
      <c r="H198" s="7">
        <v>1</v>
      </c>
      <c r="I198" s="7">
        <v>-5.2</v>
      </c>
      <c r="J198" s="7">
        <v>38.17</v>
      </c>
    </row>
    <row r="199" spans="1:10" ht="14.4">
      <c r="A199" s="6" t="s">
        <v>593</v>
      </c>
      <c r="B199" s="7" t="s">
        <v>594</v>
      </c>
      <c r="C199" s="7" t="e">
        <f ca="1">Image("https://images-na.ssl-images-amazon.com/images/I/514t6cG+uEL.jpg;https://images-na.ssl-images-amazon.com/images/I/5171GXg8k1L.jpg;https://images-na.ssl-images-amazon.com/images/I/51gwNiXYJKL.jpg;https://images-na.ssl-images-amazon.com/images/I/41Za8Txea7L"&amp;".jpg;https://images-na.ssl-images-amazon.com/images/I/41aAwEgvFcL.jpg")</f>
        <v>#NAME?</v>
      </c>
      <c r="D199" s="7" t="s">
        <v>16</v>
      </c>
      <c r="E199" s="7" t="s">
        <v>595</v>
      </c>
      <c r="F199" s="7">
        <v>1</v>
      </c>
      <c r="G199" s="7">
        <v>44.99</v>
      </c>
      <c r="H199" s="7">
        <v>0</v>
      </c>
      <c r="I199" s="7">
        <v>0</v>
      </c>
      <c r="J199" s="7">
        <v>37.44</v>
      </c>
    </row>
    <row r="200" spans="1:10" ht="14.4">
      <c r="A200" s="6" t="s">
        <v>596</v>
      </c>
      <c r="B200" s="7" t="s">
        <v>597</v>
      </c>
      <c r="C200" s="7" t="e">
        <f ca="1">Image("https://images-na.ssl-images-amazon.com/images/I/41zGppSPJWL.jpg;https://images-na.ssl-images-amazon.com/images/I/41EDVNJjN+L.jpg")</f>
        <v>#NAME?</v>
      </c>
      <c r="D200" s="7" t="s">
        <v>477</v>
      </c>
      <c r="E200" s="7" t="s">
        <v>598</v>
      </c>
      <c r="F200" s="7">
        <v>3</v>
      </c>
      <c r="G200" s="7">
        <v>43.98</v>
      </c>
      <c r="H200" s="7">
        <v>0</v>
      </c>
      <c r="I200" s="7">
        <v>0</v>
      </c>
      <c r="J200" s="7">
        <v>37.380000000000003</v>
      </c>
    </row>
    <row r="201" spans="1:10" ht="14.4">
      <c r="A201" s="6" t="s">
        <v>599</v>
      </c>
      <c r="B201" s="7" t="s">
        <v>600</v>
      </c>
      <c r="C201" s="7" t="e">
        <f ca="1">Image("https://images-na.ssl-images-amazon.com/images/I/41QjFSlZ2mL.jpg;https://images-na.ssl-images-amazon.com/images/I/31g16xcDUpL.jpg;https://images-na.ssl-images-amazon.com/images/I/31O4diNGRsL.jpg;https://images-na.ssl-images-amazon.com/images/I/41dU9SatpqL"&amp;".jpg;https://images-na.ssl-images-amazon.com/images/I/41739UhHbXL.jpg;https://images-na.ssl-images-amazon.com/images/I/21GvsN5dtCL.jpg")</f>
        <v>#NAME?</v>
      </c>
      <c r="D201" s="7" t="s">
        <v>20</v>
      </c>
      <c r="E201" s="7" t="s">
        <v>601</v>
      </c>
      <c r="F201" s="7">
        <v>93</v>
      </c>
      <c r="G201" s="7">
        <v>449.45</v>
      </c>
      <c r="H201" s="7">
        <v>12</v>
      </c>
      <c r="I201" s="7">
        <v>-51.83</v>
      </c>
      <c r="J201" s="7">
        <v>36.840000000000003</v>
      </c>
    </row>
    <row r="202" spans="1:10" ht="14.4">
      <c r="A202" s="6" t="s">
        <v>602</v>
      </c>
      <c r="B202" s="7" t="s">
        <v>603</v>
      </c>
      <c r="C202" s="7" t="e">
        <f ca="1">Image("https://images-na.ssl-images-amazon.com/images/I/41+0-LMcD8L.jpg;https://images-na.ssl-images-amazon.com/images/I/51OGd+txk9L.jpg;https://images-na.ssl-images-amazon.com/images/I/51axDLN60fL.jpg;https://images-na.ssl-images-amazon.com/images/I/61g7p30MQnL"&amp;".jpg;https://images-na.ssl-images-amazon.com/images/I/51POKJAdS-S.jpg;https://images-na.ssl-images-amazon.com/images/I/414RIOuOmuL.jpg;https://images-na.ssl-images-amazon.com/images/I/41lb9mfUrcL.jpg")</f>
        <v>#NAME?</v>
      </c>
      <c r="D202" s="7" t="s">
        <v>20</v>
      </c>
      <c r="E202" s="7" t="s">
        <v>604</v>
      </c>
      <c r="F202" s="7">
        <v>3</v>
      </c>
      <c r="G202" s="7">
        <v>38.97</v>
      </c>
      <c r="H202" s="7">
        <v>0</v>
      </c>
      <c r="I202" s="7">
        <v>0</v>
      </c>
      <c r="J202" s="7">
        <v>33.119999999999997</v>
      </c>
    </row>
    <row r="203" spans="1:10" ht="14.4">
      <c r="A203" s="6" t="s">
        <v>605</v>
      </c>
      <c r="B203" s="7" t="s">
        <v>606</v>
      </c>
      <c r="C203" s="7" t="e">
        <f ca="1">Image("https://images-na.ssl-images-amazon.com/images/I/51PPPIAkZkS.jpg;https://images-na.ssl-images-amazon.com/images/I/51wVZ9NWzjS.jpg;https://images-na.ssl-images-amazon.com/images/I/31aoz4vNbgL.jpg;https://images-na.ssl-images-amazon.com/images/I/613n8XPyBlL"&amp;".jpg;https://images-na.ssl-images-amazon.com/images/I/51S7NZiawqL.jpg;https://images-na.ssl-images-amazon.com/images/I/51hJ7cawVeL.jpg")</f>
        <v>#NAME?</v>
      </c>
      <c r="D203" s="7" t="s">
        <v>20</v>
      </c>
      <c r="E203" s="7" t="s">
        <v>607</v>
      </c>
      <c r="F203" s="7">
        <v>4</v>
      </c>
      <c r="G203" s="7">
        <v>55.96</v>
      </c>
      <c r="H203" s="7">
        <v>1</v>
      </c>
      <c r="I203" s="7">
        <v>-11.75</v>
      </c>
      <c r="J203" s="7">
        <v>33.01</v>
      </c>
    </row>
    <row r="204" spans="1:10" ht="14.4">
      <c r="A204" s="6" t="s">
        <v>608</v>
      </c>
      <c r="B204" s="7" t="s">
        <v>609</v>
      </c>
      <c r="C204" s="7" t="e">
        <f ca="1">Image("https://images-na.ssl-images-amazon.com/images/I/51m10-X-XmL.jpg;https://images-na.ssl-images-amazon.com/images/I/51j3r5GpWOL.jpg;https://images-na.ssl-images-amazon.com/images/I/51jfQEC7edL.jpg;https://images-na.ssl-images-amazon.com/images/I/611ixP6mocL"&amp;".jpg;https://images-na.ssl-images-amazon.com/images/I/41t0qw1nB-L.jpg")</f>
        <v>#NAME?</v>
      </c>
      <c r="D204" s="7" t="s">
        <v>16</v>
      </c>
      <c r="E204" s="7" t="s">
        <v>610</v>
      </c>
      <c r="F204" s="7">
        <v>1</v>
      </c>
      <c r="G204" s="7">
        <v>38.75</v>
      </c>
      <c r="H204" s="7">
        <v>0</v>
      </c>
      <c r="I204" s="7">
        <v>0</v>
      </c>
      <c r="J204" s="7">
        <v>32.94</v>
      </c>
    </row>
    <row r="205" spans="1:10" ht="14.4">
      <c r="A205" s="6" t="s">
        <v>611</v>
      </c>
      <c r="B205" s="7" t="s">
        <v>612</v>
      </c>
      <c r="C205" s="7" t="e">
        <f ca="1">Image("https://images-na.ssl-images-amazon.com/images/I/41a8JlvaRCL.jpg;https://images-na.ssl-images-amazon.com/images/I/51Nbatm1cOL.jpg;https://images-na.ssl-images-amazon.com/images/I/51oY0al4u8L.jpg;https://images-na.ssl-images-amazon.com/images/I/61M5aJiwNaL"&amp;".jpg;https://images-na.ssl-images-amazon.com/images/I/51VihGQa6WS.jpg;https://images-na.ssl-images-amazon.com/images/I/516+WtlIeSL.jpg;https://images-na.ssl-images-amazon.com/images/I/41NyxeyKZ0L.jpg")</f>
        <v>#NAME?</v>
      </c>
      <c r="D205" s="7" t="s">
        <v>20</v>
      </c>
      <c r="E205" s="7" t="s">
        <v>402</v>
      </c>
      <c r="F205" s="7">
        <v>5</v>
      </c>
      <c r="G205" s="7">
        <v>38.700000000000003</v>
      </c>
      <c r="H205" s="7">
        <v>0</v>
      </c>
      <c r="I205" s="7">
        <v>0</v>
      </c>
      <c r="J205" s="7">
        <v>32.9</v>
      </c>
    </row>
    <row r="206" spans="1:10" ht="14.4">
      <c r="A206" s="6" t="s">
        <v>613</v>
      </c>
      <c r="B206" s="7" t="s">
        <v>614</v>
      </c>
      <c r="C206" s="7" t="e">
        <f ca="1">Image("https://images-na.ssl-images-amazon.com/images/I/415kbYiL9JL.jpg;https://images-na.ssl-images-amazon.com/images/I/41iQjIYeymL.jpg;https://images-na.ssl-images-amazon.com/images/I/41o1+t5+9+L.jpg;https://images-na.ssl-images-amazon.com/images/I/51oZv4BcktL"&amp;".jpg;https://images-na.ssl-images-amazon.com/images/I/51rV56r0fXL.jpg;https://images-na.ssl-images-amazon.com/images/I/51hqopAg6uL.jpg")</f>
        <v>#NAME?</v>
      </c>
      <c r="D206" s="7" t="s">
        <v>20</v>
      </c>
      <c r="E206" s="7" t="s">
        <v>615</v>
      </c>
      <c r="F206" s="7">
        <v>5</v>
      </c>
      <c r="G206" s="7">
        <v>69.95</v>
      </c>
      <c r="H206" s="7">
        <v>2</v>
      </c>
      <c r="I206" s="7">
        <v>-23.5</v>
      </c>
      <c r="J206" s="7">
        <v>32.450000000000003</v>
      </c>
    </row>
    <row r="207" spans="1:10" ht="14.4">
      <c r="A207" s="6" t="s">
        <v>616</v>
      </c>
      <c r="B207" s="7" t="s">
        <v>617</v>
      </c>
      <c r="C207" s="7" t="e">
        <f ca="1">Image("https://images-na.ssl-images-amazon.com/images/I/41nyvSQ6n4L.jpg;https://images-na.ssl-images-amazon.com/images/I/41EDVNJjN+L.jpg")</f>
        <v>#NAME?</v>
      </c>
      <c r="D207" s="7" t="s">
        <v>299</v>
      </c>
      <c r="E207" s="7" t="s">
        <v>618</v>
      </c>
      <c r="F207" s="7">
        <v>2</v>
      </c>
      <c r="G207" s="7">
        <v>37.979999999999997</v>
      </c>
      <c r="H207" s="7">
        <v>0</v>
      </c>
      <c r="I207" s="7">
        <v>0</v>
      </c>
      <c r="J207" s="7">
        <v>32.28</v>
      </c>
    </row>
    <row r="208" spans="1:10" ht="14.4">
      <c r="A208" s="6" t="s">
        <v>619</v>
      </c>
      <c r="B208" s="7" t="s">
        <v>620</v>
      </c>
      <c r="C208" s="7" t="e">
        <f ca="1">Image("https://images-na.ssl-images-amazon.com/images/I/51AafpwlfCL.jpg;https://images-na.ssl-images-amazon.com/images/I/61nr120ls6L.jpg;https://images-na.ssl-images-amazon.com/images/I/511ieqhntUL.jpg;https://images-na.ssl-images-amazon.com/images/I/31UfSxWKjbL"&amp;".jpg;https://images-na.ssl-images-amazon.com/images/I/51AafpwlfCL.jpg")</f>
        <v>#NAME?</v>
      </c>
      <c r="D208" s="7" t="s">
        <v>20</v>
      </c>
      <c r="E208" s="7" t="s">
        <v>621</v>
      </c>
      <c r="F208" s="7">
        <v>3</v>
      </c>
      <c r="G208" s="7">
        <v>37.97</v>
      </c>
      <c r="H208" s="7">
        <v>0</v>
      </c>
      <c r="I208" s="7">
        <v>0</v>
      </c>
      <c r="J208" s="7">
        <v>32.270000000000003</v>
      </c>
    </row>
    <row r="209" spans="1:10" ht="14.4">
      <c r="A209" s="6" t="s">
        <v>622</v>
      </c>
      <c r="B209" s="7" t="s">
        <v>623</v>
      </c>
      <c r="C209" s="7" t="e">
        <f ca="1">Image("https://images-na.ssl-images-amazon.com/images/I/31GeyANItrL.jpg;https://images-na.ssl-images-amazon.com/images/I/51nBifORE-L.jpg;https://images-na.ssl-images-amazon.com/images/I/51Zr8VrzF1L.jpg;https://images-na.ssl-images-amazon.com/images/I/51KD03os6CL"&amp;".jpg;https://images-na.ssl-images-amazon.com/images/I/517buProtvL.jpg;https://images-na.ssl-images-amazon.com/images/I/5195l-kHtAL.jpg;https://images-na.ssl-images-amazon.com/images/I/51YhBQOjFzL.jpg")</f>
        <v>#NAME?</v>
      </c>
      <c r="D209" s="7" t="s">
        <v>20</v>
      </c>
      <c r="E209" s="7" t="s">
        <v>624</v>
      </c>
      <c r="F209" s="7">
        <v>26</v>
      </c>
      <c r="G209" s="7">
        <v>285.48</v>
      </c>
      <c r="H209" s="7">
        <v>0</v>
      </c>
      <c r="I209" s="7">
        <v>0</v>
      </c>
      <c r="J209" s="7">
        <v>31.31</v>
      </c>
    </row>
    <row r="210" spans="1:10" ht="14.4">
      <c r="A210" s="6" t="s">
        <v>625</v>
      </c>
      <c r="B210" s="7" t="s">
        <v>626</v>
      </c>
      <c r="C210" s="7" t="e">
        <f ca="1">Image("https://images-na.ssl-images-amazon.com/images/I/41pN35QErgL.jpg;https://images-na.ssl-images-amazon.com/images/I/418wXTMb18L.jpg;https://images-na.ssl-images-amazon.com/images/I/31tcCu7AbqL.jpg;https://images-na.ssl-images-amazon.com/images/I/51WmJqnxBnL"&amp;".jpg;https://images-na.ssl-images-amazon.com/images/I/51lAwfc8GRL.jpg;https://images-na.ssl-images-amazon.com/images/I/51zCWzDLb4L.jpg;https://images-na.ssl-images-amazon.com/images/I/619bWrDP-jL.jpg")</f>
        <v>#NAME?</v>
      </c>
      <c r="D210" s="7" t="s">
        <v>20</v>
      </c>
      <c r="E210" s="7" t="s">
        <v>627</v>
      </c>
      <c r="F210" s="7">
        <v>24</v>
      </c>
      <c r="G210" s="7">
        <v>148.66</v>
      </c>
      <c r="H210" s="7">
        <v>2</v>
      </c>
      <c r="I210" s="7">
        <v>-12.3</v>
      </c>
      <c r="J210" s="7">
        <v>30.73</v>
      </c>
    </row>
    <row r="211" spans="1:10" ht="14.4">
      <c r="A211" s="6" t="s">
        <v>628</v>
      </c>
      <c r="B211" s="7" t="s">
        <v>629</v>
      </c>
      <c r="C211" s="7" t="e">
        <f ca="1">Image("https://images-na.ssl-images-amazon.com/images/I/51fP+WcbfiL.jpg;https://images-na.ssl-images-amazon.com/images/I/61HXG6n9jxL.jpg;https://images-na.ssl-images-amazon.com/images/I/518rk0UCJLL.jpg;https://images-na.ssl-images-amazon.com/images/I/614oHeWcHDL"&amp;".jpg;https://images-na.ssl-images-amazon.com/images/I/518Qz8oOWyL.jpg")</f>
        <v>#NAME?</v>
      </c>
      <c r="D211" s="7" t="s">
        <v>16</v>
      </c>
      <c r="E211" s="7" t="s">
        <v>630</v>
      </c>
      <c r="F211" s="7">
        <v>2</v>
      </c>
      <c r="G211" s="7">
        <v>35.979999999999997</v>
      </c>
      <c r="H211" s="7">
        <v>0</v>
      </c>
      <c r="I211" s="7">
        <v>0</v>
      </c>
      <c r="J211" s="7">
        <v>30.58</v>
      </c>
    </row>
    <row r="212" spans="1:10" ht="14.4">
      <c r="A212" s="6" t="s">
        <v>631</v>
      </c>
      <c r="B212" s="7" t="s">
        <v>632</v>
      </c>
      <c r="C212" s="7" t="e">
        <f ca="1">Image("https://images-na.ssl-images-amazon.com/images/I/51jnsyDvNsL.jpg;https://images-na.ssl-images-amazon.com/images/I/61eX9MRBRcL.jpg;https://images-na.ssl-images-amazon.com/images/I/61Yzjv+eedL.jpg;https://images-na.ssl-images-amazon.com/images/I/41dbg9Ng-7L"&amp;".jpg")</f>
        <v>#NAME?</v>
      </c>
      <c r="D212" s="7" t="s">
        <v>16</v>
      </c>
      <c r="E212" s="7" t="s">
        <v>633</v>
      </c>
      <c r="F212" s="7">
        <v>3</v>
      </c>
      <c r="G212" s="7">
        <v>35.97</v>
      </c>
      <c r="H212" s="7">
        <v>0</v>
      </c>
      <c r="I212" s="7">
        <v>0</v>
      </c>
      <c r="J212" s="7">
        <v>30.57</v>
      </c>
    </row>
    <row r="213" spans="1:10" ht="14.4">
      <c r="A213" s="6" t="s">
        <v>634</v>
      </c>
      <c r="B213" s="7" t="s">
        <v>635</v>
      </c>
      <c r="C213" s="7" t="e">
        <f ca="1">Image("https://images-na.ssl-images-amazon.com/images/I/41kK8Q599yL.jpg;https://images-na.ssl-images-amazon.com/images/I/41EDVNJjN+L.jpg")</f>
        <v>#NAME?</v>
      </c>
      <c r="D213" s="7" t="s">
        <v>477</v>
      </c>
      <c r="E213" s="7" t="s">
        <v>636</v>
      </c>
      <c r="F213" s="7">
        <v>1</v>
      </c>
      <c r="G213" s="7">
        <v>32.99</v>
      </c>
      <c r="H213" s="7">
        <v>0</v>
      </c>
      <c r="I213" s="7">
        <v>0</v>
      </c>
      <c r="J213" s="7">
        <v>28.04</v>
      </c>
    </row>
    <row r="214" spans="1:10" ht="14.4">
      <c r="A214" s="6" t="s">
        <v>637</v>
      </c>
      <c r="B214" s="7" t="s">
        <v>638</v>
      </c>
      <c r="C214" s="7" t="e">
        <f ca="1">Image("https://images-na.ssl-images-amazon.com/images/I/41tDpRcfY8L.jpg;https://images-na.ssl-images-amazon.com/images/I/41WNgtrwHYL.jpg;https://images-na.ssl-images-amazon.com/images/I/31Q4jldFuFL.jpg;https://images-na.ssl-images-amazon.com/images/I/41yqwsPgCAL"&amp;".jpg")</f>
        <v>#NAME?</v>
      </c>
      <c r="D214" s="7" t="s">
        <v>16</v>
      </c>
      <c r="E214" s="7" t="s">
        <v>639</v>
      </c>
      <c r="F214" s="7">
        <v>4</v>
      </c>
      <c r="G214" s="7">
        <v>42.73</v>
      </c>
      <c r="H214" s="7">
        <v>1</v>
      </c>
      <c r="I214" s="7">
        <v>-8.7899999999999991</v>
      </c>
      <c r="J214" s="7">
        <v>27.53</v>
      </c>
    </row>
    <row r="215" spans="1:10" ht="14.4">
      <c r="A215" s="6" t="s">
        <v>640</v>
      </c>
      <c r="B215" s="7" t="s">
        <v>641</v>
      </c>
      <c r="C215" s="7" t="e">
        <f ca="1">Image("https://images-na.ssl-images-amazon.com/images/I/51N7jGabEyL.jpg;https://images-na.ssl-images-amazon.com/images/I/511+IqlWHWL.jpg;https://images-na.ssl-images-amazon.com/images/I/511vMNpmQeL.jpg;https://images-na.ssl-images-amazon.com/images/I/519rL0Ypn8L"&amp;".jpg;https://images-na.ssl-images-amazon.com/images/I/519xmepqbGL.jpg")</f>
        <v>#NAME?</v>
      </c>
      <c r="D215" s="7" t="s">
        <v>16</v>
      </c>
      <c r="E215" s="7" t="s">
        <v>642</v>
      </c>
      <c r="F215" s="7">
        <v>1</v>
      </c>
      <c r="G215" s="7">
        <v>31.99</v>
      </c>
      <c r="H215" s="7">
        <v>0</v>
      </c>
      <c r="I215" s="7">
        <v>0</v>
      </c>
      <c r="J215" s="7">
        <v>27.19</v>
      </c>
    </row>
    <row r="216" spans="1:10" ht="14.4">
      <c r="A216" s="6" t="s">
        <v>643</v>
      </c>
      <c r="B216" s="7" t="s">
        <v>644</v>
      </c>
      <c r="C216" s="7" t="e">
        <f ca="1">Image("https://images-na.ssl-images-amazon.com/images/I/51wOsiWYZAS.jpg;https://images-na.ssl-images-amazon.com/images/I/514qT7cVA6S.jpg;https://images-na.ssl-images-amazon.com/images/I/51E-VcPenGS.jpg;https://images-na.ssl-images-amazon.com/images/I/51pDa1YVDrS"&amp;".jpg;https://images-na.ssl-images-amazon.com/images/I/51EwCYv-ocS.jpg;https://images-na.ssl-images-amazon.com/images/I/41au967KyyS.jpg")</f>
        <v>#NAME?</v>
      </c>
      <c r="D216" s="7" t="s">
        <v>20</v>
      </c>
      <c r="E216" s="7" t="s">
        <v>645</v>
      </c>
      <c r="F216" s="7">
        <v>6</v>
      </c>
      <c r="G216" s="7">
        <v>72</v>
      </c>
      <c r="H216" s="7">
        <v>0</v>
      </c>
      <c r="I216" s="7">
        <v>0</v>
      </c>
      <c r="J216" s="7">
        <v>27.01</v>
      </c>
    </row>
    <row r="217" spans="1:10" ht="14.4">
      <c r="A217" s="6" t="s">
        <v>646</v>
      </c>
      <c r="B217" s="7" t="s">
        <v>647</v>
      </c>
      <c r="C217" s="7" t="e">
        <f ca="1">Image("https://images-na.ssl-images-amazon.com/images/I/41M+BnRmcyL.jpg;https://images-na.ssl-images-amazon.com/images/I/41qZLOjP3NL.jpg;https://images-na.ssl-images-amazon.com/images/I/51F5c+bp78L.jpg")</f>
        <v>#NAME?</v>
      </c>
      <c r="D217" s="7" t="s">
        <v>16</v>
      </c>
      <c r="E217" s="7" t="s">
        <v>648</v>
      </c>
      <c r="F217" s="7">
        <v>3</v>
      </c>
      <c r="G217" s="7">
        <v>50.96</v>
      </c>
      <c r="H217" s="7">
        <v>1</v>
      </c>
      <c r="I217" s="7">
        <v>-16.7</v>
      </c>
      <c r="J217" s="7">
        <v>26.61</v>
      </c>
    </row>
    <row r="218" spans="1:10" ht="14.4">
      <c r="A218" s="6" t="s">
        <v>649</v>
      </c>
      <c r="B218" s="7" t="s">
        <v>650</v>
      </c>
      <c r="C218" s="7" t="e">
        <f ca="1">Image("https://images-na.ssl-images-amazon.com/images/I/41kPLLKhCcL.jpg;https://images-na.ssl-images-amazon.com/images/I/61n9VyRzGML.jpg;https://images-na.ssl-images-amazon.com/images/I/51oVGfbJ-sL.jpg;https://images-na.ssl-images-amazon.com/images/I/61KpOmuH5KL"&amp;".jpg;https://images-na.ssl-images-amazon.com/images/I/51MuMGPX-3S.jpg;https://images-na.ssl-images-amazon.com/images/I/61q-OTxEd-L.jpg;https://images-na.ssl-images-amazon.com/images/I/413zOfpRBoL.jpg")</f>
        <v>#NAME?</v>
      </c>
      <c r="D218" s="7" t="s">
        <v>20</v>
      </c>
      <c r="E218" s="7" t="s">
        <v>651</v>
      </c>
      <c r="F218" s="7">
        <v>2</v>
      </c>
      <c r="G218" s="7">
        <v>30.59</v>
      </c>
      <c r="H218" s="7">
        <v>0</v>
      </c>
      <c r="I218" s="7">
        <v>0</v>
      </c>
      <c r="J218" s="7">
        <v>26</v>
      </c>
    </row>
    <row r="219" spans="1:10" ht="14.4">
      <c r="A219" s="6" t="s">
        <v>652</v>
      </c>
      <c r="B219" s="7" t="s">
        <v>653</v>
      </c>
      <c r="C219" s="7" t="e">
        <f ca="1">Image("https://images-na.ssl-images-amazon.com/images/I/31OV9OeFbYL.jpg;https://images-na.ssl-images-amazon.com/images/I/31EycRGcidL.jpg;https://images-na.ssl-images-amazon.com/images/I/31xiOx-ZP5L.jpg;https://images-na.ssl-images-amazon.com/images/I/31jhLVdr6oL"&amp;".jpg;https://images-na.ssl-images-amazon.com/images/I/516ZXiYv7NL.jpg;https://images-na.ssl-images-amazon.com/images/I/31hsIqA6e9L.jpg;https://images-na.ssl-images-amazon.com/images/I/41lS00XKigL.jpg")</f>
        <v>#NAME?</v>
      </c>
      <c r="D219" s="7" t="s">
        <v>654</v>
      </c>
      <c r="E219" s="7" t="s">
        <v>655</v>
      </c>
      <c r="F219" s="7">
        <v>1</v>
      </c>
      <c r="G219" s="7">
        <v>30.99</v>
      </c>
      <c r="H219" s="7">
        <v>0</v>
      </c>
      <c r="I219" s="7">
        <v>0</v>
      </c>
      <c r="J219" s="7">
        <v>25.82</v>
      </c>
    </row>
    <row r="220" spans="1:10" ht="14.4">
      <c r="A220" s="6" t="s">
        <v>656</v>
      </c>
      <c r="B220" s="7" t="s">
        <v>657</v>
      </c>
      <c r="C220" s="7" t="e">
        <f ca="1">Image("https://images-na.ssl-images-amazon.com/images/I/313vOEFnV6L.jpg;https://images-na.ssl-images-amazon.com/images/I/31UNjQO2TXL.jpg;https://images-na.ssl-images-amazon.com/images/I/31e9E9Gum6L.jpg;https://images-na.ssl-images-amazon.com/images/I/31kx3w+Gf1L"&amp;".jpg;https://images-na.ssl-images-amazon.com/images/I/516ZXiYv7NL.jpg;https://images-na.ssl-images-amazon.com/images/I/31Kps+HAoQL.jpg")</f>
        <v>#NAME?</v>
      </c>
      <c r="D220" s="7" t="s">
        <v>20</v>
      </c>
      <c r="E220" s="7" t="s">
        <v>658</v>
      </c>
      <c r="F220" s="7">
        <v>1</v>
      </c>
      <c r="G220" s="7">
        <v>38.79</v>
      </c>
      <c r="H220" s="7">
        <v>0</v>
      </c>
      <c r="I220" s="7">
        <v>0</v>
      </c>
      <c r="J220" s="7">
        <v>25.51</v>
      </c>
    </row>
    <row r="221" spans="1:10" ht="14.4">
      <c r="A221" s="6" t="s">
        <v>659</v>
      </c>
      <c r="B221" s="7" t="s">
        <v>660</v>
      </c>
      <c r="C221" s="7" t="e">
        <f ca="1">Image("https://images-na.ssl-images-amazon.com/images/I/412GThpktiL.jpg;https://images-na.ssl-images-amazon.com/images/I/510fGODNkCL.jpg;https://images-na.ssl-images-amazon.com/images/I/41L8pJ1HVcL.jpg;https://images-na.ssl-images-amazon.com/images/I/517883uYAEL"&amp;".jpg;https://images-na.ssl-images-amazon.com/images/I/41ERHWk5B1L.jpg;https://images-na.ssl-images-amazon.com/images/I/51+nrLMS5ML.jpg")</f>
        <v>#NAME?</v>
      </c>
      <c r="D221" s="7" t="s">
        <v>16</v>
      </c>
      <c r="E221" s="7" t="s">
        <v>661</v>
      </c>
      <c r="F221" s="7">
        <v>3</v>
      </c>
      <c r="G221" s="7">
        <v>44.94</v>
      </c>
      <c r="H221" s="7">
        <v>1</v>
      </c>
      <c r="I221" s="7">
        <v>-13.18</v>
      </c>
      <c r="J221" s="7">
        <v>25.01</v>
      </c>
    </row>
    <row r="222" spans="1:10" ht="14.4">
      <c r="A222" s="6" t="s">
        <v>662</v>
      </c>
      <c r="B222" s="7" t="s">
        <v>663</v>
      </c>
      <c r="C222" s="7" t="e">
        <f ca="1">Image("https://images-na.ssl-images-amazon.com/images/I/21q954KQDOL.jpg;https://images-na.ssl-images-amazon.com/images/I/21D6Q490WJL.jpg;https://images-na.ssl-images-amazon.com/images/I/315-8Mz6TpL.jpg;https://images-na.ssl-images-amazon.com/images/I/314xm1qPe5L"&amp;".jpg;https://images-na.ssl-images-amazon.com/images/I/318lrT3pegL.jpg;https://images-na.ssl-images-amazon.com/images/I/21iqY6JpKbL.jpg")</f>
        <v>#NAME?</v>
      </c>
      <c r="D222" s="7" t="s">
        <v>20</v>
      </c>
      <c r="E222" s="7" t="s">
        <v>664</v>
      </c>
      <c r="F222" s="7">
        <v>5</v>
      </c>
      <c r="G222" s="7">
        <v>39.99</v>
      </c>
      <c r="H222" s="7">
        <v>0</v>
      </c>
      <c r="I222" s="7">
        <v>0</v>
      </c>
      <c r="J222" s="7">
        <v>24.98</v>
      </c>
    </row>
    <row r="223" spans="1:10" ht="14.4">
      <c r="A223" s="6" t="s">
        <v>665</v>
      </c>
      <c r="B223" s="7" t="s">
        <v>666</v>
      </c>
      <c r="C223" s="7" t="e">
        <f ca="1">Image("https://images-na.ssl-images-amazon.com/images/I/41WNxI6wCkL.jpg;https://images-na.ssl-images-amazon.com/images/I/419-487mUQL.jpg;https://images-na.ssl-images-amazon.com/images/I/21a3VETzW8L.jpg;https://images-na.ssl-images-amazon.com/images/I/41pcRbTAszL"&amp;".jpg;https://images-na.ssl-images-amazon.com/images/I/419v2yA3TdL.jpg")</f>
        <v>#NAME?</v>
      </c>
      <c r="D223" s="7" t="s">
        <v>16</v>
      </c>
      <c r="E223" s="7" t="s">
        <v>667</v>
      </c>
      <c r="F223" s="7">
        <v>9</v>
      </c>
      <c r="G223" s="7">
        <v>81</v>
      </c>
      <c r="H223" s="7">
        <v>1</v>
      </c>
      <c r="I223" s="7">
        <v>-7.92</v>
      </c>
      <c r="J223" s="7">
        <v>24.78</v>
      </c>
    </row>
    <row r="224" spans="1:10" ht="14.4">
      <c r="A224" s="6" t="s">
        <v>668</v>
      </c>
      <c r="B224" s="7" t="s">
        <v>669</v>
      </c>
      <c r="C224" s="7" t="e">
        <f ca="1">Image("https://images-na.ssl-images-amazon.com/images/I/51UhqYVZIeL.jpg;https://images-na.ssl-images-amazon.com/images/I/51EHVqMHPKL.jpg;https://images-na.ssl-images-amazon.com/images/I/51+L-+VQAUL.jpg;https://images-na.ssl-images-amazon.com/images/I/41LAWY7azXL"&amp;".jpg")</f>
        <v>#NAME?</v>
      </c>
      <c r="D224" s="7" t="s">
        <v>16</v>
      </c>
      <c r="E224" s="7" t="s">
        <v>670</v>
      </c>
      <c r="F224" s="7">
        <v>1</v>
      </c>
      <c r="G224" s="7">
        <v>28.99</v>
      </c>
      <c r="H224" s="7">
        <v>0</v>
      </c>
      <c r="I224" s="7">
        <v>0</v>
      </c>
      <c r="J224" s="7">
        <v>24.64</v>
      </c>
    </row>
    <row r="225" spans="1:10" ht="14.4">
      <c r="A225" s="6" t="s">
        <v>671</v>
      </c>
      <c r="B225" s="7" t="s">
        <v>672</v>
      </c>
      <c r="C225" s="7" t="e">
        <f ca="1">Image("https://images-na.ssl-images-amazon.com/images/I/41v5vQ5JByL.jpg;https://images-na.ssl-images-amazon.com/images/I/41EDVNJjN+L.jpg")</f>
        <v>#NAME?</v>
      </c>
      <c r="D225" s="7" t="s">
        <v>477</v>
      </c>
      <c r="E225" s="7" t="s">
        <v>673</v>
      </c>
      <c r="F225" s="7">
        <v>1</v>
      </c>
      <c r="G225" s="7">
        <v>28.99</v>
      </c>
      <c r="H225" s="7">
        <v>0</v>
      </c>
      <c r="I225" s="7">
        <v>0</v>
      </c>
      <c r="J225" s="7">
        <v>24.64</v>
      </c>
    </row>
    <row r="226" spans="1:10" ht="14.4">
      <c r="A226" s="6" t="s">
        <v>674</v>
      </c>
      <c r="B226" s="7" t="s">
        <v>675</v>
      </c>
      <c r="C226" s="7" t="e">
        <f ca="1">Image("https://images-na.ssl-images-amazon.com/images/I/41YAuQGC6xL.jpg;https://images-na.ssl-images-amazon.com/images/I/419hlNvH5sL.jpg")</f>
        <v>#NAME?</v>
      </c>
      <c r="D226" s="7" t="s">
        <v>477</v>
      </c>
      <c r="E226" s="7" t="s">
        <v>676</v>
      </c>
      <c r="F226" s="7">
        <v>2</v>
      </c>
      <c r="G226" s="7">
        <v>29</v>
      </c>
      <c r="H226" s="7">
        <v>0</v>
      </c>
      <c r="I226" s="7">
        <v>0</v>
      </c>
      <c r="J226" s="7">
        <v>24.64</v>
      </c>
    </row>
    <row r="227" spans="1:10" ht="14.4">
      <c r="A227" s="6" t="s">
        <v>677</v>
      </c>
      <c r="B227" s="7" t="s">
        <v>678</v>
      </c>
      <c r="C227" s="7" t="e">
        <f ca="1">Image("https://images-na.ssl-images-amazon.com/images/I/414XRwFTRiL.jpg;https://images-na.ssl-images-amazon.com/images/I/519GqIzMNTL.jpg;https://images-na.ssl-images-amazon.com/images/I/315beR7OspL.jpg;https://images-na.ssl-images-amazon.com/images/I/51-FV7uMggL"&amp;".jpg")</f>
        <v>#NAME?</v>
      </c>
      <c r="D227" s="7" t="s">
        <v>16</v>
      </c>
      <c r="E227" s="7" t="s">
        <v>679</v>
      </c>
      <c r="F227" s="7">
        <v>5</v>
      </c>
      <c r="G227" s="7">
        <v>49.23</v>
      </c>
      <c r="H227" s="7">
        <v>2</v>
      </c>
      <c r="I227" s="7">
        <v>-17.579999999999998</v>
      </c>
      <c r="J227" s="7">
        <v>24.27</v>
      </c>
    </row>
    <row r="228" spans="1:10" ht="14.4">
      <c r="A228" s="6" t="s">
        <v>680</v>
      </c>
      <c r="B228" s="7" t="s">
        <v>681</v>
      </c>
      <c r="C228" s="7" t="e">
        <f ca="1">Image("https://images-na.ssl-images-amazon.com/images/I/51aWfgAE-EL.jpg;https://images-na.ssl-images-amazon.com/images/I/51kmFr815YL.jpg;https://images-na.ssl-images-amazon.com/images/I/51Yxjdxj-RL.jpg;https://images-na.ssl-images-amazon.com/images/I/41PktYaRd6L"&amp;".jpg;https://images-na.ssl-images-amazon.com/images/I/61sedC25fxL.jpg;https://images-na.ssl-images-amazon.com/images/I/614sHuOfgKL.jpg;https://images-na.ssl-images-amazon.com/images/I/61NgN-LRVML.jpg")</f>
        <v>#NAME?</v>
      </c>
      <c r="D228" s="7" t="s">
        <v>20</v>
      </c>
      <c r="E228" s="7" t="s">
        <v>682</v>
      </c>
      <c r="F228" s="7">
        <v>4</v>
      </c>
      <c r="G228" s="7">
        <v>55.96</v>
      </c>
      <c r="H228" s="7">
        <v>2</v>
      </c>
      <c r="I228" s="7">
        <v>-24.62</v>
      </c>
      <c r="J228" s="7">
        <v>22.94</v>
      </c>
    </row>
    <row r="229" spans="1:10" ht="14.4">
      <c r="A229" s="6" t="s">
        <v>683</v>
      </c>
      <c r="B229" s="7" t="s">
        <v>684</v>
      </c>
      <c r="C229" s="7" t="e">
        <f ca="1">Image("https://images-na.ssl-images-amazon.com/images/I/41g5hSV5obL.jpg;https://images-na.ssl-images-amazon.com/images/I/41S3Uk+V6CL.jpg;https://images-na.ssl-images-amazon.com/images/I/41mxMhcrSzL.jpg;https://images-na.ssl-images-amazon.com/images/I/41MYsi+mkKL"&amp;".jpg;https://images-na.ssl-images-amazon.com/images/I/51ODzstM74L.jpg;https://images-na.ssl-images-amazon.com/images/I/61ukAHs5khL.jpg;https://images-na.ssl-images-amazon.com/images/I/51VDQjeIXBL.jpg;https://images-na.ssl-images-amazon.com/images/I/41PbUY"&amp;"P9KYL.jpg")</f>
        <v>#NAME?</v>
      </c>
      <c r="D229" s="7" t="s">
        <v>20</v>
      </c>
      <c r="E229" s="7" t="s">
        <v>685</v>
      </c>
      <c r="F229" s="7">
        <v>18</v>
      </c>
      <c r="G229" s="7">
        <v>216</v>
      </c>
      <c r="H229" s="7">
        <v>3</v>
      </c>
      <c r="I229" s="7">
        <v>-35.799999999999997</v>
      </c>
      <c r="J229" s="7">
        <v>22.79</v>
      </c>
    </row>
    <row r="230" spans="1:10" ht="14.4">
      <c r="A230" s="6" t="s">
        <v>686</v>
      </c>
      <c r="B230" s="7" t="s">
        <v>687</v>
      </c>
      <c r="C230" s="7" t="e">
        <f ca="1">Image("https://images-na.ssl-images-amazon.com/images/I/31znvpyyj2S.jpg;https://images-na.ssl-images-amazon.com/images/I/21NBTn07TTS.jpg;https://images-na.ssl-images-amazon.com/images/I/31vEiv96NbS.jpg;https://images-na.ssl-images-amazon.com/images/I/31rm24UTz7L"&amp;".jpg;https://images-na.ssl-images-amazon.com/images/I/51J2f5j689L.jpg;https://images-na.ssl-images-amazon.com/images/I/41wQ3D6OO0L.jpg;https://images-na.ssl-images-amazon.com/images/I/51aSzSKJNvL.jpg")</f>
        <v>#NAME?</v>
      </c>
      <c r="D230" s="7" t="s">
        <v>20</v>
      </c>
      <c r="E230" s="7" t="s">
        <v>688</v>
      </c>
      <c r="F230" s="7">
        <v>7</v>
      </c>
      <c r="G230" s="7">
        <v>48.46</v>
      </c>
      <c r="H230" s="7">
        <v>0</v>
      </c>
      <c r="I230" s="7">
        <v>0</v>
      </c>
      <c r="J230" s="7">
        <v>22.53</v>
      </c>
    </row>
    <row r="231" spans="1:10" ht="14.4">
      <c r="A231" s="6" t="s">
        <v>689</v>
      </c>
      <c r="B231" s="7" t="s">
        <v>690</v>
      </c>
      <c r="C231" s="7" t="e">
        <f ca="1">Image("https://images-na.ssl-images-amazon.com/images/I/41AlgCi0-oL.jpg;https://images-na.ssl-images-amazon.com/images/I/51NeJOaQ6pL.jpg;https://images-na.ssl-images-amazon.com/images/I/31Jv67s3zEL.jpg;https://images-na.ssl-images-amazon.com/images/I/51W209x18EL"&amp;".jpg")</f>
        <v>#NAME?</v>
      </c>
      <c r="D231" s="7" t="s">
        <v>16</v>
      </c>
      <c r="E231" s="7" t="s">
        <v>691</v>
      </c>
      <c r="F231" s="7">
        <v>4</v>
      </c>
      <c r="G231" s="7">
        <v>35.479999999999997</v>
      </c>
      <c r="H231" s="7">
        <v>1</v>
      </c>
      <c r="I231" s="7">
        <v>-7.7</v>
      </c>
      <c r="J231" s="7">
        <v>22.46</v>
      </c>
    </row>
    <row r="232" spans="1:10" ht="14.4">
      <c r="A232" s="6" t="s">
        <v>692</v>
      </c>
      <c r="B232" s="7" t="s">
        <v>693</v>
      </c>
      <c r="C232" s="7" t="e">
        <f ca="1">Image("https://images-na.ssl-images-amazon.com/images/I/41cux3wTRYL.jpg;https://images-na.ssl-images-amazon.com/images/I/41rEnJhcI-L.jpg")</f>
        <v>#NAME?</v>
      </c>
      <c r="D232" s="7" t="s">
        <v>694</v>
      </c>
      <c r="E232" s="7" t="s">
        <v>695</v>
      </c>
      <c r="F232" s="7">
        <v>1</v>
      </c>
      <c r="G232" s="7">
        <v>25.98</v>
      </c>
      <c r="H232" s="7">
        <v>0</v>
      </c>
      <c r="I232" s="7">
        <v>0</v>
      </c>
      <c r="J232" s="7">
        <v>22.08</v>
      </c>
    </row>
    <row r="233" spans="1:10" ht="14.4">
      <c r="A233" s="6" t="s">
        <v>696</v>
      </c>
      <c r="B233" s="7" t="s">
        <v>697</v>
      </c>
      <c r="C233" s="7" t="e">
        <f ca="1">Image("https://images-na.ssl-images-amazon.com/images/I/51NuxobzU0L.jpg;https://images-na.ssl-images-amazon.com/images/I/41sfcPJwMBL.jpg;https://images-na.ssl-images-amazon.com/images/I/516ZXiYv7NL.jpg;https://images-na.ssl-images-amazon.com/images/I/41XNfZ1Y9DL"&amp;".jpg;https://images-na.ssl-images-amazon.com/images/I/51Wo7-EA20L.jpg;https://images-na.ssl-images-amazon.com/images/I/31Kps+HAoQL.jpg")</f>
        <v>#NAME?</v>
      </c>
      <c r="D233" s="7" t="s">
        <v>20</v>
      </c>
      <c r="E233" s="7" t="s">
        <v>389</v>
      </c>
      <c r="F233" s="7">
        <v>1</v>
      </c>
      <c r="G233" s="7">
        <v>25.99</v>
      </c>
      <c r="H233" s="7">
        <v>0</v>
      </c>
      <c r="I233" s="7">
        <v>0</v>
      </c>
      <c r="J233" s="7">
        <v>21.98</v>
      </c>
    </row>
    <row r="234" spans="1:10" ht="14.4">
      <c r="A234" s="6" t="s">
        <v>698</v>
      </c>
      <c r="B234" s="7" t="s">
        <v>699</v>
      </c>
      <c r="C234" s="7" t="e">
        <f ca="1">Image("https://images-na.ssl-images-amazon.com/images/I/4137oA5W65L.jpg;https://images-na.ssl-images-amazon.com/images/I/41EDVNJjN+L.jpg")</f>
        <v>#NAME?</v>
      </c>
      <c r="D234" s="7" t="s">
        <v>477</v>
      </c>
      <c r="E234" s="7" t="s">
        <v>700</v>
      </c>
      <c r="F234" s="7">
        <v>1</v>
      </c>
      <c r="G234" s="7">
        <v>25</v>
      </c>
      <c r="H234" s="7">
        <v>0</v>
      </c>
      <c r="I234" s="7">
        <v>0</v>
      </c>
      <c r="J234" s="7">
        <v>21.25</v>
      </c>
    </row>
    <row r="235" spans="1:10" ht="14.4">
      <c r="A235" s="6" t="s">
        <v>701</v>
      </c>
      <c r="B235" s="7" t="s">
        <v>702</v>
      </c>
      <c r="C235" s="7" t="e">
        <f ca="1">Image("https://images-na.ssl-images-amazon.com/images/I/41wKIhJkGTL.jpg;https://images-na.ssl-images-amazon.com/images/I/511-SAOioaL.jpg;https://images-na.ssl-images-amazon.com/images/I/31F3rYzkFUL.jpg;https://images-na.ssl-images-amazon.com/images/I/51npLQ9s1NL"&amp;".jpg;https://images-na.ssl-images-amazon.com/images/I/51njMWJPCiL.jpg;https://images-na.ssl-images-amazon.com/images/I/41y6tiAdA9L.jpg")</f>
        <v>#NAME?</v>
      </c>
      <c r="D235" s="7" t="s">
        <v>20</v>
      </c>
      <c r="E235" s="7" t="s">
        <v>703</v>
      </c>
      <c r="F235" s="7">
        <v>15</v>
      </c>
      <c r="G235" s="7">
        <v>81.489999999999995</v>
      </c>
      <c r="H235" s="7">
        <v>0</v>
      </c>
      <c r="I235" s="7">
        <v>0</v>
      </c>
      <c r="J235" s="7">
        <v>20.329999999999998</v>
      </c>
    </row>
    <row r="236" spans="1:10" ht="14.4">
      <c r="A236" s="6" t="s">
        <v>704</v>
      </c>
      <c r="B236" s="7" t="s">
        <v>705</v>
      </c>
      <c r="C236" s="7" t="e">
        <f ca="1">Image("https://images-na.ssl-images-amazon.com/images/I/31l35kFeWnL.jpg;https://images-na.ssl-images-amazon.com/images/I/313Z3lDGZ7L.jpg;https://images-na.ssl-images-amazon.com/images/I/41tkBtuxUDL.jpg;https://images-na.ssl-images-amazon.com/images/I/41hJaKIJReL"&amp;".jpg;https://images-na.ssl-images-amazon.com/images/I/51kxEB+L5bL.jpg;https://images-na.ssl-images-amazon.com/images/I/61pUMVhXxqL.jpg")</f>
        <v>#NAME?</v>
      </c>
      <c r="D236" s="7" t="s">
        <v>20</v>
      </c>
      <c r="E236" s="7" t="s">
        <v>706</v>
      </c>
      <c r="F236" s="7">
        <v>11</v>
      </c>
      <c r="G236" s="7">
        <v>80.89</v>
      </c>
      <c r="H236" s="7">
        <v>1</v>
      </c>
      <c r="I236" s="7">
        <v>-6.55</v>
      </c>
      <c r="J236" s="7">
        <v>20.21</v>
      </c>
    </row>
    <row r="237" spans="1:10" ht="14.4">
      <c r="A237" s="6" t="s">
        <v>707</v>
      </c>
      <c r="B237" s="7" t="s">
        <v>708</v>
      </c>
      <c r="C237" s="7" t="e">
        <f ca="1">Image("https://images-na.ssl-images-amazon.com/images/I/41nMBbB4XDS.jpg;https://images-na.ssl-images-amazon.com/images/I/31dekOl9z+S.jpg;https://images-na.ssl-images-amazon.com/images/I/41lxQP-0ZRS.jpg;https://images-na.ssl-images-amazon.com/images/I/41Q6vLwcSOL"&amp;".jpg;https://images-na.ssl-images-amazon.com/images/I/51qbPWI1YhL.jpg;https://images-na.ssl-images-amazon.com/images/I/41w2Yf1NuJL.jpg;https://images-na.ssl-images-amazon.com/images/I/51S2dYMb9YL.jpg")</f>
        <v>#NAME?</v>
      </c>
      <c r="D237" s="7" t="s">
        <v>20</v>
      </c>
      <c r="E237" s="7" t="s">
        <v>709</v>
      </c>
      <c r="F237" s="7">
        <v>6</v>
      </c>
      <c r="G237" s="7">
        <v>46.52</v>
      </c>
      <c r="H237" s="7">
        <v>0</v>
      </c>
      <c r="I237" s="7">
        <v>0</v>
      </c>
      <c r="J237" s="7">
        <v>19.07</v>
      </c>
    </row>
    <row r="238" spans="1:10" ht="14.4">
      <c r="A238" s="6" t="s">
        <v>710</v>
      </c>
      <c r="B238" s="7" t="s">
        <v>711</v>
      </c>
      <c r="C238" s="7" t="e">
        <f ca="1">Image("https://images-na.ssl-images-amazon.com/images/I/41NAnxO6KfL.jpg;https://images-na.ssl-images-amazon.com/images/I/419m6WPBq2L.jpg;https://images-na.ssl-images-amazon.com/images/I/41p+7FbXRnL.jpg;https://images-na.ssl-images-amazon.com/images/I/41grxsNCVgL"&amp;".jpg;https://images-na.ssl-images-amazon.com/images/I/410SBcIb39L.jpg;https://images-na.ssl-images-amazon.com/images/I/41v0905rGsL.jpg")</f>
        <v>#NAME?</v>
      </c>
      <c r="D238" s="7" t="s">
        <v>16</v>
      </c>
      <c r="E238" s="7" t="s">
        <v>712</v>
      </c>
      <c r="F238" s="7">
        <v>14</v>
      </c>
      <c r="G238" s="7">
        <v>134.4</v>
      </c>
      <c r="H238" s="7">
        <v>1</v>
      </c>
      <c r="I238" s="7">
        <v>-8.98</v>
      </c>
      <c r="J238" s="7">
        <v>18.61</v>
      </c>
    </row>
    <row r="239" spans="1:10" ht="14.4">
      <c r="A239" s="6" t="s">
        <v>713</v>
      </c>
      <c r="B239" s="7" t="s">
        <v>714</v>
      </c>
      <c r="C239" s="7" t="e">
        <f ca="1">Image("https://images-na.ssl-images-amazon.com/images/I/41qHyyjPYkS.jpg;https://images-na.ssl-images-amazon.com/images/I/51fbrQbmxdS.jpg;https://images-na.ssl-images-amazon.com/images/I/51maaQMU4vS.jpg;https://images-na.ssl-images-amazon.com/images/I/61DlVjTgsGS"&amp;".jpg;https://images-na.ssl-images-amazon.com/images/I/61rnW-PAEQS.jpg;https://images-na.ssl-images-amazon.com/images/I/41UK0L2Yc4S.jpg")</f>
        <v>#NAME?</v>
      </c>
      <c r="D239" s="7" t="s">
        <v>20</v>
      </c>
      <c r="E239" s="7" t="s">
        <v>715</v>
      </c>
      <c r="F239" s="7">
        <v>5</v>
      </c>
      <c r="G239" s="7">
        <v>62.6</v>
      </c>
      <c r="H239" s="7">
        <v>3</v>
      </c>
      <c r="I239" s="7">
        <v>-35.76</v>
      </c>
      <c r="J239" s="7">
        <v>17.45</v>
      </c>
    </row>
    <row r="240" spans="1:10" ht="14.4">
      <c r="A240" s="6" t="s">
        <v>716</v>
      </c>
      <c r="B240" s="7" t="s">
        <v>717</v>
      </c>
      <c r="C240" s="7" t="e">
        <f ca="1">Image("https://images-na.ssl-images-amazon.com/images/I/512rtEHMFyL.jpg;https://images-na.ssl-images-amazon.com/images/I/41UpUxS0LFL.jpg;https://images-na.ssl-images-amazon.com/images/I/41U8qrsQhJL.jpg;https://images-na.ssl-images-amazon.com/images/I/516ZXiYv7NL"&amp;".jpg;https://images-na.ssl-images-amazon.com/images/I/51G+M1QKoEL.jpg;https://images-na.ssl-images-amazon.com/images/I/31Kps+HAoQL.jpg")</f>
        <v>#NAME?</v>
      </c>
      <c r="D240" s="7" t="s">
        <v>20</v>
      </c>
      <c r="E240" s="7" t="s">
        <v>389</v>
      </c>
      <c r="F240" s="7">
        <v>3</v>
      </c>
      <c r="G240" s="7">
        <v>66</v>
      </c>
      <c r="H240" s="7">
        <v>1</v>
      </c>
      <c r="I240" s="7">
        <v>-19.36</v>
      </c>
      <c r="J240" s="7">
        <v>17.39</v>
      </c>
    </row>
    <row r="241" spans="1:10" ht="14.4">
      <c r="A241" s="6" t="s">
        <v>718</v>
      </c>
      <c r="B241" s="7" t="s">
        <v>719</v>
      </c>
      <c r="C241" s="7" t="e">
        <f ca="1">Image("https://images-na.ssl-images-amazon.com/images/I/41cjCAw9kPL.jpg;https://images-na.ssl-images-amazon.com/images/I/41EDVNJjN+L.jpg")</f>
        <v>#NAME?</v>
      </c>
      <c r="D241" s="7" t="s">
        <v>477</v>
      </c>
      <c r="E241" s="7" t="s">
        <v>720</v>
      </c>
      <c r="F241" s="7">
        <v>1</v>
      </c>
      <c r="G241" s="7">
        <v>19.989999999999998</v>
      </c>
      <c r="H241" s="7">
        <v>0</v>
      </c>
      <c r="I241" s="7">
        <v>0</v>
      </c>
      <c r="J241" s="7">
        <v>16.989999999999998</v>
      </c>
    </row>
    <row r="242" spans="1:10" ht="14.4">
      <c r="A242" s="6" t="s">
        <v>721</v>
      </c>
      <c r="B242" s="7" t="s">
        <v>722</v>
      </c>
      <c r="C242" s="7" t="e">
        <f ca="1">Image("https://images-na.ssl-images-amazon.com/images/I/41jiF0R6ViL.jpg;https://images-na.ssl-images-amazon.com/images/I/41EDVNJjN+L.jpg")</f>
        <v>#NAME?</v>
      </c>
      <c r="D242" s="7" t="s">
        <v>299</v>
      </c>
      <c r="E242" s="7" t="s">
        <v>723</v>
      </c>
      <c r="F242" s="7">
        <v>1</v>
      </c>
      <c r="G242" s="7">
        <v>19.98</v>
      </c>
      <c r="H242" s="7">
        <v>0</v>
      </c>
      <c r="I242" s="7">
        <v>0</v>
      </c>
      <c r="J242" s="7">
        <v>16.98</v>
      </c>
    </row>
    <row r="243" spans="1:10" ht="14.4">
      <c r="A243" s="6" t="s">
        <v>724</v>
      </c>
      <c r="B243" s="7" t="s">
        <v>725</v>
      </c>
      <c r="C243" s="7" t="e">
        <f ca="1">Image("https://images-na.ssl-images-amazon.com/images/I/51Ub-D9YmuL.jpg;https://images-na.ssl-images-amazon.com/images/I/51rUs9p7IuL.jpg;https://images-na.ssl-images-amazon.com/images/I/51o77rMAQaL.jpg;https://images-na.ssl-images-amazon.com/images/I/4105j3UbhFL"&amp;".jpg;https://images-na.ssl-images-amazon.com/images/I/41U367pmGYL.jpg;https://images-na.ssl-images-amazon.com/images/I/41lkixLc3XL.jpg")</f>
        <v>#NAME?</v>
      </c>
      <c r="D243" s="7" t="s">
        <v>20</v>
      </c>
      <c r="E243" s="7" t="s">
        <v>726</v>
      </c>
      <c r="F243" s="7">
        <v>2</v>
      </c>
      <c r="G243" s="7">
        <v>35.979999999999997</v>
      </c>
      <c r="H243" s="7">
        <v>1</v>
      </c>
      <c r="I243" s="7">
        <v>-13.63</v>
      </c>
      <c r="J243" s="7">
        <v>16.96</v>
      </c>
    </row>
    <row r="244" spans="1:10" ht="14.4">
      <c r="A244" s="6" t="s">
        <v>727</v>
      </c>
      <c r="B244" s="7" t="s">
        <v>728</v>
      </c>
      <c r="C244" s="7" t="e">
        <f ca="1">Image("https://images-na.ssl-images-amazon.com/images/I/4184P7-BQWL.jpg;https://images-na.ssl-images-amazon.com/images/I/515+P-DcLrL.jpg;https://images-na.ssl-images-amazon.com/images/I/61LaDo-C2zS.jpg;https://images-na.ssl-images-amazon.com/images/I/51y3uJTePrL"&amp;".jpg;https://images-na.ssl-images-amazon.com/images/I/51kdyn7bdWS.jpg;https://images-na.ssl-images-amazon.com/images/I/610uCceF-DS.jpg;https://images-na.ssl-images-amazon.com/images/I/51+Cbj5vxdS.jpg")</f>
        <v>#NAME?</v>
      </c>
      <c r="D244" s="7" t="s">
        <v>20</v>
      </c>
      <c r="E244" s="7" t="s">
        <v>729</v>
      </c>
      <c r="F244" s="7">
        <v>8</v>
      </c>
      <c r="G244" s="7">
        <v>47.2</v>
      </c>
      <c r="H244" s="7">
        <v>0</v>
      </c>
      <c r="I244" s="7">
        <v>0</v>
      </c>
      <c r="J244" s="7">
        <v>16.809999999999999</v>
      </c>
    </row>
    <row r="245" spans="1:10" ht="14.4">
      <c r="A245" s="6" t="s">
        <v>730</v>
      </c>
      <c r="B245" s="7" t="s">
        <v>731</v>
      </c>
      <c r="C245" s="7" t="e">
        <f ca="1">Image("https://images-na.ssl-images-amazon.com/images/I/414oFIY8HIL.jpg;https://images-na.ssl-images-amazon.com/images/I/41ZONmv61mL.jpg;https://images-na.ssl-images-amazon.com/images/I/41NDt9wbTeL.jpg;https://images-na.ssl-images-amazon.com/images/I/41vBgooeEQL"&amp;".jpg;https://images-na.ssl-images-amazon.com/images/I/51qpSUST8DL.jpg;https://images-na.ssl-images-amazon.com/images/I/610qSO4sDXL.jpg;https://images-na.ssl-images-amazon.com/images/I/613-dRRq42L.jpg")</f>
        <v>#NAME?</v>
      </c>
      <c r="D245" s="7" t="s">
        <v>20</v>
      </c>
      <c r="E245" s="7" t="s">
        <v>732</v>
      </c>
      <c r="F245" s="7">
        <v>3</v>
      </c>
      <c r="G245" s="7">
        <v>39.5</v>
      </c>
      <c r="H245" s="7">
        <v>1</v>
      </c>
      <c r="I245" s="7">
        <v>-17.38</v>
      </c>
      <c r="J245" s="7">
        <v>16.18</v>
      </c>
    </row>
    <row r="246" spans="1:10" ht="14.4">
      <c r="A246" s="6" t="s">
        <v>733</v>
      </c>
      <c r="B246" s="7" t="s">
        <v>734</v>
      </c>
      <c r="C246" s="7" t="e">
        <f ca="1">Image("https://images-na.ssl-images-amazon.com/images/I/41sRVeEzIQL.jpg;https://images-na.ssl-images-amazon.com/images/I/41zAWuf85IL.jpg;https://images-na.ssl-images-amazon.com/images/I/41EDVNJjN+L.jpg")</f>
        <v>#NAME?</v>
      </c>
      <c r="D246" s="7" t="s">
        <v>299</v>
      </c>
      <c r="E246" s="7" t="s">
        <v>735</v>
      </c>
      <c r="F246" s="7">
        <v>1</v>
      </c>
      <c r="G246" s="7">
        <v>18.989999999999998</v>
      </c>
      <c r="H246" s="7">
        <v>0</v>
      </c>
      <c r="I246" s="7">
        <v>0</v>
      </c>
      <c r="J246" s="7">
        <v>16.14</v>
      </c>
    </row>
    <row r="247" spans="1:10" ht="14.4">
      <c r="A247" s="6" t="s">
        <v>736</v>
      </c>
      <c r="B247" s="7" t="s">
        <v>737</v>
      </c>
      <c r="C247" s="7" t="e">
        <f ca="1">Image("https://images-na.ssl-images-amazon.com/images/I/41UCr2xbMcL.jpg;https://images-na.ssl-images-amazon.com/images/I/41h538p8YkL.jpg;https://images-na.ssl-images-amazon.com/images/I/41UnU4gJb9L.jpg;https://images-na.ssl-images-amazon.com/images/I/41TRCGszp9L"&amp;".jpg")</f>
        <v>#NAME?</v>
      </c>
      <c r="D247" s="7" t="s">
        <v>738</v>
      </c>
      <c r="E247" s="7" t="s">
        <v>739</v>
      </c>
      <c r="F247" s="7">
        <v>1</v>
      </c>
      <c r="G247" s="7">
        <v>18.98</v>
      </c>
      <c r="H247" s="7">
        <v>0</v>
      </c>
      <c r="I247" s="7">
        <v>0</v>
      </c>
      <c r="J247" s="7">
        <v>16.13</v>
      </c>
    </row>
    <row r="248" spans="1:10" ht="14.4">
      <c r="A248" s="6" t="s">
        <v>740</v>
      </c>
      <c r="B248" s="7" t="s">
        <v>741</v>
      </c>
      <c r="C248" s="7" t="e">
        <f ca="1">Image("https://images-na.ssl-images-amazon.com/images/I/41SWQ6YoovL.jpg;https://images-na.ssl-images-amazon.com/images/I/41Ywbyzf4dL.jpg;https://images-na.ssl-images-amazon.com/images/I/31dQn+3uftL.jpg")</f>
        <v>#NAME?</v>
      </c>
      <c r="D248" s="7" t="s">
        <v>16</v>
      </c>
      <c r="E248" s="7" t="s">
        <v>742</v>
      </c>
      <c r="F248" s="7">
        <v>5</v>
      </c>
      <c r="G248" s="7">
        <v>35</v>
      </c>
      <c r="H248" s="7">
        <v>0</v>
      </c>
      <c r="I248" s="7">
        <v>0</v>
      </c>
      <c r="J248" s="7">
        <v>15.98</v>
      </c>
    </row>
    <row r="249" spans="1:10" ht="14.4">
      <c r="A249" s="6" t="s">
        <v>743</v>
      </c>
      <c r="B249" s="7" t="s">
        <v>744</v>
      </c>
      <c r="C249" s="7" t="e">
        <f ca="1">Image("https://images-na.ssl-images-amazon.com/images/I/512rtEHMFyL.jpg;https://images-na.ssl-images-amazon.com/images/I/41UpUxS0LFL.jpg;https://images-na.ssl-images-amazon.com/images/I/41U8qrsQhJL.jpg;https://images-na.ssl-images-amazon.com/images/I/516ZXiYv7NL"&amp;".jpg;https://images-na.ssl-images-amazon.com/images/I/51G+M1QKoEL.jpg;https://images-na.ssl-images-amazon.com/images/I/31Kps+HAoQL.jpg")</f>
        <v>#NAME?</v>
      </c>
      <c r="D249" s="7" t="s">
        <v>20</v>
      </c>
      <c r="E249" s="7" t="s">
        <v>745</v>
      </c>
      <c r="F249" s="7">
        <v>1</v>
      </c>
      <c r="G249" s="7">
        <v>24</v>
      </c>
      <c r="H249" s="7">
        <v>0</v>
      </c>
      <c r="I249" s="7">
        <v>0</v>
      </c>
      <c r="J249" s="7">
        <v>15.57</v>
      </c>
    </row>
    <row r="250" spans="1:10" ht="14.4">
      <c r="A250" s="6" t="s">
        <v>746</v>
      </c>
      <c r="B250" s="7" t="s">
        <v>747</v>
      </c>
      <c r="C250" s="7" t="e">
        <f ca="1">Image("https://images-na.ssl-images-amazon.com/images/I/51imPFx3IbL.jpg;https://images-na.ssl-images-amazon.com/images/I/41w12xPG9wL.jpg;https://images-na.ssl-images-amazon.com/images/I/41PhhFXBjDL.jpg;https://images-na.ssl-images-amazon.com/images/I/51sOV3EJGhL"&amp;".jpg")</f>
        <v>#NAME?</v>
      </c>
      <c r="D250" s="7" t="s">
        <v>20</v>
      </c>
      <c r="E250" s="7" t="s">
        <v>748</v>
      </c>
      <c r="F250" s="7">
        <v>3</v>
      </c>
      <c r="G250" s="7">
        <v>26.47</v>
      </c>
      <c r="H250" s="7">
        <v>1</v>
      </c>
      <c r="I250" s="7">
        <v>-7.03</v>
      </c>
      <c r="J250" s="7">
        <v>15.47</v>
      </c>
    </row>
    <row r="251" spans="1:10" ht="14.4">
      <c r="A251" s="6" t="s">
        <v>749</v>
      </c>
      <c r="B251" s="7" t="s">
        <v>750</v>
      </c>
      <c r="C251" s="7" t="e">
        <f ca="1">Image("https://images-na.ssl-images-amazon.com/images/I/31jeeSfq5CL.jpg;https://images-na.ssl-images-amazon.com/images/I/21IaHHNkhEL.jpg;https://images-na.ssl-images-amazon.com/images/I/31RgXkMJk3L.jpg;https://images-na.ssl-images-amazon.com/images/I/51cia6K+mhL"&amp;".jpg;https://images-na.ssl-images-amazon.com/images/I/51kew2nJz2L.jpg;https://images-na.ssl-images-amazon.com/images/I/514qDsH-8FL.jpg")</f>
        <v>#NAME?</v>
      </c>
      <c r="D251" s="7" t="s">
        <v>20</v>
      </c>
      <c r="E251" s="7" t="s">
        <v>751</v>
      </c>
      <c r="F251" s="7">
        <v>1</v>
      </c>
      <c r="G251" s="7">
        <v>18.989999999999998</v>
      </c>
      <c r="H251" s="7">
        <v>0</v>
      </c>
      <c r="I251" s="7">
        <v>0</v>
      </c>
      <c r="J251" s="7">
        <v>15.33</v>
      </c>
    </row>
    <row r="252" spans="1:10" ht="14.4">
      <c r="A252" s="6" t="s">
        <v>752</v>
      </c>
      <c r="B252" s="7" t="s">
        <v>753</v>
      </c>
      <c r="C252" s="7" t="e">
        <f ca="1">Image("https://images-na.ssl-images-amazon.com/images/I/31vkaxlILOL.jpg;https://images-na.ssl-images-amazon.com/images/I/31lLezF1tXL.jpg;https://images-na.ssl-images-amazon.com/images/I/31VLblckqmL.jpg;https://images-na.ssl-images-amazon.com/images/I/31p5hJqeI7L"&amp;".jpg;https://images-na.ssl-images-amazon.com/images/I/31Z93CikXKL.jpg;https://images-na.ssl-images-amazon.com/images/I/51xAR4ohNJL.jpg")</f>
        <v>#NAME?</v>
      </c>
      <c r="D252" s="7" t="s">
        <v>20</v>
      </c>
      <c r="E252" s="7" t="s">
        <v>754</v>
      </c>
      <c r="F252" s="7">
        <v>1</v>
      </c>
      <c r="G252" s="7">
        <v>17.989999999999998</v>
      </c>
      <c r="H252" s="7">
        <v>0</v>
      </c>
      <c r="I252" s="7">
        <v>0</v>
      </c>
      <c r="J252" s="7">
        <v>15.29</v>
      </c>
    </row>
    <row r="253" spans="1:10" ht="14.4">
      <c r="A253" s="6" t="s">
        <v>755</v>
      </c>
      <c r="B253" s="7" t="s">
        <v>756</v>
      </c>
      <c r="C253" s="7" t="e">
        <f ca="1">Image("https://images-na.ssl-images-amazon.com/images/I/31H6fRXC1yS.jpg;https://images-na.ssl-images-amazon.com/images/I/31+c0cj+sLS.jpg;https://images-na.ssl-images-amazon.com/images/I/31NowTgXBnS.jpg;https://images-na.ssl-images-amazon.com/images/I/318MebIaTWL"&amp;".jpg;https://images-na.ssl-images-amazon.com/images/I/41QP3I2IafL.jpg;https://images-na.ssl-images-amazon.com/images/I/41H-eHcctuL.jpg;https://images-na.ssl-images-amazon.com/images/I/51UltZP4XSL.jpg")</f>
        <v>#NAME?</v>
      </c>
      <c r="D253" s="7" t="s">
        <v>20</v>
      </c>
      <c r="E253" s="7" t="s">
        <v>757</v>
      </c>
      <c r="F253" s="7">
        <v>2</v>
      </c>
      <c r="G253" s="7">
        <v>17.98</v>
      </c>
      <c r="H253" s="7">
        <v>0</v>
      </c>
      <c r="I253" s="7">
        <v>0</v>
      </c>
      <c r="J253" s="7">
        <v>15.28</v>
      </c>
    </row>
    <row r="254" spans="1:10" ht="14.4">
      <c r="A254" s="6" t="s">
        <v>758</v>
      </c>
      <c r="B254" s="7" t="s">
        <v>759</v>
      </c>
      <c r="C254" s="7" t="e">
        <f ca="1">Image("https://images-na.ssl-images-amazon.com/images/I/31GuWJMspUL.jpg;https://images-na.ssl-images-amazon.com/images/I/21efXFWKlLL.jpg;https://images-na.ssl-images-amazon.com/images/I/41-HQQqk7-L.jpg;https://images-na.ssl-images-amazon.com/images/I/4167yk-nngL"&amp;".jpg;https://images-na.ssl-images-amazon.com/images/I/31W6+ULtJ3L.jpg;https://images-na.ssl-images-amazon.com/images/I/41QvZ-ZFPxL.jpg")</f>
        <v>#NAME?</v>
      </c>
      <c r="D254" s="7" t="s">
        <v>20</v>
      </c>
      <c r="E254" s="7" t="s">
        <v>760</v>
      </c>
      <c r="F254" s="7">
        <v>12</v>
      </c>
      <c r="G254" s="7">
        <v>59.52</v>
      </c>
      <c r="H254" s="7">
        <v>2</v>
      </c>
      <c r="I254" s="7">
        <v>-9.91</v>
      </c>
      <c r="J254" s="7">
        <v>15.27</v>
      </c>
    </row>
    <row r="255" spans="1:10" ht="14.4">
      <c r="A255" s="6" t="s">
        <v>761</v>
      </c>
      <c r="B255" s="7" t="s">
        <v>762</v>
      </c>
      <c r="C255" s="7" t="e">
        <f ca="1">Image("https://images-na.ssl-images-amazon.com/images/I/41OGigczFcL.jpg;https://images-na.ssl-images-amazon.com/images/I/41AMqsC9s2L.jpg;https://images-na.ssl-images-amazon.com/images/I/21fPkluSDUL.jpg")</f>
        <v>#NAME?</v>
      </c>
      <c r="D255" s="7" t="s">
        <v>16</v>
      </c>
      <c r="E255" s="7" t="s">
        <v>763</v>
      </c>
      <c r="F255" s="7">
        <v>3</v>
      </c>
      <c r="G255" s="7">
        <v>17.28</v>
      </c>
      <c r="H255" s="7">
        <v>0</v>
      </c>
      <c r="I255" s="7">
        <v>0</v>
      </c>
      <c r="J255" s="7">
        <v>14.7</v>
      </c>
    </row>
    <row r="256" spans="1:10" ht="14.4">
      <c r="A256" s="6" t="s">
        <v>764</v>
      </c>
      <c r="B256" s="7" t="s">
        <v>765</v>
      </c>
      <c r="C256" s="7" t="e">
        <f ca="1">Image("https://images-na.ssl-images-amazon.com/images/I/51HJiHThdhL.jpg;https://images-na.ssl-images-amazon.com/images/I/51Ypv+X1b2L.jpg;https://images-na.ssl-images-amazon.com/images/I/51nhYbtHMbL.jpg;https://images-na.ssl-images-amazon.com/images/I/51FkFR4zHqL"&amp;".jpg")</f>
        <v>#NAME?</v>
      </c>
      <c r="D256" s="7" t="s">
        <v>16</v>
      </c>
      <c r="E256" s="7" t="s">
        <v>766</v>
      </c>
      <c r="F256" s="7">
        <v>1</v>
      </c>
      <c r="G256" s="7">
        <v>16.989999999999998</v>
      </c>
      <c r="H256" s="7">
        <v>0</v>
      </c>
      <c r="I256" s="7">
        <v>0</v>
      </c>
      <c r="J256" s="7">
        <v>14.44</v>
      </c>
    </row>
    <row r="257" spans="1:10" ht="14.4">
      <c r="A257" s="6" t="s">
        <v>767</v>
      </c>
      <c r="B257" s="7" t="s">
        <v>768</v>
      </c>
      <c r="C257" s="7" t="e">
        <f ca="1">Image("https://images-na.ssl-images-amazon.com/images/I/315TmEIIltS.jpg;https://images-na.ssl-images-amazon.com/images/I/51kzRgCVakS.jpg;https://images-na.ssl-images-amazon.com/images/I/51FiGJFc2yS.jpg;https://images-na.ssl-images-amazon.com/images/I/414RoP4RXmS"&amp;".jpg;https://images-na.ssl-images-amazon.com/images/I/61YrMLNfGwS.jpg;https://images-na.ssl-images-amazon.com/images/I/61cLLURNQ3S.jpg")</f>
        <v>#NAME?</v>
      </c>
      <c r="D257" s="7" t="s">
        <v>20</v>
      </c>
      <c r="E257" s="7" t="s">
        <v>769</v>
      </c>
      <c r="F257" s="7">
        <v>7</v>
      </c>
      <c r="G257" s="7">
        <v>45.6</v>
      </c>
      <c r="H257" s="7">
        <v>0</v>
      </c>
      <c r="I257" s="7">
        <v>0</v>
      </c>
      <c r="J257" s="7">
        <v>14.44</v>
      </c>
    </row>
    <row r="258" spans="1:10" ht="14.4">
      <c r="A258" s="6" t="s">
        <v>770</v>
      </c>
      <c r="B258" s="7" t="s">
        <v>771</v>
      </c>
      <c r="C258" s="7" t="e">
        <f ca="1">Image("https://images-na.ssl-images-amazon.com/images/I/41zc-Tk4HqL.jpg;https://images-na.ssl-images-amazon.com/images/I/51hcPoE09cL.jpg;https://images-na.ssl-images-amazon.com/images/I/41lcbtfMwLL.jpg;https://images-na.ssl-images-amazon.com/images/I/41wSWKiVi5L"&amp;".jpg;https://images-na.ssl-images-amazon.com/images/I/41l14c0-RpL.jpg;https://images-na.ssl-images-amazon.com/images/I/51O+Aj7NAeL.jpg")</f>
        <v>#NAME?</v>
      </c>
      <c r="D258" s="7" t="s">
        <v>20</v>
      </c>
      <c r="E258" s="7" t="s">
        <v>772</v>
      </c>
      <c r="F258" s="7">
        <v>1</v>
      </c>
      <c r="G258" s="7">
        <v>15.99</v>
      </c>
      <c r="H258" s="7">
        <v>0</v>
      </c>
      <c r="I258" s="7">
        <v>0</v>
      </c>
      <c r="J258" s="7">
        <v>13.59</v>
      </c>
    </row>
    <row r="259" spans="1:10" ht="14.4">
      <c r="A259" s="6" t="s">
        <v>773</v>
      </c>
      <c r="B259" s="7" t="s">
        <v>774</v>
      </c>
      <c r="C259" s="7" t="e">
        <f ca="1">Image("https://images-na.ssl-images-amazon.com/images/I/51kxyb-ipDL.jpg;https://images-na.ssl-images-amazon.com/images/I/51KibRtoN+L.jpg;https://images-na.ssl-images-amazon.com/images/I/519OZ+ptMdL.jpg;https://images-na.ssl-images-amazon.com/images/I/51Y+JVZgjDL"&amp;".jpg;https://images-na.ssl-images-amazon.com/images/I/51PtO26O9ML.jpg;https://images-na.ssl-images-amazon.com/images/I/510qw9+zHyL.jpg;https://images-na.ssl-images-amazon.com/images/I/51UKdDJYmWL.jpg")</f>
        <v>#NAME?</v>
      </c>
      <c r="D259" s="7" t="s">
        <v>20</v>
      </c>
      <c r="E259" s="7" t="s">
        <v>775</v>
      </c>
      <c r="F259" s="7">
        <v>1</v>
      </c>
      <c r="G259" s="7">
        <v>15.99</v>
      </c>
      <c r="H259" s="7">
        <v>0</v>
      </c>
      <c r="I259" s="7">
        <v>0</v>
      </c>
      <c r="J259" s="7">
        <v>13.59</v>
      </c>
    </row>
    <row r="260" spans="1:10" ht="14.4">
      <c r="A260" s="6" t="s">
        <v>776</v>
      </c>
      <c r="B260" s="7" t="s">
        <v>777</v>
      </c>
      <c r="C260" s="7" t="e">
        <f ca="1">Image("https://images-na.ssl-images-amazon.com/images/I/41rflXBihjS.jpg;https://images-na.ssl-images-amazon.com/images/I/51tFPjgsJRS.jpg;https://images-na.ssl-images-amazon.com/images/I/41jwG+O8a1S.jpg;https://images-na.ssl-images-amazon.com/images/I/613x0IQtbMS"&amp;".jpg;https://images-na.ssl-images-amazon.com/images/I/51tjR4HxCWS.jpg;https://images-na.ssl-images-amazon.com/images/I/41L7o5LjhBS.jpg")</f>
        <v>#NAME?</v>
      </c>
      <c r="D260" s="7" t="s">
        <v>20</v>
      </c>
      <c r="E260" s="7" t="s">
        <v>778</v>
      </c>
      <c r="F260" s="7">
        <v>4</v>
      </c>
      <c r="G260" s="7">
        <v>34.82</v>
      </c>
      <c r="H260" s="7">
        <v>0</v>
      </c>
      <c r="I260" s="7">
        <v>0</v>
      </c>
      <c r="J260" s="7">
        <v>13.26</v>
      </c>
    </row>
    <row r="261" spans="1:10" ht="14.4">
      <c r="A261" s="6" t="s">
        <v>779</v>
      </c>
      <c r="B261" s="7" t="s">
        <v>780</v>
      </c>
      <c r="C261" s="7" t="e">
        <f ca="1">Image("https://images-na.ssl-images-amazon.com/images/I/51AafpwlfCL.jpg;https://images-na.ssl-images-amazon.com/images/I/61nr120ls6L.jpg;https://images-na.ssl-images-amazon.com/images/I/511ieqhntUL.jpg;https://images-na.ssl-images-amazon.com/images/I/31UfSxWKjbL"&amp;".jpg;https://images-na.ssl-images-amazon.com/images/I/51AafpwlfCL.jpg")</f>
        <v>#NAME?</v>
      </c>
      <c r="D261" s="7" t="s">
        <v>20</v>
      </c>
      <c r="E261" s="7" t="s">
        <v>781</v>
      </c>
      <c r="F261" s="7">
        <v>1</v>
      </c>
      <c r="G261" s="7">
        <v>13.99</v>
      </c>
      <c r="H261" s="7">
        <v>0</v>
      </c>
      <c r="I261" s="7">
        <v>0</v>
      </c>
      <c r="J261" s="7">
        <v>11.89</v>
      </c>
    </row>
    <row r="262" spans="1:10" ht="14.4">
      <c r="A262" s="6" t="s">
        <v>782</v>
      </c>
      <c r="B262" s="7" t="s">
        <v>783</v>
      </c>
      <c r="C262" s="7" t="e">
        <f ca="1">Image("https://images-na.ssl-images-amazon.com/images/I/41T9W9RtevS.jpg;https://images-na.ssl-images-amazon.com/images/I/31tE45l5TfS.jpg;https://images-na.ssl-images-amazon.com/images/I/41RpRs0hhxS.jpg;https://images-na.ssl-images-amazon.com/images/I/41xpluj1PZL"&amp;".jpg;https://images-na.ssl-images-amazon.com/images/I/51dnP9IyYuL.jpg;https://images-na.ssl-images-amazon.com/images/I/41-d7VM62ZL.jpg;https://images-na.ssl-images-amazon.com/images/I/51XUWION6mL.jpg")</f>
        <v>#NAME?</v>
      </c>
      <c r="D262" s="7" t="s">
        <v>20</v>
      </c>
      <c r="E262" s="7" t="s">
        <v>784</v>
      </c>
      <c r="F262" s="7">
        <v>6</v>
      </c>
      <c r="G262" s="7">
        <v>40.54</v>
      </c>
      <c r="H262" s="7">
        <v>0</v>
      </c>
      <c r="I262" s="7">
        <v>0</v>
      </c>
      <c r="J262" s="7">
        <v>11.84</v>
      </c>
    </row>
    <row r="263" spans="1:10" ht="14.4">
      <c r="A263" s="6" t="s">
        <v>785</v>
      </c>
      <c r="B263" s="7" t="s">
        <v>786</v>
      </c>
      <c r="C263" s="7" t="e">
        <f ca="1">Image("https://images-na.ssl-images-amazon.com/images/I/41ET9+SuUeL.jpg;https://images-na.ssl-images-amazon.com/images/I/51q0ACS7hBL.jpg")</f>
        <v>#NAME?</v>
      </c>
      <c r="D263" s="7" t="s">
        <v>16</v>
      </c>
      <c r="E263" s="7" t="s">
        <v>787</v>
      </c>
      <c r="F263" s="7">
        <v>1</v>
      </c>
      <c r="G263" s="7">
        <v>13</v>
      </c>
      <c r="H263" s="7">
        <v>0</v>
      </c>
      <c r="I263" s="7">
        <v>0</v>
      </c>
      <c r="J263" s="7">
        <v>11.57</v>
      </c>
    </row>
    <row r="264" spans="1:10" ht="14.4">
      <c r="A264" s="6" t="s">
        <v>788</v>
      </c>
      <c r="B264" s="7" t="s">
        <v>789</v>
      </c>
      <c r="C264" s="7" t="e">
        <f ca="1">Image("https://images-na.ssl-images-amazon.com/images/I/31mGDKPHIfS.jpg;https://images-na.ssl-images-amazon.com/images/I/31uxFG6CS8S.jpg;https://images-na.ssl-images-amazon.com/images/I/31vbEU3mK8S.jpg;https://images-na.ssl-images-amazon.com/images/I/31JaoXjUaNL"&amp;".jpg;https://images-na.ssl-images-amazon.com/images/I/51PNvaIQo9L.jpg;https://images-na.ssl-images-amazon.com/images/I/41HxjDellqL.jpg;https://images-na.ssl-images-amazon.com/images/I/51Ng8sD5qwL.jpg")</f>
        <v>#NAME?</v>
      </c>
      <c r="D264" s="7" t="s">
        <v>20</v>
      </c>
      <c r="E264" s="7" t="s">
        <v>790</v>
      </c>
      <c r="F264" s="7">
        <v>3</v>
      </c>
      <c r="G264" s="7">
        <v>22.19</v>
      </c>
      <c r="H264" s="7">
        <v>0</v>
      </c>
      <c r="I264" s="7">
        <v>0</v>
      </c>
      <c r="J264" s="7">
        <v>11.41</v>
      </c>
    </row>
    <row r="265" spans="1:10" ht="14.4">
      <c r="A265" s="6" t="s">
        <v>791</v>
      </c>
      <c r="B265" s="7" t="s">
        <v>792</v>
      </c>
      <c r="C265" s="7" t="e">
        <f ca="1">Image("https://images-na.ssl-images-amazon.com/images/I/314xNNo2+gL.jpg;https://images-na.ssl-images-amazon.com/images/I/314xNNo2+gL.jpg")</f>
        <v>#NAME?</v>
      </c>
      <c r="D265" s="7" t="s">
        <v>20</v>
      </c>
      <c r="E265" s="7" t="s">
        <v>793</v>
      </c>
      <c r="F265" s="7">
        <v>2</v>
      </c>
      <c r="G265" s="7">
        <v>13.98</v>
      </c>
      <c r="H265" s="7">
        <v>0</v>
      </c>
      <c r="I265" s="7">
        <v>0</v>
      </c>
      <c r="J265" s="7">
        <v>11.18</v>
      </c>
    </row>
    <row r="266" spans="1:10" ht="14.4">
      <c r="A266" s="6" t="s">
        <v>794</v>
      </c>
      <c r="B266" s="7" t="s">
        <v>795</v>
      </c>
      <c r="C266" s="7" t="e">
        <f ca="1">Image("https://images-na.ssl-images-amazon.com/images/I/41D+GKe77DL.jpg;https://images-na.ssl-images-amazon.com/images/I/41EDVNJjN+L.jpg")</f>
        <v>#NAME?</v>
      </c>
      <c r="D266" s="7" t="s">
        <v>477</v>
      </c>
      <c r="E266" s="7" t="s">
        <v>796</v>
      </c>
      <c r="F266" s="7">
        <v>1</v>
      </c>
      <c r="G266" s="7">
        <v>12.99</v>
      </c>
      <c r="H266" s="7">
        <v>0</v>
      </c>
      <c r="I266" s="7">
        <v>0</v>
      </c>
      <c r="J266" s="7">
        <v>11.04</v>
      </c>
    </row>
    <row r="267" spans="1:10" ht="14.4">
      <c r="A267" s="6" t="s">
        <v>797</v>
      </c>
      <c r="B267" s="7" t="s">
        <v>798</v>
      </c>
      <c r="C267" s="7" t="e">
        <f ca="1">Image("https://images-na.ssl-images-amazon.com/images/I/41lWQk6CUKL.jpg;https://images-na.ssl-images-amazon.com/images/I/41EDVNJjN+L.jpg")</f>
        <v>#NAME?</v>
      </c>
      <c r="D267" s="7" t="s">
        <v>477</v>
      </c>
      <c r="E267" s="7" t="s">
        <v>799</v>
      </c>
      <c r="F267" s="7">
        <v>1</v>
      </c>
      <c r="G267" s="7">
        <v>12.99</v>
      </c>
      <c r="H267" s="7">
        <v>0</v>
      </c>
      <c r="I267" s="7">
        <v>0</v>
      </c>
      <c r="J267" s="7">
        <v>11.04</v>
      </c>
    </row>
    <row r="268" spans="1:10" ht="14.4">
      <c r="A268" s="6" t="s">
        <v>800</v>
      </c>
      <c r="B268" s="7" t="s">
        <v>801</v>
      </c>
      <c r="C268" s="7" t="e">
        <f ca="1">Image("https://images-na.ssl-images-amazon.com/images/I/41l+0d9tt3L.jpg;https://images-na.ssl-images-amazon.com/images/I/41shRjrREpL.jpg;https://images-na.ssl-images-amazon.com/images/I/41fwxyX1hCL.jpg;https://images-na.ssl-images-amazon.com/images/I/41+HxQkIdhL"&amp;".jpg;https://images-na.ssl-images-amazon.com/images/I/51UHUwwcKAL.jpg;https://images-na.ssl-images-amazon.com/images/I/51-8L3zYDrL.jpg")</f>
        <v>#NAME?</v>
      </c>
      <c r="D268" s="7" t="s">
        <v>20</v>
      </c>
      <c r="E268" s="7" t="s">
        <v>802</v>
      </c>
      <c r="F268" s="7">
        <v>2</v>
      </c>
      <c r="G268" s="7">
        <v>44.91</v>
      </c>
      <c r="H268" s="7">
        <v>0</v>
      </c>
      <c r="I268" s="7">
        <v>0</v>
      </c>
      <c r="J268" s="7">
        <v>11.02</v>
      </c>
    </row>
    <row r="269" spans="1:10" ht="14.4">
      <c r="A269" s="6" t="s">
        <v>803</v>
      </c>
      <c r="B269" s="7" t="s">
        <v>804</v>
      </c>
      <c r="C269" s="7" t="e">
        <f ca="1">Image("https://images-na.ssl-images-amazon.com/images/I/41nkPdQqZQL.jpg;https://images-na.ssl-images-amazon.com/images/I/413pB2to7LL.jpg;https://images-na.ssl-images-amazon.com/images/I/417xmGQhlBL.jpg;https://images-na.ssl-images-amazon.com/images/I/61fl+IYop7L"&amp;".jpg;https://images-na.ssl-images-amazon.com/images/I/517kb4FBc3L.jpg;https://images-na.ssl-images-amazon.com/images/I/51o1v4BUXIL.jpg")</f>
        <v>#NAME?</v>
      </c>
      <c r="D269" s="7" t="s">
        <v>20</v>
      </c>
      <c r="E269" s="7" t="s">
        <v>805</v>
      </c>
      <c r="F269" s="7">
        <v>2</v>
      </c>
      <c r="G269" s="7">
        <v>27.98</v>
      </c>
      <c r="H269" s="7">
        <v>1</v>
      </c>
      <c r="I269" s="7">
        <v>-11.75</v>
      </c>
      <c r="J269" s="7">
        <v>10.63</v>
      </c>
    </row>
    <row r="270" spans="1:10" ht="14.4">
      <c r="A270" s="6" t="s">
        <v>806</v>
      </c>
      <c r="B270" s="7" t="s">
        <v>807</v>
      </c>
      <c r="C270" s="7" t="e">
        <f ca="1">Image("https://images-na.ssl-images-amazon.com/images/I/41uVodHlbiL.jpg;https://images-na.ssl-images-amazon.com/images/I/41zAWuf85IL.jpg;https://images-na.ssl-images-amazon.com/images/I/41EDVNJjN+L.jpg")</f>
        <v>#NAME?</v>
      </c>
      <c r="D270" s="7" t="s">
        <v>299</v>
      </c>
      <c r="E270" s="7" t="s">
        <v>808</v>
      </c>
      <c r="F270" s="7">
        <v>1</v>
      </c>
      <c r="G270" s="7">
        <v>12.26</v>
      </c>
      <c r="H270" s="7">
        <v>0</v>
      </c>
      <c r="I270" s="7">
        <v>0</v>
      </c>
      <c r="J270" s="7">
        <v>10.43</v>
      </c>
    </row>
    <row r="271" spans="1:10" ht="14.4">
      <c r="A271" s="6" t="s">
        <v>809</v>
      </c>
      <c r="B271" s="7" t="s">
        <v>810</v>
      </c>
      <c r="C271" s="7" t="e">
        <f ca="1">Image("https://images-na.ssl-images-amazon.com/images/I/41hLXxX+yWL.jpg;https://images-na.ssl-images-amazon.com/images/I/41zAWuf85IL.jpg;https://images-na.ssl-images-amazon.com/images/I/41EDVNJjN+L.jpg")</f>
        <v>#NAME?</v>
      </c>
      <c r="D271" s="7" t="s">
        <v>299</v>
      </c>
      <c r="E271" s="7" t="s">
        <v>811</v>
      </c>
      <c r="F271" s="7">
        <v>1</v>
      </c>
      <c r="G271" s="7">
        <v>12.26</v>
      </c>
      <c r="H271" s="7">
        <v>0</v>
      </c>
      <c r="I271" s="7">
        <v>0</v>
      </c>
      <c r="J271" s="7">
        <v>10.43</v>
      </c>
    </row>
    <row r="272" spans="1:10" ht="14.4">
      <c r="A272" s="6" t="s">
        <v>812</v>
      </c>
      <c r="B272" s="7" t="s">
        <v>813</v>
      </c>
      <c r="C272" s="7" t="e">
        <f ca="1">Image("https://images-na.ssl-images-amazon.com/images/I/415hGsvKVML.jpg;https://images-na.ssl-images-amazon.com/images/I/41zAWuf85IL.jpg;https://images-na.ssl-images-amazon.com/images/I/41EDVNJjN+L.jpg")</f>
        <v>#NAME?</v>
      </c>
      <c r="D272" s="7" t="s">
        <v>477</v>
      </c>
      <c r="E272" s="7" t="s">
        <v>814</v>
      </c>
      <c r="F272" s="7">
        <v>1</v>
      </c>
      <c r="G272" s="7">
        <v>12.24</v>
      </c>
      <c r="H272" s="7">
        <v>0</v>
      </c>
      <c r="I272" s="7">
        <v>0</v>
      </c>
      <c r="J272" s="7">
        <v>10.42</v>
      </c>
    </row>
    <row r="273" spans="1:10" ht="14.4">
      <c r="A273" s="6" t="s">
        <v>815</v>
      </c>
      <c r="B273" s="7" t="s">
        <v>816</v>
      </c>
      <c r="C273" s="7" t="e">
        <f ca="1">Image("https://images-na.ssl-images-amazon.com/images/I/41ljClfYvWL.jpg;https://images-na.ssl-images-amazon.com/images/I/419hlNvH5sL.jpg")</f>
        <v>#NAME?</v>
      </c>
      <c r="D273" s="7" t="s">
        <v>477</v>
      </c>
      <c r="E273" s="7" t="s">
        <v>817</v>
      </c>
      <c r="F273" s="7">
        <v>1</v>
      </c>
      <c r="G273" s="7">
        <v>12.09</v>
      </c>
      <c r="H273" s="7">
        <v>0</v>
      </c>
      <c r="I273" s="7">
        <v>0</v>
      </c>
      <c r="J273" s="7">
        <v>10.27</v>
      </c>
    </row>
    <row r="274" spans="1:10" ht="14.4">
      <c r="A274" s="6" t="s">
        <v>818</v>
      </c>
      <c r="B274" s="7" t="s">
        <v>819</v>
      </c>
      <c r="C274" s="7" t="e">
        <f ca="1">Image("https://images-na.ssl-images-amazon.com/images/I/41W-72YnUyL.jpg;https://images-na.ssl-images-amazon.com/images/I/419hlNvH5sL.jpg")</f>
        <v>#NAME?</v>
      </c>
      <c r="D274" s="7" t="s">
        <v>477</v>
      </c>
      <c r="E274" s="7" t="s">
        <v>820</v>
      </c>
      <c r="F274" s="7">
        <v>1</v>
      </c>
      <c r="G274" s="7">
        <v>12.04</v>
      </c>
      <c r="H274" s="7">
        <v>0</v>
      </c>
      <c r="I274" s="7">
        <v>0</v>
      </c>
      <c r="J274" s="7">
        <v>10.24</v>
      </c>
    </row>
    <row r="275" spans="1:10" ht="14.4">
      <c r="A275" s="6" t="s">
        <v>821</v>
      </c>
      <c r="B275" s="7" t="s">
        <v>822</v>
      </c>
      <c r="C275" s="7" t="e">
        <f ca="1">Image("https://images-na.ssl-images-amazon.com/images/I/41hHUPJNpnL.jpg;https://images-na.ssl-images-amazon.com/images/I/419hlNvH5sL.jpg")</f>
        <v>#NAME?</v>
      </c>
      <c r="D275" s="7" t="s">
        <v>477</v>
      </c>
      <c r="E275" s="7" t="s">
        <v>823</v>
      </c>
      <c r="F275" s="7">
        <v>1</v>
      </c>
      <c r="G275" s="7">
        <v>12.04</v>
      </c>
      <c r="H275" s="7">
        <v>0</v>
      </c>
      <c r="I275" s="7">
        <v>0</v>
      </c>
      <c r="J275" s="7">
        <v>10.24</v>
      </c>
    </row>
    <row r="276" spans="1:10" ht="14.4">
      <c r="A276" s="6" t="s">
        <v>824</v>
      </c>
      <c r="B276" s="7" t="s">
        <v>825</v>
      </c>
      <c r="C276" s="7" t="e">
        <f ca="1">Image("https://images-na.ssl-images-amazon.com/images/I/31NQjDa0l8L.jpg;https://images-na.ssl-images-amazon.com/images/I/41t4ovVRoiL.jpg;https://images-na.ssl-images-amazon.com/images/I/21lT13ol3TL.jpg")</f>
        <v>#NAME?</v>
      </c>
      <c r="D276" s="7" t="s">
        <v>20</v>
      </c>
      <c r="E276" s="7" t="s">
        <v>826</v>
      </c>
      <c r="F276" s="7">
        <v>1</v>
      </c>
      <c r="G276" s="7">
        <v>11.99</v>
      </c>
      <c r="H276" s="7">
        <v>0</v>
      </c>
      <c r="I276" s="7">
        <v>0</v>
      </c>
      <c r="J276" s="7">
        <v>10.19</v>
      </c>
    </row>
    <row r="277" spans="1:10" ht="14.4">
      <c r="A277" s="6" t="s">
        <v>827</v>
      </c>
      <c r="B277" s="7" t="s">
        <v>828</v>
      </c>
      <c r="C277" s="7" t="e">
        <f ca="1">Image("https://images-na.ssl-images-amazon.com/images/I/41RCIvZdnWL.jpg;https://images-na.ssl-images-amazon.com/images/I/51ZKFcIOXNL.jpg;https://images-na.ssl-images-amazon.com/images/I/51NEP4pEOZL.jpg;https://images-na.ssl-images-amazon.com/images/I/51BewhNWlRL"&amp;".jpg;https://images-na.ssl-images-amazon.com/images/I/51zUYX+O7uS.jpg;https://images-na.ssl-images-amazon.com/images/I/51aA9WSp2cL.jpg;https://images-na.ssl-images-amazon.com/images/I/41BfUFRiKkL.jpg")</f>
        <v>#NAME?</v>
      </c>
      <c r="D277" s="7" t="s">
        <v>20</v>
      </c>
      <c r="E277" s="7" t="s">
        <v>402</v>
      </c>
      <c r="F277" s="7">
        <v>1</v>
      </c>
      <c r="G277" s="7">
        <v>7.75</v>
      </c>
      <c r="H277" s="7">
        <v>0</v>
      </c>
      <c r="I277" s="7">
        <v>0</v>
      </c>
      <c r="J277" s="7">
        <v>10.17</v>
      </c>
    </row>
    <row r="278" spans="1:10" ht="14.4">
      <c r="A278" s="6" t="s">
        <v>829</v>
      </c>
      <c r="B278" s="7" t="s">
        <v>830</v>
      </c>
      <c r="C278" s="7" t="e">
        <f ca="1">Image("https://images-na.ssl-images-amazon.com/images/I/41FZz-Zn5jL.jpg;https://images-na.ssl-images-amazon.com/images/I/41SqjvmghOL.jpg;https://images-na.ssl-images-amazon.com/images/I/3177cZgjV1L.jpg")</f>
        <v>#NAME?</v>
      </c>
      <c r="D278" s="7" t="s">
        <v>16</v>
      </c>
      <c r="E278" s="7" t="s">
        <v>831</v>
      </c>
      <c r="F278" s="7">
        <v>5</v>
      </c>
      <c r="G278" s="7">
        <v>67.45</v>
      </c>
      <c r="H278" s="7">
        <v>4</v>
      </c>
      <c r="I278" s="7">
        <v>-47.49</v>
      </c>
      <c r="J278" s="7">
        <v>9.86</v>
      </c>
    </row>
    <row r="279" spans="1:10" ht="14.4">
      <c r="A279" s="6" t="s">
        <v>832</v>
      </c>
      <c r="B279" s="7" t="s">
        <v>833</v>
      </c>
      <c r="C279" s="7" t="s">
        <v>834</v>
      </c>
      <c r="D279" s="7" t="s">
        <v>834</v>
      </c>
      <c r="E279" s="7" t="s">
        <v>835</v>
      </c>
      <c r="F279" s="7">
        <v>1</v>
      </c>
      <c r="G279" s="7">
        <v>11.58</v>
      </c>
      <c r="H279" s="7">
        <v>0</v>
      </c>
      <c r="I279" s="7">
        <v>0</v>
      </c>
      <c r="J279" s="7">
        <v>9.85</v>
      </c>
    </row>
    <row r="280" spans="1:10" ht="14.4">
      <c r="A280" s="6" t="s">
        <v>836</v>
      </c>
      <c r="B280" s="7" t="s">
        <v>837</v>
      </c>
      <c r="C280" s="7" t="e">
        <f ca="1">Image("https://images-na.ssl-images-amazon.com/images/I/51ec1Iuki+L.jpg;https://images-na.ssl-images-amazon.com/images/I/61vKYN79s0L.jpg;https://images-na.ssl-images-amazon.com/images/I/51lS4awY6BL.jpg;https://images-na.ssl-images-amazon.com/images/I/51kvbB4WJ8L"&amp;".jpg")</f>
        <v>#NAME?</v>
      </c>
      <c r="D280" s="7" t="s">
        <v>16</v>
      </c>
      <c r="E280" s="7" t="s">
        <v>838</v>
      </c>
      <c r="F280" s="7">
        <v>1</v>
      </c>
      <c r="G280" s="7">
        <v>10.99</v>
      </c>
      <c r="H280" s="7">
        <v>0</v>
      </c>
      <c r="I280" s="7">
        <v>0</v>
      </c>
      <c r="J280" s="7">
        <v>9.34</v>
      </c>
    </row>
    <row r="281" spans="1:10" ht="14.4">
      <c r="A281" s="6" t="s">
        <v>839</v>
      </c>
      <c r="B281" s="7" t="s">
        <v>840</v>
      </c>
      <c r="C281" s="7" t="e">
        <f ca="1">Image("https://images-na.ssl-images-amazon.com/images/I/41Eu-1puE+L.jpg;https://images-na.ssl-images-amazon.com/images/I/51o11RmWe9L.jpg;https://images-na.ssl-images-amazon.com/images/I/31giqMADLYL.jpg;https://images-na.ssl-images-amazon.com/images/I/31TLS2FQDOL"&amp;".jpg;https://images-na.ssl-images-amazon.com/images/I/31mB7YkQEmL.jpg;https://images-na.ssl-images-amazon.com/images/I/517GL1JVBuL.jpg;https://images-na.ssl-images-amazon.com/images/I/51NbB0CmmKL.jpg;https://images-na.ssl-images-amazon.com/images/I/51OSa1"&amp;"W4poL.jpg")</f>
        <v>#NAME?</v>
      </c>
      <c r="D281" s="7" t="s">
        <v>20</v>
      </c>
      <c r="E281" s="7" t="s">
        <v>841</v>
      </c>
      <c r="F281" s="7">
        <v>3</v>
      </c>
      <c r="G281" s="7">
        <v>36</v>
      </c>
      <c r="H281" s="7">
        <v>1</v>
      </c>
      <c r="I281" s="7">
        <v>-10.37</v>
      </c>
      <c r="J281" s="7">
        <v>8.7100000000000009</v>
      </c>
    </row>
    <row r="282" spans="1:10" ht="14.4">
      <c r="A282" s="6" t="s">
        <v>842</v>
      </c>
      <c r="B282" s="7" t="s">
        <v>843</v>
      </c>
      <c r="C282" s="7" t="e">
        <f ca="1">Image("https://images-na.ssl-images-amazon.com/images/I/51wnwmFd0EL.jpg;https://images-na.ssl-images-amazon.com/images/I/61hXdYfE5FL.jpg;https://images-na.ssl-images-amazon.com/images/I/51-WHtOVutL.jpg;https://images-na.ssl-images-amazon.com/images/I/51VZlj5rB9L"&amp;".jpg")</f>
        <v>#NAME?</v>
      </c>
      <c r="D282" s="7" t="s">
        <v>16</v>
      </c>
      <c r="E282" s="7" t="s">
        <v>844</v>
      </c>
      <c r="F282" s="7">
        <v>1</v>
      </c>
      <c r="G282" s="7">
        <v>9.75</v>
      </c>
      <c r="H282" s="7">
        <v>0</v>
      </c>
      <c r="I282" s="7">
        <v>0</v>
      </c>
      <c r="J282" s="7">
        <v>8.2899999999999991</v>
      </c>
    </row>
    <row r="283" spans="1:10" ht="14.4">
      <c r="A283" s="6" t="s">
        <v>845</v>
      </c>
      <c r="B283" s="7" t="s">
        <v>846</v>
      </c>
      <c r="C283" s="7" t="e">
        <f ca="1">Image("https://images-na.ssl-images-amazon.com/images/I/31p4MRZAVVL.jpg;https://images-na.ssl-images-amazon.com/images/I/31MIcaGpYjL.jpg;https://images-na.ssl-images-amazon.com/images/I/31TcE7VonpL.jpg;https://images-na.ssl-images-amazon.com/images/I/2140EJVLhDL"&amp;".jpg;https://images-na.ssl-images-amazon.com/images/I/41s-Kjcqp0L.jpg;https://images-na.ssl-images-amazon.com/images/I/41T156Ka28L.jpg")</f>
        <v>#NAME?</v>
      </c>
      <c r="D283" s="7" t="s">
        <v>20</v>
      </c>
      <c r="E283" s="7" t="s">
        <v>847</v>
      </c>
      <c r="F283" s="7">
        <v>6</v>
      </c>
      <c r="G283" s="7">
        <v>75.94</v>
      </c>
      <c r="H283" s="7">
        <v>1</v>
      </c>
      <c r="I283" s="7">
        <v>-13.19</v>
      </c>
      <c r="J283" s="7">
        <v>7.96</v>
      </c>
    </row>
    <row r="284" spans="1:10" ht="14.4">
      <c r="A284" s="6" t="s">
        <v>848</v>
      </c>
      <c r="B284" s="7" t="s">
        <v>849</v>
      </c>
      <c r="C284" s="7" t="e">
        <f ca="1">Image("https://images-na.ssl-images-amazon.com/images/I/51wuu2d8wPL.jpg;https://images-na.ssl-images-amazon.com/images/I/51ky5s74LML.jpg;https://images-na.ssl-images-amazon.com/images/I/51yC44nda5L.jpg;https://images-na.ssl-images-amazon.com/images/I/51dIfN6dcOL"&amp;".jpg;https://images-na.ssl-images-amazon.com/images/I/51m9o8OkwwL.jpg;https://images-na.ssl-images-amazon.com/images/I/51Xdu9ddQbL.jpg")</f>
        <v>#NAME?</v>
      </c>
      <c r="D284" s="7" t="s">
        <v>20</v>
      </c>
      <c r="E284" s="7" t="s">
        <v>850</v>
      </c>
      <c r="F284" s="7">
        <v>6</v>
      </c>
      <c r="G284" s="7">
        <v>41.94</v>
      </c>
      <c r="H284" s="7">
        <v>0</v>
      </c>
      <c r="I284" s="7">
        <v>0</v>
      </c>
      <c r="J284" s="7">
        <v>7.1</v>
      </c>
    </row>
    <row r="285" spans="1:10" ht="14.4">
      <c r="A285" s="6" t="s">
        <v>851</v>
      </c>
      <c r="B285" s="7" t="s">
        <v>852</v>
      </c>
      <c r="C285" s="7" t="e">
        <f ca="1">Image("https://images-na.ssl-images-amazon.com/images/I/41iaFMXr1US.jpg;https://images-na.ssl-images-amazon.com/images/I/31gBGTFeDRS.jpg;https://images-na.ssl-images-amazon.com/images/I/31WrOWgDEwS.jpg;https://images-na.ssl-images-amazon.com/images/I/41sDbnvCjcS"&amp;".jpg;https://images-na.ssl-images-amazon.com/images/I/41nAn72JxvS.jpg")</f>
        <v>#NAME?</v>
      </c>
      <c r="D285" s="7" t="s">
        <v>20</v>
      </c>
      <c r="E285" s="7" t="s">
        <v>853</v>
      </c>
      <c r="F285" s="7">
        <v>4</v>
      </c>
      <c r="G285" s="7">
        <v>26.4</v>
      </c>
      <c r="H285" s="7">
        <v>0</v>
      </c>
      <c r="I285" s="7">
        <v>0</v>
      </c>
      <c r="J285" s="7">
        <v>6.96</v>
      </c>
    </row>
    <row r="286" spans="1:10" ht="14.4">
      <c r="A286" s="6" t="s">
        <v>854</v>
      </c>
      <c r="B286" s="7" t="s">
        <v>855</v>
      </c>
      <c r="C286" s="7" t="e">
        <f ca="1">Image("https://images-na.ssl-images-amazon.com/images/I/51viXjVFSSL.jpg;https://images-na.ssl-images-amazon.com/images/I/31VtEv6szvL.jpg")</f>
        <v>#NAME?</v>
      </c>
      <c r="D286" s="7" t="s">
        <v>20</v>
      </c>
      <c r="E286" s="7" t="s">
        <v>856</v>
      </c>
      <c r="F286" s="7">
        <v>1</v>
      </c>
      <c r="G286" s="7">
        <v>7.99</v>
      </c>
      <c r="H286" s="7">
        <v>0</v>
      </c>
      <c r="I286" s="7">
        <v>0</v>
      </c>
      <c r="J286" s="7">
        <v>6.79</v>
      </c>
    </row>
    <row r="287" spans="1:10" ht="14.4">
      <c r="A287" s="6" t="s">
        <v>857</v>
      </c>
      <c r="B287" s="7" t="s">
        <v>858</v>
      </c>
      <c r="C287" s="7" t="e">
        <f ca="1">Image("https://images-na.ssl-images-amazon.com/images/I/512YEeXfq3L.jpg;https://images-na.ssl-images-amazon.com/images/I/510fN+0J3zL.jpg;https://images-na.ssl-images-amazon.com/images/I/51lIlFamgTL.jpg;https://images-na.ssl-images-amazon.com/images/I/614XwNvMVzL"&amp;".jpg;https://images-na.ssl-images-amazon.com/images/I/51rCXwp9Z6S.jpg;https://images-na.ssl-images-amazon.com/images/I/51A0IYlEKpL.jpg;https://images-na.ssl-images-amazon.com/images/I/61+clyMAOCL.jpg")</f>
        <v>#NAME?</v>
      </c>
      <c r="D287" s="7" t="s">
        <v>20</v>
      </c>
      <c r="E287" s="7" t="s">
        <v>402</v>
      </c>
      <c r="F287" s="7">
        <v>1</v>
      </c>
      <c r="G287" s="7">
        <v>17</v>
      </c>
      <c r="H287" s="7">
        <v>0</v>
      </c>
      <c r="I287" s="7">
        <v>0</v>
      </c>
      <c r="J287" s="7">
        <v>6.65</v>
      </c>
    </row>
    <row r="288" spans="1:10" ht="14.4">
      <c r="A288" s="6" t="s">
        <v>859</v>
      </c>
      <c r="B288" s="7" t="s">
        <v>860</v>
      </c>
      <c r="C288" s="7" t="e">
        <f ca="1">Image("https://images-na.ssl-images-amazon.com/images/I/51hfNa+Ic9S.jpg")</f>
        <v>#NAME?</v>
      </c>
      <c r="D288" s="7" t="s">
        <v>20</v>
      </c>
      <c r="E288" s="7" t="s">
        <v>861</v>
      </c>
      <c r="F288" s="7">
        <v>1</v>
      </c>
      <c r="G288" s="7">
        <v>7.75</v>
      </c>
      <c r="H288" s="7">
        <v>0</v>
      </c>
      <c r="I288" s="7">
        <v>0</v>
      </c>
      <c r="J288" s="7">
        <v>6.59</v>
      </c>
    </row>
    <row r="289" spans="1:10" ht="14.4">
      <c r="A289" s="6" t="s">
        <v>862</v>
      </c>
      <c r="B289" s="7" t="s">
        <v>863</v>
      </c>
      <c r="C289" s="7" t="e">
        <f ca="1">Image("https://images-na.ssl-images-amazon.com/images/I/41oZ4icodwL.jpg;https://images-na.ssl-images-amazon.com/images/I/41nAED5yAkL.jpg;https://images-na.ssl-images-amazon.com/images/I/41mcED6oqoL.jpg;https://images-na.ssl-images-amazon.com/images/I/31x+cejq7oL"&amp;".jpg;https://images-na.ssl-images-amazon.com/images/I/31IkNiqlN3L.jpg")</f>
        <v>#NAME?</v>
      </c>
      <c r="D289" s="7" t="s">
        <v>16</v>
      </c>
      <c r="E289" s="7" t="s">
        <v>864</v>
      </c>
      <c r="F289" s="7">
        <v>1</v>
      </c>
      <c r="G289" s="7">
        <v>7.25</v>
      </c>
      <c r="H289" s="7">
        <v>0</v>
      </c>
      <c r="I289" s="7">
        <v>0</v>
      </c>
      <c r="J289" s="7">
        <v>6.16</v>
      </c>
    </row>
    <row r="290" spans="1:10" ht="14.4">
      <c r="A290" s="6" t="s">
        <v>865</v>
      </c>
      <c r="B290" s="7" t="s">
        <v>866</v>
      </c>
      <c r="C290" s="7" t="e">
        <f ca="1">Image("https://images-na.ssl-images-amazon.com/images/I/21l9LY0hH4L.jpg;https://images-na.ssl-images-amazon.com/images/I/21NxPrvaSFL.jpg;https://images-na.ssl-images-amazon.com/images/I/31gX8ZPHbdL.jpg;https://images-na.ssl-images-amazon.com/images/I/21NdpSXls0L"&amp;".jpg")</f>
        <v>#NAME?</v>
      </c>
      <c r="D290" s="7" t="s">
        <v>20</v>
      </c>
      <c r="E290" s="7" t="s">
        <v>867</v>
      </c>
      <c r="F290" s="7">
        <v>3</v>
      </c>
      <c r="G290" s="7">
        <v>18</v>
      </c>
      <c r="H290" s="7">
        <v>0</v>
      </c>
      <c r="I290" s="7">
        <v>0</v>
      </c>
      <c r="J290" s="7">
        <v>5.95</v>
      </c>
    </row>
    <row r="291" spans="1:10" ht="14.4">
      <c r="A291" s="6" t="s">
        <v>868</v>
      </c>
      <c r="B291" s="7" t="s">
        <v>869</v>
      </c>
      <c r="C291" s="7" t="e">
        <f ca="1">Image("https://images-na.ssl-images-amazon.com/images/I/31givXJgNSS.jpg;https://images-na.ssl-images-amazon.com/images/I/317u2KpKzQS.jpg;https://images-na.ssl-images-amazon.com/images/I/31QaVOU7QCS.jpg;https://images-na.ssl-images-amazon.com/images/I/31y4qghW2RL"&amp;".jpg;https://images-na.ssl-images-amazon.com/images/I/414BDRrYqaL.jpg;https://images-na.ssl-images-amazon.com/images/I/41dP43HLZ9L.jpg;https://images-na.ssl-images-amazon.com/images/I/414hm11A2jL.jpg")</f>
        <v>#NAME?</v>
      </c>
      <c r="D291" s="7" t="s">
        <v>20</v>
      </c>
      <c r="E291" s="7" t="s">
        <v>870</v>
      </c>
      <c r="F291" s="7">
        <v>6</v>
      </c>
      <c r="G291" s="7">
        <v>34.56</v>
      </c>
      <c r="H291" s="7">
        <v>0</v>
      </c>
      <c r="I291" s="7">
        <v>0</v>
      </c>
      <c r="J291" s="7">
        <v>5.87</v>
      </c>
    </row>
    <row r="292" spans="1:10" ht="14.4">
      <c r="A292" s="6" t="s">
        <v>871</v>
      </c>
      <c r="B292" s="7" t="s">
        <v>872</v>
      </c>
      <c r="C292" s="7" t="e">
        <f ca="1">Image("https://images-na.ssl-images-amazon.com/images/I/31JaZY9M5jS.jpg;https://images-na.ssl-images-amazon.com/images/I/31xNWRXNEAS.jpg;https://images-na.ssl-images-amazon.com/images/I/31nXZp+wgMS.jpg;https://images-na.ssl-images-amazon.com/images/I/31TsKXChFiL"&amp;".jpg;https://images-na.ssl-images-amazon.com/images/I/31+o96pfupL.jpg;https://images-na.ssl-images-amazon.com/images/I/4199mwB8xgL.jpg;https://images-na.ssl-images-amazon.com/images/I/41vN7TQMwiL.jpg")</f>
        <v>#NAME?</v>
      </c>
      <c r="D292" s="7" t="s">
        <v>20</v>
      </c>
      <c r="E292" s="7" t="s">
        <v>873</v>
      </c>
      <c r="F292" s="7">
        <v>4</v>
      </c>
      <c r="G292" s="7">
        <v>18.16</v>
      </c>
      <c r="H292" s="7">
        <v>0</v>
      </c>
      <c r="I292" s="7">
        <v>0</v>
      </c>
      <c r="J292" s="7">
        <v>5.76</v>
      </c>
    </row>
    <row r="293" spans="1:10" ht="14.4">
      <c r="A293" s="6" t="s">
        <v>874</v>
      </c>
      <c r="B293" s="7" t="s">
        <v>875</v>
      </c>
      <c r="C293" s="7" t="e">
        <f ca="1">Image("https://images-na.ssl-images-amazon.com/images/I/41nYvexZSQL.jpg;https://images-na.ssl-images-amazon.com/images/I/416aYJ9iF-L.jpg;https://images-na.ssl-images-amazon.com/images/I/41Ia1HD8+kL.jpg;https://images-na.ssl-images-amazon.com/images/I/4152veTioOL"&amp;".jpg;https://images-na.ssl-images-amazon.com/images/I/515xqNw3z-L.jpg;https://images-na.ssl-images-amazon.com/images/I/51Md0fEyNaL.jpg")</f>
        <v>#NAME?</v>
      </c>
      <c r="D293" s="7" t="s">
        <v>16</v>
      </c>
      <c r="E293" s="7" t="s">
        <v>876</v>
      </c>
      <c r="F293" s="7">
        <v>1</v>
      </c>
      <c r="G293" s="7">
        <v>6.49</v>
      </c>
      <c r="H293" s="7">
        <v>0</v>
      </c>
      <c r="I293" s="7">
        <v>0</v>
      </c>
      <c r="J293" s="7">
        <v>5.52</v>
      </c>
    </row>
    <row r="294" spans="1:10" ht="14.4">
      <c r="A294" s="6" t="s">
        <v>877</v>
      </c>
      <c r="B294" s="7" t="s">
        <v>878</v>
      </c>
      <c r="C294" s="7" t="e">
        <f ca="1">Image("https://images-na.ssl-images-amazon.com/images/I/31GhU2GCXPS.jpg;https://images-na.ssl-images-amazon.com/images/I/31Y2Q01uJeS.jpg;https://images-na.ssl-images-amazon.com/images/I/31jMpTc5cTS.jpg;https://images-na.ssl-images-amazon.com/images/I/41huy6lVRCS"&amp;".jpg;https://images-na.ssl-images-amazon.com/images/I/31TNMemBsFS.jpg")</f>
        <v>#NAME?</v>
      </c>
      <c r="D294" s="7" t="s">
        <v>20</v>
      </c>
      <c r="E294" s="7" t="s">
        <v>879</v>
      </c>
      <c r="F294" s="7">
        <v>1</v>
      </c>
      <c r="G294" s="7">
        <v>6.09</v>
      </c>
      <c r="H294" s="7">
        <v>0</v>
      </c>
      <c r="I294" s="7">
        <v>0</v>
      </c>
      <c r="J294" s="7">
        <v>5.18</v>
      </c>
    </row>
    <row r="295" spans="1:10" ht="14.4">
      <c r="A295" s="6" t="s">
        <v>880</v>
      </c>
      <c r="B295" s="7" t="s">
        <v>881</v>
      </c>
      <c r="C295" s="7" t="e">
        <f ca="1">Image("https://images-na.ssl-images-amazon.com/images/I/41Ks+5oUSaL.jpg;https://images-na.ssl-images-amazon.com/images/I/41PPwIPf4dL.jpg;https://images-na.ssl-images-amazon.com/images/I/41emyGyT1rL.jpg;https://images-na.ssl-images-amazon.com/images/I/41DFlOqyc+L"&amp;".jpg;https://images-na.ssl-images-amazon.com/images/I/51sZcx0DK5L.jpg;https://images-na.ssl-images-amazon.com/images/I/41qO-zPIcLL.jpg;https://images-na.ssl-images-amazon.com/images/I/51cLgzr8d5L.jpg")</f>
        <v>#NAME?</v>
      </c>
      <c r="D295" s="7" t="s">
        <v>20</v>
      </c>
      <c r="E295" s="7" t="s">
        <v>882</v>
      </c>
      <c r="F295" s="7">
        <v>1</v>
      </c>
      <c r="G295" s="7">
        <v>6.09</v>
      </c>
      <c r="H295" s="7">
        <v>0</v>
      </c>
      <c r="I295" s="7">
        <v>0</v>
      </c>
      <c r="J295" s="7">
        <v>5.18</v>
      </c>
    </row>
    <row r="296" spans="1:10" ht="14.4">
      <c r="A296" s="6" t="s">
        <v>883</v>
      </c>
      <c r="B296" s="7" t="s">
        <v>884</v>
      </c>
      <c r="C296" s="7" t="e">
        <f ca="1">Image("https://images-na.ssl-images-amazon.com/images/I/41z83KjYNxL.jpg")</f>
        <v>#NAME?</v>
      </c>
      <c r="D296" s="7" t="s">
        <v>20</v>
      </c>
      <c r="E296" s="7" t="s">
        <v>885</v>
      </c>
      <c r="F296" s="7">
        <v>1</v>
      </c>
      <c r="G296" s="7">
        <v>12.5</v>
      </c>
      <c r="H296" s="7">
        <v>0</v>
      </c>
      <c r="I296" s="7">
        <v>0</v>
      </c>
      <c r="J296" s="7">
        <v>5.09</v>
      </c>
    </row>
    <row r="297" spans="1:10" ht="14.4">
      <c r="A297" s="6" t="s">
        <v>886</v>
      </c>
      <c r="B297" s="7" t="s">
        <v>887</v>
      </c>
      <c r="C297" s="7" t="e">
        <f ca="1">Image("https://images-na.ssl-images-amazon.com/images/I/51wPCdmZqzL.jpg;https://images-na.ssl-images-amazon.com/images/I/51bzdICiIwL.jpg;https://images-na.ssl-images-amazon.com/images/I/41ZH63DnlGL.jpg;https://images-na.ssl-images-amazon.com/images/I/51tfAfZqe-L"&amp;".jpg;https://images-na.ssl-images-amazon.com/images/I/41pHwtuj1eL.jpg")</f>
        <v>#NAME?</v>
      </c>
      <c r="D297" s="7" t="s">
        <v>477</v>
      </c>
      <c r="E297" s="7" t="s">
        <v>888</v>
      </c>
      <c r="F297" s="7">
        <v>12</v>
      </c>
      <c r="G297" s="7">
        <v>85.88</v>
      </c>
      <c r="H297" s="7">
        <v>1</v>
      </c>
      <c r="I297" s="7">
        <v>-7.03</v>
      </c>
      <c r="J297" s="7">
        <v>4.83</v>
      </c>
    </row>
    <row r="298" spans="1:10" ht="14.4">
      <c r="A298" s="6" t="s">
        <v>889</v>
      </c>
      <c r="B298" s="7" t="s">
        <v>890</v>
      </c>
      <c r="C298" s="7" t="e">
        <f ca="1">Image("https://images-na.ssl-images-amazon.com/images/I/41aoIV6dEyL.jpg;https://images-na.ssl-images-amazon.com/images/I/41RoTyai8DL.jpg")</f>
        <v>#NAME?</v>
      </c>
      <c r="D298" s="7" t="s">
        <v>891</v>
      </c>
      <c r="E298" s="7" t="s">
        <v>892</v>
      </c>
      <c r="F298" s="7">
        <v>0</v>
      </c>
      <c r="G298" s="7">
        <v>0</v>
      </c>
      <c r="H298" s="7">
        <v>0</v>
      </c>
      <c r="I298" s="7">
        <v>0</v>
      </c>
      <c r="J298" s="7">
        <v>4.53</v>
      </c>
    </row>
    <row r="299" spans="1:10" ht="14.4">
      <c r="A299" s="6" t="s">
        <v>893</v>
      </c>
      <c r="B299" s="7" t="s">
        <v>894</v>
      </c>
      <c r="C299" s="7" t="e">
        <f ca="1">Image("https://images-na.ssl-images-amazon.com/images/I/41xJDdWJkmS.jpg;https://images-na.ssl-images-amazon.com/images/I/31PalhmCoUS.jpg;https://images-na.ssl-images-amazon.com/images/I/41goTcNz6AS.jpg;https://images-na.ssl-images-amazon.com/images/I/411S6q0Q2ZL"&amp;".jpg;https://images-na.ssl-images-amazon.com/images/I/517R0GsaR4L.jpg;https://images-na.ssl-images-amazon.com/images/I/51321BECnjL.jpg;https://images-na.ssl-images-amazon.com/images/I/51HJtn1RGuL.jpg")</f>
        <v>#NAME?</v>
      </c>
      <c r="D299" s="7" t="s">
        <v>20</v>
      </c>
      <c r="E299" s="7" t="s">
        <v>895</v>
      </c>
      <c r="F299" s="7">
        <v>5</v>
      </c>
      <c r="G299" s="7">
        <v>28.9</v>
      </c>
      <c r="H299" s="7">
        <v>0</v>
      </c>
      <c r="I299" s="7">
        <v>0</v>
      </c>
      <c r="J299" s="7">
        <v>4.5199999999999996</v>
      </c>
    </row>
    <row r="300" spans="1:10" ht="14.4">
      <c r="A300" s="6" t="s">
        <v>896</v>
      </c>
      <c r="B300" s="7" t="s">
        <v>897</v>
      </c>
      <c r="C300" s="7" t="e">
        <f ca="1">Image("https://images-na.ssl-images-amazon.com/images/I/31txN1JrcAS.jpg;https://images-na.ssl-images-amazon.com/images/I/318tbEGXS8S.jpg;https://images-na.ssl-images-amazon.com/images/I/31gaPCeU1sS.jpg;https://images-na.ssl-images-amazon.com/images/I/31tnP+oCuiL"&amp;".jpg;https://images-na.ssl-images-amazon.com/images/I/51SEYUiBflL.jpg;https://images-na.ssl-images-amazon.com/images/I/41W5zNY652L.jpg;https://images-na.ssl-images-amazon.com/images/I/5116ju7L+AL.jpg")</f>
        <v>#NAME?</v>
      </c>
      <c r="D300" s="7" t="s">
        <v>20</v>
      </c>
      <c r="E300" s="7" t="s">
        <v>898</v>
      </c>
      <c r="F300" s="7">
        <v>6</v>
      </c>
      <c r="G300" s="7">
        <v>37.549999999999997</v>
      </c>
      <c r="H300" s="7">
        <v>1</v>
      </c>
      <c r="I300" s="7">
        <v>-5.07</v>
      </c>
      <c r="J300" s="7">
        <v>4.38</v>
      </c>
    </row>
    <row r="301" spans="1:10" ht="14.4">
      <c r="A301" s="6" t="s">
        <v>899</v>
      </c>
      <c r="B301" s="7" t="s">
        <v>900</v>
      </c>
      <c r="C301" s="7" t="e">
        <f ca="1">Image("https://images-na.ssl-images-amazon.com/images/I/41PZ3-Lt9oL.jpg;https://images-na.ssl-images-amazon.com/images/I/31Rpkxeo9ML.jpg;https://images-na.ssl-images-amazon.com/images/I/41G-nWrTATL.jpg;https://images-na.ssl-images-amazon.com/images/I/41ojdDRDt6L"&amp;".jpg;https://images-na.ssl-images-amazon.com/images/I/51Jkq8Xb8eL.jpg;https://images-na.ssl-images-amazon.com/images/I/51-qv2Lug2L.jpg;https://images-na.ssl-images-amazon.com/images/I/51HfV4QzghL.jpg")</f>
        <v>#NAME?</v>
      </c>
      <c r="D301" s="7" t="s">
        <v>20</v>
      </c>
      <c r="E301" s="7" t="s">
        <v>901</v>
      </c>
      <c r="F301" s="7">
        <v>1</v>
      </c>
      <c r="G301" s="7">
        <v>10.99</v>
      </c>
      <c r="H301" s="7">
        <v>1</v>
      </c>
      <c r="I301" s="7">
        <v>-5.36</v>
      </c>
      <c r="J301" s="7">
        <v>3.98</v>
      </c>
    </row>
    <row r="302" spans="1:10" ht="14.4">
      <c r="A302" s="6" t="s">
        <v>902</v>
      </c>
      <c r="B302" s="7" t="s">
        <v>903</v>
      </c>
      <c r="C302" s="7" t="e">
        <f ca="1">Image("https://images-na.ssl-images-amazon.com/images/I/41R1Zvm9uxS.jpg;https://images-na.ssl-images-amazon.com/images/I/31deAHiBF3S.jpg;https://images-na.ssl-images-amazon.com/images/I/41x+4sQbbJS.jpg;https://images-na.ssl-images-amazon.com/images/I/516WilQw4uS"&amp;".jpg;https://images-na.ssl-images-amazon.com/images/I/41XnxafS9gS.jpg")</f>
        <v>#NAME?</v>
      </c>
      <c r="D302" s="7" t="s">
        <v>20</v>
      </c>
      <c r="E302" s="7" t="s">
        <v>904</v>
      </c>
      <c r="F302" s="7">
        <v>3</v>
      </c>
      <c r="G302" s="7">
        <v>17.28</v>
      </c>
      <c r="H302" s="7">
        <v>0</v>
      </c>
      <c r="I302" s="7">
        <v>0</v>
      </c>
      <c r="J302" s="7">
        <v>3.46</v>
      </c>
    </row>
    <row r="303" spans="1:10" ht="14.4">
      <c r="A303" s="6" t="s">
        <v>905</v>
      </c>
      <c r="B303" s="7" t="s">
        <v>906</v>
      </c>
      <c r="C303" s="7" t="e">
        <f ca="1">Image("https://images-na.ssl-images-amazon.com/images/I/41XBF0scsTL.jpg;https://images-na.ssl-images-amazon.com/images/I/51znhX8CnvL.jpg;https://images-na.ssl-images-amazon.com/images/I/51eKbA18gQL.jpg;https://images-na.ssl-images-amazon.com/images/I/51nRLQ4Sw6L"&amp;".jpg;https://images-na.ssl-images-amazon.com/images/I/51+x9h819pL.jpg")</f>
        <v>#NAME?</v>
      </c>
      <c r="D303" s="7" t="s">
        <v>20</v>
      </c>
      <c r="E303" s="7" t="s">
        <v>907</v>
      </c>
      <c r="F303" s="7">
        <v>1</v>
      </c>
      <c r="G303" s="7">
        <v>6.99</v>
      </c>
      <c r="H303" s="7">
        <v>0</v>
      </c>
      <c r="I303" s="7">
        <v>0</v>
      </c>
      <c r="J303" s="7">
        <v>3.42</v>
      </c>
    </row>
    <row r="304" spans="1:10" ht="14.4">
      <c r="A304" s="6" t="s">
        <v>908</v>
      </c>
      <c r="B304" s="7" t="s">
        <v>909</v>
      </c>
      <c r="C304" s="7" t="e">
        <f ca="1">Image("https://images-na.ssl-images-amazon.com/images/I/41S9RvZ0ryL.jpg;https://images-na.ssl-images-amazon.com/images/I/41gtS0URodL.jpg;https://images-na.ssl-images-amazon.com/images/I/41e2eFmNsLL.jpg;https://images-na.ssl-images-amazon.com/images/I/51q19cVFVVL"&amp;".jpg;https://images-na.ssl-images-amazon.com/images/I/51zwo37Pm5L.jpg;https://images-na.ssl-images-amazon.com/images/I/61+VhmGA-pL.jpg;https://images-na.ssl-images-amazon.com/images/I/41EVjGg9RvL.jpg")</f>
        <v>#NAME?</v>
      </c>
      <c r="D304" s="7" t="s">
        <v>20</v>
      </c>
      <c r="E304" s="7" t="s">
        <v>910</v>
      </c>
      <c r="F304" s="7">
        <v>1</v>
      </c>
      <c r="G304" s="7">
        <v>16</v>
      </c>
      <c r="H304" s="7">
        <v>0</v>
      </c>
      <c r="I304" s="7">
        <v>0</v>
      </c>
      <c r="J304" s="7">
        <v>2.82</v>
      </c>
    </row>
    <row r="305" spans="1:10" ht="14.4">
      <c r="A305" s="6" t="s">
        <v>911</v>
      </c>
      <c r="B305" s="7" t="s">
        <v>912</v>
      </c>
      <c r="C305" s="7" t="e">
        <f ca="1">Image("https://images-na.ssl-images-amazon.com/images/I/41OYflEoE6L.jpg;https://images-na.ssl-images-amazon.com/images/I/51+WVW5NB3L.jpg;https://images-na.ssl-images-amazon.com/images/I/31EC8XJyZgL.jpg;https://images-na.ssl-images-amazon.com/images/I/31MAzG6-wjL"&amp;".jpg;https://images-na.ssl-images-amazon.com/images/I/31TOCZKhDOL.jpg;https://images-na.ssl-images-amazon.com/images/I/51Yzz6coHNL.jpg;https://images-na.ssl-images-amazon.com/images/I/51vcaNV4pIL.jpg;https://images-na.ssl-images-amazon.com/images/I/51XevQ"&amp;"m6rcL.jpg")</f>
        <v>#NAME?</v>
      </c>
      <c r="D305" s="7" t="s">
        <v>20</v>
      </c>
      <c r="E305" s="7" t="s">
        <v>913</v>
      </c>
      <c r="F305" s="7">
        <v>1</v>
      </c>
      <c r="G305" s="7">
        <v>9</v>
      </c>
      <c r="H305" s="7">
        <v>0</v>
      </c>
      <c r="I305" s="7">
        <v>0</v>
      </c>
      <c r="J305" s="7">
        <v>2.78</v>
      </c>
    </row>
    <row r="306" spans="1:10" ht="14.4">
      <c r="A306" s="6" t="s">
        <v>914</v>
      </c>
      <c r="B306" s="7" t="s">
        <v>915</v>
      </c>
      <c r="C306" s="7" t="e">
        <f ca="1">Image("https://images-na.ssl-images-amazon.com/images/I/41mWjqynNEL.jpg;https://images-na.ssl-images-amazon.com/images/I/41kdayazkWL.jpg;https://images-na.ssl-images-amazon.com/images/I/312RFDx8QSL.jpg;https://images-na.ssl-images-amazon.com/images/I/41Hyc7rE-7L"&amp;".jpg;https://images-na.ssl-images-amazon.com/images/I/51pn-s+NNaL.jpg;https://images-na.ssl-images-amazon.com/images/I/41j1MWgFLgL.jpg;https://images-na.ssl-images-amazon.com/images/I/51ZoC3BwZGL.jpg")</f>
        <v>#NAME?</v>
      </c>
      <c r="D306" s="7" t="s">
        <v>20</v>
      </c>
      <c r="E306" s="7" t="s">
        <v>916</v>
      </c>
      <c r="F306" s="7">
        <v>6</v>
      </c>
      <c r="G306" s="7">
        <v>35.4</v>
      </c>
      <c r="H306" s="7">
        <v>1</v>
      </c>
      <c r="I306" s="7">
        <v>-5.07</v>
      </c>
      <c r="J306" s="7">
        <v>2.56</v>
      </c>
    </row>
    <row r="307" spans="1:10" ht="14.4">
      <c r="A307" s="6" t="s">
        <v>917</v>
      </c>
      <c r="B307" s="7" t="s">
        <v>918</v>
      </c>
      <c r="C307" s="7" t="e">
        <f ca="1">Image("https://images-na.ssl-images-amazon.com/images/I/41S657bwRCL.jpg;https://images-na.ssl-images-amazon.com/images/I/51ppmOzOzDL.jpg;https://images-na.ssl-images-amazon.com/images/I/51o5aST8wYL.jpg;https://images-na.ssl-images-amazon.com/images/I/515gmkjMrIL"&amp;".jpg;https://images-na.ssl-images-amazon.com/images/I/51zcIIOwMvS.jpg;https://images-na.ssl-images-amazon.com/images/I/510VpJESKWL.jpg;https://images-na.ssl-images-amazon.com/images/I/51lYTtLBmCL.jpg")</f>
        <v>#NAME?</v>
      </c>
      <c r="D307" s="7" t="s">
        <v>20</v>
      </c>
      <c r="E307" s="7" t="s">
        <v>402</v>
      </c>
      <c r="F307" s="7">
        <v>7</v>
      </c>
      <c r="G307" s="7">
        <v>51</v>
      </c>
      <c r="H307" s="7">
        <v>0</v>
      </c>
      <c r="I307" s="7">
        <v>0</v>
      </c>
      <c r="J307" s="7">
        <v>2.36</v>
      </c>
    </row>
    <row r="308" spans="1:10" ht="14.4">
      <c r="A308" s="6" t="s">
        <v>919</v>
      </c>
      <c r="B308" s="7" t="s">
        <v>920</v>
      </c>
      <c r="C308" s="7" t="e">
        <f ca="1">Image("https://images-na.ssl-images-amazon.com/images/I/41FFZM5bdVL.jpg;https://images-na.ssl-images-amazon.com/images/I/410HWdcuWML.jpg;https://images-na.ssl-images-amazon.com/images/I/319iVcaQU2L.jpg")</f>
        <v>#NAME?</v>
      </c>
      <c r="D308" s="7" t="s">
        <v>16</v>
      </c>
      <c r="E308" s="7" t="s">
        <v>921</v>
      </c>
      <c r="F308" s="7">
        <v>12</v>
      </c>
      <c r="G308" s="7">
        <v>84</v>
      </c>
      <c r="H308" s="7">
        <v>1</v>
      </c>
      <c r="I308" s="7">
        <v>-6.16</v>
      </c>
      <c r="J308" s="7">
        <v>0.97</v>
      </c>
    </row>
    <row r="309" spans="1:10" ht="14.4">
      <c r="A309" s="6" t="s">
        <v>922</v>
      </c>
      <c r="B309" s="7" t="s">
        <v>923</v>
      </c>
      <c r="C309" s="7" t="e">
        <f ca="1">Image("https://images-na.ssl-images-amazon.com/images/I/51yeINGmEhL.jpg;https://images-na.ssl-images-amazon.com/images/I/41Az6hd5y9L.jpg;https://images-na.ssl-images-amazon.com/images/I/31xMD0g1+GL.jpg;https://images-na.ssl-images-amazon.com/images/I/41sPt1l5-8L"&amp;".jpg;https://images-na.ssl-images-amazon.com/images/I/31Nsrf06hJL.jpg;https://images-na.ssl-images-amazon.com/images/I/41tCZD5oCTL.jpg")</f>
        <v>#NAME?</v>
      </c>
      <c r="D309" s="7" t="s">
        <v>20</v>
      </c>
      <c r="E309" s="7" t="s">
        <v>924</v>
      </c>
      <c r="F309" s="7">
        <v>1</v>
      </c>
      <c r="G309" s="7">
        <v>19.989999999999998</v>
      </c>
      <c r="H309" s="7">
        <v>0</v>
      </c>
      <c r="I309" s="7">
        <v>0</v>
      </c>
      <c r="J309" s="7">
        <v>0.96</v>
      </c>
    </row>
    <row r="310" spans="1:10" ht="14.4">
      <c r="A310" s="6" t="s">
        <v>925</v>
      </c>
      <c r="B310" s="7" t="s">
        <v>926</v>
      </c>
      <c r="C310" s="7" t="e">
        <f ca="1">Image("https://images-na.ssl-images-amazon.com/images/I/31BTU9iIYYL.jpg;https://images-na.ssl-images-amazon.com/images/I/41Bv8s8rD3L.jpg;https://images-na.ssl-images-amazon.com/images/I/31+j3PGKtmL.jpg;https://images-na.ssl-images-amazon.com/images/I/41pbCKOpRYL"&amp;".jpg;https://images-na.ssl-images-amazon.com/images/I/31kGcn2vBOL.jpg;https://images-na.ssl-images-amazon.com/images/I/51CzfE8Sv5L.jpg;https://images-na.ssl-images-amazon.com/images/I/51lxe1MHPZL.jpg;https://images-na.ssl-images-amazon.com/images/I/51Oe5O"&amp;"c76GL.jpg;https://images-na.ssl-images-amazon.com/images/I/51vEc1YAsML.jpg")</f>
        <v>#NAME?</v>
      </c>
      <c r="D310" s="7" t="s">
        <v>20</v>
      </c>
      <c r="E310" s="7" t="s">
        <v>927</v>
      </c>
      <c r="F310" s="7">
        <v>2</v>
      </c>
      <c r="G310" s="7">
        <v>20</v>
      </c>
      <c r="H310" s="7">
        <v>0</v>
      </c>
      <c r="I310" s="7">
        <v>0</v>
      </c>
      <c r="J310" s="7">
        <v>0.77</v>
      </c>
    </row>
    <row r="311" spans="1:10" ht="14.4">
      <c r="A311" s="6" t="s">
        <v>928</v>
      </c>
      <c r="B311" s="7" t="s">
        <v>929</v>
      </c>
      <c r="C311" s="7" t="e">
        <f ca="1">Image("https://images-na.ssl-images-amazon.com/images/I/31Ad5HrLpOL.jpg;https://images-na.ssl-images-amazon.com/images/I/21LwDgCQ0dL.jpg;https://images-na.ssl-images-amazon.com/images/I/215dW+udfIL.jpg;https://images-na.ssl-images-amazon.com/images/I/41QQuAx931L"&amp;".jpg;https://images-na.ssl-images-amazon.com/images/I/41w4VajnmLL.jpg")</f>
        <v>#NAME?</v>
      </c>
      <c r="D311" s="7" t="s">
        <v>20</v>
      </c>
      <c r="E311" s="7" t="s">
        <v>930</v>
      </c>
      <c r="F311" s="7">
        <v>1</v>
      </c>
      <c r="G311" s="7">
        <v>7.99</v>
      </c>
      <c r="H311" s="7">
        <v>0</v>
      </c>
      <c r="I311" s="7">
        <v>0</v>
      </c>
      <c r="J311" s="7">
        <v>0.52</v>
      </c>
    </row>
    <row r="312" spans="1:10" ht="14.4">
      <c r="A312" s="6" t="s">
        <v>931</v>
      </c>
      <c r="B312" s="7" t="s">
        <v>932</v>
      </c>
      <c r="C312" s="7" t="e">
        <f ca="1">Image("https://images-na.ssl-images-amazon.com/images/I/51VrHFqjc2L.jpg;https://images-na.ssl-images-amazon.com/images/I/51a+a5iENTL.jpg;https://images-na.ssl-images-amazon.com/images/I/41S9iwEJbhL.jpg;https://images-na.ssl-images-amazon.com/images/I/51lDcDaD5XL"&amp;".jpg;https://images-na.ssl-images-amazon.com/images/I/51VrHFqjc2L.jpg;https://images-na.ssl-images-amazon.com/images/I/41wu2n7i0mL.jpg;https://images-na.ssl-images-amazon.com/images/I/51+pWOIM7RL.jpg;https://images-na.ssl-images-amazon.com/images/I/41chDq"&amp;"LhXQL.jpg")</f>
        <v>#NAME?</v>
      </c>
      <c r="D312" s="7" t="s">
        <v>20</v>
      </c>
      <c r="E312" s="7" t="s">
        <v>933</v>
      </c>
      <c r="F312" s="7">
        <v>0</v>
      </c>
      <c r="G312" s="7">
        <v>0</v>
      </c>
      <c r="H312" s="7">
        <v>0</v>
      </c>
      <c r="I312" s="7">
        <v>0</v>
      </c>
      <c r="J312" s="7">
        <v>0</v>
      </c>
    </row>
    <row r="313" spans="1:10" ht="14.4">
      <c r="A313" s="6" t="s">
        <v>934</v>
      </c>
      <c r="B313" s="7" t="s">
        <v>935</v>
      </c>
      <c r="C313" s="7" t="e">
        <f ca="1">Image("https://images-na.ssl-images-amazon.com/images/I/41ZG78KqdUL.jpg;https://images-na.ssl-images-amazon.com/images/I/51-YHe-Iy8L.jpg;https://images-na.ssl-images-amazon.com/images/I/51vMfooWBIL.jpg;https://images-na.ssl-images-amazon.com/images/I/514tZoIfl+L"&amp;".jpg;https://images-na.ssl-images-amazon.com/images/I/61ENzt5OWyL.jpg;https://images-na.ssl-images-amazon.com/images/I/51x7XeyTq6L.jpg")</f>
        <v>#NAME?</v>
      </c>
      <c r="D313" s="7" t="s">
        <v>936</v>
      </c>
      <c r="E313" s="7" t="s">
        <v>937</v>
      </c>
      <c r="F313" s="7">
        <v>0</v>
      </c>
      <c r="G313" s="7">
        <v>0</v>
      </c>
      <c r="H313" s="7">
        <v>0</v>
      </c>
      <c r="I313" s="7">
        <v>0</v>
      </c>
      <c r="J313" s="7">
        <v>-0.16</v>
      </c>
    </row>
    <row r="314" spans="1:10" ht="14.4">
      <c r="A314" s="6" t="s">
        <v>938</v>
      </c>
      <c r="B314" s="7" t="s">
        <v>939</v>
      </c>
      <c r="C314" s="7" t="e">
        <f ca="1">Image("https://images-na.ssl-images-amazon.com/images/I/41S8VDdJlwL.jpg;https://images-na.ssl-images-amazon.com/images/I/41ktXRUM9wL.jpg;https://images-na.ssl-images-amazon.com/images/I/41e2eFmNsLL.jpg;https://images-na.ssl-images-amazon.com/images/I/51q19cVFVVL"&amp;".jpg;https://images-na.ssl-images-amazon.com/images/I/510hRQ0Gh1L.jpg;https://images-na.ssl-images-amazon.com/images/I/61L3RajjVXL.jpg;https://images-na.ssl-images-amazon.com/images/I/41EVjGg9RvL.jpg")</f>
        <v>#NAME?</v>
      </c>
      <c r="D314" s="7" t="s">
        <v>20</v>
      </c>
      <c r="E314" s="7" t="s">
        <v>940</v>
      </c>
      <c r="F314" s="7">
        <v>0</v>
      </c>
      <c r="G314" s="7">
        <v>0</v>
      </c>
      <c r="H314" s="7">
        <v>0</v>
      </c>
      <c r="I314" s="7">
        <v>0</v>
      </c>
      <c r="J314" s="7">
        <v>-0.18</v>
      </c>
    </row>
    <row r="315" spans="1:10" ht="14.4">
      <c r="A315" s="6" t="s">
        <v>941</v>
      </c>
      <c r="B315" s="7" t="s">
        <v>942</v>
      </c>
      <c r="C315" s="7" t="e">
        <f ca="1">Image("https://images-na.ssl-images-amazon.com/images/I/51pBDSvxsXL.jpg;https://images-na.ssl-images-amazon.com/images/I/41bdAdw0-tL.jpg;https://images-na.ssl-images-amazon.com/images/I/518CsZ07LvL.jpg")</f>
        <v>#NAME?</v>
      </c>
      <c r="D315" s="7" t="s">
        <v>477</v>
      </c>
      <c r="E315" s="7" t="s">
        <v>943</v>
      </c>
      <c r="F315" s="7">
        <v>1</v>
      </c>
      <c r="G315" s="7">
        <v>5.49</v>
      </c>
      <c r="H315" s="7">
        <v>0</v>
      </c>
      <c r="I315" s="7">
        <v>0</v>
      </c>
      <c r="J315" s="7">
        <v>-0.25</v>
      </c>
    </row>
    <row r="316" spans="1:10" ht="14.4">
      <c r="A316" s="6" t="s">
        <v>944</v>
      </c>
      <c r="B316" s="7" t="s">
        <v>945</v>
      </c>
      <c r="C316" s="7" t="e">
        <f ca="1">Image("https://images-na.ssl-images-amazon.com/images/I/41hMIuhmY+L.jpg;https://images-na.ssl-images-amazon.com/images/I/41ITRM+yz+L.jpg;https://images-na.ssl-images-amazon.com/images/I/31Yr+olW55L.jpg")</f>
        <v>#NAME?</v>
      </c>
      <c r="D316" s="7" t="s">
        <v>16</v>
      </c>
      <c r="E316" s="7" t="s">
        <v>946</v>
      </c>
      <c r="F316" s="7">
        <v>0</v>
      </c>
      <c r="G316" s="7">
        <v>0</v>
      </c>
      <c r="H316" s="7">
        <v>0</v>
      </c>
      <c r="I316" s="7">
        <v>0</v>
      </c>
      <c r="J316" s="7">
        <v>-0.52</v>
      </c>
    </row>
    <row r="317" spans="1:10" ht="14.4">
      <c r="A317" s="6" t="s">
        <v>947</v>
      </c>
      <c r="B317" s="7" t="s">
        <v>948</v>
      </c>
      <c r="C317" s="7" t="e">
        <f ca="1">Image("https://images-na.ssl-images-amazon.com/images/I/411KGe5C4JL.jpg;https://images-na.ssl-images-amazon.com/images/I/41F3A+JmOlL.jpg;https://images-na.ssl-images-amazon.com/images/I/51pDyR9wIRL.jpg")</f>
        <v>#NAME?</v>
      </c>
      <c r="D317" s="7" t="s">
        <v>477</v>
      </c>
      <c r="E317" s="7" t="s">
        <v>949</v>
      </c>
      <c r="F317" s="7">
        <v>0</v>
      </c>
      <c r="G317" s="7">
        <v>0</v>
      </c>
      <c r="H317" s="7">
        <v>0</v>
      </c>
      <c r="I317" s="7">
        <v>0</v>
      </c>
      <c r="J317" s="7">
        <v>-0.55000000000000004</v>
      </c>
    </row>
    <row r="318" spans="1:10" ht="14.4">
      <c r="A318" s="6" t="s">
        <v>950</v>
      </c>
      <c r="B318" s="7" t="s">
        <v>951</v>
      </c>
      <c r="C318" s="7" t="e">
        <f ca="1">Image("https://images-na.ssl-images-amazon.com/images/I/41KlD4R0FFL.jpg;https://images-na.ssl-images-amazon.com/images/I/41EDVNJjN+L.jpg")</f>
        <v>#NAME?</v>
      </c>
      <c r="D318" s="7" t="s">
        <v>299</v>
      </c>
      <c r="E318" s="7" t="s">
        <v>952</v>
      </c>
      <c r="F318" s="7">
        <v>1</v>
      </c>
      <c r="G318" s="7">
        <v>18.989999999999998</v>
      </c>
      <c r="H318" s="7">
        <v>1</v>
      </c>
      <c r="I318" s="7">
        <v>-16.71</v>
      </c>
      <c r="J318" s="7">
        <v>-0.56999999999999995</v>
      </c>
    </row>
    <row r="319" spans="1:10" ht="14.4">
      <c r="A319" s="6" t="s">
        <v>953</v>
      </c>
      <c r="B319" s="7" t="s">
        <v>954</v>
      </c>
      <c r="C319" s="7" t="e">
        <f ca="1">Image("https://images-na.ssl-images-amazon.com/images/I/31Ad5HrLpOL.jpg;https://images-na.ssl-images-amazon.com/images/I/21LwDgCQ0dL.jpg;https://images-na.ssl-images-amazon.com/images/I/215dW+udfIL.jpg;https://images-na.ssl-images-amazon.com/images/I/41QQuAx931L"&amp;".jpg;https://images-na.ssl-images-amazon.com/images/I/41w4VajnmLL.jpg")</f>
        <v>#NAME?</v>
      </c>
      <c r="D319" s="7" t="s">
        <v>20</v>
      </c>
      <c r="E319" s="7" t="s">
        <v>955</v>
      </c>
      <c r="F319" s="7">
        <v>1</v>
      </c>
      <c r="G319" s="7">
        <v>6.99</v>
      </c>
      <c r="H319" s="7">
        <v>0</v>
      </c>
      <c r="I319" s="7">
        <v>0</v>
      </c>
      <c r="J319" s="7">
        <v>-0.71</v>
      </c>
    </row>
    <row r="320" spans="1:10" ht="14.4">
      <c r="A320" s="6" t="s">
        <v>956</v>
      </c>
      <c r="B320" s="7" t="s">
        <v>957</v>
      </c>
      <c r="C320" s="7" t="e">
        <f ca="1">Image("https://images-na.ssl-images-amazon.com/images/I/414PIW6pzsL.jpg")</f>
        <v>#NAME?</v>
      </c>
      <c r="D320" s="7" t="s">
        <v>20</v>
      </c>
      <c r="E320" s="7" t="s">
        <v>958</v>
      </c>
      <c r="F320" s="7">
        <v>1</v>
      </c>
      <c r="G320" s="7">
        <v>18.989999999999998</v>
      </c>
      <c r="H320" s="7">
        <v>1</v>
      </c>
      <c r="I320" s="7">
        <v>-15.95</v>
      </c>
      <c r="J320" s="7">
        <v>-0.76</v>
      </c>
    </row>
    <row r="321" spans="1:10" ht="14.4">
      <c r="A321" s="6" t="s">
        <v>959</v>
      </c>
      <c r="B321" s="7" t="s">
        <v>960</v>
      </c>
      <c r="C321" s="7" t="s">
        <v>834</v>
      </c>
      <c r="D321" s="7" t="s">
        <v>20</v>
      </c>
      <c r="E321" s="7" t="s">
        <v>961</v>
      </c>
      <c r="F321" s="7">
        <v>0</v>
      </c>
      <c r="G321" s="7">
        <v>0</v>
      </c>
      <c r="H321" s="7">
        <v>0</v>
      </c>
      <c r="I321" s="7">
        <v>0</v>
      </c>
      <c r="J321" s="7">
        <v>-0.82</v>
      </c>
    </row>
    <row r="322" spans="1:10" ht="14.4">
      <c r="A322" s="6" t="s">
        <v>962</v>
      </c>
      <c r="B322" s="7" t="s">
        <v>963</v>
      </c>
      <c r="C322" s="7" t="e">
        <f ca="1">Image("https://images-na.ssl-images-amazon.com/images/I/41XBF0scsTL.jpg;https://images-na.ssl-images-amazon.com/images/I/51Ow-MEQTIL.jpg;https://images-na.ssl-images-amazon.com/images/I/51XfucfKPgL.jpg;https://images-na.ssl-images-amazon.com/images/I/51zlX4bwUdL"&amp;".jpg;https://images-na.ssl-images-amazon.com/images/I/51VdrFqdmVL.jpg;https://images-na.ssl-images-amazon.com/images/I/51+x9h819pL.jpg")</f>
        <v>#NAME?</v>
      </c>
      <c r="D322" s="7" t="s">
        <v>20</v>
      </c>
      <c r="E322" s="7" t="s">
        <v>964</v>
      </c>
      <c r="F322" s="7">
        <v>0</v>
      </c>
      <c r="G322" s="7">
        <v>0</v>
      </c>
      <c r="H322" s="7">
        <v>0</v>
      </c>
      <c r="I322" s="7">
        <v>0</v>
      </c>
      <c r="J322" s="7">
        <v>-0.85</v>
      </c>
    </row>
    <row r="323" spans="1:10" ht="14.4">
      <c r="A323" s="6" t="s">
        <v>965</v>
      </c>
      <c r="B323" s="7" t="s">
        <v>966</v>
      </c>
      <c r="C323" s="7" t="e">
        <f ca="1">Image("https://images-na.ssl-images-amazon.com/images/I/51tq0P3rqqL.jpg;https://images-na.ssl-images-amazon.com/images/I/41ZxX8my00L.jpg;https://images-na.ssl-images-amazon.com/images/I/51AMyRcUVeL.jpg")</f>
        <v>#NAME?</v>
      </c>
      <c r="D323" s="7" t="s">
        <v>477</v>
      </c>
      <c r="E323" s="7" t="s">
        <v>967</v>
      </c>
      <c r="F323" s="7">
        <v>3</v>
      </c>
      <c r="G323" s="7">
        <v>21.97</v>
      </c>
      <c r="H323" s="7">
        <v>0</v>
      </c>
      <c r="I323" s="7">
        <v>0</v>
      </c>
      <c r="J323" s="7">
        <v>-0.94</v>
      </c>
    </row>
    <row r="324" spans="1:10" ht="14.4">
      <c r="A324" s="6" t="s">
        <v>968</v>
      </c>
      <c r="B324" s="7" t="s">
        <v>969</v>
      </c>
      <c r="C324" s="7" t="e">
        <f ca="1">Image("https://images-na.ssl-images-amazon.com/images/I/41fqB4qw0LL.jpg;https://images-na.ssl-images-amazon.com/images/I/51m6Oz77b8L.jpg;https://images-na.ssl-images-amazon.com/images/I/51MUxJwTbjL.jpg;https://images-na.ssl-images-amazon.com/images/I/61HZGO-OWgL"&amp;".jpg;https://images-na.ssl-images-amazon.com/images/I/511ILQ6XVPS.jpg;https://images-na.ssl-images-amazon.com/images/I/613Eb95TomL.jpg")</f>
        <v>#NAME?</v>
      </c>
      <c r="D324" s="7" t="s">
        <v>20</v>
      </c>
      <c r="E324" s="7" t="s">
        <v>970</v>
      </c>
      <c r="F324" s="7">
        <v>1</v>
      </c>
      <c r="G324" s="7">
        <v>8</v>
      </c>
      <c r="H324" s="7">
        <v>0</v>
      </c>
      <c r="I324" s="7">
        <v>0</v>
      </c>
      <c r="J324" s="7">
        <v>-1.1000000000000001</v>
      </c>
    </row>
    <row r="325" spans="1:10" ht="14.4">
      <c r="A325" s="6" t="s">
        <v>971</v>
      </c>
      <c r="B325" s="7" t="s">
        <v>972</v>
      </c>
      <c r="C325" s="7" t="e">
        <f ca="1">Image("https://images-na.ssl-images-amazon.com/images/I/31+N1cJ9KBL.jpg;https://images-na.ssl-images-amazon.com/images/I/41gJNXcyu+L.jpg;https://images-na.ssl-images-amazon.com/images/I/21IF0sQKcUL.jpg")</f>
        <v>#NAME?</v>
      </c>
      <c r="D325" s="7" t="s">
        <v>20</v>
      </c>
      <c r="E325" s="7" t="s">
        <v>973</v>
      </c>
      <c r="F325" s="7">
        <v>1</v>
      </c>
      <c r="G325" s="7">
        <v>15</v>
      </c>
      <c r="H325" s="7">
        <v>0</v>
      </c>
      <c r="I325" s="7">
        <v>0</v>
      </c>
      <c r="J325" s="7">
        <v>-1.46</v>
      </c>
    </row>
    <row r="326" spans="1:10" ht="14.4">
      <c r="A326" s="6" t="s">
        <v>974</v>
      </c>
      <c r="B326" s="7" t="s">
        <v>975</v>
      </c>
      <c r="C326" s="7" t="s">
        <v>834</v>
      </c>
      <c r="D326" s="7" t="s">
        <v>20</v>
      </c>
      <c r="E326" s="7" t="s">
        <v>976</v>
      </c>
      <c r="F326" s="7">
        <v>0</v>
      </c>
      <c r="G326" s="7">
        <v>0</v>
      </c>
      <c r="H326" s="7">
        <v>0</v>
      </c>
      <c r="I326" s="7">
        <v>0</v>
      </c>
      <c r="J326" s="7">
        <v>-1.59</v>
      </c>
    </row>
    <row r="327" spans="1:10" ht="14.4">
      <c r="A327" s="6" t="s">
        <v>977</v>
      </c>
      <c r="B327" s="7" t="s">
        <v>978</v>
      </c>
      <c r="C327" s="7" t="e">
        <f ca="1">Image("https://images-na.ssl-images-amazon.com/images/I/31CKKUF4pxL.jpg;https://images-na.ssl-images-amazon.com/images/I/41UYEDq4H+L.jpg;https://images-na.ssl-images-amazon.com/images/I/31locn7gy3L.jpg;https://images-na.ssl-images-amazon.com/images/I/31BoAWcluBL"&amp;".jpg;https://images-na.ssl-images-amazon.com/images/I/516pd7vGl3L.jpg;https://images-na.ssl-images-amazon.com/images/I/51uhYFH-53L.jpg;https://images-na.ssl-images-amazon.com/images/I/51oS4h7uk5L.jpg;https://images-na.ssl-images-amazon.com/images/I/51SUcQ"&amp;"y1ieL.jpg")</f>
        <v>#NAME?</v>
      </c>
      <c r="D327" s="7" t="s">
        <v>20</v>
      </c>
      <c r="E327" s="7" t="s">
        <v>979</v>
      </c>
      <c r="F327" s="7">
        <v>0</v>
      </c>
      <c r="G327" s="7">
        <v>0</v>
      </c>
      <c r="H327" s="7">
        <v>0</v>
      </c>
      <c r="I327" s="7">
        <v>0</v>
      </c>
      <c r="J327" s="7">
        <v>-2.1800000000000002</v>
      </c>
    </row>
    <row r="328" spans="1:10" ht="14.4">
      <c r="A328" s="6" t="s">
        <v>980</v>
      </c>
      <c r="B328" s="7" t="s">
        <v>981</v>
      </c>
      <c r="C328" s="7" t="e">
        <f ca="1">Image("https://images-na.ssl-images-amazon.com/images/I/41xp7Rcx9sL.jpg;https://images-na.ssl-images-amazon.com/images/I/414-DWmiYeL.jpg;https://images-na.ssl-images-amazon.com/images/I/41LBRvhdy-L.jpg;https://images-na.ssl-images-amazon.com/images/I/51CV9eTOvGL"&amp;".jpg;https://images-na.ssl-images-amazon.com/images/I/51OxQEEe+jL.jpg;https://images-na.ssl-images-amazon.com/images/I/41EVjGg9RvL.jpg;https://images-na.ssl-images-amazon.com/images/I/61RNGo98NeL.jpg")</f>
        <v>#NAME?</v>
      </c>
      <c r="D328" s="7" t="s">
        <v>20</v>
      </c>
      <c r="E328" s="7" t="s">
        <v>982</v>
      </c>
      <c r="F328" s="7">
        <v>1</v>
      </c>
      <c r="G328" s="7">
        <v>23.5</v>
      </c>
      <c r="H328" s="7">
        <v>0</v>
      </c>
      <c r="I328" s="7">
        <v>0</v>
      </c>
      <c r="J328" s="7">
        <v>-2.34</v>
      </c>
    </row>
    <row r="329" spans="1:10" ht="14.4">
      <c r="A329" s="6" t="s">
        <v>983</v>
      </c>
      <c r="B329" s="7" t="s">
        <v>984</v>
      </c>
      <c r="C329" s="7" t="e">
        <f ca="1">Image("https://images-na.ssl-images-amazon.com/images/I/31JBeLoo0SL.jpg;https://images-na.ssl-images-amazon.com/images/I/210zShZcYjL.jpg;https://images-na.ssl-images-amazon.com/images/I/41LDBVedazL.jpg;https://images-na.ssl-images-amazon.com/images/I/21PH100fTaL"&amp;".jpg;https://images-na.ssl-images-amazon.com/images/I/516ZXiYv7NL.jpg")</f>
        <v>#NAME?</v>
      </c>
      <c r="D329" s="7" t="s">
        <v>20</v>
      </c>
      <c r="E329" s="7" t="s">
        <v>985</v>
      </c>
      <c r="F329" s="7">
        <v>0</v>
      </c>
      <c r="G329" s="7">
        <v>0</v>
      </c>
      <c r="H329" s="7">
        <v>0</v>
      </c>
      <c r="I329" s="7">
        <v>0</v>
      </c>
      <c r="J329" s="7">
        <v>-2.7</v>
      </c>
    </row>
    <row r="330" spans="1:10" ht="14.4">
      <c r="A330" s="6" t="s">
        <v>986</v>
      </c>
      <c r="B330" s="7" t="s">
        <v>987</v>
      </c>
      <c r="C330" s="7" t="e">
        <f ca="1">Image("https://images-na.ssl-images-amazon.com/images/I/31oA880RAtL.jpg;https://images-na.ssl-images-amazon.com/images/I/31QjJp6ez6L.jpg;https://images-na.ssl-images-amazon.com/images/I/31U9mH+oXyL.jpg;https://images-na.ssl-images-amazon.com/images/I/516ZXiYv7NL"&amp;".jpg;https://images-na.ssl-images-amazon.com/images/I/312EBoe7j4L.jpg;https://images-na.ssl-images-amazon.com/images/I/11Pl0+xUu9L.jpg")</f>
        <v>#NAME?</v>
      </c>
      <c r="D330" s="7" t="s">
        <v>20</v>
      </c>
      <c r="E330" s="7" t="s">
        <v>988</v>
      </c>
      <c r="F330" s="7">
        <v>0</v>
      </c>
      <c r="G330" s="7">
        <v>0</v>
      </c>
      <c r="H330" s="7">
        <v>0</v>
      </c>
      <c r="I330" s="7">
        <v>0</v>
      </c>
      <c r="J330" s="7">
        <v>-2.71</v>
      </c>
    </row>
    <row r="331" spans="1:10" ht="14.4">
      <c r="A331" s="6" t="s">
        <v>989</v>
      </c>
      <c r="B331" s="7" t="s">
        <v>990</v>
      </c>
      <c r="C331" s="7" t="e">
        <f ca="1">Image("https://images-na.ssl-images-amazon.com/images/I/51R28Pjq4zS.jpg;https://images-na.ssl-images-amazon.com/images/I/51G9dfc5FIS.jpg;https://images-na.ssl-images-amazon.com/images/I/41rZFbewOnS.jpg;https://images-na.ssl-images-amazon.com/images/I/51lb1WO1svS"&amp;".jpg;https://images-na.ssl-images-amazon.com/images/I/512Tz7MnBlS.jpg;https://images-na.ssl-images-amazon.com/images/I/51EbL+fyvXS.jpg")</f>
        <v>#NAME?</v>
      </c>
      <c r="D331" s="7" t="s">
        <v>20</v>
      </c>
      <c r="E331" s="7" t="s">
        <v>991</v>
      </c>
      <c r="F331" s="7">
        <v>3</v>
      </c>
      <c r="G331" s="7">
        <v>37.979999999999997</v>
      </c>
      <c r="H331" s="7">
        <v>0</v>
      </c>
      <c r="I331" s="7">
        <v>0</v>
      </c>
      <c r="J331" s="7">
        <v>-3.08</v>
      </c>
    </row>
    <row r="332" spans="1:10" ht="14.4">
      <c r="A332" s="6" t="s">
        <v>992</v>
      </c>
      <c r="B332" s="7" t="s">
        <v>993</v>
      </c>
      <c r="C332" s="7" t="e">
        <f ca="1">Image("https://images-na.ssl-images-amazon.com/images/I/41A9euI2RjS.jpg;https://images-na.ssl-images-amazon.com/images/I/51glowYipBS.jpg;https://images-na.ssl-images-amazon.com/images/I/51E5Uuz5PWS.jpg;https://images-na.ssl-images-amazon.com/images/I/61RqWXbFhIS"&amp;".jpg;https://images-na.ssl-images-amazon.com/images/I/512s9XQoPyS.jpg;https://images-na.ssl-images-amazon.com/images/I/51DJz7A05OS.jpg;https://images-na.ssl-images-amazon.com/images/I/51SNQncY9KS.jpg")</f>
        <v>#NAME?</v>
      </c>
      <c r="D332" s="7" t="s">
        <v>20</v>
      </c>
      <c r="E332" s="7" t="s">
        <v>994</v>
      </c>
      <c r="F332" s="7">
        <v>0</v>
      </c>
      <c r="G332" s="7">
        <v>0</v>
      </c>
      <c r="H332" s="7">
        <v>0</v>
      </c>
      <c r="I332" s="7">
        <v>0</v>
      </c>
      <c r="J332" s="7">
        <v>-3.12</v>
      </c>
    </row>
    <row r="333" spans="1:10" ht="14.4">
      <c r="A333" s="6" t="s">
        <v>995</v>
      </c>
      <c r="B333" s="7" t="s">
        <v>996</v>
      </c>
      <c r="C333" s="7" t="e">
        <f ca="1">Image("https://images-na.ssl-images-amazon.com/images/I/41hhB+QPFwL.jpg;https://images-na.ssl-images-amazon.com/images/I/51vp-EM0TuL.jpg;https://images-na.ssl-images-amazon.com/images/I/41e2eFmNsLL.jpg;https://images-na.ssl-images-amazon.com/images/I/51q19cVFVVL"&amp;".jpg;https://images-na.ssl-images-amazon.com/images/I/51a-jIqv8TL.jpg;https://images-na.ssl-images-amazon.com/images/I/51NvS5KDCiL.jpg;https://images-na.ssl-images-amazon.com/images/I/41EVjGg9RvL.jpg")</f>
        <v>#NAME?</v>
      </c>
      <c r="D333" s="7" t="s">
        <v>20</v>
      </c>
      <c r="E333" s="7" t="s">
        <v>997</v>
      </c>
      <c r="F333" s="7">
        <v>1</v>
      </c>
      <c r="G333" s="7">
        <v>16</v>
      </c>
      <c r="H333" s="7">
        <v>0</v>
      </c>
      <c r="I333" s="7">
        <v>0</v>
      </c>
      <c r="J333" s="7">
        <v>-3.18</v>
      </c>
    </row>
    <row r="334" spans="1:10" ht="14.4">
      <c r="A334" s="6" t="s">
        <v>998</v>
      </c>
      <c r="B334" s="7" t="s">
        <v>999</v>
      </c>
      <c r="C334" s="7" t="e">
        <f ca="1">Image("https://images-na.ssl-images-amazon.com/images/I/41SFznznEFS.jpg;https://images-na.ssl-images-amazon.com/images/I/41q0OauXejS.jpg;https://images-na.ssl-images-amazon.com/images/I/41Y+Ii7zmNS.jpg;https://images-na.ssl-images-amazon.com/images/I/41X2WYT-LSL"&amp;".jpg;https://images-na.ssl-images-amazon.com/images/I/51jdXccM3wL.jpg;https://images-na.ssl-images-amazon.com/images/I/41dATmCUiwL.jpg;https://images-na.ssl-images-amazon.com/images/I/518Ynk+Kk4L.jpg")</f>
        <v>#NAME?</v>
      </c>
      <c r="D334" s="7" t="s">
        <v>20</v>
      </c>
      <c r="E334" s="7" t="s">
        <v>1000</v>
      </c>
      <c r="F334" s="7">
        <v>2</v>
      </c>
      <c r="G334" s="7">
        <v>13.2</v>
      </c>
      <c r="H334" s="7">
        <v>0</v>
      </c>
      <c r="I334" s="7">
        <v>0</v>
      </c>
      <c r="J334" s="7">
        <v>-3.62</v>
      </c>
    </row>
    <row r="335" spans="1:10" ht="14.4">
      <c r="A335" s="6" t="s">
        <v>1001</v>
      </c>
      <c r="B335" s="7" t="s">
        <v>1002</v>
      </c>
      <c r="C335" s="7" t="e">
        <f ca="1">Image("https://images-na.ssl-images-amazon.com/images/I/41iV5oFBPZS.jpg;https://images-na.ssl-images-amazon.com/images/I/61IUloso2US.jpg;https://images-na.ssl-images-amazon.com/images/I/41imtaig3AS.jpg;https://images-na.ssl-images-amazon.com/images/I/51AFBVxKxSS"&amp;".jpg;https://images-na.ssl-images-amazon.com/images/I/511H5osZZMS.jpg;https://images-na.ssl-images-amazon.com/images/I/51C5vn2s4aS.jpg")</f>
        <v>#NAME?</v>
      </c>
      <c r="D335" s="7" t="s">
        <v>20</v>
      </c>
      <c r="E335" s="7" t="s">
        <v>1003</v>
      </c>
      <c r="F335" s="7">
        <v>1</v>
      </c>
      <c r="G335" s="7">
        <v>7.74</v>
      </c>
      <c r="H335" s="7">
        <v>1</v>
      </c>
      <c r="I335" s="7">
        <v>-6.81</v>
      </c>
      <c r="J335" s="7">
        <v>-4.17</v>
      </c>
    </row>
    <row r="336" spans="1:10" ht="14.4">
      <c r="A336" s="6" t="s">
        <v>1004</v>
      </c>
      <c r="B336" s="7" t="s">
        <v>1005</v>
      </c>
      <c r="C336" s="7" t="s">
        <v>834</v>
      </c>
      <c r="D336" s="7" t="s">
        <v>20</v>
      </c>
      <c r="E336" s="7" t="s">
        <v>1006</v>
      </c>
      <c r="F336" s="7">
        <v>0</v>
      </c>
      <c r="G336" s="7">
        <v>0</v>
      </c>
      <c r="H336" s="7">
        <v>0</v>
      </c>
      <c r="I336" s="7">
        <v>0</v>
      </c>
      <c r="J336" s="7">
        <v>-4.43</v>
      </c>
    </row>
    <row r="337" spans="1:10" ht="14.4">
      <c r="A337" s="6" t="s">
        <v>1007</v>
      </c>
      <c r="B337" s="7" t="s">
        <v>1008</v>
      </c>
      <c r="C337" s="7" t="e">
        <f ca="1">Image("https://images-na.ssl-images-amazon.com/images/I/41HsJSbzuKL.jpg;https://images-na.ssl-images-amazon.com/images/I/51ho0c3n4OL.jpg;https://images-na.ssl-images-amazon.com/images/I/417JJEBWlvL.jpg;https://images-na.ssl-images-amazon.com/images/I/61y7Zjy8dxL"&amp;".jpg;https://images-na.ssl-images-amazon.com/images/I/51ca9W-SocS.jpg;https://images-na.ssl-images-amazon.com/images/I/61KGPXoU7DL.jpg")</f>
        <v>#NAME?</v>
      </c>
      <c r="D337" s="7" t="s">
        <v>20</v>
      </c>
      <c r="E337" s="7" t="s">
        <v>1009</v>
      </c>
      <c r="F337" s="7">
        <v>7</v>
      </c>
      <c r="G337" s="7">
        <v>37.75</v>
      </c>
      <c r="H337" s="7">
        <v>2</v>
      </c>
      <c r="I337" s="7">
        <v>-11.22</v>
      </c>
      <c r="J337" s="7">
        <v>-4.97</v>
      </c>
    </row>
    <row r="338" spans="1:10" ht="14.4">
      <c r="A338" s="6" t="s">
        <v>1010</v>
      </c>
      <c r="B338" s="7" t="s">
        <v>1011</v>
      </c>
      <c r="C338" s="7" t="s">
        <v>834</v>
      </c>
      <c r="D338" s="7" t="s">
        <v>20</v>
      </c>
      <c r="E338" s="7" t="s">
        <v>1012</v>
      </c>
      <c r="F338" s="7">
        <v>0</v>
      </c>
      <c r="G338" s="7">
        <v>0</v>
      </c>
      <c r="H338" s="7">
        <v>0</v>
      </c>
      <c r="I338" s="7">
        <v>0</v>
      </c>
      <c r="J338" s="7">
        <v>-5.21</v>
      </c>
    </row>
    <row r="339" spans="1:10" ht="14.4">
      <c r="A339" s="6" t="s">
        <v>1013</v>
      </c>
      <c r="B339" s="7" t="s">
        <v>1014</v>
      </c>
      <c r="C339" s="7" t="e">
        <f ca="1">Image("https://images-na.ssl-images-amazon.com/images/I/31Ad5HrLpOL.jpg;https://images-na.ssl-images-amazon.com/images/I/21LwDgCQ0dL.jpg;https://images-na.ssl-images-amazon.com/images/I/215dW+udfIL.jpg;https://images-na.ssl-images-amazon.com/images/I/41QQuAx931L"&amp;".jpg;https://images-na.ssl-images-amazon.com/images/I/41w4VajnmLL.jpg")</f>
        <v>#NAME?</v>
      </c>
      <c r="D339" s="7" t="s">
        <v>20</v>
      </c>
      <c r="E339" s="7" t="s">
        <v>1015</v>
      </c>
      <c r="F339" s="7">
        <v>0</v>
      </c>
      <c r="G339" s="7">
        <v>0</v>
      </c>
      <c r="H339" s="7">
        <v>0</v>
      </c>
      <c r="I339" s="7">
        <v>0</v>
      </c>
      <c r="J339" s="7">
        <v>-5.52</v>
      </c>
    </row>
    <row r="340" spans="1:10" ht="14.4">
      <c r="A340" s="6" t="s">
        <v>1016</v>
      </c>
      <c r="B340" s="7" t="s">
        <v>1017</v>
      </c>
      <c r="C340" s="7" t="e">
        <f ca="1">Image("https://images-na.ssl-images-amazon.com/images/I/315FRLu3f6L.jpg;https://images-na.ssl-images-amazon.com/images/I/41yxmwlZw0L.jpg;https://images-na.ssl-images-amazon.com/images/I/31gb-Qky7bL.jpg;https://images-na.ssl-images-amazon.com/images/I/41vgY6--x+L"&amp;".jpg;https://images-na.ssl-images-amazon.com/images/I/415QNYmdDtL.jpg;https://images-na.ssl-images-amazon.com/images/I/41bI9upgZ7L.jpg;https://images-na.ssl-images-amazon.com/images/I/41UM6xAtSnL.jpg")</f>
        <v>#NAME?</v>
      </c>
      <c r="D340" s="7" t="s">
        <v>20</v>
      </c>
      <c r="E340" s="7" t="s">
        <v>1018</v>
      </c>
      <c r="F340" s="7">
        <v>4</v>
      </c>
      <c r="G340" s="7">
        <v>22</v>
      </c>
      <c r="H340" s="7">
        <v>0</v>
      </c>
      <c r="I340" s="7">
        <v>0</v>
      </c>
      <c r="J340" s="7">
        <v>-6.18</v>
      </c>
    </row>
    <row r="341" spans="1:10" ht="14.4">
      <c r="A341" s="6" t="s">
        <v>1019</v>
      </c>
      <c r="B341" s="7" t="s">
        <v>1020</v>
      </c>
      <c r="C341" s="7" t="e">
        <f ca="1">Image("https://images-na.ssl-images-amazon.com/images/I/31BTU9iIYYL.jpg;https://images-na.ssl-images-amazon.com/images/I/41Bv8s8rD3L.jpg;https://images-na.ssl-images-amazon.com/images/I/31+j3PGKtmL.jpg;https://images-na.ssl-images-amazon.com/images/I/41pbCKOpRYL"&amp;".jpg;https://images-na.ssl-images-amazon.com/images/I/31kGcn2vBOL.jpg;https://images-na.ssl-images-amazon.com/images/I/51CzfE8Sv5L.jpg;https://images-na.ssl-images-amazon.com/images/I/51lxe1MHPZL.jpg;https://images-na.ssl-images-amazon.com/images/I/51Oe5O"&amp;"c76GL.jpg;https://images-na.ssl-images-amazon.com/images/I/51vEc1YAsML.jpg")</f>
        <v>#NAME?</v>
      </c>
      <c r="D341" s="7" t="s">
        <v>20</v>
      </c>
      <c r="E341" s="7" t="s">
        <v>1021</v>
      </c>
      <c r="F341" s="7">
        <v>0</v>
      </c>
      <c r="G341" s="7">
        <v>0</v>
      </c>
      <c r="H341" s="7">
        <v>0</v>
      </c>
      <c r="I341" s="7">
        <v>0</v>
      </c>
      <c r="J341" s="7">
        <v>-6.26</v>
      </c>
    </row>
    <row r="342" spans="1:10" ht="14.4">
      <c r="A342" s="6" t="s">
        <v>1022</v>
      </c>
      <c r="B342" s="7" t="s">
        <v>1023</v>
      </c>
      <c r="C342" s="7" t="s">
        <v>1024</v>
      </c>
      <c r="D342" s="7" t="s">
        <v>1024</v>
      </c>
      <c r="E342" s="7" t="s">
        <v>1024</v>
      </c>
      <c r="F342" s="7">
        <v>0</v>
      </c>
      <c r="G342" s="7">
        <v>0</v>
      </c>
      <c r="H342" s="7">
        <v>0</v>
      </c>
      <c r="I342" s="7">
        <v>0</v>
      </c>
      <c r="J342" s="7">
        <v>-6.49</v>
      </c>
    </row>
    <row r="343" spans="1:10" ht="14.4">
      <c r="A343" s="6" t="s">
        <v>1025</v>
      </c>
      <c r="B343" s="7" t="s">
        <v>1026</v>
      </c>
      <c r="C343" s="7" t="s">
        <v>834</v>
      </c>
      <c r="D343" s="7" t="s">
        <v>20</v>
      </c>
      <c r="E343" s="7" t="s">
        <v>1027</v>
      </c>
      <c r="F343" s="7">
        <v>0</v>
      </c>
      <c r="G343" s="7">
        <v>0</v>
      </c>
      <c r="H343" s="7">
        <v>0</v>
      </c>
      <c r="I343" s="7">
        <v>0</v>
      </c>
      <c r="J343" s="7">
        <v>-6.97</v>
      </c>
    </row>
    <row r="344" spans="1:10" ht="14.4">
      <c r="A344" s="6" t="s">
        <v>1028</v>
      </c>
      <c r="B344" s="7" t="s">
        <v>1029</v>
      </c>
      <c r="C344" s="7" t="e">
        <f ca="1">Image("https://images-na.ssl-images-amazon.com/images/I/513FGQ3exkL.jpg;https://images-na.ssl-images-amazon.com/images/I/51YqwcDde3L.jpg;https://images-na.ssl-images-amazon.com/images/I/51kM1CNRBdL.jpg;https://images-na.ssl-images-amazon.com/images/I/51fwKS4mfwL"&amp;".jpg;https://images-na.ssl-images-amazon.com/images/I/51pYvBeaIAL.jpg;https://images-na.ssl-images-amazon.com/images/I/518P+KH3lKL.jpg;https://images-na.ssl-images-amazon.com/images/I/51hgsX6wVeL.jpg")</f>
        <v>#NAME?</v>
      </c>
      <c r="D344" s="7" t="s">
        <v>477</v>
      </c>
      <c r="E344" s="7" t="s">
        <v>1030</v>
      </c>
      <c r="F344" s="7">
        <v>0</v>
      </c>
      <c r="G344" s="7">
        <v>0</v>
      </c>
      <c r="H344" s="7">
        <v>0</v>
      </c>
      <c r="I344" s="7">
        <v>0</v>
      </c>
      <c r="J344" s="7">
        <v>-7.19</v>
      </c>
    </row>
    <row r="345" spans="1:10" ht="14.4">
      <c r="A345" s="6" t="s">
        <v>1031</v>
      </c>
      <c r="B345" s="7" t="s">
        <v>1032</v>
      </c>
      <c r="C345" s="7" t="e">
        <f ca="1">Image("https://images-na.ssl-images-amazon.com/images/I/41W0Nxqi0TL.jpg;https://images-na.ssl-images-amazon.com/images/I/61d8tpWsRlL.jpg;https://images-na.ssl-images-amazon.com/images/I/41U1hRwVO-L.jpg;https://images-na.ssl-images-amazon.com/images/I/614efB4sdmL"&amp;".jpg;https://images-na.ssl-images-amazon.com/images/I/51h6D2Bd2bS.jpg;https://images-na.ssl-images-amazon.com/images/I/51t4wYXOIdL.jpg")</f>
        <v>#NAME?</v>
      </c>
      <c r="D345" s="7" t="s">
        <v>20</v>
      </c>
      <c r="E345" s="7" t="s">
        <v>1033</v>
      </c>
      <c r="F345" s="7">
        <v>7</v>
      </c>
      <c r="G345" s="7">
        <v>61.69</v>
      </c>
      <c r="H345" s="7">
        <v>0</v>
      </c>
      <c r="I345" s="7">
        <v>0</v>
      </c>
      <c r="J345" s="7">
        <v>-7.78</v>
      </c>
    </row>
    <row r="346" spans="1:10" ht="14.4">
      <c r="A346" s="6" t="s">
        <v>1034</v>
      </c>
      <c r="B346" s="7" t="s">
        <v>1035</v>
      </c>
      <c r="C346" s="7" t="e">
        <f ca="1">Image("https://images-na.ssl-images-amazon.com/images/I/41QomNS594L.jpg;https://images-na.ssl-images-amazon.com/images/I/61tVMdB1xrL.jpg;https://images-na.ssl-images-amazon.com/images/I/51dfkpPO8rL.jpg;https://images-na.ssl-images-amazon.com/images/I/61AD7T-BZdL"&amp;".jpg;https://images-na.ssl-images-amazon.com/images/I/51FIaWZdZqS.jpg;https://images-na.ssl-images-amazon.com/images/I/51I3VK18VaL.jpg;https://images-na.ssl-images-amazon.com/images/I/51jqh3jmwWL.jpg;https://images-na.ssl-images-amazon.com/images/I/51IoHZ"&amp;"iSPxL.jpg")</f>
        <v>#NAME?</v>
      </c>
      <c r="D346" s="7" t="s">
        <v>20</v>
      </c>
      <c r="E346" s="7" t="s">
        <v>402</v>
      </c>
      <c r="F346" s="7">
        <v>1</v>
      </c>
      <c r="G346" s="7">
        <v>12.99</v>
      </c>
      <c r="H346" s="7">
        <v>1</v>
      </c>
      <c r="I346" s="7">
        <v>-11.43</v>
      </c>
      <c r="J346" s="7">
        <v>-7.86</v>
      </c>
    </row>
    <row r="347" spans="1:10" ht="14.4">
      <c r="A347" s="6" t="s">
        <v>1036</v>
      </c>
      <c r="B347" s="7" t="s">
        <v>1037</v>
      </c>
      <c r="C347" s="7" t="e">
        <f ca="1">Image("https://images-na.ssl-images-amazon.com/images/I/41D3mwHTS9L.jpg;https://images-na.ssl-images-amazon.com/images/I/51x5JuEdkuL.jpg;https://images-na.ssl-images-amazon.com/images/I/51V6w8BW3SL.jpg;https://images-na.ssl-images-amazon.com/images/I/51yoasfGo4L"&amp;".jpg;https://images-na.ssl-images-amazon.com/images/I/51hAaUNhYDS.jpg;https://images-na.ssl-images-amazon.com/images/I/316lh1DCN-L.jpg;https://images-na.ssl-images-amazon.com/images/I/51AeeEt4ZRL.jpg")</f>
        <v>#NAME?</v>
      </c>
      <c r="D347" s="7" t="s">
        <v>20</v>
      </c>
      <c r="E347" s="7" t="s">
        <v>402</v>
      </c>
      <c r="F347" s="7">
        <v>0</v>
      </c>
      <c r="G347" s="7">
        <v>0</v>
      </c>
      <c r="H347" s="7">
        <v>0</v>
      </c>
      <c r="I347" s="7">
        <v>0</v>
      </c>
      <c r="J347" s="7">
        <v>-7.99</v>
      </c>
    </row>
    <row r="348" spans="1:10" ht="14.4">
      <c r="A348" s="6" t="s">
        <v>1038</v>
      </c>
      <c r="B348" s="7" t="s">
        <v>1039</v>
      </c>
      <c r="C348" s="7" t="e">
        <f ca="1">Image("https://images-na.ssl-images-amazon.com/images/I/51B-xN8PybL.jpg;https://images-na.ssl-images-amazon.com/images/I/51d-bXNZVBL.jpg;https://images-na.ssl-images-amazon.com/images/I/51yNP7TpOcL.jpg;https://images-na.ssl-images-amazon.com/images/I/51MHPJBJXZL"&amp;".jpg;https://images-na.ssl-images-amazon.com/images/I/61Zr+4Vw3gL.jpg;https://images-na.ssl-images-amazon.com/images/I/51BsI9suPtL.jpg;https://images-na.ssl-images-amazon.com/images/I/51TlJaZglFL.jpg")</f>
        <v>#NAME?</v>
      </c>
      <c r="D348" s="7" t="s">
        <v>477</v>
      </c>
      <c r="E348" s="7" t="s">
        <v>1030</v>
      </c>
      <c r="F348" s="7">
        <v>0</v>
      </c>
      <c r="G348" s="7">
        <v>0</v>
      </c>
      <c r="H348" s="7">
        <v>0</v>
      </c>
      <c r="I348" s="7">
        <v>0</v>
      </c>
      <c r="J348" s="7">
        <v>-8.3000000000000007</v>
      </c>
    </row>
    <row r="349" spans="1:10" ht="14.4">
      <c r="A349" s="6" t="s">
        <v>1040</v>
      </c>
      <c r="B349" s="7" t="s">
        <v>1041</v>
      </c>
      <c r="C349" s="7" t="e">
        <f ca="1">Image("https://images-na.ssl-images-amazon.com/images/I/31CKKUF4pxL.jpg;https://images-na.ssl-images-amazon.com/images/I/41UYEDq4H+L.jpg;https://images-na.ssl-images-amazon.com/images/I/31locn7gy3L.jpg;https://images-na.ssl-images-amazon.com/images/I/31BoAWcluBL"&amp;".jpg;https://images-na.ssl-images-amazon.com/images/I/516pd7vGl3L.jpg;https://images-na.ssl-images-amazon.com/images/I/51uhYFH-53L.jpg;https://images-na.ssl-images-amazon.com/images/I/51oS4h7uk5L.jpg;https://images-na.ssl-images-amazon.com/images/I/51SUcQ"&amp;"y1ieL.jpg")</f>
        <v>#NAME?</v>
      </c>
      <c r="D349" s="7" t="s">
        <v>20</v>
      </c>
      <c r="E349" s="7" t="s">
        <v>1042</v>
      </c>
      <c r="F349" s="7">
        <v>1</v>
      </c>
      <c r="G349" s="7">
        <v>12</v>
      </c>
      <c r="H349" s="7">
        <v>1</v>
      </c>
      <c r="I349" s="7">
        <v>-10.37</v>
      </c>
      <c r="J349" s="7">
        <v>-8.6</v>
      </c>
    </row>
    <row r="350" spans="1:10" ht="14.4">
      <c r="A350" s="6" t="s">
        <v>1043</v>
      </c>
      <c r="B350" s="7" t="s">
        <v>1044</v>
      </c>
      <c r="C350" s="7" t="s">
        <v>834</v>
      </c>
      <c r="D350" s="7" t="s">
        <v>20</v>
      </c>
      <c r="E350" s="7" t="s">
        <v>1045</v>
      </c>
      <c r="F350" s="7">
        <v>0</v>
      </c>
      <c r="G350" s="7">
        <v>0</v>
      </c>
      <c r="H350" s="7">
        <v>0</v>
      </c>
      <c r="I350" s="7">
        <v>0</v>
      </c>
      <c r="J350" s="7">
        <v>-9.19</v>
      </c>
    </row>
    <row r="351" spans="1:10" ht="14.4">
      <c r="A351" s="6" t="s">
        <v>1046</v>
      </c>
      <c r="B351" s="7" t="s">
        <v>1047</v>
      </c>
      <c r="C351" s="7" t="e">
        <f ca="1">Image("https://images-na.ssl-images-amazon.com/images/I/51bLuIqD1-S.jpg;https://images-na.ssl-images-amazon.com/images/I/51Z4UbP7GnS.jpg;https://images-na.ssl-images-amazon.com/images/I/511ZFNxt7fS.jpg;https://images-na.ssl-images-amazon.com/images/I/619ynBIOwzS"&amp;".jpg;https://images-na.ssl-images-amazon.com/images/I/410eWJEezpS.jpg;https://images-na.ssl-images-amazon.com/images/I/51BoQT10j6S.jpg")</f>
        <v>#NAME?</v>
      </c>
      <c r="D351" s="7" t="s">
        <v>20</v>
      </c>
      <c r="E351" s="7" t="s">
        <v>1048</v>
      </c>
      <c r="F351" s="7">
        <v>2</v>
      </c>
      <c r="G351" s="7">
        <v>31.99</v>
      </c>
      <c r="H351" s="7">
        <v>0</v>
      </c>
      <c r="I351" s="7">
        <v>0</v>
      </c>
      <c r="J351" s="7">
        <v>-10.220000000000001</v>
      </c>
    </row>
    <row r="352" spans="1:10" ht="14.4">
      <c r="A352" s="6" t="s">
        <v>1049</v>
      </c>
      <c r="B352" s="7" t="s">
        <v>1050</v>
      </c>
      <c r="C352" s="7" t="e">
        <f ca="1">Image("https://images-na.ssl-images-amazon.com/images/I/51fgCcYpieS.jpg;https://images-na.ssl-images-amazon.com/images/I/51NWpLnHXQS.jpg;https://images-na.ssl-images-amazon.com/images/I/51sNT+8cZGL.jpg;https://images-na.ssl-images-amazon.com/images/I/51Ysj1DLqoL"&amp;".jpg;https://images-na.ssl-images-amazon.com/images/I/51IX9ZvDzJL.jpg;https://images-na.ssl-images-amazon.com/images/I/513oMS3MI-L.jpg;https://images-na.ssl-images-amazon.com/images/I/514ljmBXrlL.jpg")</f>
        <v>#NAME?</v>
      </c>
      <c r="D352" s="7" t="s">
        <v>20</v>
      </c>
      <c r="E352" s="7" t="s">
        <v>1051</v>
      </c>
      <c r="F352" s="7">
        <v>0</v>
      </c>
      <c r="G352" s="7">
        <v>0</v>
      </c>
      <c r="H352" s="7">
        <v>1</v>
      </c>
      <c r="I352" s="7">
        <v>-10.91</v>
      </c>
      <c r="J352" s="7">
        <v>-10.91</v>
      </c>
    </row>
    <row r="353" spans="1:10" ht="14.4">
      <c r="A353" s="6" t="s">
        <v>1052</v>
      </c>
      <c r="B353" s="7" t="s">
        <v>1053</v>
      </c>
      <c r="C353" s="7" t="e">
        <f ca="1">Image("https://images-na.ssl-images-amazon.com/images/I/416ngoZDSPL.jpg;https://images-na.ssl-images-amazon.com/images/I/41p6Hlh1fAL.jpg;https://images-na.ssl-images-amazon.com/images/I/41ZGf7ihqQL.jpg;https://images-na.ssl-images-amazon.com/images/I/41178C8FaTL"&amp;".jpg;https://images-na.ssl-images-amazon.com/images/I/41fMZ6Hxn3L.jpg")</f>
        <v>#NAME?</v>
      </c>
      <c r="D353" s="7" t="s">
        <v>1054</v>
      </c>
      <c r="E353" s="7" t="s">
        <v>1055</v>
      </c>
      <c r="F353" s="7">
        <v>0</v>
      </c>
      <c r="G353" s="7">
        <v>0</v>
      </c>
      <c r="H353" s="7">
        <v>0</v>
      </c>
      <c r="I353" s="7">
        <v>0</v>
      </c>
      <c r="J353" s="7">
        <v>-11.28</v>
      </c>
    </row>
    <row r="354" spans="1:10" ht="14.4">
      <c r="A354" s="6" t="s">
        <v>1056</v>
      </c>
      <c r="B354" s="7" t="s">
        <v>1057</v>
      </c>
      <c r="C354" s="7" t="e">
        <f ca="1">Image("https://images-na.ssl-images-amazon.com/images/I/41dTtRJIF6L.jpg;https://images-na.ssl-images-amazon.com/images/I/31YsLSXtuGL.jpg;https://images-na.ssl-images-amazon.com/images/I/41CdUa0ttmL.jpg;https://images-na.ssl-images-amazon.com/images/I/51rOP7i9z1L"&amp;".jpg;https://images-na.ssl-images-amazon.com/images/I/41qWXzItvuL.jpg;https://images-na.ssl-images-amazon.com/images/I/41FSzNK0IUL.jpg")</f>
        <v>#NAME?</v>
      </c>
      <c r="D354" s="7" t="s">
        <v>20</v>
      </c>
      <c r="E354" s="7" t="s">
        <v>1058</v>
      </c>
      <c r="F354" s="7">
        <v>0</v>
      </c>
      <c r="G354" s="7">
        <v>0</v>
      </c>
      <c r="H354" s="7">
        <v>0</v>
      </c>
      <c r="I354" s="7">
        <v>0</v>
      </c>
      <c r="J354" s="7">
        <v>-11.55</v>
      </c>
    </row>
    <row r="355" spans="1:10" ht="14.4">
      <c r="A355" s="6" t="s">
        <v>1059</v>
      </c>
      <c r="B355" s="7" t="s">
        <v>1060</v>
      </c>
      <c r="C355" s="7" t="e">
        <f ca="1">Image("https://images-na.ssl-images-amazon.com/images/I/4189zQj2tpS.jpg;https://images-na.ssl-images-amazon.com/images/I/61FMDYSH6NS.jpg;https://images-na.ssl-images-amazon.com/images/I/51m+yoij3iS.jpg;https://images-na.ssl-images-amazon.com/images/I/61nsNF1x7xS"&amp;".jpg;https://images-na.ssl-images-amazon.com/images/I/517-E7cMu+S.jpg;https://images-na.ssl-images-amazon.com/images/I/51Mq91sl4sS.jpg")</f>
        <v>#NAME?</v>
      </c>
      <c r="D355" s="7" t="s">
        <v>20</v>
      </c>
      <c r="E355" s="7" t="s">
        <v>1061</v>
      </c>
      <c r="F355" s="7">
        <v>1</v>
      </c>
      <c r="G355" s="7">
        <v>10.5</v>
      </c>
      <c r="H355" s="7">
        <v>0</v>
      </c>
      <c r="I355" s="7">
        <v>0</v>
      </c>
      <c r="J355" s="7">
        <v>-11.92</v>
      </c>
    </row>
    <row r="356" spans="1:10" ht="14.4">
      <c r="A356" s="6" t="s">
        <v>1062</v>
      </c>
      <c r="B356" s="7" t="s">
        <v>1063</v>
      </c>
      <c r="C356" s="7" t="e">
        <f ca="1">Image("https://images-na.ssl-images-amazon.com/images/I/41oSmneZ2QL.jpg;https://images-na.ssl-images-amazon.com/images/I/41DMpDBqpGL.jpg;https://images-na.ssl-images-amazon.com/images/I/41e2eFmNsLL.jpg;https://images-na.ssl-images-amazon.com/images/I/51q19cVFVVL"&amp;".jpg;https://images-na.ssl-images-amazon.com/images/I/51wSn51h3rL.jpg;https://images-na.ssl-images-amazon.com/images/I/61W2eRJqGxL.jpg;https://images-na.ssl-images-amazon.com/images/I/41EVjGg9RvL.jpg")</f>
        <v>#NAME?</v>
      </c>
      <c r="D356" s="7" t="s">
        <v>20</v>
      </c>
      <c r="E356" s="7" t="s">
        <v>1064</v>
      </c>
      <c r="F356" s="7">
        <v>0</v>
      </c>
      <c r="G356" s="7">
        <v>0</v>
      </c>
      <c r="H356" s="7">
        <v>0</v>
      </c>
      <c r="I356" s="7">
        <v>0</v>
      </c>
      <c r="J356" s="7">
        <v>-12.67</v>
      </c>
    </row>
    <row r="357" spans="1:10" ht="14.4">
      <c r="A357" s="6" t="s">
        <v>1065</v>
      </c>
      <c r="B357" s="7" t="s">
        <v>1066</v>
      </c>
      <c r="C357" s="7" t="e">
        <f ca="1">Image("https://images-na.ssl-images-amazon.com/images/I/31oA880RAtL.jpg;https://images-na.ssl-images-amazon.com/images/I/31hE6RyAZbL.jpg;https://images-na.ssl-images-amazon.com/images/I/21VMA9CGR1L.jpg;https://images-na.ssl-images-amazon.com/images/I/312EBoe7j4L"&amp;".jpg;https://images-na.ssl-images-amazon.com/images/I/516ZXiYv7NL.jpg;https://images-na.ssl-images-amazon.com/images/I/31ji2QCbKdL.jpg;https://images-na.ssl-images-amazon.com/images/I/41H+AJi9hcL.jpg")</f>
        <v>#NAME?</v>
      </c>
      <c r="D357" s="7" t="s">
        <v>20</v>
      </c>
      <c r="E357" s="7" t="s">
        <v>141</v>
      </c>
      <c r="F357" s="7">
        <v>2</v>
      </c>
      <c r="G357" s="7">
        <v>46</v>
      </c>
      <c r="H357" s="7">
        <v>2</v>
      </c>
      <c r="I357" s="7">
        <v>-40.479999999999997</v>
      </c>
      <c r="J357" s="7">
        <v>-13.89</v>
      </c>
    </row>
    <row r="358" spans="1:10" ht="14.4">
      <c r="A358" s="6" t="s">
        <v>1067</v>
      </c>
      <c r="B358" s="7" t="s">
        <v>1068</v>
      </c>
      <c r="C358" s="7" t="e">
        <f ca="1">Image("https://images-na.ssl-images-amazon.com/images/I/51XwovkIGGL.jpg;https://images-na.ssl-images-amazon.com/images/I/41FQZ25JHrL.jpg;https://images-na.ssl-images-amazon.com/images/I/514HEpR+d9L.jpg")</f>
        <v>#NAME?</v>
      </c>
      <c r="D358" s="7" t="s">
        <v>299</v>
      </c>
      <c r="E358" s="7" t="s">
        <v>1069</v>
      </c>
      <c r="F358" s="7">
        <v>0</v>
      </c>
      <c r="G358" s="7">
        <v>0</v>
      </c>
      <c r="H358" s="7">
        <v>1</v>
      </c>
      <c r="I358" s="7">
        <v>-7.92</v>
      </c>
      <c r="J358" s="7">
        <v>-14.31</v>
      </c>
    </row>
    <row r="359" spans="1:10" ht="14.4">
      <c r="A359" s="6" t="s">
        <v>1070</v>
      </c>
      <c r="B359" s="7" t="s">
        <v>1071</v>
      </c>
      <c r="C359" s="7" t="e">
        <f ca="1">Image("https://images-na.ssl-images-amazon.com/images/I/51eW8J2-RvL.jpg;https://images-na.ssl-images-amazon.com/images/I/51utxW0OEYL.jpg;https://images-na.ssl-images-amazon.com/images/I/51+bDHuGTpL.jpg;https://images-na.ssl-images-amazon.com/images/I/51H79mOUVlL"&amp;".jpg;https://images-na.ssl-images-amazon.com/images/I/61ExgM1ky4L.jpg;https://images-na.ssl-images-amazon.com/images/I/514xVFnu8uL.jpg;https://images-na.ssl-images-amazon.com/images/I/51osLqNQPkL.jpg")</f>
        <v>#NAME?</v>
      </c>
      <c r="D359" s="7" t="s">
        <v>477</v>
      </c>
      <c r="E359" s="7" t="s">
        <v>1072</v>
      </c>
      <c r="F359" s="7">
        <v>1</v>
      </c>
      <c r="G359" s="7">
        <v>5.99</v>
      </c>
      <c r="H359" s="7">
        <v>0</v>
      </c>
      <c r="I359" s="7">
        <v>0</v>
      </c>
      <c r="J359" s="7">
        <v>-14.46</v>
      </c>
    </row>
    <row r="360" spans="1:10" ht="14.4">
      <c r="A360" s="6" t="s">
        <v>1073</v>
      </c>
      <c r="B360" s="7" t="s">
        <v>1074</v>
      </c>
      <c r="C360" s="7" t="e">
        <f ca="1">Image("https://images-na.ssl-images-amazon.com/images/I/41KHajN38KL.jpg;https://images-na.ssl-images-amazon.com/images/I/418iNPC-9VL.jpg;https://images-na.ssl-images-amazon.com/images/I/41e2eFmNsLL.jpg;https://images-na.ssl-images-amazon.com/images/I/51q19cVFVVL"&amp;".jpg;https://images-na.ssl-images-amazon.com/images/I/517wZkJHaUL.jpg;https://images-na.ssl-images-amazon.com/images/I/61-4GsdzAEL.jpg;https://images-na.ssl-images-amazon.com/images/I/41EVjGg9RvL.jpg")</f>
        <v>#NAME?</v>
      </c>
      <c r="D360" s="7" t="s">
        <v>20</v>
      </c>
      <c r="E360" s="7" t="s">
        <v>1075</v>
      </c>
      <c r="F360" s="7">
        <v>0</v>
      </c>
      <c r="G360" s="7">
        <v>0</v>
      </c>
      <c r="H360" s="7">
        <v>0</v>
      </c>
      <c r="I360" s="7">
        <v>0</v>
      </c>
      <c r="J360" s="7">
        <v>-15.04</v>
      </c>
    </row>
    <row r="361" spans="1:10" ht="14.4">
      <c r="A361" s="6" t="s">
        <v>1076</v>
      </c>
      <c r="B361" s="7" t="s">
        <v>1077</v>
      </c>
      <c r="C361" s="7" t="e">
        <f ca="1">Image("https://images-na.ssl-images-amazon.com/images/I/410MOgmv0PL.jpg;https://images-na.ssl-images-amazon.com/images/I/31dDhqe9+oL.jpg;https://images-na.ssl-images-amazon.com/images/I/410MOgmv0PL.jpg;https://images-na.ssl-images-amazon.com/images/I/513JxHAnj5L"&amp;".jpg;https://images-na.ssl-images-amazon.com/images/I/41oPSdEahKL.jpg")</f>
        <v>#NAME?</v>
      </c>
      <c r="D361" s="7" t="s">
        <v>20</v>
      </c>
      <c r="E361" s="7" t="s">
        <v>1078</v>
      </c>
      <c r="F361" s="7">
        <v>0</v>
      </c>
      <c r="G361" s="7">
        <v>0</v>
      </c>
      <c r="H361" s="7">
        <v>0</v>
      </c>
      <c r="I361" s="7">
        <v>0</v>
      </c>
      <c r="J361" s="7">
        <v>-16.55</v>
      </c>
    </row>
    <row r="362" spans="1:10" ht="14.4">
      <c r="A362" s="6" t="s">
        <v>1079</v>
      </c>
      <c r="B362" s="7" t="s">
        <v>1080</v>
      </c>
      <c r="C362" s="7" t="e">
        <f ca="1">Image("https://images-na.ssl-images-amazon.com/images/I/41J-8ucpXaL.jpg")</f>
        <v>#NAME?</v>
      </c>
      <c r="D362" s="7" t="s">
        <v>20</v>
      </c>
      <c r="E362" s="7" t="s">
        <v>1081</v>
      </c>
      <c r="F362" s="7">
        <v>0</v>
      </c>
      <c r="G362" s="7">
        <v>0</v>
      </c>
      <c r="H362" s="7">
        <v>0</v>
      </c>
      <c r="I362" s="7">
        <v>0</v>
      </c>
      <c r="J362" s="7">
        <v>-16.64</v>
      </c>
    </row>
    <row r="363" spans="1:10" ht="14.4">
      <c r="A363" s="6" t="s">
        <v>1082</v>
      </c>
      <c r="B363" s="7" t="s">
        <v>1083</v>
      </c>
      <c r="C363" s="7" t="e">
        <f ca="1">Image("https://images-na.ssl-images-amazon.com/images/I/61pVVjulz0L.jpg;https://images-na.ssl-images-amazon.com/images/I/51U3ybid3rL.jpg;https://images-na.ssl-images-amazon.com/images/I/51HqyA3dZgL.jpg;https://images-na.ssl-images-amazon.com/images/I/51S1rkJCpiL"&amp;".jpg;https://images-na.ssl-images-amazon.com/images/I/41uAwGPKNyL.jpg;https://images-na.ssl-images-amazon.com/images/I/510C2HwWzeL.jpg;https://images-na.ssl-images-amazon.com/images/I/51FZCScSfvL.jpg")</f>
        <v>#NAME?</v>
      </c>
      <c r="D363" s="7" t="s">
        <v>20</v>
      </c>
      <c r="E363" s="7" t="s">
        <v>1084</v>
      </c>
      <c r="F363" s="7">
        <v>0</v>
      </c>
      <c r="G363" s="7">
        <v>0</v>
      </c>
      <c r="H363" s="7">
        <v>0</v>
      </c>
      <c r="I363" s="7">
        <v>0</v>
      </c>
      <c r="J363" s="7">
        <v>-16.649999999999999</v>
      </c>
    </row>
    <row r="364" spans="1:10" ht="14.4">
      <c r="A364" s="6" t="s">
        <v>1085</v>
      </c>
      <c r="B364" s="7" t="s">
        <v>1086</v>
      </c>
      <c r="C364" s="7" t="e">
        <f ca="1">Image("https://images-na.ssl-images-amazon.com/images/I/31nbKM5TObL.jpg;https://images-na.ssl-images-amazon.com/images/I/21OzfKnIc7L.jpg;https://images-na.ssl-images-amazon.com/images/I/31DTU5ORlaL.jpg;https://images-na.ssl-images-amazon.com/images/I/41JZabUr+zL"&amp;".jpg;https://images-na.ssl-images-amazon.com/images/I/41W6XcYn-iL.jpg;https://images-na.ssl-images-amazon.com/images/I/41LKow+DwZL.jpg")</f>
        <v>#NAME?</v>
      </c>
      <c r="D364" s="7" t="s">
        <v>20</v>
      </c>
      <c r="E364" s="7" t="s">
        <v>1087</v>
      </c>
      <c r="F364" s="7">
        <v>0</v>
      </c>
      <c r="G364" s="7">
        <v>0</v>
      </c>
      <c r="H364" s="7">
        <v>0</v>
      </c>
      <c r="I364" s="7">
        <v>0</v>
      </c>
      <c r="J364" s="7">
        <v>-16.649999999999999</v>
      </c>
    </row>
    <row r="365" spans="1:10" ht="14.4">
      <c r="A365" s="6" t="s">
        <v>1088</v>
      </c>
      <c r="B365" s="7" t="s">
        <v>1089</v>
      </c>
      <c r="C365" s="7" t="e">
        <f ca="1">Image("https://images-na.ssl-images-amazon.com/images/I/51fMoAEQLpL.jpg;https://images-na.ssl-images-amazon.com/images/I/31bVl17sFLL.jpg;https://images-na.ssl-images-amazon.com/images/I/417NufvpbFL.jpg;https://images-na.ssl-images-amazon.com/images/I/41nTgDjIpmL"&amp;".jpg;https://images-na.ssl-images-amazon.com/images/I/41hW+5L9E-L.jpg;https://images-na.ssl-images-amazon.com/images/I/411b+u93KJL.jpg")</f>
        <v>#NAME?</v>
      </c>
      <c r="D365" s="7" t="s">
        <v>20</v>
      </c>
      <c r="E365" s="7" t="s">
        <v>1090</v>
      </c>
      <c r="F365" s="7">
        <v>0</v>
      </c>
      <c r="G365" s="7">
        <v>0</v>
      </c>
      <c r="H365" s="7">
        <v>0</v>
      </c>
      <c r="I365" s="7">
        <v>0</v>
      </c>
      <c r="J365" s="7">
        <v>-18.239999999999998</v>
      </c>
    </row>
    <row r="366" spans="1:10" ht="14.4">
      <c r="A366" s="6" t="s">
        <v>1091</v>
      </c>
      <c r="B366" s="7" t="s">
        <v>1092</v>
      </c>
      <c r="C366" s="7" t="e">
        <f ca="1">Image("https://images-na.ssl-images-amazon.com/images/I/31EATR0giVL.jpg;https://images-na.ssl-images-amazon.com/images/I/21BkWKFMAcL.jpg;https://images-na.ssl-images-amazon.com/images/I/41865lPiNRL.jpg;https://images-na.ssl-images-amazon.com/images/I/31iALLa3UrL"&amp;".jpg;https://images-na.ssl-images-amazon.com/images/I/410bSO3RwJL.jpg")</f>
        <v>#NAME?</v>
      </c>
      <c r="D366" s="7" t="s">
        <v>20</v>
      </c>
      <c r="E366" s="7" t="s">
        <v>1093</v>
      </c>
      <c r="F366" s="7">
        <v>0</v>
      </c>
      <c r="G366" s="7">
        <v>0</v>
      </c>
      <c r="H366" s="7">
        <v>0</v>
      </c>
      <c r="I366" s="7">
        <v>0</v>
      </c>
      <c r="J366" s="7">
        <v>-18.489999999999998</v>
      </c>
    </row>
    <row r="367" spans="1:10" ht="14.4">
      <c r="A367" s="6" t="s">
        <v>1094</v>
      </c>
      <c r="B367" s="7" t="s">
        <v>1095</v>
      </c>
      <c r="C367" s="7" t="e">
        <f ca="1">Image("https://images-na.ssl-images-amazon.com/images/I/517oXAVssES.jpg;https://images-na.ssl-images-amazon.com/images/I/51RKehx+BoS.jpg;https://images-na.ssl-images-amazon.com/images/I/41kIBn3+6WL.jpg;https://images-na.ssl-images-amazon.com/images/I/51OR+a0OHOL"&amp;".jpg;https://images-na.ssl-images-amazon.com/images/I/51REfti4q2L.jpg;https://images-na.ssl-images-amazon.com/images/I/41ytCBq-tLL.jpg")</f>
        <v>#NAME?</v>
      </c>
      <c r="D367" s="7" t="s">
        <v>20</v>
      </c>
      <c r="E367" s="7" t="s">
        <v>1096</v>
      </c>
      <c r="F367" s="7">
        <v>0</v>
      </c>
      <c r="G367" s="7">
        <v>0</v>
      </c>
      <c r="H367" s="7">
        <v>2</v>
      </c>
      <c r="I367" s="7">
        <v>-21.82</v>
      </c>
      <c r="J367" s="7">
        <v>-21.84</v>
      </c>
    </row>
    <row r="368" spans="1:10" ht="14.4">
      <c r="A368" s="6" t="s">
        <v>1097</v>
      </c>
      <c r="B368" s="7" t="s">
        <v>1098</v>
      </c>
      <c r="C368" s="7" t="e">
        <f ca="1">Image("https://images-na.ssl-images-amazon.com/images/I/51Tx7-tL8UL.jpg;https://images-na.ssl-images-amazon.com/images/I/41b17TyvohL.jpg;https://images-na.ssl-images-amazon.com/images/I/51rmVeEVurL.jpg;https://images-na.ssl-images-amazon.com/images/I/61kvSiwUjTL"&amp;".jpg;https://images-na.ssl-images-amazon.com/images/I/614Hn5GqeDL.jpg;https://images-na.ssl-images-amazon.com/images/I/51Awi5MQP3L.jpg;https://images-na.ssl-images-amazon.com/images/I/41gs71Rhl6L.jpg")</f>
        <v>#NAME?</v>
      </c>
      <c r="D368" s="7" t="s">
        <v>20</v>
      </c>
      <c r="E368" s="7" t="s">
        <v>1099</v>
      </c>
      <c r="F368" s="7">
        <v>0</v>
      </c>
      <c r="G368" s="7">
        <v>0</v>
      </c>
      <c r="H368" s="7">
        <v>0</v>
      </c>
      <c r="I368" s="7">
        <v>0</v>
      </c>
      <c r="J368" s="7">
        <v>-22.12</v>
      </c>
    </row>
    <row r="369" spans="1:10" ht="14.4">
      <c r="A369" s="6" t="s">
        <v>1100</v>
      </c>
      <c r="B369" s="7" t="s">
        <v>1101</v>
      </c>
      <c r="C369" s="7" t="e">
        <f ca="1">Image("https://images-na.ssl-images-amazon.com/images/I/31ubhXrlFqL.jpg;https://images-na.ssl-images-amazon.com/images/I/41RN3ZjEPPL.jpg;https://images-na.ssl-images-amazon.com/images/I/31-AjHltNjL.jpg;https://images-na.ssl-images-amazon.com/images/I/41KWkWg0ToL"&amp;".jpg;https://images-na.ssl-images-amazon.com/images/I/51d2WSVeFIL.jpg;https://images-na.ssl-images-amazon.com/images/I/413Yl74rKCL.jpg")</f>
        <v>#NAME?</v>
      </c>
      <c r="D369" s="7" t="s">
        <v>16</v>
      </c>
      <c r="E369" s="7" t="s">
        <v>1102</v>
      </c>
      <c r="F369" s="7">
        <v>0</v>
      </c>
      <c r="G369" s="7">
        <v>0</v>
      </c>
      <c r="H369" s="7">
        <v>0</v>
      </c>
      <c r="I369" s="7">
        <v>0</v>
      </c>
      <c r="J369" s="7">
        <v>-24.48</v>
      </c>
    </row>
    <row r="370" spans="1:10" ht="14.4">
      <c r="A370" s="6" t="s">
        <v>1103</v>
      </c>
      <c r="B370" s="7" t="s">
        <v>1104</v>
      </c>
      <c r="C370" s="7" t="e">
        <f ca="1">Image("https://images-na.ssl-images-amazon.com/images/I/512QkMaYC3S.jpg;https://images-na.ssl-images-amazon.com/images/I/51UrgsJz+qS.jpg;https://images-na.ssl-images-amazon.com/images/I/51KHp57ZTFS.jpg;https://images-na.ssl-images-amazon.com/images/I/611cfioXprS"&amp;".jpg;https://images-na.ssl-images-amazon.com/images/I/51o79oFEnUS.jpg;https://images-na.ssl-images-amazon.com/images/I/41VylfxC0IS.jpg")</f>
        <v>#NAME?</v>
      </c>
      <c r="D370" s="7" t="s">
        <v>20</v>
      </c>
      <c r="E370" s="7" t="s">
        <v>1105</v>
      </c>
      <c r="F370" s="7">
        <v>0</v>
      </c>
      <c r="G370" s="7">
        <v>0</v>
      </c>
      <c r="H370" s="7">
        <v>0</v>
      </c>
      <c r="I370" s="7">
        <v>0</v>
      </c>
      <c r="J370" s="7">
        <v>-29.73</v>
      </c>
    </row>
    <row r="371" spans="1:10" ht="14.4">
      <c r="A371" s="6" t="s">
        <v>1106</v>
      </c>
      <c r="B371" s="7" t="s">
        <v>1107</v>
      </c>
      <c r="C371" s="7" t="e">
        <f ca="1">Image("https://images-na.ssl-images-amazon.com/images/I/51PgSstTJpS.jpg;https://images-na.ssl-images-amazon.com/images/I/51-uU8JXTCS.jpg;https://images-na.ssl-images-amazon.com/images/I/61FPYG066nS.jpg;https://images-na.ssl-images-amazon.com/images/I/51-6-PQRrMS"&amp;".jpg;https://images-na.ssl-images-amazon.com/images/I/51fZ4H4z9CS.jpg;https://images-na.ssl-images-amazon.com/images/I/41uBztVXspS.jpg")</f>
        <v>#NAME?</v>
      </c>
      <c r="D371" s="7" t="s">
        <v>20</v>
      </c>
      <c r="E371" s="7" t="s">
        <v>1108</v>
      </c>
      <c r="F371" s="7">
        <v>0</v>
      </c>
      <c r="G371" s="7">
        <v>0</v>
      </c>
      <c r="H371" s="7">
        <v>0</v>
      </c>
      <c r="I371" s="7">
        <v>0</v>
      </c>
      <c r="J371" s="7">
        <v>-29.74</v>
      </c>
    </row>
    <row r="372" spans="1:10" ht="14.4">
      <c r="A372" s="6" t="s">
        <v>1109</v>
      </c>
      <c r="B372" s="7" t="s">
        <v>1110</v>
      </c>
      <c r="C372" s="7" t="e">
        <f ca="1">Image("https://images-na.ssl-images-amazon.com/images/I/410OBUcY9QL.jpg;https://images-na.ssl-images-amazon.com/images/I/41NK6UwOFEL.jpg;https://images-na.ssl-images-amazon.com/images/I/41eOENRJklL.jpg;https://images-na.ssl-images-amazon.com/images/I/51JEErS2TpL"&amp;".jpg;https://images-na.ssl-images-amazon.com/images/I/51TL2r1thUL.jpg;https://images-na.ssl-images-amazon.com/images/I/51Y2cisnTuL.jpg;https://images-na.ssl-images-amazon.com/images/I/51ve0fJM3uL.jpg")</f>
        <v>#NAME?</v>
      </c>
      <c r="D372" s="7" t="s">
        <v>20</v>
      </c>
      <c r="E372" s="7" t="s">
        <v>1111</v>
      </c>
      <c r="F372" s="7">
        <v>6</v>
      </c>
      <c r="G372" s="7">
        <v>61.6</v>
      </c>
      <c r="H372" s="7">
        <v>2</v>
      </c>
      <c r="I372" s="7">
        <v>-19.36</v>
      </c>
      <c r="J372" s="7">
        <v>-31.75</v>
      </c>
    </row>
    <row r="373" spans="1:10" ht="14.4">
      <c r="A373" s="6" t="s">
        <v>1112</v>
      </c>
      <c r="B373" s="7" t="s">
        <v>1113</v>
      </c>
      <c r="C373" s="7" t="e">
        <f ca="1">Image("https://images-na.ssl-images-amazon.com/images/I/51yoAq3W6VS.jpg;https://images-na.ssl-images-amazon.com/images/I/51vnu9e6c8S.jpg;https://images-na.ssl-images-amazon.com/images/I/51keVznJsES.jpg;https://images-na.ssl-images-amazon.com/images/I/51w4gxl-ceS"&amp;".jpg;https://images-na.ssl-images-amazon.com/images/I/51CflNeP8LS.jpg;https://images-na.ssl-images-amazon.com/images/I/41Yvh5DlHpS.jpg")</f>
        <v>#NAME?</v>
      </c>
      <c r="D373" s="7" t="s">
        <v>20</v>
      </c>
      <c r="E373" s="7" t="s">
        <v>1114</v>
      </c>
      <c r="F373" s="7">
        <v>0</v>
      </c>
      <c r="G373" s="7">
        <v>0</v>
      </c>
      <c r="H373" s="7">
        <v>0</v>
      </c>
      <c r="I373" s="7">
        <v>0</v>
      </c>
      <c r="J373" s="7">
        <v>-31.83</v>
      </c>
    </row>
    <row r="374" spans="1:10" ht="14.4">
      <c r="A374" s="6" t="s">
        <v>1115</v>
      </c>
      <c r="B374" s="7" t="s">
        <v>1116</v>
      </c>
      <c r="C374" s="7" t="s">
        <v>1024</v>
      </c>
      <c r="D374" s="7" t="s">
        <v>1024</v>
      </c>
      <c r="E374" s="7" t="s">
        <v>1024</v>
      </c>
      <c r="F374" s="7">
        <v>0</v>
      </c>
      <c r="G374" s="7">
        <v>0</v>
      </c>
      <c r="H374" s="7">
        <v>0</v>
      </c>
      <c r="I374" s="7">
        <v>0</v>
      </c>
      <c r="J374" s="7">
        <v>-32.19</v>
      </c>
    </row>
    <row r="375" spans="1:10" ht="14.4">
      <c r="A375" s="6" t="s">
        <v>1117</v>
      </c>
      <c r="B375" s="7" t="s">
        <v>1118</v>
      </c>
      <c r="C375" s="7" t="e">
        <f ca="1">Image("https://images-na.ssl-images-amazon.com/images/I/413OwQ8UBKL.jpg;https://images-na.ssl-images-amazon.com/images/I/41JpBZa5rZL.jpg;https://images-na.ssl-images-amazon.com/images/I/61p4i6-GVVL.jpg;https://images-na.ssl-images-amazon.com/images/I/513YS6YgNVL"&amp;".jpg;https://images-na.ssl-images-amazon.com/images/I/51e3GQbbQHL.jpg;https://images-na.ssl-images-amazon.com/images/I/610JZfj6WyL.jpg")</f>
        <v>#NAME?</v>
      </c>
      <c r="D375" s="7" t="s">
        <v>20</v>
      </c>
      <c r="E375" s="7" t="s">
        <v>1119</v>
      </c>
      <c r="F375" s="7">
        <v>0</v>
      </c>
      <c r="G375" s="7">
        <v>0</v>
      </c>
      <c r="H375" s="7">
        <v>0</v>
      </c>
      <c r="I375" s="7">
        <v>0</v>
      </c>
      <c r="J375" s="7">
        <v>-32.89</v>
      </c>
    </row>
    <row r="376" spans="1:10" ht="14.4">
      <c r="A376" s="6" t="s">
        <v>1120</v>
      </c>
      <c r="B376" s="7" t="s">
        <v>1121</v>
      </c>
      <c r="C376" s="7" t="e">
        <f ca="1">Image("https://images-na.ssl-images-amazon.com/images/I/51rVrVAhl7L.jpg;https://images-na.ssl-images-amazon.com/images/I/51ZIpZB1wLL.jpg;https://images-na.ssl-images-amazon.com/images/I/51nrD5dDwmL.jpg;https://images-na.ssl-images-amazon.com/images/I/51Cbx4ujeYL"&amp;".jpg;https://images-na.ssl-images-amazon.com/images/I/61Rf-+9806L.jpg;https://images-na.ssl-images-amazon.com/images/I/51LJJbEJfJL.jpg;https://images-na.ssl-images-amazon.com/images/I/514PHl8Bx9L.jpg")</f>
        <v>#NAME?</v>
      </c>
      <c r="D376" s="7" t="s">
        <v>477</v>
      </c>
      <c r="E376" s="7" t="s">
        <v>1072</v>
      </c>
      <c r="F376" s="7">
        <v>1</v>
      </c>
      <c r="G376" s="7">
        <v>5.99</v>
      </c>
      <c r="H376" s="7">
        <v>0</v>
      </c>
      <c r="I376" s="7">
        <v>0</v>
      </c>
      <c r="J376" s="7">
        <v>-34</v>
      </c>
    </row>
    <row r="377" spans="1:10" ht="14.4">
      <c r="A377" s="6" t="s">
        <v>1122</v>
      </c>
      <c r="B377" s="7" t="s">
        <v>1123</v>
      </c>
      <c r="C377" s="7" t="e">
        <f ca="1">Image("https://images-na.ssl-images-amazon.com/images/I/41E61PQZ4xL.jpg;https://images-na.ssl-images-amazon.com/images/I/41eNhmB+vWL.jpg;https://images-na.ssl-images-amazon.com/images/I/51ZbhLmdGDL.jpg;https://images-na.ssl-images-amazon.com/images/I/515HDv6vWqL"&amp;".jpg;https://images-na.ssl-images-amazon.com/images/I/51V1P-OFGPL.jpg;https://images-na.ssl-images-amazon.com/images/I/519WurDesXL.jpg")</f>
        <v>#NAME?</v>
      </c>
      <c r="D377" s="7" t="s">
        <v>20</v>
      </c>
      <c r="E377" s="7" t="s">
        <v>1124</v>
      </c>
      <c r="F377" s="7">
        <v>0</v>
      </c>
      <c r="G377" s="7">
        <v>0</v>
      </c>
      <c r="H377" s="7">
        <v>0</v>
      </c>
      <c r="I377" s="7">
        <v>0</v>
      </c>
      <c r="J377" s="7">
        <v>-43.2</v>
      </c>
    </row>
    <row r="378" spans="1:10" ht="14.4">
      <c r="A378" s="6" t="s">
        <v>1125</v>
      </c>
      <c r="B378" s="7" t="s">
        <v>1126</v>
      </c>
      <c r="C378" s="7" t="e">
        <f ca="1">Image("https://images-na.ssl-images-amazon.com/images/I/51+9jyJW5IL.jpg;https://images-na.ssl-images-amazon.com/images/I/41qWULk2-1S.jpg;https://images-na.ssl-images-amazon.com/images/I/51pXPMUsHuS.jpg;https://images-na.ssl-images-amazon.com/images/I/51tnzAAJ6MS"&amp;".jpg;https://images-na.ssl-images-amazon.com/images/I/61KIVa7q28S.jpg;https://images-na.ssl-images-amazon.com/images/I/61YHp5+KvMS.jpg")</f>
        <v>#NAME?</v>
      </c>
      <c r="D378" s="7" t="s">
        <v>20</v>
      </c>
      <c r="E378" s="7" t="s">
        <v>1127</v>
      </c>
      <c r="F378" s="7">
        <v>16</v>
      </c>
      <c r="G378" s="7">
        <v>91.04</v>
      </c>
      <c r="H378" s="7">
        <v>0</v>
      </c>
      <c r="I378" s="7">
        <v>0</v>
      </c>
      <c r="J378" s="7">
        <v>-45.73</v>
      </c>
    </row>
    <row r="379" spans="1:10" ht="14.4">
      <c r="A379" s="6" t="s">
        <v>1128</v>
      </c>
      <c r="B379" s="7" t="s">
        <v>1129</v>
      </c>
      <c r="C379" s="7" t="e">
        <f ca="1">Image("https://images-na.ssl-images-amazon.com/images/I/51f2Q7Le+kL.jpg;https://images-na.ssl-images-amazon.com/images/I/516RHvBUo2L.jpg;https://images-na.ssl-images-amazon.com/images/I/411zTd0YqSL.jpg;https://images-na.ssl-images-amazon.com/images/I/41Fs8hSUqUL"&amp;".jpg;https://images-na.ssl-images-amazon.com/images/I/41ssZ0uTeDL.jpg;https://images-na.ssl-images-amazon.com/images/I/51NsRxyEzqL.jpg")</f>
        <v>#NAME?</v>
      </c>
      <c r="D379" s="7" t="s">
        <v>16</v>
      </c>
      <c r="E379" s="7" t="s">
        <v>360</v>
      </c>
      <c r="F379" s="7">
        <v>6</v>
      </c>
      <c r="G379" s="7">
        <v>164.95</v>
      </c>
      <c r="H379" s="7">
        <v>1</v>
      </c>
      <c r="I379" s="7">
        <v>-25.52</v>
      </c>
      <c r="J379" s="7">
        <v>-48.95</v>
      </c>
    </row>
    <row r="380" spans="1:10" ht="14.4">
      <c r="A380" s="6" t="s">
        <v>1130</v>
      </c>
      <c r="B380" s="7" t="s">
        <v>1131</v>
      </c>
      <c r="C380" s="7" t="e">
        <f ca="1">Image("https://images-na.ssl-images-amazon.com/images/I/41J+QRPXAwL.jpg;https://images-na.ssl-images-amazon.com/images/I/4166ZMubJbL.jpg;https://images-na.ssl-images-amazon.com/images/I/618l49+NIlL.jpg;https://images-na.ssl-images-amazon.com/images/I/61U23mYLj8L"&amp;".jpg;https://images-na.ssl-images-amazon.com/images/I/51-UnarTABL.jpg;https://images-na.ssl-images-amazon.com/images/I/51mesxZgqHL.jpg")</f>
        <v>#NAME?</v>
      </c>
      <c r="D380" s="7" t="s">
        <v>20</v>
      </c>
      <c r="E380" s="7" t="s">
        <v>1132</v>
      </c>
      <c r="F380" s="7">
        <v>0</v>
      </c>
      <c r="G380" s="7">
        <v>0</v>
      </c>
      <c r="H380" s="7">
        <v>0</v>
      </c>
      <c r="I380" s="7">
        <v>0</v>
      </c>
      <c r="J380" s="7">
        <v>-73.739999999999995</v>
      </c>
    </row>
    <row r="381" spans="1:10" ht="14.4">
      <c r="A381" s="6" t="s">
        <v>1133</v>
      </c>
      <c r="B381" s="7" t="s">
        <v>1134</v>
      </c>
      <c r="C381" s="7" t="e">
        <f ca="1">Image("https://images-na.ssl-images-amazon.com/images/I/51AtX6ocVhL.jpg;https://images-na.ssl-images-amazon.com/images/I/41Tn504EyQL.jpg;https://images-na.ssl-images-amazon.com/images/I/51vmR7a9u3L.jpg;https://images-na.ssl-images-amazon.com/images/I/51gfwJ-3MpL"&amp;".jpg;https://images-na.ssl-images-amazon.com/images/I/51enG9MXScL.jpg;https://images-na.ssl-images-amazon.com/images/I/51NtK-rjEbL.jpg")</f>
        <v>#NAME?</v>
      </c>
      <c r="D381" s="7" t="s">
        <v>20</v>
      </c>
      <c r="E381" s="7" t="s">
        <v>1135</v>
      </c>
      <c r="F381" s="7">
        <v>1</v>
      </c>
      <c r="G381" s="7">
        <v>13</v>
      </c>
      <c r="H381" s="7">
        <v>0</v>
      </c>
      <c r="I381" s="7">
        <v>0</v>
      </c>
      <c r="J381" s="7">
        <v>-75.44</v>
      </c>
    </row>
    <row r="382" spans="1:10" ht="14.4">
      <c r="A382" s="6" t="s">
        <v>1136</v>
      </c>
      <c r="B382" s="7" t="s">
        <v>1137</v>
      </c>
      <c r="C382" s="7" t="e">
        <f ca="1">Image("https://images-na.ssl-images-amazon.com/images/I/51SkR-ma4cL.jpg;https://images-na.ssl-images-amazon.com/images/I/61Oe-RFa94L.jpg;https://images-na.ssl-images-amazon.com/images/I/51g3sIVixrL.jpg;https://images-na.ssl-images-amazon.com/images/I/61MUZwc+2FL"&amp;".jpg;https://images-na.ssl-images-amazon.com/images/I/41t0qw1nB-L.jpg")</f>
        <v>#NAME?</v>
      </c>
      <c r="D382" s="7" t="s">
        <v>16</v>
      </c>
      <c r="E382" s="7" t="s">
        <v>1138</v>
      </c>
      <c r="F382" s="7">
        <v>1</v>
      </c>
      <c r="G382" s="7">
        <v>28.99</v>
      </c>
      <c r="H382" s="7">
        <v>0</v>
      </c>
      <c r="I382" s="7">
        <v>0</v>
      </c>
      <c r="J382" s="7">
        <v>-76.59</v>
      </c>
    </row>
    <row r="383" spans="1:10" ht="14.4">
      <c r="A383" s="6" t="s">
        <v>1139</v>
      </c>
      <c r="B383" s="7" t="s">
        <v>1140</v>
      </c>
      <c r="C383" s="7" t="e">
        <f ca="1">Image("https://images-na.ssl-images-amazon.com/images/I/41C-mkpk06L.jpg;https://images-na.ssl-images-amazon.com/images/I/51o7MtToPgL.jpg;https://images-na.ssl-images-amazon.com/images/I/5129D9H0scL.jpg;https://images-na.ssl-images-amazon.com/images/I/51FTtCrZfzL"&amp;".jpg;https://images-na.ssl-images-amazon.com/images/I/51cFT+6VW4L.jpg;https://images-na.ssl-images-amazon.com/images/I/619qo4AYLFL.jpg")</f>
        <v>#NAME?</v>
      </c>
      <c r="D383" s="7" t="s">
        <v>20</v>
      </c>
      <c r="E383" s="7" t="s">
        <v>1141</v>
      </c>
      <c r="F383" s="7">
        <v>0</v>
      </c>
      <c r="G383" s="7">
        <v>0</v>
      </c>
      <c r="H383" s="7">
        <v>0</v>
      </c>
      <c r="I383" s="7">
        <v>0</v>
      </c>
      <c r="J383" s="7">
        <v>-84.74</v>
      </c>
    </row>
    <row r="384" spans="1:10" ht="14.4">
      <c r="A384" s="6" t="s">
        <v>1142</v>
      </c>
      <c r="B384" s="7" t="s">
        <v>1143</v>
      </c>
      <c r="C384" s="7" t="e">
        <f ca="1">Image("https://images-na.ssl-images-amazon.com/images/I/51IGKmah+-L.jpg;https://images-na.ssl-images-amazon.com/images/I/514GeVhg0dL.jpg;https://images-na.ssl-images-amazon.com/images/I/51RMh22ArbL.jpg;https://images-na.ssl-images-amazon.com/images/I/41Y8hTzY4rL"&amp;".jpg;https://images-na.ssl-images-amazon.com/images/I/312Lq7p+kXL.jpg;https://images-na.ssl-images-amazon.com/images/I/51fmgbodi9L.jpg;https://images-na.ssl-images-amazon.com/images/I/51ZDQsER+cL.jpg")</f>
        <v>#NAME?</v>
      </c>
      <c r="D384" s="7" t="s">
        <v>20</v>
      </c>
      <c r="E384" s="7" t="s">
        <v>1144</v>
      </c>
      <c r="F384" s="7">
        <v>4</v>
      </c>
      <c r="G384" s="7">
        <v>38.4</v>
      </c>
      <c r="H384" s="7">
        <v>0</v>
      </c>
      <c r="I384" s="7">
        <v>0</v>
      </c>
      <c r="J384" s="7">
        <v>-96.64</v>
      </c>
    </row>
    <row r="385" spans="1:10" ht="14.4">
      <c r="A385" s="6" t="s">
        <v>1145</v>
      </c>
      <c r="B385" s="7" t="s">
        <v>1146</v>
      </c>
      <c r="C385" s="7" t="e">
        <f ca="1">Image("https://images-na.ssl-images-amazon.com/images/I/413ifyMos2L.jpg;https://images-na.ssl-images-amazon.com/images/I/5154YeD11kL.jpg;https://images-na.ssl-images-amazon.com/images/I/51m3Wj71zNL.jpg;https://images-na.ssl-images-amazon.com/images/I/51XyHUfZ9HL"&amp;".jpg;https://images-na.ssl-images-amazon.com/images/I/51xk6KUoIZL.jpg;https://images-na.ssl-images-amazon.com/images/I/51RKr7ZL-wL.jpg")</f>
        <v>#NAME?</v>
      </c>
      <c r="D385" s="7" t="s">
        <v>20</v>
      </c>
      <c r="E385" s="7" t="s">
        <v>1147</v>
      </c>
      <c r="F385" s="7">
        <v>0</v>
      </c>
      <c r="G385" s="7">
        <v>0</v>
      </c>
      <c r="H385" s="7">
        <v>0</v>
      </c>
      <c r="I385" s="7">
        <v>0</v>
      </c>
      <c r="J385" s="7">
        <v>-97.31</v>
      </c>
    </row>
    <row r="386" spans="1:10" ht="14.4">
      <c r="A386" s="6" t="s">
        <v>1148</v>
      </c>
      <c r="B386" s="7" t="s">
        <v>1149</v>
      </c>
      <c r="C386" s="7" t="e">
        <f ca="1">Image("https://images-na.ssl-images-amazon.com/images/I/41aKdLZnWxL.jpg;https://images-na.ssl-images-amazon.com/images/I/41b6HMl130L.jpg;https://images-na.ssl-images-amazon.com/images/I/41KW8hFrpHS.jpg;https://images-na.ssl-images-amazon.com/images/I/41r4qdBIS0L"&amp;".jpg;https://images-na.ssl-images-amazon.com/images/I/41zpqNN3hAL.jpg;https://images-na.ssl-images-amazon.com/images/I/51AOa6oTe4L.jpg;https://images-na.ssl-images-amazon.com/images/I/41rYE9Xu+ML.jpg")</f>
        <v>#NAME?</v>
      </c>
      <c r="D386" s="7" t="s">
        <v>20</v>
      </c>
      <c r="E386" s="7" t="s">
        <v>1150</v>
      </c>
      <c r="F386" s="7">
        <v>52</v>
      </c>
      <c r="G386" s="7">
        <v>716.63</v>
      </c>
      <c r="H386" s="7">
        <v>3</v>
      </c>
      <c r="I386" s="7">
        <v>-35.64</v>
      </c>
      <c r="J386" s="7">
        <v>-97.75</v>
      </c>
    </row>
    <row r="387" spans="1:10" ht="14.4">
      <c r="A387" s="6" t="s">
        <v>1151</v>
      </c>
      <c r="B387" s="7" t="s">
        <v>1152</v>
      </c>
      <c r="C387" s="7" t="e">
        <f ca="1">Image("https://images-na.ssl-images-amazon.com/images/I/510gXJCB7XL.jpg;https://images-na.ssl-images-amazon.com/images/I/41rNStcwXPL.jpg;https://images-na.ssl-images-amazon.com/images/I/51kDueAduqL.jpg;https://images-na.ssl-images-amazon.com/images/I/51-+fxmfG+L"&amp;".jpg;https://images-na.ssl-images-amazon.com/images/I/519cmIo7RuL.jpg;https://images-na.ssl-images-amazon.com/images/I/51O+AwLfSpL.jpg")</f>
        <v>#NAME?</v>
      </c>
      <c r="D387" s="7" t="s">
        <v>20</v>
      </c>
      <c r="E387" s="7" t="s">
        <v>1153</v>
      </c>
      <c r="F387" s="7">
        <v>0</v>
      </c>
      <c r="G387" s="7">
        <v>0</v>
      </c>
      <c r="H387" s="7">
        <v>0</v>
      </c>
      <c r="I387" s="7">
        <v>0</v>
      </c>
      <c r="J387" s="7">
        <v>-99.61</v>
      </c>
    </row>
    <row r="388" spans="1:10" ht="14.4">
      <c r="A388" s="6" t="s">
        <v>1154</v>
      </c>
      <c r="B388" s="7" t="s">
        <v>1155</v>
      </c>
      <c r="C388" s="7" t="e">
        <f ca="1">Image("https://images-na.ssl-images-amazon.com/images/I/51+9jyJW5IL.jpg;https://images-na.ssl-images-amazon.com/images/I/41qWULk2-1S.jpg;https://images-na.ssl-images-amazon.com/images/I/51pXPMUsHuS.jpg;https://images-na.ssl-images-amazon.com/images/I/51tnzAAJ6MS"&amp;".jpg;https://images-na.ssl-images-amazon.com/images/I/61KIVa7q28S.jpg;https://images-na.ssl-images-amazon.com/images/I/61YHp5+KvMS.jpg")</f>
        <v>#NAME?</v>
      </c>
      <c r="D388" s="7" t="s">
        <v>20</v>
      </c>
      <c r="E388" s="7" t="s">
        <v>1156</v>
      </c>
      <c r="F388" s="7">
        <v>12</v>
      </c>
      <c r="G388" s="7">
        <v>96</v>
      </c>
      <c r="H388" s="7">
        <v>0</v>
      </c>
      <c r="I388" s="7">
        <v>0</v>
      </c>
      <c r="J388" s="7">
        <v>-104.41</v>
      </c>
    </row>
    <row r="389" spans="1:10" ht="14.4">
      <c r="A389" s="6" t="s">
        <v>1157</v>
      </c>
      <c r="B389" s="7" t="s">
        <v>1158</v>
      </c>
      <c r="C389" s="7" t="e">
        <f ca="1">Image("https://images-na.ssl-images-amazon.com/images/I/51O+wbWkDYL.jpg;https://images-na.ssl-images-amazon.com/images/I/51ei+mwp2BL.jpg;https://images-na.ssl-images-amazon.com/images/I/510KJz6sP0L.jpg;https://images-na.ssl-images-amazon.com/images/I/61k4Q18Q7uL"&amp;".jpg;https://images-na.ssl-images-amazon.com/images/I/41t0qw1nB-L.jpg")</f>
        <v>#NAME?</v>
      </c>
      <c r="D389" s="7" t="s">
        <v>16</v>
      </c>
      <c r="E389" s="7" t="s">
        <v>1159</v>
      </c>
      <c r="F389" s="7">
        <v>9</v>
      </c>
      <c r="G389" s="7">
        <v>178.47</v>
      </c>
      <c r="H389" s="7">
        <v>0</v>
      </c>
      <c r="I389" s="7">
        <v>0</v>
      </c>
      <c r="J389" s="7">
        <v>-106.49</v>
      </c>
    </row>
    <row r="390" spans="1:10" ht="14.4">
      <c r="A390" s="6" t="s">
        <v>1160</v>
      </c>
      <c r="B390" s="7" t="s">
        <v>1161</v>
      </c>
      <c r="C390" s="7" t="e">
        <f ca="1">Image("https://images-na.ssl-images-amazon.com/images/I/51+896ws5bL.jpg;https://images-na.ssl-images-amazon.com/images/I/61NfGFiZtwL.jpg;https://images-na.ssl-images-amazon.com/images/I/510eDUtPGJL.jpg;https://images-na.ssl-images-amazon.com/images/I/61ER4-lZ5mL"&amp;".jpg;https://images-na.ssl-images-amazon.com/images/I/41cS4Y02AbL.jpg")</f>
        <v>#NAME?</v>
      </c>
      <c r="D390" s="7" t="s">
        <v>16</v>
      </c>
      <c r="E390" s="7" t="s">
        <v>1162</v>
      </c>
      <c r="F390" s="7">
        <v>39</v>
      </c>
      <c r="G390" s="7">
        <v>256.33</v>
      </c>
      <c r="H390" s="7">
        <v>3</v>
      </c>
      <c r="I390" s="7">
        <v>-20.21</v>
      </c>
      <c r="J390" s="7">
        <v>-111.85</v>
      </c>
    </row>
    <row r="391" spans="1:10" ht="14.4">
      <c r="A391" s="6" t="s">
        <v>1163</v>
      </c>
      <c r="B391" s="7" t="s">
        <v>1164</v>
      </c>
      <c r="C391" s="7" t="e">
        <f ca="1">Image("https://images-na.ssl-images-amazon.com/images/I/51bsbn3QyCL.jpg;https://images-na.ssl-images-amazon.com/images/I/41O9fcmUrRL.jpg;https://images-na.ssl-images-amazon.com/images/I/510Tl+DAKAL.jpg;https://images-na.ssl-images-amazon.com/images/I/51f+liGYefL"&amp;".jpg;https://images-na.ssl-images-amazon.com/images/I/51C-vc2UfDL.jpg;https://images-na.ssl-images-amazon.com/images/I/41jLjdA7EWL.jpg")</f>
        <v>#NAME?</v>
      </c>
      <c r="D391" s="7" t="s">
        <v>20</v>
      </c>
      <c r="E391" s="7" t="s">
        <v>1153</v>
      </c>
      <c r="F391" s="7">
        <v>0</v>
      </c>
      <c r="G391" s="7">
        <v>0</v>
      </c>
      <c r="H391" s="7">
        <v>0</v>
      </c>
      <c r="I391" s="7">
        <v>0</v>
      </c>
      <c r="J391" s="7">
        <v>-115.82</v>
      </c>
    </row>
    <row r="392" spans="1:10" ht="14.4">
      <c r="A392" s="6" t="s">
        <v>1165</v>
      </c>
      <c r="B392" s="7" t="s">
        <v>1166</v>
      </c>
      <c r="C392" s="7" t="e">
        <f ca="1">Image("https://images-na.ssl-images-amazon.com/images/I/31sgEWasgzL.jpg;https://images-na.ssl-images-amazon.com/images/I/41wXnxDSOTS.jpg;https://images-na.ssl-images-amazon.com/images/I/31si8fCBuVL.jpg;https://images-na.ssl-images-amazon.com/images/I/41Suke+1k0L"&amp;".jpg;https://images-na.ssl-images-amazon.com/images/I/51N6zCRmjCS.jpg;https://images-na.ssl-images-amazon.com/images/I/61eY0fnfygL.jpg;https://images-na.ssl-images-amazon.com/images/I/61W-DjCziWS.jpg;https://images-na.ssl-images-amazon.com/images/I/51d799"&amp;"ocbCS.jpg")</f>
        <v>#NAME?</v>
      </c>
      <c r="D392" s="7" t="s">
        <v>20</v>
      </c>
      <c r="E392" s="7" t="s">
        <v>1167</v>
      </c>
      <c r="F392" s="7">
        <v>88</v>
      </c>
      <c r="G392" s="7">
        <v>556.59</v>
      </c>
      <c r="H392" s="7">
        <v>5</v>
      </c>
      <c r="I392" s="7">
        <v>-31.66</v>
      </c>
      <c r="J392" s="7">
        <v>-116.32</v>
      </c>
    </row>
    <row r="393" spans="1:10" ht="14.4">
      <c r="A393" s="6" t="s">
        <v>1168</v>
      </c>
      <c r="B393" s="7" t="s">
        <v>1169</v>
      </c>
      <c r="C393" s="7" t="e">
        <f ca="1">Image("https://images-na.ssl-images-amazon.com/images/I/4192FCBNu6L.jpg;https://images-na.ssl-images-amazon.com/images/I/416rjtaDaoL.jpg;https://images-na.ssl-images-amazon.com/images/I/21fLs58t-oL.jpg;https://images-na.ssl-images-amazon.com/images/I/51nMPt6cGKL"&amp;".jpg;https://images-na.ssl-images-amazon.com/images/I/31sntDzA6oL.jpg;https://images-na.ssl-images-amazon.com/images/I/41aUlTQrDwL.jpg")</f>
        <v>#NAME?</v>
      </c>
      <c r="D393" s="7" t="s">
        <v>20</v>
      </c>
      <c r="E393" s="7" t="s">
        <v>1170</v>
      </c>
      <c r="F393" s="7">
        <v>45</v>
      </c>
      <c r="G393" s="7">
        <v>643.4</v>
      </c>
      <c r="H393" s="7">
        <v>11</v>
      </c>
      <c r="I393" s="7">
        <v>-129.18</v>
      </c>
      <c r="J393" s="7">
        <v>-175.49</v>
      </c>
    </row>
    <row r="394" spans="1:10" ht="14.4">
      <c r="A394" s="6" t="s">
        <v>1171</v>
      </c>
      <c r="B394" s="7" t="s">
        <v>1172</v>
      </c>
      <c r="C394" s="7" t="e">
        <f ca="1">Image("https://images-na.ssl-images-amazon.com/images/I/41AbtKwDu0L.jpg;https://images-na.ssl-images-amazon.com/images/I/41GunUFjBSL.jpg;https://images-na.ssl-images-amazon.com/images/I/415STP9-fnL.jpg;https://images-na.ssl-images-amazon.com/images/I/41BaHpI1TOL"&amp;".jpg;https://images-na.ssl-images-amazon.com/images/I/4130HCY+5YL.jpg;https://images-na.ssl-images-amazon.com/images/I/61fqwgEVD3L.jpg;https://images-na.ssl-images-amazon.com/images/I/51kCsw3jfFL.jpg")</f>
        <v>#NAME?</v>
      </c>
      <c r="D394" s="7" t="s">
        <v>20</v>
      </c>
      <c r="E394" s="7" t="s">
        <v>1173</v>
      </c>
      <c r="F394" s="7">
        <v>65</v>
      </c>
      <c r="G394" s="7">
        <v>841.46</v>
      </c>
      <c r="H394" s="7">
        <v>19</v>
      </c>
      <c r="I394" s="7">
        <v>-212.39</v>
      </c>
      <c r="J394" s="7">
        <v>-185.68</v>
      </c>
    </row>
    <row r="395" spans="1:10" ht="14.4">
      <c r="A395" s="6" t="s">
        <v>1174</v>
      </c>
      <c r="B395" s="7" t="s">
        <v>1175</v>
      </c>
      <c r="C395" s="7" t="e">
        <f ca="1">Image("https://images-na.ssl-images-amazon.com/images/I/41Wwfal1GXL.jpg;https://images-na.ssl-images-amazon.com/images/I/51vxxj5HoaL.jpg;https://images-na.ssl-images-amazon.com/images/I/515bHFGU3GL.jpg;https://images-na.ssl-images-amazon.com/images/I/512Vzw6wI5L"&amp;".jpg;https://images-na.ssl-images-amazon.com/images/I/41nyUN5tmcL.jpg;https://images-na.ssl-images-amazon.com/images/I/61L-tXzuspL.jpg")</f>
        <v>#NAME?</v>
      </c>
      <c r="D395" s="7" t="s">
        <v>20</v>
      </c>
      <c r="E395" s="7" t="s">
        <v>1176</v>
      </c>
      <c r="F395" s="7">
        <v>53</v>
      </c>
      <c r="G395" s="7">
        <v>440.45</v>
      </c>
      <c r="H395" s="7">
        <v>3</v>
      </c>
      <c r="I395" s="7">
        <v>-21.09</v>
      </c>
      <c r="J395" s="7">
        <v>-226.02</v>
      </c>
    </row>
    <row r="396" spans="1:10" ht="14.4">
      <c r="A396" s="6" t="s">
        <v>1177</v>
      </c>
      <c r="B396" s="7" t="s">
        <v>1178</v>
      </c>
      <c r="C396" s="7" t="e">
        <f ca="1">Image("https://images-na.ssl-images-amazon.com/images/I/418KqpfRhML.jpg;https://images-na.ssl-images-amazon.com/images/I/41b6HMl130L.jpg;https://images-na.ssl-images-amazon.com/images/I/41KW8hFrpHS.jpg;https://images-na.ssl-images-amazon.com/images/I/41r4qdBIS0L"&amp;".jpg;https://images-na.ssl-images-amazon.com/images/I/51AOa6oTe4L.jpg;https://images-na.ssl-images-amazon.com/images/I/41rYE9Xu+ML.jpg")</f>
        <v>#NAME?</v>
      </c>
      <c r="D396" s="7" t="s">
        <v>20</v>
      </c>
      <c r="E396" s="7" t="s">
        <v>1179</v>
      </c>
      <c r="F396" s="7">
        <v>39</v>
      </c>
      <c r="G396" s="7">
        <v>782.83</v>
      </c>
      <c r="H396" s="7">
        <v>3</v>
      </c>
      <c r="I396" s="7">
        <v>-54.56</v>
      </c>
      <c r="J396" s="7">
        <v>-272.91000000000003</v>
      </c>
    </row>
    <row r="397" spans="1:10" ht="14.4">
      <c r="A397" s="6" t="s">
        <v>1180</v>
      </c>
      <c r="B397" s="7" t="s">
        <v>1181</v>
      </c>
      <c r="C397" s="7" t="e">
        <f ca="1">Image("https://images-na.ssl-images-amazon.com/images/I/41BcaS8dGNL.jpg;https://images-na.ssl-images-amazon.com/images/I/41-xZwheKvL.jpg;https://images-na.ssl-images-amazon.com/images/I/31ookAhX8-L.jpg;https://images-na.ssl-images-amazon.com/images/I/41FYhvHbWXL"&amp;".jpg;https://images-na.ssl-images-amazon.com/images/I/41ZlgyvwMmL.jpg;https://images-na.ssl-images-amazon.com/images/I/419jyl9qUiL.jpg")</f>
        <v>#NAME?</v>
      </c>
      <c r="D397" s="7" t="s">
        <v>16</v>
      </c>
      <c r="E397" s="7" t="s">
        <v>1182</v>
      </c>
      <c r="F397" s="7">
        <v>40</v>
      </c>
      <c r="G397" s="7">
        <v>633.5</v>
      </c>
      <c r="H397" s="7">
        <v>11</v>
      </c>
      <c r="I397" s="7">
        <v>-159.87</v>
      </c>
      <c r="J397" s="7">
        <v>-358.55</v>
      </c>
    </row>
    <row r="398" spans="1:10" ht="14.4">
      <c r="A398" s="6" t="s">
        <v>1183</v>
      </c>
      <c r="B398" s="7" t="s">
        <v>1184</v>
      </c>
      <c r="C398" s="7" t="e">
        <f ca="1">Image("https://images-na.ssl-images-amazon.com/images/I/31y96bO7I0L.jpg;https://images-na.ssl-images-amazon.com/images/I/51ReM5vYPmL.jpg;https://images-na.ssl-images-amazon.com/images/I/51I1AXunyPL.jpg;https://images-na.ssl-images-amazon.com/images/I/41eif+6zODL"&amp;".jpg;https://images-na.ssl-images-amazon.com/images/I/41o6OiPpccL.jpg;https://images-na.ssl-images-amazon.com/images/I/3148V3U4tyL.jpg")</f>
        <v>#NAME?</v>
      </c>
      <c r="D398" s="7" t="s">
        <v>20</v>
      </c>
      <c r="E398" s="7" t="s">
        <v>1185</v>
      </c>
      <c r="F398" s="7">
        <v>92</v>
      </c>
      <c r="G398" s="7">
        <v>1146.3499999999999</v>
      </c>
      <c r="H398" s="7">
        <v>7</v>
      </c>
      <c r="I398" s="7">
        <v>-79.36</v>
      </c>
      <c r="J398" s="7">
        <v>-498.69</v>
      </c>
    </row>
    <row r="399" spans="1:10" ht="14.4">
      <c r="A399" s="8" t="s">
        <v>1186</v>
      </c>
      <c r="B399" s="9"/>
      <c r="C399" s="10"/>
      <c r="D399" s="10"/>
      <c r="E399" s="10"/>
      <c r="F399" s="11">
        <v>40451</v>
      </c>
      <c r="G399" s="11">
        <v>479174.88</v>
      </c>
      <c r="H399" s="12">
        <v>1874</v>
      </c>
      <c r="I399" s="12">
        <v>-23073.1</v>
      </c>
      <c r="J399" s="12">
        <v>201423.11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933"/>
  <sheetViews>
    <sheetView tabSelected="1" topLeftCell="P1" zoomScale="70" zoomScaleNormal="70" workbookViewId="0">
      <pane ySplit="4" topLeftCell="A5" activePane="bottomLeft" state="frozen"/>
      <selection pane="bottomLeft" activeCell="AC11" sqref="AC11"/>
    </sheetView>
  </sheetViews>
  <sheetFormatPr defaultColWidth="12.6640625" defaultRowHeight="15.75" customHeight="1"/>
  <cols>
    <col min="1" max="2" width="12.6640625" style="51"/>
    <col min="3" max="5" width="17.21875" style="51" customWidth="1"/>
    <col min="6" max="7" width="13.6640625" style="51" customWidth="1"/>
    <col min="8" max="8" width="8.33203125" style="82" bestFit="1" customWidth="1"/>
    <col min="9" max="10" width="15.33203125" style="82" customWidth="1"/>
    <col min="11" max="11" width="15.33203125" style="90" customWidth="1"/>
    <col min="12" max="12" width="12.6640625" style="82"/>
    <col min="13" max="13" width="12.6640625" style="92"/>
    <col min="14" max="14" width="12.6640625" style="51"/>
    <col min="15" max="15" width="12.6640625" style="96"/>
    <col min="16" max="16" width="49.6640625" style="51" customWidth="1"/>
    <col min="17" max="17" width="12.6640625" style="51"/>
    <col min="18" max="18" width="18.6640625" style="51" bestFit="1" customWidth="1"/>
    <col min="19" max="19" width="17.6640625" style="51" customWidth="1"/>
    <col min="20" max="20" width="22.6640625" style="51" customWidth="1"/>
    <col min="21" max="21" width="48.6640625" style="51" customWidth="1"/>
    <col min="22" max="25" width="12.6640625" style="51"/>
    <col min="26" max="26" width="15" style="51" customWidth="1"/>
    <col min="27" max="16384" width="12.6640625" style="51"/>
  </cols>
  <sheetData>
    <row r="1" spans="1:28" ht="15.75" customHeight="1">
      <c r="A1" s="87" t="s">
        <v>5023</v>
      </c>
      <c r="Q1" s="51" t="s">
        <v>5065</v>
      </c>
      <c r="R1" s="51" t="s">
        <v>5066</v>
      </c>
      <c r="S1" s="51" t="s">
        <v>5019</v>
      </c>
    </row>
    <row r="2" spans="1:28" ht="13.2">
      <c r="N2" s="52"/>
      <c r="O2" s="97">
        <v>100</v>
      </c>
      <c r="P2" s="53" t="s">
        <v>1187</v>
      </c>
      <c r="Q2" s="52" t="s">
        <v>1188</v>
      </c>
      <c r="R2" s="54">
        <v>80</v>
      </c>
      <c r="S2" s="54"/>
    </row>
    <row r="3" spans="1:28" ht="13.2">
      <c r="I3" s="82" t="s">
        <v>5037</v>
      </c>
      <c r="K3" s="90" t="s">
        <v>5037</v>
      </c>
      <c r="L3" s="82" t="s">
        <v>5036</v>
      </c>
      <c r="M3" s="92" t="s">
        <v>5036</v>
      </c>
      <c r="N3" s="52"/>
      <c r="O3" s="97" t="s">
        <v>5035</v>
      </c>
      <c r="P3" s="53">
        <v>120</v>
      </c>
      <c r="Q3" s="52">
        <v>450</v>
      </c>
      <c r="R3" s="54" t="s">
        <v>1189</v>
      </c>
      <c r="S3" s="54"/>
    </row>
    <row r="4" spans="1:28" s="71" customFormat="1" ht="72">
      <c r="B4" s="75" t="s">
        <v>3</v>
      </c>
      <c r="C4" s="76" t="s">
        <v>0</v>
      </c>
      <c r="D4" s="76" t="s">
        <v>1190</v>
      </c>
      <c r="E4" s="76" t="s">
        <v>1191</v>
      </c>
      <c r="F4" s="76" t="s">
        <v>2</v>
      </c>
      <c r="G4" s="76" t="s">
        <v>4</v>
      </c>
      <c r="H4" s="73" t="s">
        <v>1192</v>
      </c>
      <c r="I4" s="73" t="s">
        <v>1193</v>
      </c>
      <c r="J4" s="73" t="s">
        <v>1194</v>
      </c>
      <c r="K4" s="91" t="s">
        <v>5033</v>
      </c>
      <c r="L4" s="74" t="s">
        <v>5025</v>
      </c>
      <c r="M4" s="93" t="s">
        <v>5034</v>
      </c>
      <c r="N4" s="77" t="s">
        <v>5020</v>
      </c>
      <c r="O4" s="98" t="s">
        <v>5026</v>
      </c>
      <c r="P4" s="78" t="s">
        <v>1196</v>
      </c>
      <c r="Q4" s="79" t="s">
        <v>5027</v>
      </c>
      <c r="R4" s="80" t="s">
        <v>5024</v>
      </c>
      <c r="S4" s="81" t="s">
        <v>5028</v>
      </c>
      <c r="U4" s="69" t="s">
        <v>3</v>
      </c>
      <c r="V4" s="70"/>
      <c r="W4" s="70" t="s">
        <v>5029</v>
      </c>
      <c r="X4" s="70" t="s">
        <v>5030</v>
      </c>
      <c r="Y4" s="70" t="s">
        <v>5031</v>
      </c>
      <c r="Z4" s="72" t="s">
        <v>5032</v>
      </c>
      <c r="AA4" s="72" t="s">
        <v>5021</v>
      </c>
      <c r="AB4" s="72" t="s">
        <v>5022</v>
      </c>
    </row>
    <row r="5" spans="1:28" ht="14.4">
      <c r="B5" s="55" t="s">
        <v>20</v>
      </c>
      <c r="C5" s="56" t="s">
        <v>791</v>
      </c>
      <c r="D5" s="56" t="str">
        <f>VLOOKUP(C5,DATA!B:C,2,0)</f>
        <v>MS Rose Quartz Pendulums</v>
      </c>
      <c r="E5" s="56" t="s">
        <v>1197</v>
      </c>
      <c r="F5" s="56" t="e">
        <f ca="1">Image("https://images-na.ssl-images-amazon.com/images/I/314xNNo2+gL.jpg;https://images-na.ssl-images-amazon.com/images/I/314xNNo2+gL.jpg")</f>
        <v>#NAME?</v>
      </c>
      <c r="G5" s="56" t="s">
        <v>793</v>
      </c>
      <c r="H5" s="83">
        <v>2</v>
      </c>
      <c r="I5" s="88">
        <v>13.98</v>
      </c>
      <c r="J5" s="83">
        <v>0</v>
      </c>
      <c r="K5" s="88">
        <v>0</v>
      </c>
      <c r="L5" s="84">
        <v>11.18</v>
      </c>
      <c r="M5" s="94">
        <f>L5/H5</f>
        <v>5.59</v>
      </c>
      <c r="N5" s="57">
        <f>(VLOOKUP(E5,Sheet4!F:G,2,0))/1000</f>
        <v>0.5</v>
      </c>
      <c r="O5" s="99">
        <f>VLOOKUP(E5,Sheet4!F1:J586,5,0)</f>
        <v>178.8</v>
      </c>
      <c r="P5" s="58" t="s">
        <v>1188</v>
      </c>
      <c r="Q5" s="59" cm="1">
        <f t="array" ref="Q5">_xlfn.IFS($P5=$P$2,O5+$P$3*N5,$P5=$Q$2,O5+$Q$3*N5)</f>
        <v>403.8</v>
      </c>
      <c r="R5" s="101">
        <f>Q5*H5/$R$2</f>
        <v>10.095000000000001</v>
      </c>
      <c r="S5" s="60">
        <f>L5-R5</f>
        <v>1.0849999999999991</v>
      </c>
      <c r="U5" s="62" t="s">
        <v>20</v>
      </c>
      <c r="V5" s="62">
        <f>SUMIF($B$5:$B$344,U5,H5:$H$344)</f>
        <v>13371</v>
      </c>
      <c r="W5" s="62">
        <f>AVERAGEIF($B$5:$B$344,U5,$I$5:$I$345)</f>
        <v>848.96269999999902</v>
      </c>
      <c r="X5" s="62">
        <f ca="1">SUMIF($B$5:$B$344,U5,J27:$J$344)</f>
        <v>1077</v>
      </c>
      <c r="Y5" s="102">
        <f ca="1">AVERAGEIF($B$5:$B$344,U5,K20:K344)</f>
        <v>-62.171099999999981</v>
      </c>
      <c r="Z5" s="63">
        <f>SUMIF($B$5:$B$344,U5,L5:$L$344)</f>
        <v>68208.659999999931</v>
      </c>
      <c r="AA5" s="63">
        <f>SUMIF($B$5:$B$344,U5,Q5:$Q$344)</f>
        <v>86776.462000000014</v>
      </c>
      <c r="AB5" s="63">
        <f>SUMIF($B$5:$B$344,U5,S5:$S$344)</f>
        <v>10402.213099999994</v>
      </c>
    </row>
    <row r="6" spans="1:28" ht="14.4">
      <c r="B6" s="55" t="s">
        <v>20</v>
      </c>
      <c r="C6" s="56" t="s">
        <v>180</v>
      </c>
      <c r="D6" s="56" t="str">
        <f>VLOOKUP(C6,DATA!B:C,2,0)</f>
        <v>GS US CTN POUCH -2</v>
      </c>
      <c r="E6" s="56" t="str">
        <f>VLOOKUP(C6,Sheet4!A:B,2,0)</f>
        <v>CTN POUCH -2</v>
      </c>
      <c r="F6" s="56" t="e">
        <f ca="1">Image("https://images-na.ssl-images-amazon.com/images/I/413ck9lsOKL.jpg;https://images-na.ssl-images-amazon.com/images/I/51UscLhaobL.jpg;https://images-na.ssl-images-amazon.com/images/I/419iX+USdLL.jpg;https://images-na.ssl-images-amazon.com/images/I/41dskjfBfCL"&amp;".jpg;https://images-na.ssl-images-amazon.com/images/I/41aiVR-WqFL.jpg;https://images-na.ssl-images-amazon.com/images/I/417VtmlIFML.jpg;https://images-na.ssl-images-amazon.com/images/I/41BHpUibkjL.jpg")</f>
        <v>#NAME?</v>
      </c>
      <c r="G6" s="56" t="s">
        <v>182</v>
      </c>
      <c r="H6" s="83">
        <v>156</v>
      </c>
      <c r="I6" s="88">
        <v>1413.1</v>
      </c>
      <c r="J6" s="83">
        <v>4</v>
      </c>
      <c r="K6" s="88">
        <v>-31.84</v>
      </c>
      <c r="L6" s="84">
        <v>485.21</v>
      </c>
      <c r="M6" s="94">
        <f t="shared" ref="M6:M65" si="0">L6/H6</f>
        <v>3.1103205128205125</v>
      </c>
      <c r="N6" s="57">
        <f>(VLOOKUP(E6,Sheet4!F:G,2,0))/1000</f>
        <v>0.09</v>
      </c>
      <c r="O6" s="99">
        <f>VLOOKUP(E6,Sheet4!F2:J587,5,0)</f>
        <v>160.80000000000001</v>
      </c>
      <c r="P6" s="58" t="s">
        <v>1188</v>
      </c>
      <c r="Q6" s="59" cm="1">
        <f t="array" ref="Q6">_xlfn.IFS($P6=$P$2,O6+$P$3*N6,$P6=$Q$2,O6+$Q$3*N6)</f>
        <v>201.3</v>
      </c>
      <c r="R6" s="101">
        <f t="shared" ref="R6:R69" si="1">Q6*H6/$R$2</f>
        <v>392.53500000000003</v>
      </c>
      <c r="S6" s="60">
        <f t="shared" ref="S6:S69" si="2">L6-R6</f>
        <v>92.674999999999955</v>
      </c>
      <c r="U6" s="62" t="s">
        <v>507</v>
      </c>
      <c r="V6" s="62">
        <f ca="1">SUMIF($B$5:$B$344,U6,H6:$H$344)</f>
        <v>17142</v>
      </c>
      <c r="W6" s="62">
        <f t="shared" ref="W6:W12" si="3">AVERAGEIF($B$5:$B$344,U6,$I$5:$I$345)</f>
        <v>127.95</v>
      </c>
      <c r="X6" s="62">
        <f ca="1">SUMIF($B$5:$B$344,U6,J28:$J$344)</f>
        <v>1</v>
      </c>
      <c r="Y6" s="102">
        <f t="shared" ref="Y6:Y12" ca="1" si="4">AVERAGEIF($B$5:$B$344,U6,K21:K345)</f>
        <v>-133.77000000000001</v>
      </c>
      <c r="Z6" s="63">
        <f ca="1">SUMIF($B$5:$B$344,U6,L6:$L$344)</f>
        <v>61083.81</v>
      </c>
      <c r="AA6" s="63">
        <f ca="1">SUMIF($B$5:$B$344,U6,Q6:$Q$344)</f>
        <v>198.4</v>
      </c>
      <c r="AB6" s="63">
        <f ca="1">SUMIF($B$5:$B$344,U6,S6:$S$344)</f>
        <v>18571.649999999994</v>
      </c>
    </row>
    <row r="7" spans="1:28" ht="14.4">
      <c r="B7" s="55" t="s">
        <v>20</v>
      </c>
      <c r="C7" s="56" t="s">
        <v>236</v>
      </c>
      <c r="D7" s="56" t="str">
        <f>VLOOKUP(C7,DATA!B:C,2,0)</f>
        <v>RUNE -8</v>
      </c>
      <c r="E7" s="56" t="str">
        <f>VLOOKUP(C7,Sheet4!A:B,2,0)</f>
        <v>RUNE -8</v>
      </c>
      <c r="F7" s="56" t="e">
        <f ca="1">Image("https://images-na.ssl-images-amazon.com/images/I/51ORlClkXYL.jpg;https://images-na.ssl-images-amazon.com/images/I/51lPR-ccaKL.jpg")</f>
        <v>#NAME?</v>
      </c>
      <c r="G7" s="56" t="s">
        <v>238</v>
      </c>
      <c r="H7" s="83">
        <v>43</v>
      </c>
      <c r="I7" s="88">
        <v>439.14</v>
      </c>
      <c r="J7" s="83">
        <v>5</v>
      </c>
      <c r="K7" s="88">
        <v>-54.21</v>
      </c>
      <c r="L7" s="84">
        <v>297.08</v>
      </c>
      <c r="M7" s="94">
        <f t="shared" si="0"/>
        <v>6.9088372093023249</v>
      </c>
      <c r="N7" s="57">
        <f>(VLOOKUP(E7,Sheet4!F:G,2,0))/1000</f>
        <v>0.2</v>
      </c>
      <c r="O7" s="99">
        <f>VLOOKUP(E7,Sheet4!F3:J588,5,0)</f>
        <v>355.2</v>
      </c>
      <c r="P7" s="58" t="s">
        <v>1188</v>
      </c>
      <c r="Q7" s="59" cm="1">
        <f t="array" ref="Q7">_xlfn.IFS($P7=$P$2,O7+$P$3*N7,$P7=$Q$2,O7+$Q$3*N7)</f>
        <v>445.2</v>
      </c>
      <c r="R7" s="101">
        <f t="shared" si="1"/>
        <v>239.29499999999999</v>
      </c>
      <c r="S7" s="60">
        <f t="shared" si="2"/>
        <v>57.784999999999997</v>
      </c>
      <c r="U7" s="62" t="s">
        <v>12</v>
      </c>
      <c r="V7" s="62">
        <f ca="1">SUMIF($B$5:$B$344,U7,H7:$H$344)</f>
        <v>1270</v>
      </c>
      <c r="W7" s="62">
        <f t="shared" si="3"/>
        <v>36290.561999999991</v>
      </c>
      <c r="X7" s="62">
        <f ca="1">SUMIF($B$5:$B$344,U7,J29:$J$344)</f>
        <v>7</v>
      </c>
      <c r="Y7" s="102">
        <f t="shared" ca="1" si="4"/>
        <v>-113.45599999999999</v>
      </c>
      <c r="Z7" s="63">
        <f ca="1">SUMIF($B$5:$B$344,U7,L7:$L$344)</f>
        <v>12858.18</v>
      </c>
      <c r="AA7" s="63">
        <f ca="1">SUMIF($B$5:$B$344,U7,Q7:$Q$344)</f>
        <v>3982.5</v>
      </c>
      <c r="AB7" s="63">
        <f ca="1">SUMIF($B$5:$B$344,U7,S7:$S$344)</f>
        <v>5947.5787499999997</v>
      </c>
    </row>
    <row r="8" spans="1:28" ht="14.4">
      <c r="B8" s="55" t="s">
        <v>20</v>
      </c>
      <c r="C8" s="56" t="s">
        <v>115</v>
      </c>
      <c r="D8" s="56" t="str">
        <f>VLOOKUP(C8,DATA!B:C,2,0)</f>
        <v>MS US CTN POUCH -2</v>
      </c>
      <c r="E8" s="56" t="str">
        <f>VLOOKUP(C8,Sheet4!A:B,2,0)</f>
        <v>CTN POUCH -2</v>
      </c>
      <c r="F8" s="56" t="e">
        <f ca="1">Image("https://images-na.ssl-images-amazon.com/images/I/413ck9lsOKL.jpg;https://images-na.ssl-images-amazon.com/images/I/51UscLhaobL.jpg;https://images-na.ssl-images-amazon.com/images/I/419iX+USdLL.jpg;https://images-na.ssl-images-amazon.com/images/I/41dskjfBfCL"&amp;".jpg;https://images-na.ssl-images-amazon.com/images/I/41aiVR-WqFL.jpg;https://images-na.ssl-images-amazon.com/images/I/417VtmlIFML.jpg;https://images-na.ssl-images-amazon.com/images/I/41BHpUibkjL.jpg;https://images-na.ssl-images-amazon.com/images/I/61tPVZ"&amp;"EHwGL.jpg")</f>
        <v>#NAME?</v>
      </c>
      <c r="G8" s="56" t="s">
        <v>117</v>
      </c>
      <c r="H8" s="83">
        <v>281</v>
      </c>
      <c r="I8" s="88">
        <v>2493.9299999999998</v>
      </c>
      <c r="J8" s="83">
        <v>8</v>
      </c>
      <c r="K8" s="88">
        <v>-64.52</v>
      </c>
      <c r="L8" s="84">
        <v>1019.32</v>
      </c>
      <c r="M8" s="94">
        <f t="shared" si="0"/>
        <v>3.6274733096085412</v>
      </c>
      <c r="N8" s="57">
        <f>(VLOOKUP(E8,Sheet4!F:G,2,0))/1000</f>
        <v>0.09</v>
      </c>
      <c r="O8" s="99">
        <f>VLOOKUP(E8,Sheet4!F5:J590,5,0)</f>
        <v>160.80000000000001</v>
      </c>
      <c r="P8" s="58" t="s">
        <v>1188</v>
      </c>
      <c r="Q8" s="59" cm="1">
        <f t="array" ref="Q8">_xlfn.IFS($P8=$P$2,O8+$P$3*N8,$P8=$Q$2,O8+$Q$3*N8)</f>
        <v>201.3</v>
      </c>
      <c r="R8" s="101">
        <f t="shared" si="1"/>
        <v>707.06625000000008</v>
      </c>
      <c r="S8" s="60">
        <f t="shared" si="2"/>
        <v>312.25374999999997</v>
      </c>
      <c r="U8" s="62" t="s">
        <v>834</v>
      </c>
      <c r="V8" s="62">
        <f ca="1">SUMIF($B$5:$B$344,U8,H8:$H$344)</f>
        <v>4</v>
      </c>
      <c r="W8" s="62">
        <f t="shared" si="3"/>
        <v>11.58</v>
      </c>
      <c r="X8" s="62">
        <f ca="1">SUMIF($B$5:$B$344,U8,J30:$J$344)</f>
        <v>1</v>
      </c>
      <c r="Y8" s="102">
        <f t="shared" ca="1" si="4"/>
        <v>-279.83999999999997</v>
      </c>
      <c r="Z8" s="63">
        <f ca="1">SUMIF($B$5:$B$344,U8,L8:$L$344)</f>
        <v>113.66</v>
      </c>
      <c r="AA8" s="63">
        <f ca="1">SUMIF($B$5:$B$344,U8,Q8:$Q$344)</f>
        <v>1377</v>
      </c>
      <c r="AB8" s="63">
        <f ca="1">SUMIF($B$5:$B$344,U8,S8:$S$344)</f>
        <v>44.81</v>
      </c>
    </row>
    <row r="9" spans="1:28" ht="14.4">
      <c r="B9" s="55" t="s">
        <v>20</v>
      </c>
      <c r="C9" s="56" t="s">
        <v>251</v>
      </c>
      <c r="D9" s="56" t="str">
        <f>VLOOKUP(C9,DATA!B:C,2,0)</f>
        <v>GS PNDM -17</v>
      </c>
      <c r="E9" s="56" t="str">
        <f>VLOOKUP(C9,Sheet4!A:B,2,0)</f>
        <v>PNDM -17</v>
      </c>
      <c r="F9" s="56" t="e">
        <f ca="1">Image("https://images-na.ssl-images-amazon.com/images/I/31l35kFeWnL.jpg;https://images-na.ssl-images-amazon.com/images/I/41tkBtuxUDL.jpg;https://images-na.ssl-images-amazon.com/images/I/313Z3lDGZ7L.jpg;https://images-na.ssl-images-amazon.com/images/I/41rt6GUMjQL"&amp;".jpg;https://images-na.ssl-images-amazon.com/images/I/411-s0+b8oL.jpg;https://images-na.ssl-images-amazon.com/images/I/614CcAvYs3L.jpg;https://images-na.ssl-images-amazon.com/images/I/51aWtMiZE6L.jpg")</f>
        <v>#NAME?</v>
      </c>
      <c r="G9" s="56" t="s">
        <v>253</v>
      </c>
      <c r="H9" s="83">
        <v>59</v>
      </c>
      <c r="I9" s="88">
        <v>374.39</v>
      </c>
      <c r="J9" s="83">
        <v>3</v>
      </c>
      <c r="K9" s="88">
        <v>-15.75</v>
      </c>
      <c r="L9" s="84">
        <v>278.01</v>
      </c>
      <c r="M9" s="94">
        <f t="shared" si="0"/>
        <v>4.7120338983050845</v>
      </c>
      <c r="N9" s="57">
        <f>(VLOOKUP(E9,Sheet4!F:G,2,0))/1000</f>
        <v>0.05</v>
      </c>
      <c r="O9" s="99">
        <f>VLOOKUP(E9,Sheet4!F6:J591,5,0)</f>
        <v>72</v>
      </c>
      <c r="P9" s="58" t="s">
        <v>1188</v>
      </c>
      <c r="Q9" s="59" cm="1">
        <f t="array" ref="Q9">_xlfn.IFS($P9=$P$2,O9+$P$3*N9,$P9=$Q$2,O9+$Q$3*N9)</f>
        <v>94.5</v>
      </c>
      <c r="R9" s="101">
        <f t="shared" si="1"/>
        <v>69.693749999999994</v>
      </c>
      <c r="S9" s="60">
        <f t="shared" si="2"/>
        <v>208.31625</v>
      </c>
      <c r="U9" s="62" t="s">
        <v>16</v>
      </c>
      <c r="V9" s="62">
        <f ca="1">SUMIF($B$5:$B$344,U9,H9:$H$344)</f>
        <v>8519</v>
      </c>
      <c r="W9" s="62">
        <f t="shared" si="3"/>
        <v>1258.8911000000001</v>
      </c>
      <c r="X9" s="62">
        <f ca="1">SUMIF($B$5:$B$344,U9,J31:$J$344)</f>
        <v>474</v>
      </c>
      <c r="Y9" s="102">
        <f t="shared" ca="1" si="4"/>
        <v>-72.941600000000008</v>
      </c>
      <c r="Z9" s="63">
        <f ca="1">SUMIF($B$5:$B$344,U9,L9:$L$344)</f>
        <v>58796.380000000005</v>
      </c>
      <c r="AA9" s="63">
        <f ca="1">SUMIF($B$5:$B$344,U9,Q9:$Q$344)</f>
        <v>57760.58</v>
      </c>
      <c r="AB9" s="63">
        <f ca="1">SUMIF($B$5:$B$344,U9,S9:$S$344)</f>
        <v>12288.786624999999</v>
      </c>
    </row>
    <row r="10" spans="1:28" ht="14.4">
      <c r="B10" s="55" t="s">
        <v>20</v>
      </c>
      <c r="C10" s="56" t="s">
        <v>18</v>
      </c>
      <c r="D10" s="56" t="str">
        <f>VLOOKUP(C10,DATA!B:C,2,0)</f>
        <v>PK-JWL-BCL-0044</v>
      </c>
      <c r="E10" s="56" t="str">
        <f>VLOOKUP(C10,Sheet4!A:B,2,0)</f>
        <v>JWL-BCL-0044</v>
      </c>
      <c r="F10" s="56" t="e">
        <f ca="1">Image("https://images-na.ssl-images-amazon.com/images/I/51G57dAxSOL.jpg;https://images-na.ssl-images-amazon.com/images/I/51Dm33QSwjL.jpg;https://images-na.ssl-images-amazon.com/images/I/61TkksL6baL.jpg;https://images-na.ssl-images-amazon.com/images/I/51RywEkoTtL"&amp;".jpg;https://images-na.ssl-images-amazon.com/images/I/31jvCD4jNjL.jpg;https://images-na.ssl-images-amazon.com/images/I/51APxXUrzfL.jpg")</f>
        <v>#NAME?</v>
      </c>
      <c r="G10" s="56" t="s">
        <v>21</v>
      </c>
      <c r="H10" s="83">
        <v>2637</v>
      </c>
      <c r="I10" s="88">
        <v>28822.17</v>
      </c>
      <c r="J10" s="83">
        <v>67</v>
      </c>
      <c r="K10" s="88">
        <v>-624.74</v>
      </c>
      <c r="L10" s="84">
        <v>13190.11</v>
      </c>
      <c r="M10" s="94">
        <f t="shared" si="0"/>
        <v>5.001937808115283</v>
      </c>
      <c r="N10" s="57">
        <f>(VLOOKUP(E10,Sheet4!F:G,2,0))/1000</f>
        <v>0.105</v>
      </c>
      <c r="O10" s="99">
        <f>VLOOKUP(E10,Sheet4!F7:J592,5,0)</f>
        <v>210</v>
      </c>
      <c r="P10" s="58" t="s">
        <v>1188</v>
      </c>
      <c r="Q10" s="59" cm="1">
        <f t="array" ref="Q10">_xlfn.IFS($P10=$P$2,O10+$P$3*N10,$P10=$Q$2,O10+$Q$3*N10)</f>
        <v>257.25</v>
      </c>
      <c r="R10" s="101">
        <f t="shared" si="1"/>
        <v>8479.6031249999996</v>
      </c>
      <c r="S10" s="60">
        <f t="shared" si="2"/>
        <v>4710.5068750000009</v>
      </c>
      <c r="U10" s="62" t="s">
        <v>398</v>
      </c>
      <c r="V10" s="62">
        <f ca="1">SUMIF($B$5:$B$344,U10,H10:$H$344)</f>
        <v>2</v>
      </c>
      <c r="W10" s="62">
        <f t="shared" si="3"/>
        <v>241.29499999999999</v>
      </c>
      <c r="X10" s="62">
        <f ca="1">SUMIF($B$5:$B$344,U10,J32:$J$344)</f>
        <v>0</v>
      </c>
      <c r="Y10" s="102">
        <f t="shared" ca="1" si="4"/>
        <v>0</v>
      </c>
      <c r="Z10" s="63">
        <f ca="1">SUMIF($B$5:$B$344,U10,L10:$L$344)</f>
        <v>28.029999999999998</v>
      </c>
      <c r="AA10" s="63">
        <f ca="1">SUMIF($B$5:$B$344,U10,Q10:$Q$344)</f>
        <v>868.5</v>
      </c>
      <c r="AB10" s="63">
        <f ca="1">SUMIF($B$5:$B$344,U10,S10:$S$344)</f>
        <v>17.173749999999998</v>
      </c>
    </row>
    <row r="11" spans="1:28" ht="14.4">
      <c r="B11" s="55" t="s">
        <v>20</v>
      </c>
      <c r="C11" s="56" t="s">
        <v>346</v>
      </c>
      <c r="D11" s="56" t="str">
        <f>VLOOKUP(C11,DATA!B:C,2,0)</f>
        <v>36-FFWV-2VHB</v>
      </c>
      <c r="E11" s="56" t="str">
        <f>VLOOKUP(C11,Sheet4!A:B,2,0)</f>
        <v>MKB -1</v>
      </c>
      <c r="F11" s="56" t="e">
        <f ca="1">Image("https://images-na.ssl-images-amazon.com/images/I/31v0xI7xWNL.jpg;https://images-na.ssl-images-amazon.com/images/I/41+ANEV0ldL.jpg;https://images-na.ssl-images-amazon.com/images/I/516Sd02Uo8L.jpg;https://images-na.ssl-images-amazon.com/images/I/41g9mhQLM7L"&amp;".jpg;https://images-na.ssl-images-amazon.com/images/I/41raibcWucL.jpg;https://images-na.ssl-images-amazon.com/images/I/41aOY3d1JvL.jpg;https://images-na.ssl-images-amazon.com/images/I/31LM4TYxu7L.jpg")</f>
        <v>#NAME?</v>
      </c>
      <c r="G11" s="56" t="s">
        <v>348</v>
      </c>
      <c r="H11" s="83">
        <v>43</v>
      </c>
      <c r="I11" s="88">
        <v>342.89</v>
      </c>
      <c r="J11" s="83">
        <v>2</v>
      </c>
      <c r="K11" s="88">
        <v>-14</v>
      </c>
      <c r="L11" s="84">
        <v>162.61000000000001</v>
      </c>
      <c r="M11" s="94">
        <f t="shared" si="0"/>
        <v>3.7816279069767447</v>
      </c>
      <c r="N11" s="57">
        <f>(VLOOKUP(E11,Sheet4!F:G,2,0))/1000</f>
        <v>2.5000000000000001E-2</v>
      </c>
      <c r="O11" s="99">
        <f>VLOOKUP(E11,Sheet4!F8:J593,5,0)</f>
        <v>120</v>
      </c>
      <c r="P11" s="58" t="s">
        <v>1188</v>
      </c>
      <c r="Q11" s="59" cm="1">
        <f t="array" ref="Q11">_xlfn.IFS($P11=$P$2,O11+$P$3*N11,$P11=$Q$2,O11+$Q$3*N11)</f>
        <v>131.25</v>
      </c>
      <c r="R11" s="101">
        <f t="shared" si="1"/>
        <v>70.546875</v>
      </c>
      <c r="S11" s="60">
        <f t="shared" si="2"/>
        <v>92.063125000000014</v>
      </c>
      <c r="U11" s="62" t="s">
        <v>299</v>
      </c>
      <c r="V11" s="62">
        <f ca="1">SUMIF($B$5:$B$344,U11,H11:$H$344)</f>
        <v>40534</v>
      </c>
      <c r="W11" s="62">
        <f t="shared" si="3"/>
        <v>41.625</v>
      </c>
      <c r="X11" s="62">
        <f ca="1">SUMIF($B$5:$B$344,U11,J33:$J$344)</f>
        <v>1875</v>
      </c>
      <c r="Y11" s="102">
        <f t="shared" ca="1" si="4"/>
        <v>-2098.193636363636</v>
      </c>
      <c r="Z11" s="63">
        <f ca="1">SUMIF($B$5:$B$344,U11,L11:$L$344)</f>
        <v>202190.19999999998</v>
      </c>
      <c r="AA11" s="63">
        <f ca="1">SUMIF($B$5:$B$344,U11,Q11:$Q$344)</f>
        <v>169775.36199999996</v>
      </c>
      <c r="AB11" s="63">
        <f ca="1">SUMIF($B$5:$B$344,U11,S11:$S$344)</f>
        <v>462.13737499999996</v>
      </c>
    </row>
    <row r="12" spans="1:28" ht="14.4">
      <c r="B12" s="55" t="s">
        <v>20</v>
      </c>
      <c r="C12" s="56" t="s">
        <v>209</v>
      </c>
      <c r="D12" s="56" t="str">
        <f>VLOOKUP(C12,DATA!B:C,2,0)</f>
        <v>GS US AIR KNOBS R+P -1</v>
      </c>
      <c r="E12" s="56" t="str">
        <f>VLOOKUP(C12,Sheet4!A:B,2,0)</f>
        <v>KNOBS R+P -1</v>
      </c>
      <c r="F12" s="56" t="e">
        <f ca="1">Image("https://images-na.ssl-images-amazon.com/images/I/41+JHU14crL.jpg;https://images-na.ssl-images-amazon.com/images/I/41xoTJ4+dVL.jpg;https://images-na.ssl-images-amazon.com/images/I/41V+CYYfpnL.jpg;https://images-na.ssl-images-amazon.com/images/I/41azsv55EGL"&amp;".jpg;https://images-na.ssl-images-amazon.com/images/I/51QqJuzAkNL.jpg;https://images-na.ssl-images-amazon.com/images/I/513HYvwThzL.jpg;https://images-na.ssl-images-amazon.com/images/I/51AcoKF2QDL.jpg")</f>
        <v>#NAME?</v>
      </c>
      <c r="G12" s="56" t="s">
        <v>211</v>
      </c>
      <c r="H12" s="83">
        <v>72</v>
      </c>
      <c r="I12" s="88">
        <v>959.86</v>
      </c>
      <c r="J12" s="83">
        <v>7</v>
      </c>
      <c r="K12" s="88">
        <v>-86.11</v>
      </c>
      <c r="L12" s="84">
        <v>383.55</v>
      </c>
      <c r="M12" s="94">
        <f t="shared" si="0"/>
        <v>5.3270833333333334</v>
      </c>
      <c r="N12" s="57">
        <f>(VLOOKUP(E12,Sheet4!F:G,2,0))/1000</f>
        <v>0.54</v>
      </c>
      <c r="O12" s="99">
        <f>VLOOKUP(E12,Sheet4!F1:N586,9,0)</f>
        <v>273.60000000000002</v>
      </c>
      <c r="P12" s="58" t="s">
        <v>1187</v>
      </c>
      <c r="Q12" s="59" cm="1">
        <f t="array" ref="Q12">_xlfn.IFS($P12=$P$2,O12+$P$3*N12,$P12=$Q$2,O12+$Q$3*N12)</f>
        <v>338.40000000000003</v>
      </c>
      <c r="R12" s="101">
        <f t="shared" si="1"/>
        <v>304.56000000000006</v>
      </c>
      <c r="S12" s="60">
        <f t="shared" si="2"/>
        <v>78.989999999999952</v>
      </c>
      <c r="U12" s="62" t="s">
        <v>738</v>
      </c>
      <c r="V12" s="62">
        <f ca="1">SUMIF($B$5:$B$344,U12,H12:$H$344)</f>
        <v>0</v>
      </c>
      <c r="W12" s="62">
        <f t="shared" si="3"/>
        <v>18.98</v>
      </c>
      <c r="X12" s="62">
        <f ca="1">SUMIF($B$5:$B$344,U12,J34:$J$344)</f>
        <v>0</v>
      </c>
      <c r="Y12" s="102" t="e">
        <f ca="1">AVERAGEIF($B$5:$B$344,U12,K27:K351)</f>
        <v>#DIV/0!</v>
      </c>
      <c r="Z12" s="63">
        <f ca="1">SUMIF($B$5:$B$344,U12,L12:$L$344)</f>
        <v>0</v>
      </c>
      <c r="AA12" s="63">
        <f ca="1">SUMIF($B$5:$B$344,U12,Q12:$Q$344)</f>
        <v>0</v>
      </c>
      <c r="AB12" s="63">
        <f ca="1">SUMIF($B$5:$B$344,U12,S12:$S$344)</f>
        <v>0</v>
      </c>
    </row>
    <row r="13" spans="1:28" ht="14.4">
      <c r="B13" s="55" t="s">
        <v>20</v>
      </c>
      <c r="C13" s="56" t="s">
        <v>165</v>
      </c>
      <c r="D13" s="56" t="str">
        <f>VLOOKUP(C13,DATA!B:C,2,0)</f>
        <v>JD S KNOBS GREY -4</v>
      </c>
      <c r="E13" s="56" t="str">
        <f>VLOOKUP(C13,Sheet4!A:B,2,0)</f>
        <v>KNOBS GREY -4</v>
      </c>
      <c r="F13" s="56" t="e">
        <f ca="1">Image("https://images-na.ssl-images-amazon.com/images/I/41aKdLZnWxL.jpg;https://images-na.ssl-images-amazon.com/images/I/41b6HMl130L.jpg;https://images-na.ssl-images-amazon.com/images/I/410+NRt3MqL.jpg;https://images-na.ssl-images-amazon.com/images/I/41r4qdBIS0L"&amp;".jpg;https://images-na.ssl-images-amazon.com/images/I/61j03NBpzsL.jpg;https://images-na.ssl-images-amazon.com/images/I/51AOa6oTe4L.jpg;https://images-na.ssl-images-amazon.com/images/I/41rYE9Xu+ML.jpg")</f>
        <v>#NAME?</v>
      </c>
      <c r="G13" s="56" t="s">
        <v>167</v>
      </c>
      <c r="H13" s="83">
        <v>45</v>
      </c>
      <c r="I13" s="88">
        <v>1015.09</v>
      </c>
      <c r="J13" s="83">
        <v>2</v>
      </c>
      <c r="K13" s="88">
        <v>-37.659999999999997</v>
      </c>
      <c r="L13" s="84">
        <v>587.55999999999995</v>
      </c>
      <c r="M13" s="94">
        <f t="shared" si="0"/>
        <v>13.056888888888889</v>
      </c>
      <c r="N13" s="57">
        <f>(VLOOKUP(E13,Sheet4!F:G,2,0))/1000</f>
        <v>1.28</v>
      </c>
      <c r="O13" s="99">
        <f>VLOOKUP(E13,Sheet4!F2:N587,9,0)</f>
        <v>612.79999999999995</v>
      </c>
      <c r="P13" s="58" t="s">
        <v>1187</v>
      </c>
      <c r="Q13" s="59" cm="1">
        <f t="array" ref="Q13">_xlfn.IFS($P13=$P$2,O13+$P$3*N13,$P13=$Q$2,O13+$Q$3*N13)</f>
        <v>766.4</v>
      </c>
      <c r="R13" s="101">
        <f t="shared" si="1"/>
        <v>431.1</v>
      </c>
      <c r="S13" s="60">
        <f t="shared" si="2"/>
        <v>156.45999999999992</v>
      </c>
      <c r="U13" s="61"/>
      <c r="V13" s="62"/>
      <c r="W13" s="62"/>
      <c r="X13" s="62"/>
      <c r="Y13" s="62"/>
      <c r="Z13" s="63"/>
      <c r="AA13" s="63"/>
      <c r="AB13" s="63"/>
    </row>
    <row r="14" spans="1:28" ht="14.4">
      <c r="B14" s="55" t="s">
        <v>20</v>
      </c>
      <c r="C14" s="56" t="s">
        <v>55</v>
      </c>
      <c r="D14" s="56" t="str">
        <f>VLOOKUP(C14,DATA!B:C,2,0)</f>
        <v>R+P -7</v>
      </c>
      <c r="E14" s="56" t="str">
        <f>VLOOKUP(C14,Sheet4!A:B,2,0)</f>
        <v>KNOBS R+P -7</v>
      </c>
      <c r="F14" s="56" t="e">
        <f ca="1">Image("https://images-na.ssl-images-amazon.com/images/I/41sjg6LtdnL.jpg;https://images-na.ssl-images-amazon.com/images/I/41Is4NvWhGL.jpg;https://images-na.ssl-images-amazon.com/images/I/51lDHEsWl7L.jpg;https://images-na.ssl-images-amazon.com/images/I/41JtPOZpu8L"&amp;".jpg;https://images-na.ssl-images-amazon.com/images/I/516NJd0jFCL.jpg;https://images-na.ssl-images-amazon.com/images/I/41b59UwEiOL.jpg;https://images-na.ssl-images-amazon.com/images/I/51ywO-tRIkL.jpg;https://images-na.ssl-images-amazon.com/images/I/51HAwN"&amp;"WrdLL.jpg")</f>
        <v>#NAME?</v>
      </c>
      <c r="G14" s="56" t="s">
        <v>57</v>
      </c>
      <c r="H14" s="83">
        <v>212</v>
      </c>
      <c r="I14" s="88">
        <v>4824.8599999999997</v>
      </c>
      <c r="J14" s="83">
        <v>20</v>
      </c>
      <c r="K14" s="88">
        <v>-408.35</v>
      </c>
      <c r="L14" s="84">
        <v>2138.92</v>
      </c>
      <c r="M14" s="94">
        <f t="shared" si="0"/>
        <v>10.089245283018869</v>
      </c>
      <c r="N14" s="57">
        <f>(VLOOKUP(E14,Sheet4!F:G,2,0))/1000</f>
        <v>1.28</v>
      </c>
      <c r="O14" s="99">
        <f>VLOOKUP(E14,Sheet4!F3:N588,9,0)</f>
        <v>612.79999999999995</v>
      </c>
      <c r="P14" s="58" t="s">
        <v>1187</v>
      </c>
      <c r="Q14" s="59" cm="1">
        <f t="array" ref="Q14">_xlfn.IFS($P14=$P$2,O14+$P$3*N14,$P14=$Q$2,O14+$Q$3*N14)</f>
        <v>766.4</v>
      </c>
      <c r="R14" s="101">
        <f t="shared" si="1"/>
        <v>2030.9599999999998</v>
      </c>
      <c r="S14" s="60">
        <f t="shared" si="2"/>
        <v>107.96000000000026</v>
      </c>
      <c r="U14" s="61"/>
      <c r="V14" s="62"/>
      <c r="W14" s="62"/>
      <c r="X14" s="62"/>
      <c r="Y14" s="62"/>
      <c r="Z14" s="63"/>
      <c r="AA14" s="63"/>
      <c r="AB14" s="63"/>
    </row>
    <row r="15" spans="1:28" ht="14.4">
      <c r="B15" s="55" t="s">
        <v>20</v>
      </c>
      <c r="C15" s="56" t="s">
        <v>43</v>
      </c>
      <c r="D15" s="56" t="str">
        <f>VLOOKUP(C15,DATA!B:C,2,0)</f>
        <v>Gs Us Knobs Flat -3</v>
      </c>
      <c r="E15" s="56" t="str">
        <f>VLOOKUP(C15,Sheet4!A:B,2,0)</f>
        <v>KNOBS FLAT -3</v>
      </c>
      <c r="F15" s="56" t="e">
        <f ca="1">Image("https://images-na.ssl-images-amazon.com/images/I/41qjLr9szXL.jpg;https://images-na.ssl-images-amazon.com/images/I/51NDwofsY9L.jpg;https://images-na.ssl-images-amazon.com/images/I/41TM8PrZnJL.jpg;https://images-na.ssl-images-amazon.com/images/I/413TjTXnyIL"&amp;".jpg;https://images-na.ssl-images-amazon.com/images/I/51ktGsjRZ6L.jpg;https://images-na.ssl-images-amazon.com/images/I/51loRx1BqCL.jpg;https://images-na.ssl-images-amazon.com/images/I/51pnsOsQ-PL.jpg;https://images-na.ssl-images-amazon.com/images/I/51Bfzn"&amp;"TgQ3L.jpg;https://images-na.ssl-images-amazon.com/images/I/51qBa1U+56L.jpg")</f>
        <v>#NAME?</v>
      </c>
      <c r="G15" s="56" t="s">
        <v>45</v>
      </c>
      <c r="H15" s="83">
        <v>339</v>
      </c>
      <c r="I15" s="88">
        <v>6546.32</v>
      </c>
      <c r="J15" s="83">
        <v>20</v>
      </c>
      <c r="K15" s="88">
        <v>-346.05</v>
      </c>
      <c r="L15" s="84">
        <v>2711.04</v>
      </c>
      <c r="M15" s="94">
        <f t="shared" si="0"/>
        <v>7.9971681415929199</v>
      </c>
      <c r="N15" s="57">
        <f>(VLOOKUP(E15,Sheet4!F:G,2,0))/1000</f>
        <v>0.95</v>
      </c>
      <c r="O15" s="99">
        <f>VLOOKUP(E15,Sheet4!F4:N589,9,0)</f>
        <v>469.4</v>
      </c>
      <c r="P15" s="58" t="s">
        <v>1187</v>
      </c>
      <c r="Q15" s="59" cm="1">
        <f t="array" ref="Q15">_xlfn.IFS($P15=$P$2,O15+$P$3*N15,$P15=$Q$2,O15+$Q$3*N15)</f>
        <v>583.4</v>
      </c>
      <c r="R15" s="101">
        <f t="shared" si="1"/>
        <v>2472.1575000000003</v>
      </c>
      <c r="S15" s="60">
        <f t="shared" si="2"/>
        <v>238.88249999999971</v>
      </c>
      <c r="U15" s="61"/>
      <c r="V15" s="62"/>
      <c r="W15" s="62"/>
      <c r="X15" s="62"/>
      <c r="Y15" s="62"/>
      <c r="Z15" s="63"/>
      <c r="AA15" s="63"/>
      <c r="AB15" s="63"/>
    </row>
    <row r="16" spans="1:28" ht="14.4">
      <c r="B16" s="55" t="s">
        <v>20</v>
      </c>
      <c r="C16" s="56" t="s">
        <v>393</v>
      </c>
      <c r="D16" s="56" t="str">
        <f>VLOOKUP(C16,DATA!B:C,2,0)</f>
        <v>RED ORNATE</v>
      </c>
      <c r="E16" s="56" t="str">
        <f>VLOOKUP(C16,Sheet4!A:B,2,0)</f>
        <v>KNOBS ORNT -1</v>
      </c>
      <c r="F16" s="56" t="e">
        <f ca="1">Image("https://images-na.ssl-images-amazon.com/images/I/51c6tAKGoYL.jpg;https://images-na.ssl-images-amazon.com/images/I/41QOGsXOB0L.jpg;https://images-na.ssl-images-amazon.com/images/I/41p9V6FtZcL.jpg;https://images-na.ssl-images-amazon.com/images/I/51kqR-rkioL"&amp;".jpg;https://images-na.ssl-images-amazon.com/images/I/41MI2j5PI6L.jpg;https://images-na.ssl-images-amazon.com/images/I/41DQGJc6sFL.jpg;https://images-na.ssl-images-amazon.com/images/I/51TlGUEJwNL.jpg;https://images-na.ssl-images-amazon.com/images/I/51I0FX"&amp;"KtoGL.jpg;https://images-na.ssl-images-amazon.com/images/I/51tO9mSNCPL.jpg")</f>
        <v>#NAME?</v>
      </c>
      <c r="G16" s="56" t="s">
        <v>395</v>
      </c>
      <c r="H16" s="83">
        <v>56</v>
      </c>
      <c r="I16" s="88">
        <v>662.91</v>
      </c>
      <c r="J16" s="83">
        <v>5</v>
      </c>
      <c r="K16" s="88">
        <v>-50.56</v>
      </c>
      <c r="L16" s="84">
        <v>122.65</v>
      </c>
      <c r="M16" s="94">
        <f t="shared" si="0"/>
        <v>2.1901785714285715</v>
      </c>
      <c r="N16" s="57">
        <f>(VLOOKUP(E16,Sheet4!F:G,2,0))/1000</f>
        <v>0.54</v>
      </c>
      <c r="O16" s="99">
        <f>VLOOKUP(E16,Sheet4!F5:N590,9,0)</f>
        <v>254.4</v>
      </c>
      <c r="P16" s="58" t="s">
        <v>1187</v>
      </c>
      <c r="Q16" s="59" cm="1">
        <f t="array" ref="Q16">_xlfn.IFS($P16=$P$2,O16+$P$3*N16,$P16=$Q$2,O16+$Q$3*N16)</f>
        <v>319.20000000000005</v>
      </c>
      <c r="R16" s="101">
        <f t="shared" si="1"/>
        <v>223.44000000000005</v>
      </c>
      <c r="S16" s="60">
        <f t="shared" si="2"/>
        <v>-100.79000000000005</v>
      </c>
      <c r="U16" s="64" t="s">
        <v>1198</v>
      </c>
      <c r="V16" s="65"/>
      <c r="W16" s="65"/>
      <c r="X16" s="65"/>
      <c r="Y16" s="65"/>
      <c r="Z16" s="66"/>
      <c r="AA16" s="66"/>
      <c r="AB16" s="66"/>
    </row>
    <row r="17" spans="2:21" ht="14.4">
      <c r="B17" s="55" t="s">
        <v>20</v>
      </c>
      <c r="C17" s="56" t="s">
        <v>109</v>
      </c>
      <c r="D17" s="56" t="str">
        <f>VLOOKUP(C17,DATA!B:C,2,0)</f>
        <v>GS US KNOBS R+P -3</v>
      </c>
      <c r="E17" s="56" t="str">
        <f>VLOOKUP(C17,Sheet4!A:B,2,0)</f>
        <v>KNOBS R+P -3</v>
      </c>
      <c r="F17" s="56" t="e">
        <f ca="1">Image("https://images-na.ssl-images-amazon.com/images/I/51S+beLeB+L.jpg;https://images-na.ssl-images-amazon.com/images/I/51bP+QEm33L.jpg;https://images-na.ssl-images-amazon.com/images/I/51UX+C7CfWL.jpg;https://images-na.ssl-images-amazon.com/images/I/515y3Qli5rL"&amp;".jpg;https://images-na.ssl-images-amazon.com/images/I/51dKPuaBCrL.jpg;https://images-na.ssl-images-amazon.com/images/I/51q2V4XUXSL.jpg;https://images-na.ssl-images-amazon.com/images/I/41WuHjltXmL.jpg")</f>
        <v>#NAME?</v>
      </c>
      <c r="G17" s="56" t="s">
        <v>111</v>
      </c>
      <c r="H17" s="83">
        <v>114</v>
      </c>
      <c r="I17" s="88">
        <v>2296.66</v>
      </c>
      <c r="J17" s="83">
        <v>10</v>
      </c>
      <c r="K17" s="88">
        <v>-176.25</v>
      </c>
      <c r="L17" s="84">
        <v>1063.25</v>
      </c>
      <c r="M17" s="94">
        <f t="shared" si="0"/>
        <v>9.3267543859649127</v>
      </c>
      <c r="N17" s="57">
        <f>(VLOOKUP(E17,Sheet4!F:G,2,0))/1000</f>
        <v>1.02</v>
      </c>
      <c r="O17" s="99">
        <f>VLOOKUP(E17,Sheet4!F6:N591,9,0)</f>
        <v>498</v>
      </c>
      <c r="P17" s="58" t="s">
        <v>1187</v>
      </c>
      <c r="Q17" s="59" cm="1">
        <f t="array" ref="Q17">_xlfn.IFS($P17=$P$2,O17+$P$3*N17,$P17=$Q$2,O17+$Q$3*N17)</f>
        <v>620.4</v>
      </c>
      <c r="R17" s="101">
        <f t="shared" si="1"/>
        <v>884.06999999999994</v>
      </c>
      <c r="S17" s="60">
        <f t="shared" si="2"/>
        <v>179.18000000000006</v>
      </c>
    </row>
    <row r="18" spans="2:21" ht="14.4">
      <c r="B18" s="55" t="s">
        <v>20</v>
      </c>
      <c r="C18" s="56" t="s">
        <v>130</v>
      </c>
      <c r="D18" s="56" t="str">
        <f>VLOOKUP(C18,DATA!B:C,2,0)</f>
        <v>GS USA NPKN -16</v>
      </c>
      <c r="E18" s="56" t="str">
        <f>VLOOKUP(C18,Sheet4!A:B,2,0)</f>
        <v>NPKN -16</v>
      </c>
      <c r="F18" s="56" t="e">
        <f ca="1">Image("https://images-na.ssl-images-amazon.com/images/I/51XXMHOfvHL.jpg;https://images-na.ssl-images-amazon.com/images/I/51zLdjSt2VL.jpg;https://images-na.ssl-images-amazon.com/images/I/51-oevD1sfL.jpg;https://images-na.ssl-images-amazon.com/images/I/51rlEk-ifVL"&amp;".jpg;https://images-na.ssl-images-amazon.com/images/I/61QFTeQHz7L.jpg;https://images-na.ssl-images-amazon.com/images/I/513kSGDfDbL.jpg;https://images-na.ssl-images-amazon.com/images/I/61-OE0Ece+L.jpg;https://images-na.ssl-images-amazon.com/images/I/518Yvv"&amp;"P9pvL.jpg;https://images-na.ssl-images-amazon.com/images/I/51L37dHsiuL.jpg")</f>
        <v>#NAME?</v>
      </c>
      <c r="G18" s="56" t="s">
        <v>132</v>
      </c>
      <c r="H18" s="83">
        <v>346</v>
      </c>
      <c r="I18" s="88">
        <v>2596.4499999999998</v>
      </c>
      <c r="J18" s="83">
        <v>40</v>
      </c>
      <c r="K18" s="88">
        <v>-279.64</v>
      </c>
      <c r="L18" s="84">
        <v>919.05</v>
      </c>
      <c r="M18" s="94">
        <f t="shared" si="0"/>
        <v>2.6562138728323696</v>
      </c>
      <c r="N18" s="57">
        <f>(VLOOKUP(E18,Sheet4!F:G,2,0))/1000</f>
        <v>0.22</v>
      </c>
      <c r="O18" s="99">
        <f>VLOOKUP(E18,Sheet4!F7:N592,9,0)</f>
        <v>121.6</v>
      </c>
      <c r="P18" s="58" t="s">
        <v>1187</v>
      </c>
      <c r="Q18" s="59" cm="1">
        <f t="array" ref="Q18">_xlfn.IFS($P18=$P$2,O18+$P$3*N18,$P18=$Q$2,O18+$Q$3*N18)</f>
        <v>148</v>
      </c>
      <c r="R18" s="101">
        <f t="shared" si="1"/>
        <v>640.1</v>
      </c>
      <c r="S18" s="60">
        <f t="shared" si="2"/>
        <v>278.94999999999993</v>
      </c>
    </row>
    <row r="19" spans="2:21" ht="14.4">
      <c r="B19" s="55" t="s">
        <v>20</v>
      </c>
      <c r="C19" s="56" t="s">
        <v>381</v>
      </c>
      <c r="D19" s="56" t="str">
        <f>VLOOKUP(C19,DATA!B:C,2,0)</f>
        <v>GS US NPKN -23</v>
      </c>
      <c r="E19" s="56" t="str">
        <f>VLOOKUP(C19,Sheet4!A:B,2,0)</f>
        <v>NPKN -23</v>
      </c>
      <c r="F19" s="56" t="e">
        <f ca="1">Image("https://images-na.ssl-images-amazon.com/images/I/51XXMHOfvHL.jpg;https://images-na.ssl-images-amazon.com/images/I/51-oevD1sfL.jpg;https://images-na.ssl-images-amazon.com/images/I/51rlEk-ifVL.jpg;https://images-na.ssl-images-amazon.com/images/I/61QFTeQHz7L"&amp;".jpg;https://images-na.ssl-images-amazon.com/images/I/513kSGDfDbL.jpg;https://images-na.ssl-images-amazon.com/images/I/518YvvP9pvL.jpg;https://images-na.ssl-images-amazon.com/images/I/51L37dHsiuL.jpg;https://images-na.ssl-images-amazon.com/images/I/419TMH"&amp;"jSq9L.jpg")</f>
        <v>#NAME?</v>
      </c>
      <c r="G19" s="56" t="s">
        <v>383</v>
      </c>
      <c r="H19" s="83">
        <v>86</v>
      </c>
      <c r="I19" s="88">
        <v>615.46</v>
      </c>
      <c r="J19" s="83">
        <v>3</v>
      </c>
      <c r="K19" s="88">
        <v>-18.46</v>
      </c>
      <c r="L19" s="84">
        <v>128.16999999999999</v>
      </c>
      <c r="M19" s="94">
        <f t="shared" si="0"/>
        <v>1.4903488372093021</v>
      </c>
      <c r="N19" s="57">
        <f>(VLOOKUP(E19,Sheet4!F:G,2,0))/1000</f>
        <v>0.3</v>
      </c>
      <c r="O19" s="99">
        <f>VLOOKUP(E19,Sheet4!F8:N593,9,0)</f>
        <v>102</v>
      </c>
      <c r="P19" s="58" t="s">
        <v>1187</v>
      </c>
      <c r="Q19" s="59" cm="1">
        <f t="array" ref="Q19">_xlfn.IFS($P19=$P$2,O19+$P$3*N19,$P19=$Q$2,O19+$Q$3*N19)</f>
        <v>138</v>
      </c>
      <c r="R19" s="101">
        <f t="shared" si="1"/>
        <v>148.35</v>
      </c>
      <c r="S19" s="60">
        <f t="shared" si="2"/>
        <v>-20.180000000000007</v>
      </c>
    </row>
    <row r="20" spans="2:21" ht="14.4">
      <c r="B20" s="55" t="s">
        <v>20</v>
      </c>
      <c r="C20" s="56" t="s">
        <v>49</v>
      </c>
      <c r="D20" s="56" t="str">
        <f>VLOOKUP(C20,DATA!B:C,2,0)</f>
        <v>GS USA KNOBS R+P -5</v>
      </c>
      <c r="E20" s="56" t="str">
        <f>VLOOKUP(C20,Sheet4!A:B,2,0)</f>
        <v>KNOBS R+P -5</v>
      </c>
      <c r="F20" s="56" t="e">
        <f ca="1">Image("https://images-na.ssl-images-amazon.com/images/I/51x4M5NGCjL.jpg;https://images-na.ssl-images-amazon.com/images/I/412S7MP0UUL.jpg;https://images-na.ssl-images-amazon.com/images/I/51QJdx9Qz6L.jpg;https://images-na.ssl-images-amazon.com/images/I/5187UFB8gmL"&amp;".jpg;https://images-na.ssl-images-amazon.com/images/I/41Vad5eroaL.jpg;https://images-na.ssl-images-amazon.com/images/I/51w-zadXJSL.jpg;https://images-na.ssl-images-amazon.com/images/I/41SHvwo5IsL.jpg")</f>
        <v>#NAME?</v>
      </c>
      <c r="G20" s="56" t="s">
        <v>51</v>
      </c>
      <c r="H20" s="83">
        <v>220</v>
      </c>
      <c r="I20" s="88">
        <v>5672.96</v>
      </c>
      <c r="J20" s="83">
        <v>16</v>
      </c>
      <c r="K20" s="88">
        <v>-371.72</v>
      </c>
      <c r="L20" s="84">
        <v>2246.5700000000002</v>
      </c>
      <c r="M20" s="94">
        <f t="shared" si="0"/>
        <v>10.21168181818182</v>
      </c>
      <c r="N20" s="57">
        <f>(VLOOKUP(E20,Sheet4!F:G,2,0))/1000</f>
        <v>1.51</v>
      </c>
      <c r="O20" s="99">
        <f>VLOOKUP(E20,Sheet4!F:N,9,0)</f>
        <v>724.6</v>
      </c>
      <c r="P20" s="58" t="s">
        <v>1187</v>
      </c>
      <c r="Q20" s="59" cm="1">
        <f t="array" ref="Q20">_xlfn.IFS($P20=$P$2,O20+$P$3*N20,$P20=$Q$2,O20+$Q$3*N20)</f>
        <v>905.8</v>
      </c>
      <c r="R20" s="101">
        <f t="shared" si="1"/>
        <v>2490.9499999999998</v>
      </c>
      <c r="S20" s="60">
        <f t="shared" si="2"/>
        <v>-244.37999999999965</v>
      </c>
      <c r="U20" s="87" t="s">
        <v>5062</v>
      </c>
    </row>
    <row r="21" spans="2:21" ht="14.4">
      <c r="B21" s="55" t="s">
        <v>20</v>
      </c>
      <c r="C21" s="56" t="s">
        <v>171</v>
      </c>
      <c r="D21" s="56" t="str">
        <f>VLOOKUP(C21,DATA!B:C,2,0)</f>
        <v>KNOBS TRF -2</v>
      </c>
      <c r="E21" s="56" t="str">
        <f>VLOOKUP(C21,Sheet4!A:B,2,0)</f>
        <v>KNOBS TFR -2</v>
      </c>
      <c r="F21" s="56" t="e">
        <f ca="1">Image("https://images-na.ssl-images-amazon.com/images/I/51ms-kSR2SL.jpg;https://images-na.ssl-images-amazon.com/images/I/41nI8pn5KIL.jpg;https://images-na.ssl-images-amazon.com/images/I/41+EChMV-RL.jpg;https://images-na.ssl-images-amazon.com/images/I/41pE7WZ1DbL"&amp;".jpg;https://images-na.ssl-images-amazon.com/images/I/51zXMiplYYL.jpg;https://images-na.ssl-images-amazon.com/images/I/51jxUEFT+QL.jpg;https://images-na.ssl-images-amazon.com/images/I/51NYT0cZc1L.jpg")</f>
        <v>#NAME?</v>
      </c>
      <c r="G21" s="56" t="s">
        <v>173</v>
      </c>
      <c r="H21" s="83">
        <v>77</v>
      </c>
      <c r="I21" s="88">
        <v>1039.19</v>
      </c>
      <c r="J21" s="83">
        <v>6</v>
      </c>
      <c r="K21" s="88">
        <v>-83.99</v>
      </c>
      <c r="L21" s="84">
        <v>542.59</v>
      </c>
      <c r="M21" s="94">
        <f t="shared" si="0"/>
        <v>7.0466233766233772</v>
      </c>
      <c r="N21" s="57">
        <f>(VLOOKUP(E21,Sheet4!F:G,2,0))/1000</f>
        <v>0.56000000000000005</v>
      </c>
      <c r="O21" s="99">
        <f>VLOOKUP(E21,Sheet4!F10:N595,9,0)</f>
        <v>293.60000000000002</v>
      </c>
      <c r="P21" s="58" t="s">
        <v>1187</v>
      </c>
      <c r="Q21" s="59" cm="1">
        <f t="array" ref="Q21">_xlfn.IFS($P21=$P$2,O21+$P$3*N21,$P21=$Q$2,O21+$Q$3*N21)</f>
        <v>360.8</v>
      </c>
      <c r="R21" s="101">
        <f t="shared" si="1"/>
        <v>347.27000000000004</v>
      </c>
      <c r="S21" s="60">
        <f t="shared" si="2"/>
        <v>195.32</v>
      </c>
    </row>
    <row r="22" spans="2:21" ht="14.4">
      <c r="B22" s="55" t="s">
        <v>20</v>
      </c>
      <c r="C22" s="56" t="s">
        <v>1171</v>
      </c>
      <c r="D22" s="56" t="str">
        <f>VLOOKUP(C22,DATA!B:C,2,0)</f>
        <v>GS US KNOBS TFR -3</v>
      </c>
      <c r="E22" s="56" t="str">
        <f>VLOOKUP(C22,Sheet4!A:B,2,0)</f>
        <v>KNOBS TFR -3</v>
      </c>
      <c r="F22" s="56" t="e">
        <f ca="1">Image("https://images-na.ssl-images-amazon.com/images/I/41AbtKwDu0L.jpg;https://images-na.ssl-images-amazon.com/images/I/41GunUFjBSL.jpg;https://images-na.ssl-images-amazon.com/images/I/415STP9-fnL.jpg;https://images-na.ssl-images-amazon.com/images/I/41BaHpI1TOL"&amp;".jpg;https://images-na.ssl-images-amazon.com/images/I/4130HCY+5YL.jpg;https://images-na.ssl-images-amazon.com/images/I/61fqwgEVD3L.jpg;https://images-na.ssl-images-amazon.com/images/I/51kCsw3jfFL.jpg")</f>
        <v>#NAME?</v>
      </c>
      <c r="G22" s="56" t="s">
        <v>1173</v>
      </c>
      <c r="H22" s="83">
        <v>65</v>
      </c>
      <c r="I22" s="88">
        <v>841.46</v>
      </c>
      <c r="J22" s="83">
        <v>19</v>
      </c>
      <c r="K22" s="88">
        <v>-212.39</v>
      </c>
      <c r="L22" s="84">
        <v>-185.68</v>
      </c>
      <c r="M22" s="94">
        <f t="shared" si="0"/>
        <v>-2.8566153846153846</v>
      </c>
      <c r="N22" s="57">
        <f>(VLOOKUP(E22,Sheet4!F:G,2,0))/1000</f>
        <v>0.56000000000000005</v>
      </c>
      <c r="O22" s="99">
        <f>VLOOKUP(E22,Sheet4!F11:N596,9,0)</f>
        <v>293.60000000000002</v>
      </c>
      <c r="P22" s="58" t="s">
        <v>1187</v>
      </c>
      <c r="Q22" s="59" cm="1">
        <f t="array" ref="Q22">_xlfn.IFS($P22=$P$2,O22+$P$3*N22,$P22=$Q$2,O22+$Q$3*N22)</f>
        <v>360.8</v>
      </c>
      <c r="R22" s="101">
        <f t="shared" si="1"/>
        <v>293.14999999999998</v>
      </c>
      <c r="S22" s="60">
        <f t="shared" si="2"/>
        <v>-478.83</v>
      </c>
    </row>
    <row r="23" spans="2:21" ht="14.4">
      <c r="B23" s="55" t="s">
        <v>20</v>
      </c>
      <c r="C23" s="56" t="s">
        <v>578</v>
      </c>
      <c r="D23" s="56" t="str">
        <f>VLOOKUP(C23,DATA!B:C,2,0)</f>
        <v>GS US KNOBS TFR -1</v>
      </c>
      <c r="E23" s="56" t="str">
        <f>VLOOKUP(C23,Sheet4!A:B,2,0)</f>
        <v>KNOBS TFR -1</v>
      </c>
      <c r="F23" s="56" t="e">
        <f ca="1">Image("https://images-na.ssl-images-amazon.com/images/I/41NI7O+XdLL.jpg;https://images-na.ssl-images-amazon.com/images/I/41cmYfhJpzL.jpg;https://images-na.ssl-images-amazon.com/images/I/41WnOXaDm3L.jpg;https://images-na.ssl-images-amazon.com/images/I/318b8VdLmrL"&amp;".jpg;https://images-na.ssl-images-amazon.com/images/I/31L0mZ5N2iL.jpg;https://images-na.ssl-images-amazon.com/images/I/51p22NM6GaL.jpg;https://images-na.ssl-images-amazon.com/images/I/61xaxM5bkZL.jpg;https://images-na.ssl-images-amazon.com/images/I/418vJz"&amp;"t74mL.jpg")</f>
        <v>#NAME?</v>
      </c>
      <c r="G23" s="56" t="s">
        <v>580</v>
      </c>
      <c r="H23" s="83">
        <v>91</v>
      </c>
      <c r="I23" s="88">
        <v>1162.28</v>
      </c>
      <c r="J23" s="83">
        <v>19</v>
      </c>
      <c r="K23" s="88">
        <v>-207.02</v>
      </c>
      <c r="L23" s="84">
        <v>41.02</v>
      </c>
      <c r="M23" s="94">
        <f t="shared" si="0"/>
        <v>0.45076923076923081</v>
      </c>
      <c r="N23" s="57">
        <f>(VLOOKUP(E23,Sheet4!F:G,2,0))/1000</f>
        <v>0.56000000000000005</v>
      </c>
      <c r="O23" s="99">
        <f>VLOOKUP(E23,Sheet4!F12:N597,9,0)</f>
        <v>293.60000000000002</v>
      </c>
      <c r="P23" s="58" t="s">
        <v>1187</v>
      </c>
      <c r="Q23" s="59" cm="1">
        <f t="array" ref="Q23">_xlfn.IFS($P23=$P$2,O23+$P$3*N23,$P23=$Q$2,O23+$Q$3*N23)</f>
        <v>360.8</v>
      </c>
      <c r="R23" s="101">
        <f t="shared" si="1"/>
        <v>410.41</v>
      </c>
      <c r="S23" s="60">
        <f t="shared" si="2"/>
        <v>-369.39000000000004</v>
      </c>
      <c r="U23" s="87" t="s">
        <v>5063</v>
      </c>
    </row>
    <row r="24" spans="2:21" ht="14.4">
      <c r="B24" s="55" t="s">
        <v>20</v>
      </c>
      <c r="C24" s="56" t="s">
        <v>683</v>
      </c>
      <c r="D24" s="56" t="str">
        <f>VLOOKUP(C24,DATA!B:C,2,0)</f>
        <v>Gs Usa Air 10 Sky Blue Flat Knobs</v>
      </c>
      <c r="E24" s="56" t="str">
        <f>VLOOKUP(C24,Sheet4!A:B,2,0)</f>
        <v>KNOBS FLAT -1</v>
      </c>
      <c r="F24" s="56" t="e">
        <f ca="1">Image("https://images-na.ssl-images-amazon.com/images/I/41g5hSV5obL.jpg;https://images-na.ssl-images-amazon.com/images/I/41S3Uk+V6CL.jpg;https://images-na.ssl-images-amazon.com/images/I/41mxMhcrSzL.jpg;https://images-na.ssl-images-amazon.com/images/I/41MYsi+mkKL"&amp;".jpg;https://images-na.ssl-images-amazon.com/images/I/51ODzstM74L.jpg;https://images-na.ssl-images-amazon.com/images/I/61ukAHs5khL.jpg;https://images-na.ssl-images-amazon.com/images/I/51VDQjeIXBL.jpg;https://images-na.ssl-images-amazon.com/images/I/41PbUY"&amp;"P9KYL.jpg")</f>
        <v>#NAME?</v>
      </c>
      <c r="G24" s="56" t="s">
        <v>685</v>
      </c>
      <c r="H24" s="83">
        <v>18</v>
      </c>
      <c r="I24" s="88">
        <v>216</v>
      </c>
      <c r="J24" s="83">
        <v>3</v>
      </c>
      <c r="K24" s="88">
        <v>-35.799999999999997</v>
      </c>
      <c r="L24" s="84">
        <v>22.79</v>
      </c>
      <c r="M24" s="94">
        <f t="shared" si="0"/>
        <v>1.266111111111111</v>
      </c>
      <c r="N24" s="57">
        <f>(VLOOKUP(E24,Sheet4!F:G,2,0))/1000</f>
        <v>0.48</v>
      </c>
      <c r="O24" s="99">
        <f>VLOOKUP(E24,Sheet4!F13:N598,9,0)</f>
        <v>260.39999999999998</v>
      </c>
      <c r="P24" s="58" t="s">
        <v>1187</v>
      </c>
      <c r="Q24" s="59" cm="1">
        <f t="array" ref="Q24">_xlfn.IFS($P24=$P$2,O24+$P$3*N24,$P24=$Q$2,O24+$Q$3*N24)</f>
        <v>318</v>
      </c>
      <c r="R24" s="101">
        <f t="shared" si="1"/>
        <v>71.55</v>
      </c>
      <c r="S24" s="60">
        <f t="shared" si="2"/>
        <v>-48.76</v>
      </c>
      <c r="T24" s="51" t="s">
        <v>5067</v>
      </c>
      <c r="U24" s="51" t="s">
        <v>5038</v>
      </c>
    </row>
    <row r="25" spans="2:21" ht="14.4">
      <c r="B25" s="55" t="s">
        <v>20</v>
      </c>
      <c r="C25" s="56" t="s">
        <v>127</v>
      </c>
      <c r="D25" s="56" t="str">
        <f>VLOOKUP(C25,DATA!B:C,2,0)</f>
        <v>GS SEA KNOBS FLAT -2</v>
      </c>
      <c r="E25" s="56" t="str">
        <f>VLOOKUP(C25,Sheet4!A:B,2,0)</f>
        <v>KNOBS FLAT -2</v>
      </c>
      <c r="F25" s="56" t="e">
        <f ca="1">Image("https://images-na.ssl-images-amazon.com/images/I/41bJhvd6iWL.jpg;https://images-na.ssl-images-amazon.com/images/I/51NDwofsY9L.jpg;https://images-na.ssl-images-amazon.com/images/I/41TM8PrZnJL.jpg;https://images-na.ssl-images-amazon.com/images/I/413TjTXnyIL"&amp;".jpg;https://images-na.ssl-images-amazon.com/images/I/51qBa1U+56L.jpg;https://images-na.ssl-images-amazon.com/images/I/51BfznTgQ3L.jpg;https://images-na.ssl-images-amazon.com/images/I/51lHkguOGLL.jpg")</f>
        <v>#NAME?</v>
      </c>
      <c r="G25" s="56" t="s">
        <v>129</v>
      </c>
      <c r="H25" s="83">
        <v>141</v>
      </c>
      <c r="I25" s="88">
        <v>1980.96</v>
      </c>
      <c r="J25" s="83">
        <v>3</v>
      </c>
      <c r="K25" s="88">
        <v>-38.409999999999997</v>
      </c>
      <c r="L25" s="84">
        <v>919.79</v>
      </c>
      <c r="M25" s="94">
        <f t="shared" si="0"/>
        <v>6.5233333333333334</v>
      </c>
      <c r="N25" s="57">
        <f>(VLOOKUP(E25,Sheet4!F:G,2,0))/1000</f>
        <v>0.56000000000000005</v>
      </c>
      <c r="O25" s="99">
        <f>VLOOKUP(E25,Sheet4!F14:N599,9,0)</f>
        <v>302</v>
      </c>
      <c r="P25" s="58" t="s">
        <v>1187</v>
      </c>
      <c r="Q25" s="59" cm="1">
        <f t="array" ref="Q25">_xlfn.IFS($P25=$P$2,O25+$P$3*N25,$P25=$Q$2,O25+$Q$3*N25)</f>
        <v>369.2</v>
      </c>
      <c r="R25" s="101">
        <f t="shared" si="1"/>
        <v>650.71499999999992</v>
      </c>
      <c r="S25" s="60">
        <f t="shared" si="2"/>
        <v>269.07500000000005</v>
      </c>
      <c r="U25" s="87" t="s">
        <v>5061</v>
      </c>
    </row>
    <row r="26" spans="2:21" ht="14.4">
      <c r="B26" s="55" t="s">
        <v>20</v>
      </c>
      <c r="C26" s="56" t="s">
        <v>730</v>
      </c>
      <c r="D26" s="56" t="str">
        <f>VLOOKUP(C26,DATA!B:C,2,0)</f>
        <v>GS US 12 Grey Pumpkin Knobs</v>
      </c>
      <c r="E26" s="56" t="str">
        <f>VLOOKUP(C26,Sheet4!A:B,2,0)</f>
        <v>KNOBS PMKN -3</v>
      </c>
      <c r="F26" s="56" t="e">
        <f ca="1">Image("https://images-na.ssl-images-amazon.com/images/I/414oFIY8HIL.jpg;https://images-na.ssl-images-amazon.com/images/I/41ZONmv61mL.jpg;https://images-na.ssl-images-amazon.com/images/I/41NDt9wbTeL.jpg;https://images-na.ssl-images-amazon.com/images/I/41vBgooeEQL"&amp;".jpg;https://images-na.ssl-images-amazon.com/images/I/51qpSUST8DL.jpg;https://images-na.ssl-images-amazon.com/images/I/610qSO4sDXL.jpg;https://images-na.ssl-images-amazon.com/images/I/613-dRRq42L.jpg")</f>
        <v>#NAME?</v>
      </c>
      <c r="G26" s="56" t="s">
        <v>732</v>
      </c>
      <c r="H26" s="83">
        <v>3</v>
      </c>
      <c r="I26" s="88">
        <v>39.5</v>
      </c>
      <c r="J26" s="83">
        <v>1</v>
      </c>
      <c r="K26" s="88">
        <v>-17.38</v>
      </c>
      <c r="L26" s="84">
        <v>16.18</v>
      </c>
      <c r="M26" s="94">
        <f t="shared" si="0"/>
        <v>5.3933333333333335</v>
      </c>
      <c r="N26" s="57">
        <f>(VLOOKUP(E26,Sheet4!F:G,2,0))/1000</f>
        <v>0.63200000000000001</v>
      </c>
      <c r="O26" s="99">
        <f>VLOOKUP(E26,Sheet4!F15:N600,9,0)</f>
        <v>317.60000000000002</v>
      </c>
      <c r="P26" s="58" t="s">
        <v>1187</v>
      </c>
      <c r="Q26" s="59" cm="1">
        <f t="array" ref="Q26">_xlfn.IFS($P26=$P$2,O26+$P$3*N26,$P26=$Q$2,O26+$Q$3*N26)</f>
        <v>393.44000000000005</v>
      </c>
      <c r="R26" s="101">
        <f t="shared" si="1"/>
        <v>14.754000000000001</v>
      </c>
      <c r="S26" s="60">
        <f t="shared" si="2"/>
        <v>1.4259999999999984</v>
      </c>
      <c r="U26" s="51" t="s">
        <v>5040</v>
      </c>
    </row>
    <row r="27" spans="2:21" ht="14.4">
      <c r="B27" s="55" t="s">
        <v>20</v>
      </c>
      <c r="C27" s="56" t="s">
        <v>133</v>
      </c>
      <c r="D27" s="56" t="str">
        <f>VLOOKUP(C27,DATA!B:C,2,0)</f>
        <v>GS SEA KNOBS FLAT -6</v>
      </c>
      <c r="E27" s="56" t="str">
        <f>VLOOKUP(C27,Sheet4!A:B,2,0)</f>
        <v>KNOBS FLAT -6</v>
      </c>
      <c r="F27" s="56" t="e">
        <f ca="1">Image("https://images-na.ssl-images-amazon.com/images/I/51nHGj1X3wL.jpg;https://images-na.ssl-images-amazon.com/images/I/41eH2MC-bxL.jpg;https://images-na.ssl-images-amazon.com/images/I/41BbOMETspL.jpg;https://images-na.ssl-images-amazon.com/images/I/41uoF6ucv5L"&amp;".jpg;https://images-na.ssl-images-amazon.com/images/I/51mvhruf2OL.jpg;https://images-na.ssl-images-amazon.com/images/I/61uCEYPxRvL.jpg;https://images-na.ssl-images-amazon.com/images/I/41ykDXxBy9L.jpg")</f>
        <v>#NAME?</v>
      </c>
      <c r="G27" s="56" t="s">
        <v>135</v>
      </c>
      <c r="H27" s="83">
        <v>191</v>
      </c>
      <c r="I27" s="88">
        <v>2419.4299999999998</v>
      </c>
      <c r="J27" s="83">
        <v>20</v>
      </c>
      <c r="K27" s="88">
        <v>-216.3</v>
      </c>
      <c r="L27" s="84">
        <v>823.22</v>
      </c>
      <c r="M27" s="94">
        <f t="shared" si="0"/>
        <v>4.3100523560209423</v>
      </c>
      <c r="N27" s="57">
        <f>(VLOOKUP(E27,Sheet4!F:G,2,0))/1000</f>
        <v>0.48</v>
      </c>
      <c r="O27" s="99">
        <f>VLOOKUP(E27,Sheet4!F16:N601,9,0)</f>
        <v>241.2</v>
      </c>
      <c r="P27" s="58" t="s">
        <v>1187</v>
      </c>
      <c r="Q27" s="59" cm="1">
        <f t="array" ref="Q27">_xlfn.IFS($P27=$P$2,O27+$P$3*N27,$P27=$Q$2,O27+$Q$3*N27)</f>
        <v>298.79999999999995</v>
      </c>
      <c r="R27" s="101">
        <f t="shared" si="1"/>
        <v>713.38499999999988</v>
      </c>
      <c r="S27" s="60">
        <f t="shared" si="2"/>
        <v>109.83500000000015</v>
      </c>
    </row>
    <row r="28" spans="2:21" ht="14.4">
      <c r="B28" s="55" t="s">
        <v>20</v>
      </c>
      <c r="C28" s="56" t="s">
        <v>403</v>
      </c>
      <c r="D28" s="56" t="str">
        <f>VLOOKUP(C28,DATA!B:C,2,0)</f>
        <v>GS US KNOBS PMKN -1</v>
      </c>
      <c r="E28" s="56" t="str">
        <f>VLOOKUP(C28,Sheet4!A:B,2,0)</f>
        <v>KNOBS PMKN -1</v>
      </c>
      <c r="F28" s="56" t="e">
        <f ca="1">Image("https://images-na.ssl-images-amazon.com/images/I/414TxdU8BLL.jpg;https://images-na.ssl-images-amazon.com/images/I/5123BYH92DL.jpg;https://images-na.ssl-images-amazon.com/images/I/41AhO2AeTHL.jpg;https://images-na.ssl-images-amazon.com/images/I/51+Eztjn3fL"&amp;".jpg;https://images-na.ssl-images-amazon.com/images/I/41k9Qg3r+7L.jpg;https://images-na.ssl-images-amazon.com/images/I/51mLy7k98hL.jpg;https://images-na.ssl-images-amazon.com/images/I/41JwYiT88IL.jpg")</f>
        <v>#NAME?</v>
      </c>
      <c r="G28" s="56" t="s">
        <v>405</v>
      </c>
      <c r="H28" s="83">
        <v>50</v>
      </c>
      <c r="I28" s="88">
        <v>664.76</v>
      </c>
      <c r="J28" s="83">
        <v>3</v>
      </c>
      <c r="K28" s="88">
        <v>-43.53</v>
      </c>
      <c r="L28" s="84">
        <v>116.89</v>
      </c>
      <c r="M28" s="94">
        <f t="shared" si="0"/>
        <v>2.3378000000000001</v>
      </c>
      <c r="N28" s="57">
        <f>(VLOOKUP(E28,Sheet4!F:G,2,0))/1000</f>
        <v>0.54</v>
      </c>
      <c r="O28" s="99">
        <f>VLOOKUP(E28,Sheet4!F17:N602,9,0)</f>
        <v>273.60000000000002</v>
      </c>
      <c r="P28" s="58" t="s">
        <v>1187</v>
      </c>
      <c r="Q28" s="59" cm="1">
        <f t="array" ref="Q28">_xlfn.IFS($P28=$P$2,O28+$P$3*N28,$P28=$Q$2,O28+$Q$3*N28)</f>
        <v>338.40000000000003</v>
      </c>
      <c r="R28" s="101">
        <f t="shared" si="1"/>
        <v>211.5</v>
      </c>
      <c r="S28" s="60">
        <f t="shared" si="2"/>
        <v>-94.61</v>
      </c>
      <c r="T28" s="51" t="s">
        <v>5039</v>
      </c>
      <c r="U28" s="51" t="s">
        <v>5041</v>
      </c>
    </row>
    <row r="29" spans="2:21" ht="14.4">
      <c r="B29" s="55" t="s">
        <v>20</v>
      </c>
      <c r="C29" s="56" t="s">
        <v>518</v>
      </c>
      <c r="D29" s="56" t="str">
        <f>VLOOKUP(C29,DATA!B:C,2,0)</f>
        <v>KNOBS ORNT-2</v>
      </c>
      <c r="E29" s="56" t="str">
        <f>VLOOKUP(C29,Sheet4!A:B,2,0)</f>
        <v>KNOBS ORNT -2</v>
      </c>
      <c r="F29" s="56" t="e">
        <f ca="1">Image("https://images-na.ssl-images-amazon.com/images/I/416kCWZQWdL.jpg;https://images-na.ssl-images-amazon.com/images/I/41QoXUsC0zL.jpg;https://images-na.ssl-images-amazon.com/images/I/41yXDWQT51L.jpg;https://images-na.ssl-images-amazon.com/images/I/41CNkbEvNuL"&amp;".jpg;https://images-na.ssl-images-amazon.com/images/I/513k6zCY5TL.jpg;https://images-na.ssl-images-amazon.com/images/I/51yvcbscM8L.jpg;https://images-na.ssl-images-amazon.com/images/I/51OGdAJV8cL.jpg")</f>
        <v>#NAME?</v>
      </c>
      <c r="G29" s="56" t="s">
        <v>520</v>
      </c>
      <c r="H29" s="83">
        <v>17</v>
      </c>
      <c r="I29" s="88">
        <v>232</v>
      </c>
      <c r="J29" s="83">
        <v>4</v>
      </c>
      <c r="K29" s="88">
        <v>-54.7</v>
      </c>
      <c r="L29" s="84">
        <v>59.59</v>
      </c>
      <c r="M29" s="94">
        <f t="shared" si="0"/>
        <v>3.5052941176470589</v>
      </c>
      <c r="N29" s="57">
        <f>(VLOOKUP(E29,Sheet4!F:G,2,0))/1000</f>
        <v>0.54</v>
      </c>
      <c r="O29" s="99">
        <f>VLOOKUP(E29,Sheet4!F18:N603,9,0)</f>
        <v>254.4</v>
      </c>
      <c r="P29" s="58" t="s">
        <v>1187</v>
      </c>
      <c r="Q29" s="59" cm="1">
        <f t="array" ref="Q29">_xlfn.IFS($P29=$P$2,O29+$P$3*N29,$P29=$Q$2,O29+$Q$3*N29)</f>
        <v>319.20000000000005</v>
      </c>
      <c r="R29" s="101">
        <f t="shared" si="1"/>
        <v>67.830000000000013</v>
      </c>
      <c r="S29" s="60">
        <f t="shared" si="2"/>
        <v>-8.2400000000000091</v>
      </c>
    </row>
    <row r="30" spans="2:21" ht="14.4">
      <c r="B30" s="55" t="s">
        <v>20</v>
      </c>
      <c r="C30" s="56" t="s">
        <v>1183</v>
      </c>
      <c r="D30" s="56" t="str">
        <f>VLOOKUP(C30,DATA!B:C,2,0)</f>
        <v>Gs Usa Air CTN BAG -1</v>
      </c>
      <c r="E30" s="56" t="str">
        <f>VLOOKUP(C30,Sheet4!A:B,2,0)</f>
        <v>CTN BAG -1</v>
      </c>
      <c r="F30" s="56" t="e">
        <f ca="1">Image("https://images-na.ssl-images-amazon.com/images/I/31y96bO7I0L.jpg;https://images-na.ssl-images-amazon.com/images/I/51ReM5vYPmL.jpg;https://images-na.ssl-images-amazon.com/images/I/51I1AXunyPL.jpg;https://images-na.ssl-images-amazon.com/images/I/41eif+6zODL"&amp;".jpg;https://images-na.ssl-images-amazon.com/images/I/41o6OiPpccL.jpg;https://images-na.ssl-images-amazon.com/images/I/3148V3U4tyL.jpg")</f>
        <v>#NAME?</v>
      </c>
      <c r="G30" s="56" t="s">
        <v>1185</v>
      </c>
      <c r="H30" s="83">
        <v>92</v>
      </c>
      <c r="I30" s="88">
        <v>1146.3499999999999</v>
      </c>
      <c r="J30" s="83">
        <v>7</v>
      </c>
      <c r="K30" s="88">
        <v>-79.36</v>
      </c>
      <c r="L30" s="84">
        <v>-498.69</v>
      </c>
      <c r="M30" s="94">
        <f t="shared" si="0"/>
        <v>-5.4205434782608695</v>
      </c>
      <c r="N30" s="57">
        <f>(VLOOKUP(E30,Sheet4!F:G,2,0))/1000</f>
        <v>0.7</v>
      </c>
      <c r="O30" s="99">
        <f>VLOOKUP(E30,Sheet4!F19:N604,9,0)</f>
        <v>390.4</v>
      </c>
      <c r="P30" s="58" t="s">
        <v>1187</v>
      </c>
      <c r="Q30" s="59" cm="1">
        <f t="array" ref="Q30">_xlfn.IFS($P30=$P$2,O30+$P$3*N30,$P30=$Q$2,O30+$Q$3*N30)</f>
        <v>474.4</v>
      </c>
      <c r="R30" s="101">
        <f t="shared" si="1"/>
        <v>545.55999999999995</v>
      </c>
      <c r="S30" s="60">
        <f t="shared" si="2"/>
        <v>-1044.25</v>
      </c>
      <c r="T30" s="51" t="s">
        <v>5042</v>
      </c>
      <c r="U30" s="51" t="s">
        <v>5043</v>
      </c>
    </row>
    <row r="31" spans="2:21" ht="14.4">
      <c r="B31" s="55" t="s">
        <v>20</v>
      </c>
      <c r="C31" s="56" t="s">
        <v>1168</v>
      </c>
      <c r="D31" s="56" t="str">
        <f>VLOOKUP(C31,DATA!B:C,2,0)</f>
        <v>GS SEA KNOBS TFR -5</v>
      </c>
      <c r="E31" s="56" t="str">
        <f>VLOOKUP(C31,Sheet4!A:B,2,0)</f>
        <v>KNOBS TFR -5</v>
      </c>
      <c r="F31" s="56" t="e">
        <f ca="1">Image("https://images-na.ssl-images-amazon.com/images/I/4192FCBNu6L.jpg;https://images-na.ssl-images-amazon.com/images/I/416rjtaDaoL.jpg;https://images-na.ssl-images-amazon.com/images/I/21fLs58t-oL.jpg;https://images-na.ssl-images-amazon.com/images/I/51nMPt6cGKL"&amp;".jpg;https://images-na.ssl-images-amazon.com/images/I/31sntDzA6oL.jpg;https://images-na.ssl-images-amazon.com/images/I/41aUlTQrDwL.jpg")</f>
        <v>#NAME?</v>
      </c>
      <c r="G31" s="56" t="s">
        <v>1170</v>
      </c>
      <c r="H31" s="83">
        <v>45</v>
      </c>
      <c r="I31" s="88">
        <v>643.4</v>
      </c>
      <c r="J31" s="83">
        <v>11</v>
      </c>
      <c r="K31" s="88">
        <v>-129.18</v>
      </c>
      <c r="L31" s="84">
        <v>-175.49</v>
      </c>
      <c r="M31" s="94">
        <f t="shared" si="0"/>
        <v>-3.899777777777778</v>
      </c>
      <c r="N31" s="57">
        <f>(VLOOKUP(E31,Sheet4!F:G,2,0))/1000</f>
        <v>0.56000000000000005</v>
      </c>
      <c r="O31" s="99">
        <f>VLOOKUP(E31,Sheet4!F20:N605,9,0)</f>
        <v>293.60000000000002</v>
      </c>
      <c r="P31" s="58" t="s">
        <v>1187</v>
      </c>
      <c r="Q31" s="59" cm="1">
        <f t="array" ref="Q31">_xlfn.IFS($P31=$P$2,O31+$P$3*N31,$P31=$Q$2,O31+$Q$3*N31)</f>
        <v>360.8</v>
      </c>
      <c r="R31" s="101">
        <f t="shared" si="1"/>
        <v>202.95</v>
      </c>
      <c r="S31" s="60">
        <f t="shared" si="2"/>
        <v>-378.44</v>
      </c>
    </row>
    <row r="32" spans="2:21" ht="14.4">
      <c r="B32" s="55" t="s">
        <v>20</v>
      </c>
      <c r="C32" s="56" t="s">
        <v>230</v>
      </c>
      <c r="D32" s="56" t="str">
        <f>VLOOKUP(C32,DATA!B:C,2,0)</f>
        <v>MS PNDM -8</v>
      </c>
      <c r="E32" s="56" t="str">
        <f>VLOOKUP(C32,Sheet4!A:B,2,0)</f>
        <v>PNDM -8</v>
      </c>
      <c r="F32" s="56" t="e">
        <f ca="1">Image("https://images-na.ssl-images-amazon.com/images/I/31bjoOvrAcL.jpg;https://images-na.ssl-images-amazon.com/images/I/31A2-5A8EUL.jpg;https://images-na.ssl-images-amazon.com/images/I/31+D8jF7lsL.jpg;https://images-na.ssl-images-amazon.com/images/I/41HDY4AUpOL"&amp;".jpg;https://images-na.ssl-images-amazon.com/images/I/41-6UpxVJdL.jpg;https://images-na.ssl-images-amazon.com/images/I/41-waeHluML.jpg")</f>
        <v>#NAME?</v>
      </c>
      <c r="G32" s="56" t="s">
        <v>232</v>
      </c>
      <c r="H32" s="83">
        <v>123</v>
      </c>
      <c r="I32" s="88">
        <v>778.99</v>
      </c>
      <c r="J32" s="83">
        <v>4</v>
      </c>
      <c r="K32" s="88">
        <v>-23.22</v>
      </c>
      <c r="L32" s="84">
        <v>316.95</v>
      </c>
      <c r="M32" s="94">
        <f t="shared" si="0"/>
        <v>2.5768292682926828</v>
      </c>
      <c r="N32" s="57">
        <f>(VLOOKUP(E32,Sheet4!F:G,2,0))/1000</f>
        <v>0.05</v>
      </c>
      <c r="O32" s="99">
        <f>VLOOKUP(E32,Sheet4!F29:J614,5,0)</f>
        <v>72</v>
      </c>
      <c r="P32" s="58" t="s">
        <v>1188</v>
      </c>
      <c r="Q32" s="59" cm="1">
        <f t="array" ref="Q32">_xlfn.IFS($P32=$P$2,O32+$P$3*N32,$P32=$Q$2,O32+$Q$3*N32)</f>
        <v>94.5</v>
      </c>
      <c r="R32" s="101">
        <f t="shared" si="1"/>
        <v>145.29374999999999</v>
      </c>
      <c r="S32" s="60">
        <f t="shared" si="2"/>
        <v>171.65625</v>
      </c>
    </row>
    <row r="33" spans="2:21" ht="14.4">
      <c r="B33" s="55" t="s">
        <v>20</v>
      </c>
      <c r="C33" s="56" t="s">
        <v>378</v>
      </c>
      <c r="D33" s="56" t="str">
        <f>VLOOKUP(C33,DATA!B:C,2,0)</f>
        <v>MS PNDM -10</v>
      </c>
      <c r="E33" s="56" t="str">
        <f>VLOOKUP(C33,Sheet4!A:B,2,0)</f>
        <v>PNDM -10</v>
      </c>
      <c r="F33" s="56" t="e">
        <f ca="1">Image("https://images-na.ssl-images-amazon.com/images/I/31PFzDEPNtL.jpg;https://images-na.ssl-images-amazon.com/images/I/31+U84xmOwL.jpg;https://images-na.ssl-images-amazon.com/images/I/41ngDl8a4cL.jpg;https://images-na.ssl-images-amazon.com/images/I/31+XrbwUUsL"&amp;".jpg;https://images-na.ssl-images-amazon.com/images/I/41AynnnEuUL.jpg;https://images-na.ssl-images-amazon.com/images/I/41C7PkSLz1L.jpg;https://images-na.ssl-images-amazon.com/images/I/51y-Yh2Gh7L.jpg")</f>
        <v>#NAME?</v>
      </c>
      <c r="G33" s="56" t="s">
        <v>380</v>
      </c>
      <c r="H33" s="83">
        <v>83</v>
      </c>
      <c r="I33" s="88">
        <v>580.44000000000005</v>
      </c>
      <c r="J33" s="83">
        <v>6</v>
      </c>
      <c r="K33" s="88">
        <v>-39.97</v>
      </c>
      <c r="L33" s="84">
        <v>131.53</v>
      </c>
      <c r="M33" s="94">
        <f t="shared" si="0"/>
        <v>1.584698795180723</v>
      </c>
      <c r="N33" s="57">
        <f>(VLOOKUP(E33,Sheet4!F:G,2,0))/1000</f>
        <v>0.05</v>
      </c>
      <c r="O33" s="99">
        <f>VLOOKUP(E33,Sheet4!F30:J615,5,0)</f>
        <v>72</v>
      </c>
      <c r="P33" s="58" t="s">
        <v>1188</v>
      </c>
      <c r="Q33" s="59" cm="1">
        <f t="array" ref="Q33">_xlfn.IFS($P33=$P$2,O33+$P$3*N33,$P33=$Q$2,O33+$Q$3*N33)</f>
        <v>94.5</v>
      </c>
      <c r="R33" s="101">
        <f t="shared" si="1"/>
        <v>98.043750000000003</v>
      </c>
      <c r="S33" s="60">
        <f t="shared" si="2"/>
        <v>33.486249999999998</v>
      </c>
    </row>
    <row r="34" spans="2:21" ht="14.4">
      <c r="B34" s="55" t="s">
        <v>20</v>
      </c>
      <c r="C34" s="56" t="s">
        <v>563</v>
      </c>
      <c r="D34" s="56" t="str">
        <f>VLOOKUP(C34,DATA!B:C,2,0)</f>
        <v>MS PNDM -14</v>
      </c>
      <c r="E34" s="56" t="str">
        <f>VLOOKUP(C34,Sheet4!A:B,2,0)</f>
        <v>PNDM -14</v>
      </c>
      <c r="F34" s="56" t="e">
        <f ca="1">Image("https://images-na.ssl-images-amazon.com/images/I/31wpkKyJhUL.jpg;https://images-na.ssl-images-amazon.com/images/I/31OljM0tliL.jpg;https://images-na.ssl-images-amazon.com/images/I/31K8E-WicxL.jpg;https://images-na.ssl-images-amazon.com/images/I/51YP17Df0kL"&amp;".jpg;https://images-na.ssl-images-amazon.com/images/I/41IiDjD3unL.jpg;https://images-na.ssl-images-amazon.com/images/I/51--EGoBBQL.jpg;https://images-na.ssl-images-amazon.com/images/I/51V0N0K2LRL.jpg")</f>
        <v>#NAME?</v>
      </c>
      <c r="G34" s="56" t="s">
        <v>565</v>
      </c>
      <c r="H34" s="83">
        <v>29</v>
      </c>
      <c r="I34" s="88">
        <v>192.18</v>
      </c>
      <c r="J34" s="83">
        <v>3</v>
      </c>
      <c r="K34" s="88">
        <v>-18.829999999999998</v>
      </c>
      <c r="L34" s="84">
        <v>42.02</v>
      </c>
      <c r="M34" s="94">
        <f t="shared" si="0"/>
        <v>1.4489655172413793</v>
      </c>
      <c r="N34" s="57">
        <f>(VLOOKUP(E34,Sheet4!F:G,2,0))/1000</f>
        <v>0.05</v>
      </c>
      <c r="O34" s="99">
        <f>VLOOKUP(E34,Sheet4!F31:J616,5,0)</f>
        <v>72</v>
      </c>
      <c r="P34" s="58" t="s">
        <v>1188</v>
      </c>
      <c r="Q34" s="59" cm="1">
        <f t="array" ref="Q34">_xlfn.IFS($P34=$P$2,O34+$P$3*N34,$P34=$Q$2,O34+$Q$3*N34)</f>
        <v>94.5</v>
      </c>
      <c r="R34" s="101">
        <f t="shared" si="1"/>
        <v>34.256250000000001</v>
      </c>
      <c r="S34" s="60">
        <f t="shared" si="2"/>
        <v>7.7637500000000017</v>
      </c>
    </row>
    <row r="35" spans="2:21" ht="14.4">
      <c r="B35" s="55" t="s">
        <v>20</v>
      </c>
      <c r="C35" s="56" t="s">
        <v>370</v>
      </c>
      <c r="D35" s="56" t="str">
        <f>VLOOKUP(C35,DATA!B:C,2,0)</f>
        <v>MS PNDM -11</v>
      </c>
      <c r="E35" s="56" t="str">
        <f>VLOOKUP(C35,Sheet4!A:B,2,0)</f>
        <v>PNDM -11</v>
      </c>
      <c r="F35" s="56" t="e">
        <f ca="1">Image("https://images-na.ssl-images-amazon.com/images/I/311NYDDTGSL.jpg;https://images-na.ssl-images-amazon.com/images/I/41OwSASaDcL.jpg;https://images-na.ssl-images-amazon.com/images/I/31WOFOPMEDL.jpg;https://images-na.ssl-images-amazon.com/images/I/41joVqb+y6L"&amp;".jpg;https://images-na.ssl-images-amazon.com/images/I/51XDnlU4vyL.jpg;https://images-na.ssl-images-amazon.com/images/I/41fbIrKq8sL.jpg")</f>
        <v>#NAME?</v>
      </c>
      <c r="G35" s="56" t="s">
        <v>372</v>
      </c>
      <c r="H35" s="83">
        <v>55</v>
      </c>
      <c r="I35" s="88">
        <v>343.94</v>
      </c>
      <c r="J35" s="83">
        <v>1</v>
      </c>
      <c r="K35" s="88">
        <v>-5.62</v>
      </c>
      <c r="L35" s="84">
        <v>135.58000000000001</v>
      </c>
      <c r="M35" s="94">
        <f t="shared" si="0"/>
        <v>2.4650909090909092</v>
      </c>
      <c r="N35" s="57">
        <f>(VLOOKUP(E35,Sheet4!F:G,2,0))/1000</f>
        <v>0.05</v>
      </c>
      <c r="O35" s="99">
        <f>VLOOKUP(E35,Sheet4!F32:J617,5,0)</f>
        <v>72</v>
      </c>
      <c r="P35" s="58" t="s">
        <v>1188</v>
      </c>
      <c r="Q35" s="59" cm="1">
        <f t="array" ref="Q35">_xlfn.IFS($P35=$P$2,O35+$P$3*N35,$P35=$Q$2,O35+$Q$3*N35)</f>
        <v>94.5</v>
      </c>
      <c r="R35" s="101">
        <f t="shared" si="1"/>
        <v>64.96875</v>
      </c>
      <c r="S35" s="60">
        <f t="shared" si="2"/>
        <v>70.611250000000013</v>
      </c>
      <c r="U35" s="87" t="s">
        <v>5064</v>
      </c>
    </row>
    <row r="36" spans="2:21" ht="14.4">
      <c r="B36" s="55" t="s">
        <v>20</v>
      </c>
      <c r="C36" s="56" t="s">
        <v>1016</v>
      </c>
      <c r="D36" s="56" t="str">
        <f>VLOOKUP(C36,DATA!B:C,2,0)</f>
        <v>MS PNDM -13</v>
      </c>
      <c r="E36" s="56" t="str">
        <f>VLOOKUP(C36,Sheet4!A:B,2,0)</f>
        <v>PNDM -13</v>
      </c>
      <c r="F36" s="56" t="e">
        <f ca="1">Image("https://images-na.ssl-images-amazon.com/images/I/315FRLu3f6L.jpg;https://images-na.ssl-images-amazon.com/images/I/41yxmwlZw0L.jpg;https://images-na.ssl-images-amazon.com/images/I/31gb-Qky7bL.jpg;https://images-na.ssl-images-amazon.com/images/I/41vgY6--x+L"&amp;".jpg;https://images-na.ssl-images-amazon.com/images/I/415QNYmdDtL.jpg;https://images-na.ssl-images-amazon.com/images/I/41bI9upgZ7L.jpg;https://images-na.ssl-images-amazon.com/images/I/41UM6xAtSnL.jpg")</f>
        <v>#NAME?</v>
      </c>
      <c r="G36" s="56" t="s">
        <v>1018</v>
      </c>
      <c r="H36" s="83">
        <v>4</v>
      </c>
      <c r="I36" s="88">
        <v>22</v>
      </c>
      <c r="J36" s="83">
        <v>0</v>
      </c>
      <c r="K36" s="88">
        <v>0</v>
      </c>
      <c r="L36" s="84">
        <v>-6.18</v>
      </c>
      <c r="M36" s="94">
        <f t="shared" si="0"/>
        <v>-1.5449999999999999</v>
      </c>
      <c r="N36" s="57">
        <f>(VLOOKUP(E36,Sheet4!F:G,2,0))/1000</f>
        <v>0.05</v>
      </c>
      <c r="O36" s="99">
        <f>VLOOKUP(E36,Sheet4!F33:J618,5,0)</f>
        <v>72</v>
      </c>
      <c r="P36" s="58" t="s">
        <v>1188</v>
      </c>
      <c r="Q36" s="59" cm="1">
        <f t="array" ref="Q36">_xlfn.IFS($P36=$P$2,O36+$P$3*N36,$P36=$Q$2,O36+$Q$3*N36)</f>
        <v>94.5</v>
      </c>
      <c r="R36" s="101">
        <f t="shared" si="1"/>
        <v>4.7249999999999996</v>
      </c>
      <c r="S36" s="60">
        <f t="shared" si="2"/>
        <v>-10.904999999999999</v>
      </c>
      <c r="T36" s="51" t="s">
        <v>5044</v>
      </c>
    </row>
    <row r="37" spans="2:21" ht="14.4">
      <c r="B37" s="55" t="s">
        <v>20</v>
      </c>
      <c r="C37" s="56" t="s">
        <v>461</v>
      </c>
      <c r="D37" s="56" t="str">
        <f>VLOOKUP(C37,DATA!B:C,2,0)</f>
        <v>GS US 8 Grey &amp; White</v>
      </c>
      <c r="E37" s="56" t="str">
        <f>VLOOKUP(C37,Sheet4!A:B,2,0)</f>
        <v>KNOBS GREY -8</v>
      </c>
      <c r="F37" s="56" t="e">
        <f ca="1">Image("https://images-na.ssl-images-amazon.com/images/I/4195PiargeL.jpg;https://images-na.ssl-images-amazon.com/images/I/415YChq2O9L.jpg;https://images-na.ssl-images-amazon.com/images/I/41gyHfWTMiL.jpg;https://images-na.ssl-images-amazon.com/images/I/51+ewYN7mAL"&amp;".jpg;https://images-na.ssl-images-amazon.com/images/I/411Ob8x4WAL.jpg;https://images-na.ssl-images-amazon.com/images/I/51cgHjR5VVL.jpg;https://images-na.ssl-images-amazon.com/images/I/51vlwkKMgCL.jpg")</f>
        <v>#NAME?</v>
      </c>
      <c r="G37" s="56" t="s">
        <v>463</v>
      </c>
      <c r="H37" s="83">
        <v>14</v>
      </c>
      <c r="I37" s="88">
        <v>215.73</v>
      </c>
      <c r="J37" s="83">
        <v>1</v>
      </c>
      <c r="K37" s="88">
        <v>-13.2</v>
      </c>
      <c r="L37" s="84">
        <v>85.96</v>
      </c>
      <c r="M37" s="94">
        <f t="shared" si="0"/>
        <v>6.14</v>
      </c>
      <c r="N37" s="57">
        <f>(VLOOKUP(E37,Sheet4!F:G,2,0))/1000</f>
        <v>0.44800000000000001</v>
      </c>
      <c r="O37" s="99">
        <f>VLOOKUP(E37,Sheet4!F26:N611,9,0)</f>
        <v>228.39999999999998</v>
      </c>
      <c r="P37" s="58" t="s">
        <v>1187</v>
      </c>
      <c r="Q37" s="59" cm="1">
        <f t="array" ref="Q37">_xlfn.IFS($P37=$P$2,O37+$P$3*N37,$P37=$Q$2,O37+$Q$3*N37)</f>
        <v>282.15999999999997</v>
      </c>
      <c r="R37" s="101">
        <f t="shared" si="1"/>
        <v>49.378</v>
      </c>
      <c r="S37" s="60">
        <f t="shared" si="2"/>
        <v>36.581999999999994</v>
      </c>
      <c r="T37" s="51" t="s">
        <v>5045</v>
      </c>
    </row>
    <row r="38" spans="2:21" ht="14.4">
      <c r="B38" s="55" t="s">
        <v>20</v>
      </c>
      <c r="C38" s="56" t="s">
        <v>188</v>
      </c>
      <c r="D38" s="56" t="str">
        <f>VLOOKUP(C38,DATA!B:C,2,0)</f>
        <v>GS SEA KNOBS TFR -4</v>
      </c>
      <c r="E38" s="56" t="str">
        <f>VLOOKUP(C38,Sheet4!A:B,2,0)</f>
        <v>KNOBS TFR -4</v>
      </c>
      <c r="F38" s="56" t="e">
        <f ca="1">Image("https://images-na.ssl-images-amazon.com/images/I/41i09UI3y5S.jpg;https://images-na.ssl-images-amazon.com/images/I/41xd5xp0bvS.jpg;https://images-na.ssl-images-amazon.com/images/I/418EFTN0CQS.jpg;https://images-na.ssl-images-amazon.com/images/I/31BF-CUEs1S"&amp;".jpg;https://images-na.ssl-images-amazon.com/images/I/41Qg1EFhOZS.jpg;https://images-na.ssl-images-amazon.com/images/I/61fhgSwXFJL.jpg;https://images-na.ssl-images-amazon.com/images/I/51XqxoUuIrL.jpg")</f>
        <v>#NAME?</v>
      </c>
      <c r="G38" s="56" t="s">
        <v>190</v>
      </c>
      <c r="H38" s="83">
        <v>95</v>
      </c>
      <c r="I38" s="88">
        <v>1424.09</v>
      </c>
      <c r="J38" s="83">
        <v>21</v>
      </c>
      <c r="K38" s="88">
        <v>-274.79000000000002</v>
      </c>
      <c r="L38" s="84">
        <v>449.3</v>
      </c>
      <c r="M38" s="94">
        <f t="shared" si="0"/>
        <v>4.7294736842105261</v>
      </c>
      <c r="N38" s="57">
        <f>(VLOOKUP(E38,Sheet4!F:G,2,0))/1000</f>
        <v>0.56000000000000005</v>
      </c>
      <c r="O38" s="99">
        <f>VLOOKUP(E38,Sheet4!F27:N612,9,0)</f>
        <v>293.60000000000002</v>
      </c>
      <c r="P38" s="58" t="s">
        <v>1187</v>
      </c>
      <c r="Q38" s="59" cm="1">
        <f t="array" ref="Q38">_xlfn.IFS($P38=$P$2,O38+$P$3*N38,$P38=$Q$2,O38+$Q$3*N38)</f>
        <v>360.8</v>
      </c>
      <c r="R38" s="101">
        <f t="shared" si="1"/>
        <v>428.45</v>
      </c>
      <c r="S38" s="60">
        <f t="shared" si="2"/>
        <v>20.850000000000023</v>
      </c>
      <c r="T38" s="51" t="s">
        <v>5046</v>
      </c>
    </row>
    <row r="39" spans="2:21" ht="14.4">
      <c r="B39" s="55" t="s">
        <v>20</v>
      </c>
      <c r="C39" s="56" t="s">
        <v>268</v>
      </c>
      <c r="D39" s="56" t="str">
        <f>VLOOKUP(C39,DATA!B:C,2,0)</f>
        <v>KNOBS GGGGG</v>
      </c>
      <c r="E39" s="56" t="str">
        <f>VLOOKUP(C39,Sheet4!A:B,2,0)</f>
        <v>KNOBS GREY -13</v>
      </c>
      <c r="F39" s="56" t="e">
        <f ca="1">Image("https://images-na.ssl-images-amazon.com/images/I/513VTGGveqL.jpg;https://images-na.ssl-images-amazon.com/images/I/41-YXjLDFeL.jpg;https://images-na.ssl-images-amazon.com/images/I/31ngxov2kvL.jpg;https://images-na.ssl-images-amazon.com/images/I/41ECErp3h9L"&amp;".jpg;https://images-na.ssl-images-amazon.com/images/I/51U8ySi6pWL.jpg;https://images-na.ssl-images-amazon.com/images/I/610c29gpwUL.jpg;https://images-na.ssl-images-amazon.com/images/I/61nFhVKyMeL.jpg")</f>
        <v>#NAME?</v>
      </c>
      <c r="G39" s="56" t="s">
        <v>270</v>
      </c>
      <c r="H39" s="83">
        <v>85</v>
      </c>
      <c r="I39" s="88">
        <v>1178.78</v>
      </c>
      <c r="J39" s="83">
        <v>12</v>
      </c>
      <c r="K39" s="88">
        <v>-143.22</v>
      </c>
      <c r="L39" s="84">
        <v>256.33</v>
      </c>
      <c r="M39" s="94">
        <f t="shared" si="0"/>
        <v>3.0156470588235291</v>
      </c>
      <c r="N39" s="57">
        <f>(VLOOKUP(E39,Sheet4!F:G,2,0))/1000</f>
        <v>0.63200000000000001</v>
      </c>
      <c r="O39" s="99">
        <f>VLOOKUP(E39,Sheet4!F28:N613,9,0)</f>
        <v>317.60000000000002</v>
      </c>
      <c r="P39" s="58" t="s">
        <v>1187</v>
      </c>
      <c r="Q39" s="59" cm="1">
        <f t="array" ref="Q39">_xlfn.IFS($P39=$P$2,O39+$P$3*N39,$P39=$Q$2,O39+$Q$3*N39)</f>
        <v>393.44000000000005</v>
      </c>
      <c r="R39" s="101">
        <f t="shared" si="1"/>
        <v>418.03000000000003</v>
      </c>
      <c r="S39" s="60">
        <f t="shared" si="2"/>
        <v>-161.70000000000005</v>
      </c>
      <c r="T39" s="51" t="s">
        <v>5047</v>
      </c>
      <c r="U39" s="51" t="s">
        <v>5054</v>
      </c>
    </row>
    <row r="40" spans="2:21" ht="14.4">
      <c r="B40" s="55" t="s">
        <v>20</v>
      </c>
      <c r="C40" s="56" t="s">
        <v>177</v>
      </c>
      <c r="D40" s="56" t="str">
        <f>VLOOKUP(C40,DATA!B:C,2,0)</f>
        <v>GS US KNOBS R+P -6</v>
      </c>
      <c r="E40" s="56" t="str">
        <f>VLOOKUP(C40,Sheet4!A:B,2,0)</f>
        <v>KNOBS R+P -6</v>
      </c>
      <c r="F40" s="56" t="e">
        <f ca="1">Image("https://images-na.ssl-images-amazon.com/images/I/51Ehvwzry3L.jpg;https://images-na.ssl-images-amazon.com/images/I/51iHJKv8U7L.jpg;https://images-na.ssl-images-amazon.com/images/I/41BsSSDnaoL.jpg;https://images-na.ssl-images-amazon.com/images/I/41EA7HcLmRL"&amp;".jpg;https://images-na.ssl-images-amazon.com/images/I/41V2hKyQAfL.jpg;https://images-na.ssl-images-amazon.com/images/I/51mKkCBcUbL.jpg;https://images-na.ssl-images-amazon.com/images/I/61gwCr5gKGL.jpg")</f>
        <v>#NAME?</v>
      </c>
      <c r="G40" s="56" t="s">
        <v>179</v>
      </c>
      <c r="H40" s="83">
        <v>47</v>
      </c>
      <c r="I40" s="88">
        <v>1089.95</v>
      </c>
      <c r="J40" s="83">
        <v>4</v>
      </c>
      <c r="K40" s="88">
        <v>-75.319999999999993</v>
      </c>
      <c r="L40" s="84">
        <v>485.91</v>
      </c>
      <c r="M40" s="94">
        <f t="shared" si="0"/>
        <v>10.338510638297873</v>
      </c>
      <c r="N40" s="57">
        <f>(VLOOKUP(E40,Sheet4!F:G,2,0))/1000</f>
        <v>1.28</v>
      </c>
      <c r="O40" s="99">
        <f>VLOOKUP(E40,Sheet4!F:N,9,0)</f>
        <v>612.79999999999995</v>
      </c>
      <c r="P40" s="58" t="s">
        <v>1187</v>
      </c>
      <c r="Q40" s="59" cm="1">
        <f t="array" ref="Q40">_xlfn.IFS($P40=$P$2,O40+$P$3*N40,$P40=$Q$2,O40+$Q$3*N40)</f>
        <v>766.4</v>
      </c>
      <c r="R40" s="101">
        <f t="shared" si="1"/>
        <v>450.25999999999993</v>
      </c>
      <c r="S40" s="60">
        <f t="shared" si="2"/>
        <v>35.650000000000091</v>
      </c>
      <c r="T40" s="51" t="s">
        <v>5048</v>
      </c>
      <c r="U40" s="51" t="s">
        <v>5055</v>
      </c>
    </row>
    <row r="41" spans="2:21" ht="14.4">
      <c r="B41" s="55" t="s">
        <v>20</v>
      </c>
      <c r="C41" s="56" t="s">
        <v>1109</v>
      </c>
      <c r="D41" s="56" t="str">
        <f>VLOOKUP(C41,DATA!B:C,2,0)</f>
        <v>GS US KNOBS GREY -7</v>
      </c>
      <c r="E41" s="56" t="str">
        <f>VLOOKUP(C41,Sheet4!A:B,2,0)</f>
        <v>KNOBS GREY -7</v>
      </c>
      <c r="F41" s="56" t="e">
        <f ca="1">Image("https://images-na.ssl-images-amazon.com/images/I/410OBUcY9QL.jpg;https://images-na.ssl-images-amazon.com/images/I/41NK6UwOFEL.jpg;https://images-na.ssl-images-amazon.com/images/I/41eOENRJklL.jpg;https://images-na.ssl-images-amazon.com/images/I/51JEErS2TpL"&amp;".jpg;https://images-na.ssl-images-amazon.com/images/I/51TL2r1thUL.jpg;https://images-na.ssl-images-amazon.com/images/I/51Y2cisnTuL.jpg;https://images-na.ssl-images-amazon.com/images/I/51ve0fJM3uL.jpg")</f>
        <v>#NAME?</v>
      </c>
      <c r="G41" s="56" t="s">
        <v>1111</v>
      </c>
      <c r="H41" s="83">
        <v>6</v>
      </c>
      <c r="I41" s="88">
        <v>61.6</v>
      </c>
      <c r="J41" s="83">
        <v>2</v>
      </c>
      <c r="K41" s="88">
        <v>-19.36</v>
      </c>
      <c r="L41" s="84">
        <v>-31.75</v>
      </c>
      <c r="M41" s="94">
        <f t="shared" si="0"/>
        <v>-5.291666666666667</v>
      </c>
      <c r="N41" s="57">
        <f>(VLOOKUP(E41,Sheet4!F:G,2,0))/1000</f>
        <v>0.44800000000000001</v>
      </c>
      <c r="O41" s="99">
        <f>VLOOKUP(E41,Sheet4!F30:N615,9,0)</f>
        <v>228.39999999999998</v>
      </c>
      <c r="P41" s="58" t="s">
        <v>1187</v>
      </c>
      <c r="Q41" s="59" cm="1">
        <f t="array" ref="Q41">_xlfn.IFS($P41=$P$2,O41+$P$3*N41,$P41=$Q$2,O41+$Q$3*N41)</f>
        <v>282.15999999999997</v>
      </c>
      <c r="R41" s="101">
        <f t="shared" si="1"/>
        <v>21.161999999999999</v>
      </c>
      <c r="S41" s="60">
        <f t="shared" si="2"/>
        <v>-52.911999999999999</v>
      </c>
      <c r="T41" s="51" t="s">
        <v>5049</v>
      </c>
      <c r="U41" s="51" t="s">
        <v>5056</v>
      </c>
    </row>
    <row r="42" spans="2:21" ht="14.4">
      <c r="B42" s="55" t="s">
        <v>20</v>
      </c>
      <c r="C42" s="56" t="s">
        <v>485</v>
      </c>
      <c r="D42" s="56" t="str">
        <f>VLOOKUP(C42,DATA!B:C,2,0)</f>
        <v>GS US KNOBS GREY -6</v>
      </c>
      <c r="E42" s="56" t="str">
        <f>VLOOKUP(C42,Sheet4!A:B,2,0)</f>
        <v>KNOBS GREY -6</v>
      </c>
      <c r="F42" s="56" t="e">
        <f ca="1">Image("https://images-na.ssl-images-amazon.com/images/I/412oNqHH5CL.jpg;https://images-na.ssl-images-amazon.com/images/I/41xkFgCKcFL.jpg;https://images-na.ssl-images-amazon.com/images/I/41Qms6P5QZL.jpg;https://images-na.ssl-images-amazon.com/images/I/41B2M6MHPCL"&amp;".jpg;https://images-na.ssl-images-amazon.com/images/I/417JzqBY3nL.jpg;https://images-na.ssl-images-amazon.com/images/I/51ZMeTez5QL.jpg;https://images-na.ssl-images-amazon.com/images/I/51aK6Y10v6L.jpg")</f>
        <v>#NAME?</v>
      </c>
      <c r="G42" s="56" t="s">
        <v>487</v>
      </c>
      <c r="H42" s="83">
        <v>25</v>
      </c>
      <c r="I42" s="88">
        <v>235.2</v>
      </c>
      <c r="J42" s="83">
        <v>1</v>
      </c>
      <c r="K42" s="88">
        <v>-9.68</v>
      </c>
      <c r="L42" s="84">
        <v>77.42</v>
      </c>
      <c r="M42" s="94">
        <f t="shared" si="0"/>
        <v>3.0968</v>
      </c>
      <c r="N42" s="57">
        <f>(VLOOKUP(E42,Sheet4!F:G,2,0))/1000</f>
        <v>0.44800000000000001</v>
      </c>
      <c r="O42" s="99">
        <f>VLOOKUP(E42,Sheet4!F31:N616,9,0)</f>
        <v>228.39999999999998</v>
      </c>
      <c r="P42" s="58" t="s">
        <v>1187</v>
      </c>
      <c r="Q42" s="59" cm="1">
        <f t="array" ref="Q42">_xlfn.IFS($P42=$P$2,O42+$P$3*N42,$P42=$Q$2,O42+$Q$3*N42)</f>
        <v>282.15999999999997</v>
      </c>
      <c r="R42" s="101">
        <f t="shared" si="1"/>
        <v>88.174999999999983</v>
      </c>
      <c r="S42" s="60">
        <f t="shared" si="2"/>
        <v>-10.754999999999981</v>
      </c>
      <c r="T42" s="51" t="s">
        <v>5050</v>
      </c>
      <c r="U42" s="51" t="s">
        <v>5057</v>
      </c>
    </row>
    <row r="43" spans="2:21" ht="14.4">
      <c r="B43" s="55" t="s">
        <v>20</v>
      </c>
      <c r="C43" s="56" t="s">
        <v>925</v>
      </c>
      <c r="D43" s="56" t="str">
        <f>VLOOKUP(C43,DATA!B:C,2,0)</f>
        <v>KAF STK 0093 (M)</v>
      </c>
      <c r="E43" s="56" t="str">
        <f>VLOOKUP(C43,Sheet4!A:B,2,0)</f>
        <v>KAF STK 0093 (M)</v>
      </c>
      <c r="F43" s="56" t="e">
        <f ca="1">Image("https://images-na.ssl-images-amazon.com/images/I/31BTU9iIYYL.jpg;https://images-na.ssl-images-amazon.com/images/I/41Bv8s8rD3L.jpg;https://images-na.ssl-images-amazon.com/images/I/31+j3PGKtmL.jpg;https://images-na.ssl-images-amazon.com/images/I/41pbCKOpRYL"&amp;".jpg;https://images-na.ssl-images-amazon.com/images/I/31kGcn2vBOL.jpg;https://images-na.ssl-images-amazon.com/images/I/51CzfE8Sv5L.jpg;https://images-na.ssl-images-amazon.com/images/I/51lxe1MHPZL.jpg;https://images-na.ssl-images-amazon.com/images/I/51Oe5O"&amp;"c76GL.jpg;https://images-na.ssl-images-amazon.com/images/I/51vEc1YAsML.jpg")</f>
        <v>#NAME?</v>
      </c>
      <c r="G43" s="56" t="s">
        <v>927</v>
      </c>
      <c r="H43" s="83">
        <v>2</v>
      </c>
      <c r="I43" s="88">
        <v>20</v>
      </c>
      <c r="J43" s="83">
        <v>0</v>
      </c>
      <c r="K43" s="88">
        <v>0</v>
      </c>
      <c r="L43" s="84">
        <v>0.77</v>
      </c>
      <c r="M43" s="94">
        <f t="shared" si="0"/>
        <v>0.38500000000000001</v>
      </c>
      <c r="N43" s="57">
        <f>(VLOOKUP(E43,Sheet4!F:G,2,0))/1000</f>
        <v>0.185</v>
      </c>
      <c r="O43" s="99">
        <f>VLOOKUP(E43,Sheet4!F40:J625,5,0)</f>
        <v>540</v>
      </c>
      <c r="P43" s="58" t="s">
        <v>1188</v>
      </c>
      <c r="Q43" s="59" cm="1">
        <f t="array" ref="Q43">_xlfn.IFS($P43=$P$2,O43+$P$3*N43,$P43=$Q$2,O43+$Q$3*N43)</f>
        <v>623.25</v>
      </c>
      <c r="R43" s="101">
        <f t="shared" si="1"/>
        <v>15.581250000000001</v>
      </c>
      <c r="S43" s="60">
        <f t="shared" si="2"/>
        <v>-14.811250000000001</v>
      </c>
      <c r="T43" s="51" t="s">
        <v>5051</v>
      </c>
      <c r="U43" s="51" t="s">
        <v>5058</v>
      </c>
    </row>
    <row r="44" spans="2:21" ht="14.4">
      <c r="B44" s="55" t="s">
        <v>20</v>
      </c>
      <c r="C44" s="56" t="s">
        <v>839</v>
      </c>
      <c r="D44" s="56" t="str">
        <f>VLOOKUP(C44,DATA!B:C,2,0)</f>
        <v>KAF STK 0095</v>
      </c>
      <c r="E44" s="56" t="str">
        <f>VLOOKUP(C44,Sheet4!A:B,2,0)</f>
        <v>KAF STK 0096 (L)</v>
      </c>
      <c r="F44" s="56" t="e">
        <f ca="1">Image("https://images-na.ssl-images-amazon.com/images/I/41Eu-1puE+L.jpg;https://images-na.ssl-images-amazon.com/images/I/51o11RmWe9L.jpg;https://images-na.ssl-images-amazon.com/images/I/31giqMADLYL.jpg;https://images-na.ssl-images-amazon.com/images/I/31TLS2FQDOL"&amp;".jpg;https://images-na.ssl-images-amazon.com/images/I/31mB7YkQEmL.jpg;https://images-na.ssl-images-amazon.com/images/I/517GL1JVBuL.jpg;https://images-na.ssl-images-amazon.com/images/I/51NbB0CmmKL.jpg;https://images-na.ssl-images-amazon.com/images/I/51OSa1"&amp;"W4poL.jpg")</f>
        <v>#NAME?</v>
      </c>
      <c r="G44" s="56" t="s">
        <v>841</v>
      </c>
      <c r="H44" s="83">
        <v>3</v>
      </c>
      <c r="I44" s="88">
        <v>36</v>
      </c>
      <c r="J44" s="83">
        <v>1</v>
      </c>
      <c r="K44" s="88">
        <v>-10.37</v>
      </c>
      <c r="L44" s="84">
        <v>8.7100000000000009</v>
      </c>
      <c r="M44" s="94">
        <f t="shared" si="0"/>
        <v>2.9033333333333338</v>
      </c>
      <c r="N44" s="57">
        <f>(VLOOKUP(E44,Sheet4!F:G,2,0))/1000</f>
        <v>0.15</v>
      </c>
      <c r="O44" s="99">
        <f>VLOOKUP(E44,Sheet4!F41:J626,5,0)</f>
        <v>600</v>
      </c>
      <c r="P44" s="58" t="s">
        <v>1188</v>
      </c>
      <c r="Q44" s="59" cm="1">
        <f t="array" ref="Q44">_xlfn.IFS($P44=$P$2,O44+$P$3*N44,$P44=$Q$2,O44+$Q$3*N44)</f>
        <v>667.5</v>
      </c>
      <c r="R44" s="101">
        <f t="shared" si="1"/>
        <v>25.03125</v>
      </c>
      <c r="S44" s="60">
        <f t="shared" si="2"/>
        <v>-16.321249999999999</v>
      </c>
      <c r="T44" s="51" t="s">
        <v>5052</v>
      </c>
      <c r="U44" s="51" t="s">
        <v>5059</v>
      </c>
    </row>
    <row r="45" spans="2:21" ht="14.4">
      <c r="B45" s="55" t="s">
        <v>20</v>
      </c>
      <c r="C45" s="56" t="s">
        <v>1040</v>
      </c>
      <c r="D45" s="56" t="str">
        <f>VLOOKUP(C45,DATA!B:C,2,0)</f>
        <v>KAF STK 0092 (M)</v>
      </c>
      <c r="E45" s="56" t="str">
        <f>VLOOKUP(C45,Sheet4!A:B,2,0)</f>
        <v>KAF STK 0092 (M)</v>
      </c>
      <c r="F45" s="56" t="e">
        <f ca="1">Image("https://images-na.ssl-images-amazon.com/images/I/31CKKUF4pxL.jpg;https://images-na.ssl-images-amazon.com/images/I/41UYEDq4H+L.jpg;https://images-na.ssl-images-amazon.com/images/I/31locn7gy3L.jpg;https://images-na.ssl-images-amazon.com/images/I/31BoAWcluBL"&amp;".jpg;https://images-na.ssl-images-amazon.com/images/I/516pd7vGl3L.jpg;https://images-na.ssl-images-amazon.com/images/I/51uhYFH-53L.jpg;https://images-na.ssl-images-amazon.com/images/I/51oS4h7uk5L.jpg;https://images-na.ssl-images-amazon.com/images/I/51SUcQ"&amp;"y1ieL.jpg")</f>
        <v>#NAME?</v>
      </c>
      <c r="G45" s="56" t="s">
        <v>1042</v>
      </c>
      <c r="H45" s="83">
        <v>1</v>
      </c>
      <c r="I45" s="88">
        <v>12</v>
      </c>
      <c r="J45" s="83">
        <v>1</v>
      </c>
      <c r="K45" s="88">
        <v>-10.37</v>
      </c>
      <c r="L45" s="84">
        <v>-8.6</v>
      </c>
      <c r="M45" s="94">
        <f t="shared" si="0"/>
        <v>-8.6</v>
      </c>
      <c r="N45" s="57">
        <f>(VLOOKUP(E45,Sheet4!F:G,2,0))/1000</f>
        <v>0.12</v>
      </c>
      <c r="O45" s="99">
        <f>VLOOKUP(E45,Sheet4!F42:J627,5,0)</f>
        <v>540</v>
      </c>
      <c r="P45" s="58" t="s">
        <v>1188</v>
      </c>
      <c r="Q45" s="59" cm="1">
        <f t="array" ref="Q45">_xlfn.IFS($P45=$P$2,O45+$P$3*N45,$P45=$Q$2,O45+$Q$3*N45)</f>
        <v>594</v>
      </c>
      <c r="R45" s="101">
        <f t="shared" si="1"/>
        <v>7.4249999999999998</v>
      </c>
      <c r="S45" s="60">
        <f t="shared" si="2"/>
        <v>-16.024999999999999</v>
      </c>
      <c r="T45" s="51" t="s">
        <v>5053</v>
      </c>
      <c r="U45" s="51" t="s">
        <v>5060</v>
      </c>
    </row>
    <row r="46" spans="2:21" ht="14.4">
      <c r="B46" s="55" t="s">
        <v>20</v>
      </c>
      <c r="C46" s="56" t="s">
        <v>704</v>
      </c>
      <c r="D46" s="56" t="str">
        <f>VLOOKUP(C46,DATA!B:C,2,0)</f>
        <v>MS PNDM -17</v>
      </c>
      <c r="E46" s="56" t="str">
        <f>VLOOKUP(C46,Sheet4!A:B,2,0)</f>
        <v>PNDM -17</v>
      </c>
      <c r="F46" s="56" t="e">
        <f ca="1">Image("https://images-na.ssl-images-amazon.com/images/I/31l35kFeWnL.jpg;https://images-na.ssl-images-amazon.com/images/I/313Z3lDGZ7L.jpg;https://images-na.ssl-images-amazon.com/images/I/41tkBtuxUDL.jpg;https://images-na.ssl-images-amazon.com/images/I/41hJaKIJReL"&amp;".jpg;https://images-na.ssl-images-amazon.com/images/I/51kxEB+L5bL.jpg;https://images-na.ssl-images-amazon.com/images/I/61pUMVhXxqL.jpg")</f>
        <v>#NAME?</v>
      </c>
      <c r="G46" s="56" t="s">
        <v>706</v>
      </c>
      <c r="H46" s="83">
        <v>11</v>
      </c>
      <c r="I46" s="88">
        <v>80.89</v>
      </c>
      <c r="J46" s="83">
        <v>1</v>
      </c>
      <c r="K46" s="88">
        <v>-6.55</v>
      </c>
      <c r="L46" s="84">
        <v>20.21</v>
      </c>
      <c r="M46" s="94">
        <f t="shared" si="0"/>
        <v>1.8372727272727274</v>
      </c>
      <c r="N46" s="57">
        <f>(VLOOKUP(E46,Sheet4!F:G,2,0))/1000</f>
        <v>0.05</v>
      </c>
      <c r="O46" s="99">
        <f>VLOOKUP(E46,Sheet4!F43:J628,5,0)</f>
        <v>72</v>
      </c>
      <c r="P46" s="58" t="s">
        <v>1188</v>
      </c>
      <c r="Q46" s="59" cm="1">
        <f t="array" ref="Q46">_xlfn.IFS($P46=$P$2,O46+$P$3*N46,$P46=$Q$2,O46+$Q$3*N46)</f>
        <v>94.5</v>
      </c>
      <c r="R46" s="101">
        <f t="shared" si="1"/>
        <v>12.99375</v>
      </c>
      <c r="S46" s="60">
        <f t="shared" si="2"/>
        <v>7.2162500000000005</v>
      </c>
    </row>
    <row r="47" spans="2:21" ht="14.4">
      <c r="B47" s="55" t="s">
        <v>20</v>
      </c>
      <c r="C47" s="56" t="s">
        <v>625</v>
      </c>
      <c r="D47" s="56" t="str">
        <f>VLOOKUP(C47,DATA!B:C,2,0)</f>
        <v>MS PNDM -5</v>
      </c>
      <c r="E47" s="56" t="str">
        <f>VLOOKUP(C47,Sheet4!A:B,2,0)</f>
        <v>PNDM -5</v>
      </c>
      <c r="F47" s="56" t="e">
        <f ca="1">Image("https://images-na.ssl-images-amazon.com/images/I/41pN35QErgL.jpg;https://images-na.ssl-images-amazon.com/images/I/418wXTMb18L.jpg;https://images-na.ssl-images-amazon.com/images/I/31tcCu7AbqL.jpg;https://images-na.ssl-images-amazon.com/images/I/51WmJqnxBnL"&amp;".jpg;https://images-na.ssl-images-amazon.com/images/I/51lAwfc8GRL.jpg;https://images-na.ssl-images-amazon.com/images/I/51zCWzDLb4L.jpg;https://images-na.ssl-images-amazon.com/images/I/619bWrDP-jL.jpg")</f>
        <v>#NAME?</v>
      </c>
      <c r="G47" s="56" t="s">
        <v>627</v>
      </c>
      <c r="H47" s="83">
        <v>24</v>
      </c>
      <c r="I47" s="88">
        <v>148.66</v>
      </c>
      <c r="J47" s="83">
        <v>2</v>
      </c>
      <c r="K47" s="88">
        <v>-12.3</v>
      </c>
      <c r="L47" s="84">
        <v>30.73</v>
      </c>
      <c r="M47" s="94">
        <f t="shared" si="0"/>
        <v>1.2804166666666668</v>
      </c>
      <c r="N47" s="57">
        <f>(VLOOKUP(E47,Sheet4!F:G,2,0))/1000</f>
        <v>0.05</v>
      </c>
      <c r="O47" s="99">
        <f>VLOOKUP(E47,Sheet4!F44:J629,5,0)</f>
        <v>72</v>
      </c>
      <c r="P47" s="58" t="s">
        <v>1188</v>
      </c>
      <c r="Q47" s="59" cm="1">
        <f t="array" ref="Q47">_xlfn.IFS($P47=$P$2,O47+$P$3*N47,$P47=$Q$2,O47+$Q$3*N47)</f>
        <v>94.5</v>
      </c>
      <c r="R47" s="101">
        <f t="shared" si="1"/>
        <v>28.35</v>
      </c>
      <c r="S47" s="60">
        <f t="shared" si="2"/>
        <v>2.379999999999999</v>
      </c>
    </row>
    <row r="48" spans="2:21" ht="14.4">
      <c r="B48" s="55" t="s">
        <v>20</v>
      </c>
      <c r="C48" s="56" t="s">
        <v>767</v>
      </c>
      <c r="D48" s="56" t="str">
        <f>VLOOKUP(C48,DATA!B:C,2,0)</f>
        <v>MS PNDM -16</v>
      </c>
      <c r="E48" s="56" t="str">
        <f>VLOOKUP(C48,Sheet4!A:B,2,0)</f>
        <v>PNDM -16</v>
      </c>
      <c r="F48" s="56" t="e">
        <f ca="1">Image("https://images-na.ssl-images-amazon.com/images/I/315TmEIIltS.jpg;https://images-na.ssl-images-amazon.com/images/I/51kzRgCVakS.jpg;https://images-na.ssl-images-amazon.com/images/I/51FiGJFc2yS.jpg;https://images-na.ssl-images-amazon.com/images/I/414RoP4RXmS"&amp;".jpg;https://images-na.ssl-images-amazon.com/images/I/61YrMLNfGwS.jpg;https://images-na.ssl-images-amazon.com/images/I/61cLLURNQ3S.jpg")</f>
        <v>#NAME?</v>
      </c>
      <c r="G48" s="56" t="s">
        <v>769</v>
      </c>
      <c r="H48" s="83">
        <v>7</v>
      </c>
      <c r="I48" s="88">
        <v>45.6</v>
      </c>
      <c r="J48" s="83">
        <v>0</v>
      </c>
      <c r="K48" s="88">
        <v>0</v>
      </c>
      <c r="L48" s="84">
        <v>14.44</v>
      </c>
      <c r="M48" s="94">
        <f t="shared" si="0"/>
        <v>2.0628571428571427</v>
      </c>
      <c r="N48" s="57">
        <f>(VLOOKUP(E48,Sheet4!F:G,2,0))/1000</f>
        <v>0.05</v>
      </c>
      <c r="O48" s="99">
        <f>VLOOKUP(E48,Sheet4!F45:J630,5,0)</f>
        <v>72</v>
      </c>
      <c r="P48" s="58" t="s">
        <v>1188</v>
      </c>
      <c r="Q48" s="59" cm="1">
        <f t="array" ref="Q48">_xlfn.IFS($P48=$P$2,O48+$P$3*N48,$P48=$Q$2,O48+$Q$3*N48)</f>
        <v>94.5</v>
      </c>
      <c r="R48" s="101">
        <f t="shared" si="1"/>
        <v>8.2687500000000007</v>
      </c>
      <c r="S48" s="60">
        <f t="shared" si="2"/>
        <v>6.1712499999999988</v>
      </c>
    </row>
    <row r="49" spans="2:19" ht="14.4">
      <c r="B49" s="55" t="s">
        <v>20</v>
      </c>
      <c r="C49" s="56" t="s">
        <v>233</v>
      </c>
      <c r="D49" s="56" t="str">
        <f>VLOOKUP(C49,DATA!B:C,2,0)</f>
        <v>SCRUBER -1</v>
      </c>
      <c r="E49" s="56" t="str">
        <f>VLOOKUP(C49,Sheet4!A:B,2,0)</f>
        <v>SCRUBER -1</v>
      </c>
      <c r="F49" s="56" t="e">
        <f ca="1">Image("https://images-na.ssl-images-amazon.com/images/I/51u1ayT8SaL.jpg;https://images-na.ssl-images-amazon.com/images/I/51HMUGKDkdL.jpg;https://images-na.ssl-images-amazon.com/images/I/51eIPLC5gsL.jpg;https://images-na.ssl-images-amazon.com/images/I/51RuNx+MZ9L"&amp;".jpg;https://images-na.ssl-images-amazon.com/images/I/51tf-Rz8sXL.jpg;https://images-na.ssl-images-amazon.com/images/I/51FLepuGEeL.jpg;https://images-na.ssl-images-amazon.com/images/I/51u1ayT8SaL.jpg")</f>
        <v>#NAME?</v>
      </c>
      <c r="G49" s="56" t="s">
        <v>235</v>
      </c>
      <c r="H49" s="83">
        <v>118</v>
      </c>
      <c r="I49" s="88">
        <v>772.3</v>
      </c>
      <c r="J49" s="83">
        <v>7</v>
      </c>
      <c r="K49" s="88">
        <v>-42.7</v>
      </c>
      <c r="L49" s="84">
        <v>299.24</v>
      </c>
      <c r="M49" s="94">
        <f t="shared" si="0"/>
        <v>2.5359322033898306</v>
      </c>
      <c r="N49" s="57">
        <f>(VLOOKUP(E49,Sheet4!F:G,2,0))/1000</f>
        <v>0.23</v>
      </c>
      <c r="O49" s="99">
        <f>VLOOKUP(E49,Sheet4!F38:N623,9,0)</f>
        <v>49.4</v>
      </c>
      <c r="P49" s="58" t="s">
        <v>1187</v>
      </c>
      <c r="Q49" s="59" cm="1">
        <f t="array" ref="Q49">_xlfn.IFS($P49=$P$2,O49+$P$3*N49,$P49=$Q$2,O49+$Q$3*N49)</f>
        <v>77</v>
      </c>
      <c r="R49" s="101">
        <f t="shared" si="1"/>
        <v>113.575</v>
      </c>
      <c r="S49" s="60">
        <f t="shared" si="2"/>
        <v>185.66500000000002</v>
      </c>
    </row>
    <row r="50" spans="2:19" ht="14.4">
      <c r="B50" s="55" t="s">
        <v>20</v>
      </c>
      <c r="C50" s="56" t="s">
        <v>599</v>
      </c>
      <c r="D50" s="56" t="str">
        <f>VLOOKUP(C50,DATA!B:C,2,0)</f>
        <v>MS PNDM -2</v>
      </c>
      <c r="E50" s="56" t="str">
        <f>VLOOKUP(C50,Sheet4!A:B,2,0)</f>
        <v>PNDM -2</v>
      </c>
      <c r="F50" s="56" t="e">
        <f ca="1">Image("https://images-na.ssl-images-amazon.com/images/I/41QjFSlZ2mL.jpg;https://images-na.ssl-images-amazon.com/images/I/31g16xcDUpL.jpg;https://images-na.ssl-images-amazon.com/images/I/31O4diNGRsL.jpg;https://images-na.ssl-images-amazon.com/images/I/41dU9SatpqL"&amp;".jpg;https://images-na.ssl-images-amazon.com/images/I/41739UhHbXL.jpg;https://images-na.ssl-images-amazon.com/images/I/21GvsN5dtCL.jpg")</f>
        <v>#NAME?</v>
      </c>
      <c r="G50" s="56" t="s">
        <v>601</v>
      </c>
      <c r="H50" s="83">
        <v>93</v>
      </c>
      <c r="I50" s="88">
        <v>449.45</v>
      </c>
      <c r="J50" s="83">
        <v>12</v>
      </c>
      <c r="K50" s="88">
        <v>-51.83</v>
      </c>
      <c r="L50" s="84">
        <v>36.840000000000003</v>
      </c>
      <c r="M50" s="94">
        <f t="shared" si="0"/>
        <v>0.39612903225806456</v>
      </c>
      <c r="N50" s="57">
        <f>(VLOOKUP(E50,Sheet4!F:G,2,0))/1000</f>
        <v>0.05</v>
      </c>
      <c r="O50" s="99">
        <f>VLOOKUP(E50,Sheet4!F47:J632,5,0)</f>
        <v>72</v>
      </c>
      <c r="P50" s="58" t="s">
        <v>1188</v>
      </c>
      <c r="Q50" s="59" cm="1">
        <f t="array" ref="Q50">_xlfn.IFS($P50=$P$2,O50+$P$3*N50,$P50=$Q$2,O50+$Q$3*N50)</f>
        <v>94.5</v>
      </c>
      <c r="R50" s="101">
        <f t="shared" si="1"/>
        <v>109.85625</v>
      </c>
      <c r="S50" s="60">
        <f t="shared" si="2"/>
        <v>-73.016249999999999</v>
      </c>
    </row>
    <row r="51" spans="2:19" ht="14.4">
      <c r="B51" s="55" t="s">
        <v>20</v>
      </c>
      <c r="C51" s="56" t="s">
        <v>197</v>
      </c>
      <c r="D51" s="56" t="str">
        <f>VLOOKUP(C51,DATA!B:C,2,0)</f>
        <v>JD US WISTEL -1</v>
      </c>
      <c r="E51" s="56" t="str">
        <f>VLOOKUP(C51,Sheet4!A:B,2,0)</f>
        <v>WISTEL -1</v>
      </c>
      <c r="F51" s="56" t="e">
        <f ca="1">Image("https://images-na.ssl-images-amazon.com/images/I/41J6tdTj5IL.jpg;https://images-na.ssl-images-amazon.com/images/I/4145Ci3ZBQL.jpg;https://images-na.ssl-images-amazon.com/images/I/41n2irdqHvL.jpg;https://images-na.ssl-images-amazon.com/images/I/41ASV4tybhL"&amp;".jpg;https://images-na.ssl-images-amazon.com/images/I/51UauncQgVL.jpg;https://images-na.ssl-images-amazon.com/images/I/61fs0aBX88L.jpg;https://images-na.ssl-images-amazon.com/images/I/51UnvBaMyDL.jpg")</f>
        <v>#NAME?</v>
      </c>
      <c r="G51" s="56" t="s">
        <v>199</v>
      </c>
      <c r="H51" s="83">
        <v>62</v>
      </c>
      <c r="I51" s="88">
        <v>490.98</v>
      </c>
      <c r="J51" s="83">
        <v>0</v>
      </c>
      <c r="K51" s="88">
        <v>0</v>
      </c>
      <c r="L51" s="84">
        <v>417.48</v>
      </c>
      <c r="M51" s="94">
        <f t="shared" si="0"/>
        <v>6.7335483870967741</v>
      </c>
      <c r="N51" s="57">
        <f>(VLOOKUP(E51,Sheet4!F:G,2,0))/1000</f>
        <v>0.1</v>
      </c>
      <c r="O51" s="99">
        <f>VLOOKUP(E51,Sheet4!F48:J633,5,0)</f>
        <v>156</v>
      </c>
      <c r="P51" s="58" t="s">
        <v>1188</v>
      </c>
      <c r="Q51" s="59" cm="1">
        <f t="array" ref="Q51">_xlfn.IFS($P51=$P$2,O51+$P$3*N51,$P51=$Q$2,O51+$Q$3*N51)</f>
        <v>201</v>
      </c>
      <c r="R51" s="101">
        <f t="shared" si="1"/>
        <v>155.77500000000001</v>
      </c>
      <c r="S51" s="60">
        <f t="shared" si="2"/>
        <v>261.70500000000004</v>
      </c>
    </row>
    <row r="52" spans="2:19" ht="14.4">
      <c r="B52" s="55" t="s">
        <v>20</v>
      </c>
      <c r="C52" s="56" t="s">
        <v>430</v>
      </c>
      <c r="D52" s="56" t="str">
        <f>VLOOKUP(C52,DATA!B:C,2,0)</f>
        <v>MS PNDM -1</v>
      </c>
      <c r="E52" s="56" t="str">
        <f>VLOOKUP(C52,Sheet4!A:B,2,0)</f>
        <v>PNDM -1</v>
      </c>
      <c r="F52" s="56" t="e">
        <f ca="1">Image("https://images-na.ssl-images-amazon.com/images/I/3170-0Ji0FS.jpg;https://images-na.ssl-images-amazon.com/images/I/41HdVCTs90S.jpg;https://images-na.ssl-images-amazon.com/images/I/41ZxLrrWpeS.jpg;https://images-na.ssl-images-amazon.com/images/I/41mi-vJRBSS"&amp;".jpg;https://images-na.ssl-images-amazon.com/images/I/51zfhJz3NRS.jpg;https://images-na.ssl-images-amazon.com/images/I/61EBR+7xgRS.jpg")</f>
        <v>#NAME?</v>
      </c>
      <c r="G52" s="56" t="s">
        <v>432</v>
      </c>
      <c r="H52" s="83">
        <v>59</v>
      </c>
      <c r="I52" s="88">
        <v>343.75</v>
      </c>
      <c r="J52" s="83">
        <v>3</v>
      </c>
      <c r="K52" s="88">
        <v>-14.99</v>
      </c>
      <c r="L52" s="84">
        <v>100.29</v>
      </c>
      <c r="M52" s="94">
        <f t="shared" si="0"/>
        <v>1.6998305084745764</v>
      </c>
      <c r="N52" s="57">
        <f>(VLOOKUP(E52,Sheet4!F:G,2,0))/1000</f>
        <v>0.05</v>
      </c>
      <c r="O52" s="99">
        <f>VLOOKUP(E52,Sheet4!F49:J634,5,0)</f>
        <v>72</v>
      </c>
      <c r="P52" s="58" t="s">
        <v>1188</v>
      </c>
      <c r="Q52" s="59" cm="1">
        <f t="array" ref="Q52">_xlfn.IFS($P52=$P$2,O52+$P$3*N52,$P52=$Q$2,O52+$Q$3*N52)</f>
        <v>94.5</v>
      </c>
      <c r="R52" s="101">
        <f t="shared" si="1"/>
        <v>69.693749999999994</v>
      </c>
      <c r="S52" s="60">
        <f t="shared" si="2"/>
        <v>30.596250000000012</v>
      </c>
    </row>
    <row r="53" spans="2:19" ht="14.4">
      <c r="B53" s="55" t="s">
        <v>20</v>
      </c>
      <c r="C53" s="56" t="s">
        <v>701</v>
      </c>
      <c r="D53" s="56" t="str">
        <f>VLOOKUP(C53,DATA!B:C,2,0)</f>
        <v>MS PNDM -4</v>
      </c>
      <c r="E53" s="56" t="str">
        <f>VLOOKUP(C53,Sheet4!A:B,2,0)</f>
        <v>PNDM -4</v>
      </c>
      <c r="F53" s="56" t="e">
        <f ca="1">Image("https://images-na.ssl-images-amazon.com/images/I/41wKIhJkGTL.jpg;https://images-na.ssl-images-amazon.com/images/I/511-SAOioaL.jpg;https://images-na.ssl-images-amazon.com/images/I/31F3rYzkFUL.jpg;https://images-na.ssl-images-amazon.com/images/I/51npLQ9s1NL"&amp;".jpg;https://images-na.ssl-images-amazon.com/images/I/51njMWJPCiL.jpg;https://images-na.ssl-images-amazon.com/images/I/41y6tiAdA9L.jpg")</f>
        <v>#NAME?</v>
      </c>
      <c r="G53" s="56" t="s">
        <v>703</v>
      </c>
      <c r="H53" s="83">
        <v>15</v>
      </c>
      <c r="I53" s="88">
        <v>81.489999999999995</v>
      </c>
      <c r="J53" s="83">
        <v>0</v>
      </c>
      <c r="K53" s="88">
        <v>0</v>
      </c>
      <c r="L53" s="84">
        <v>20.329999999999998</v>
      </c>
      <c r="M53" s="94">
        <f t="shared" si="0"/>
        <v>1.3553333333333333</v>
      </c>
      <c r="N53" s="57">
        <f>(VLOOKUP(E53,Sheet4!F:G,2,0))/1000</f>
        <v>0.05</v>
      </c>
      <c r="O53" s="99">
        <f>VLOOKUP(E53,Sheet4!F50:J635,5,0)</f>
        <v>72</v>
      </c>
      <c r="P53" s="58" t="s">
        <v>1188</v>
      </c>
      <c r="Q53" s="59" cm="1">
        <f t="array" ref="Q53">_xlfn.IFS($P53=$P$2,O53+$P$3*N53,$P53=$Q$2,O53+$Q$3*N53)</f>
        <v>94.5</v>
      </c>
      <c r="R53" s="101">
        <f t="shared" si="1"/>
        <v>17.71875</v>
      </c>
      <c r="S53" s="60">
        <f t="shared" si="2"/>
        <v>2.6112499999999983</v>
      </c>
    </row>
    <row r="54" spans="2:19" ht="14.4">
      <c r="B54" s="55" t="s">
        <v>20</v>
      </c>
      <c r="C54" s="56" t="s">
        <v>911</v>
      </c>
      <c r="D54" s="56" t="str">
        <f>VLOOKUP(C54,DATA!B:C,2,0)</f>
        <v>KAF STK 0091 (S)</v>
      </c>
      <c r="E54" s="56" t="str">
        <f>VLOOKUP(C54,Sheet4!A:B,2,0)</f>
        <v>KAF STK 0091 (S)</v>
      </c>
      <c r="F54" s="56" t="e">
        <f ca="1">Image("https://images-na.ssl-images-amazon.com/images/I/41OYflEoE6L.jpg;https://images-na.ssl-images-amazon.com/images/I/51+WVW5NB3L.jpg;https://images-na.ssl-images-amazon.com/images/I/31EC8XJyZgL.jpg;https://images-na.ssl-images-amazon.com/images/I/31MAzG6-wjL"&amp;".jpg;https://images-na.ssl-images-amazon.com/images/I/31TOCZKhDOL.jpg;https://images-na.ssl-images-amazon.com/images/I/51Yzz6coHNL.jpg;https://images-na.ssl-images-amazon.com/images/I/51vcaNV4pIL.jpg;https://images-na.ssl-images-amazon.com/images/I/51XevQ"&amp;"m6rcL.jpg")</f>
        <v>#NAME?</v>
      </c>
      <c r="G54" s="56" t="s">
        <v>913</v>
      </c>
      <c r="H54" s="83">
        <v>1</v>
      </c>
      <c r="I54" s="88">
        <v>9</v>
      </c>
      <c r="J54" s="83">
        <v>0</v>
      </c>
      <c r="K54" s="88">
        <v>0</v>
      </c>
      <c r="L54" s="84">
        <v>2.78</v>
      </c>
      <c r="M54" s="94">
        <f t="shared" si="0"/>
        <v>2.78</v>
      </c>
      <c r="N54" s="57">
        <f>(VLOOKUP(E54,Sheet4!F:G,2,0))/1000</f>
        <v>0.23</v>
      </c>
      <c r="O54" s="99">
        <f>VLOOKUP(E54,Sheet4!F52:J637,5,0)</f>
        <v>660</v>
      </c>
      <c r="P54" s="58" t="s">
        <v>1188</v>
      </c>
      <c r="Q54" s="59" cm="1">
        <f t="array" ref="Q54">_xlfn.IFS($P54=$P$2,O54+$P$3*N54,$P54=$Q$2,O54+$Q$3*N54)</f>
        <v>763.5</v>
      </c>
      <c r="R54" s="101">
        <f t="shared" si="1"/>
        <v>9.5437499999999993</v>
      </c>
      <c r="S54" s="60">
        <f t="shared" si="2"/>
        <v>-6.7637499999999999</v>
      </c>
    </row>
    <row r="55" spans="2:19" ht="14.4">
      <c r="B55" s="55" t="s">
        <v>20</v>
      </c>
      <c r="C55" s="56" t="s">
        <v>76</v>
      </c>
      <c r="D55" s="56" t="str">
        <f>VLOOKUP(C55,DATA!B:C,2,0)</f>
        <v>KNOBS TFR-12</v>
      </c>
      <c r="E55" s="56" t="str">
        <f>VLOOKUP(C55,Sheet4!A:B,2,0)</f>
        <v>KNOBS TFR -12</v>
      </c>
      <c r="F55" s="56" t="e">
        <f ca="1">Image("https://images-na.ssl-images-amazon.com/images/I/41WfQlAKgEL.jpg;https://images-na.ssl-images-amazon.com/images/I/41A2eaJ3hvL.jpg;https://images-na.ssl-images-amazon.com/images/I/51o6bKBFqbL.jpg;https://images-na.ssl-images-amazon.com/images/I/41AHI5LW2SL"&amp;".jpg;https://images-na.ssl-images-amazon.com/images/I/5149HJf7zWL.jpg;https://images-na.ssl-images-amazon.com/images/I/513qvw4uCWL.jpg;https://images-na.ssl-images-amazon.com/images/I/61FbXfMSk1L.jpg")</f>
        <v>#NAME?</v>
      </c>
      <c r="G55" s="56" t="s">
        <v>78</v>
      </c>
      <c r="H55" s="83">
        <v>388</v>
      </c>
      <c r="I55" s="88">
        <v>6154.47</v>
      </c>
      <c r="J55" s="83">
        <v>57</v>
      </c>
      <c r="K55" s="88">
        <v>-813</v>
      </c>
      <c r="L55" s="84">
        <v>1885.44</v>
      </c>
      <c r="M55" s="94">
        <f t="shared" si="0"/>
        <v>4.859381443298969</v>
      </c>
      <c r="N55" s="57">
        <f>(VLOOKUP(E55,Sheet4!F:G,2,0))/1000</f>
        <v>0.56000000000000005</v>
      </c>
      <c r="O55" s="99">
        <f>VLOOKUP(E55,Sheet4!F45:N630,9,0)</f>
        <v>276.8</v>
      </c>
      <c r="P55" s="58" t="s">
        <v>1187</v>
      </c>
      <c r="Q55" s="59" cm="1">
        <f t="array" ref="Q55">_xlfn.IFS($P55=$P$2,O55+$P$3*N55,$P55=$Q$2,O55+$Q$3*N55)</f>
        <v>344</v>
      </c>
      <c r="R55" s="101">
        <f t="shared" si="1"/>
        <v>1668.4</v>
      </c>
      <c r="S55" s="60">
        <f t="shared" si="2"/>
        <v>217.03999999999996</v>
      </c>
    </row>
    <row r="56" spans="2:19" ht="14.4">
      <c r="B56" s="55" t="s">
        <v>20</v>
      </c>
      <c r="C56" s="56" t="s">
        <v>277</v>
      </c>
      <c r="D56" s="56" t="str">
        <f>VLOOKUP(C56,DATA!B:C,2,0)</f>
        <v>GS US S KNOBS GREY -1</v>
      </c>
      <c r="E56" s="56" t="str">
        <f>VLOOKUP(C56,Sheet4!A:B,2,0)</f>
        <v>KNOBS GREY -1</v>
      </c>
      <c r="F56" s="56" t="e">
        <f ca="1">Image("https://images-na.ssl-images-amazon.com/images/I/41aKdLZnWxL.jpg;https://images-na.ssl-images-amazon.com/images/I/41b6HMl130L.jpg;https://images-na.ssl-images-amazon.com/images/I/41KW8hFrpHS.jpg;https://images-na.ssl-images-amazon.com/images/I/41r4qdBIS0L"&amp;".jpg;https://images-na.ssl-images-amazon.com/images/I/41zpqNN3hAL.jpg;https://images-na.ssl-images-amazon.com/images/I/51AOa6oTe4L.jpg;https://images-na.ssl-images-amazon.com/images/I/41rYE9Xu+ML.jpg")</f>
        <v>#NAME?</v>
      </c>
      <c r="G56" s="56" t="s">
        <v>279</v>
      </c>
      <c r="H56" s="83">
        <v>82</v>
      </c>
      <c r="I56" s="88">
        <v>1019.42</v>
      </c>
      <c r="J56" s="83">
        <v>7</v>
      </c>
      <c r="K56" s="88">
        <v>-75.2</v>
      </c>
      <c r="L56" s="84">
        <v>241.17</v>
      </c>
      <c r="M56" s="94">
        <f t="shared" si="0"/>
        <v>2.9410975609756096</v>
      </c>
      <c r="N56" s="57">
        <f>(VLOOKUP(E56,Sheet4!F:G,2,0))/1000</f>
        <v>0.54</v>
      </c>
      <c r="O56" s="99">
        <f>VLOOKUP(E56,Sheet4!F48:N633,9,0)</f>
        <v>273.60000000000002</v>
      </c>
      <c r="P56" s="58" t="s">
        <v>1187</v>
      </c>
      <c r="Q56" s="59" cm="1">
        <f t="array" ref="Q56">_xlfn.IFS($P56=$P$2,O56+$P$3*N56,$P56=$Q$2,O56+$Q$3*N56)</f>
        <v>338.40000000000003</v>
      </c>
      <c r="R56" s="101">
        <f t="shared" si="1"/>
        <v>346.86</v>
      </c>
      <c r="S56" s="60">
        <f t="shared" si="2"/>
        <v>-105.69000000000003</v>
      </c>
    </row>
    <row r="57" spans="2:19" ht="14.4">
      <c r="B57" s="55" t="s">
        <v>20</v>
      </c>
      <c r="C57" s="56" t="s">
        <v>1148</v>
      </c>
      <c r="D57" s="56" t="str">
        <f>VLOOKUP(C57,DATA!B:C,2,0)</f>
        <v>GS S US KNOBS GREY -2</v>
      </c>
      <c r="E57" s="56" t="str">
        <f>VLOOKUP(C57,Sheet4!A:B,2,0)</f>
        <v>KNOBS GREY -2</v>
      </c>
      <c r="F57" s="56" t="e">
        <f ca="1">Image("https://images-na.ssl-images-amazon.com/images/I/41aKdLZnWxL.jpg;https://images-na.ssl-images-amazon.com/images/I/41b6HMl130L.jpg;https://images-na.ssl-images-amazon.com/images/I/41KW8hFrpHS.jpg;https://images-na.ssl-images-amazon.com/images/I/41r4qdBIS0L"&amp;".jpg;https://images-na.ssl-images-amazon.com/images/I/41zpqNN3hAL.jpg;https://images-na.ssl-images-amazon.com/images/I/51AOa6oTe4L.jpg;https://images-na.ssl-images-amazon.com/images/I/41rYE9Xu+ML.jpg")</f>
        <v>#NAME?</v>
      </c>
      <c r="G57" s="56" t="s">
        <v>1150</v>
      </c>
      <c r="H57" s="83">
        <v>52</v>
      </c>
      <c r="I57" s="88">
        <v>716.63</v>
      </c>
      <c r="J57" s="83">
        <v>3</v>
      </c>
      <c r="K57" s="88">
        <v>-35.64</v>
      </c>
      <c r="L57" s="84">
        <v>-97.75</v>
      </c>
      <c r="M57" s="94">
        <f t="shared" si="0"/>
        <v>-1.8798076923076923</v>
      </c>
      <c r="N57" s="57">
        <f>(VLOOKUP(E57,Sheet4!F:G,2,0))/1000</f>
        <v>0.63200000000000001</v>
      </c>
      <c r="O57" s="99">
        <f>VLOOKUP(E57,Sheet4!F49:N634,9,0)</f>
        <v>317.60000000000002</v>
      </c>
      <c r="P57" s="58" t="s">
        <v>1187</v>
      </c>
      <c r="Q57" s="59" cm="1">
        <f t="array" ref="Q57">_xlfn.IFS($P57=$P$2,O57+$P$3*N57,$P57=$Q$2,O57+$Q$3*N57)</f>
        <v>393.44000000000005</v>
      </c>
      <c r="R57" s="101">
        <f t="shared" si="1"/>
        <v>255.73600000000005</v>
      </c>
      <c r="S57" s="60">
        <f t="shared" si="2"/>
        <v>-353.48600000000005</v>
      </c>
    </row>
    <row r="58" spans="2:19" ht="14.4">
      <c r="B58" s="55" t="s">
        <v>20</v>
      </c>
      <c r="C58" s="56" t="s">
        <v>1177</v>
      </c>
      <c r="D58" s="56" t="str">
        <f>VLOOKUP(C58,DATA!B:C,2,0)</f>
        <v>GS US S KNOBS GREY -3</v>
      </c>
      <c r="E58" s="56" t="str">
        <f>VLOOKUP(C58,Sheet4!A:B,2,0)</f>
        <v>KNOBS GREY -3</v>
      </c>
      <c r="F58" s="56" t="e">
        <f ca="1">Image("https://images-na.ssl-images-amazon.com/images/I/418KqpfRhML.jpg;https://images-na.ssl-images-amazon.com/images/I/41b6HMl130L.jpg;https://images-na.ssl-images-amazon.com/images/I/41KW8hFrpHS.jpg;https://images-na.ssl-images-amazon.com/images/I/41r4qdBIS0L"&amp;".jpg;https://images-na.ssl-images-amazon.com/images/I/51AOa6oTe4L.jpg;https://images-na.ssl-images-amazon.com/images/I/41rYE9Xu+ML.jpg")</f>
        <v>#NAME?</v>
      </c>
      <c r="G58" s="56" t="s">
        <v>1179</v>
      </c>
      <c r="H58" s="83">
        <v>39</v>
      </c>
      <c r="I58" s="88">
        <v>782.83</v>
      </c>
      <c r="J58" s="83">
        <v>3</v>
      </c>
      <c r="K58" s="88">
        <v>-54.56</v>
      </c>
      <c r="L58" s="84">
        <v>-272.91000000000003</v>
      </c>
      <c r="M58" s="94">
        <f t="shared" si="0"/>
        <v>-6.9976923076923088</v>
      </c>
      <c r="N58" s="57">
        <f>(VLOOKUP(E58,Sheet4!F:G,2,0))/1000</f>
        <v>1.02</v>
      </c>
      <c r="O58" s="99">
        <f>VLOOKUP(E58,Sheet4!F:N,9,0)</f>
        <v>490.8</v>
      </c>
      <c r="P58" s="58" t="s">
        <v>1187</v>
      </c>
      <c r="Q58" s="59" cm="1">
        <f t="array" ref="Q58">_xlfn.IFS($P58=$P$2,O58+$P$3*N58,$P58=$Q$2,O58+$Q$3*N58)</f>
        <v>613.20000000000005</v>
      </c>
      <c r="R58" s="101">
        <f t="shared" si="1"/>
        <v>298.93500000000006</v>
      </c>
      <c r="S58" s="60">
        <f t="shared" si="2"/>
        <v>-571.84500000000003</v>
      </c>
    </row>
    <row r="59" spans="2:19" ht="14.4">
      <c r="B59" s="55" t="s">
        <v>20</v>
      </c>
      <c r="C59" s="56" t="s">
        <v>602</v>
      </c>
      <c r="D59" s="56" t="str">
        <f>VLOOKUP(C59,DATA!B:C,2,0)</f>
        <v>JD PYR -6</v>
      </c>
      <c r="E59" s="56" t="str">
        <f>VLOOKUP(C59,Sheet4!A:B,2,0)</f>
        <v>PYR -6</v>
      </c>
      <c r="F59" s="56" t="e">
        <f ca="1">Image("https://images-na.ssl-images-amazon.com/images/I/41+0-LMcD8L.jpg;https://images-na.ssl-images-amazon.com/images/I/51OGd+txk9L.jpg;https://images-na.ssl-images-amazon.com/images/I/51axDLN60fL.jpg;https://images-na.ssl-images-amazon.com/images/I/61g7p30MQnL"&amp;".jpg;https://images-na.ssl-images-amazon.com/images/I/51POKJAdS-S.jpg;https://images-na.ssl-images-amazon.com/images/I/414RIOuOmuL.jpg;https://images-na.ssl-images-amazon.com/images/I/41lb9mfUrcL.jpg")</f>
        <v>#NAME?</v>
      </c>
      <c r="G59" s="56" t="s">
        <v>604</v>
      </c>
      <c r="H59" s="83">
        <v>3</v>
      </c>
      <c r="I59" s="88">
        <v>38.97</v>
      </c>
      <c r="J59" s="83">
        <v>0</v>
      </c>
      <c r="K59" s="88">
        <v>0</v>
      </c>
      <c r="L59" s="84">
        <v>33.119999999999997</v>
      </c>
      <c r="M59" s="94">
        <f t="shared" si="0"/>
        <v>11.04</v>
      </c>
      <c r="N59" s="57">
        <f>(VLOOKUP(E59,Sheet4!F:G,2,0))/1000</f>
        <v>0.15</v>
      </c>
      <c r="O59" s="99">
        <f>VLOOKUP(E59,Sheet4!F59:J644,5,0)</f>
        <v>135.6</v>
      </c>
      <c r="P59" s="58" t="s">
        <v>1188</v>
      </c>
      <c r="Q59" s="59" cm="1">
        <f t="array" ref="Q59">_xlfn.IFS($P59=$P$2,O59+$P$3*N59,$P59=$Q$2,O59+$Q$3*N59)</f>
        <v>203.1</v>
      </c>
      <c r="R59" s="101">
        <f t="shared" si="1"/>
        <v>7.6162499999999991</v>
      </c>
      <c r="S59" s="60">
        <f t="shared" si="2"/>
        <v>25.503749999999997</v>
      </c>
    </row>
    <row r="60" spans="2:19" ht="14.4">
      <c r="B60" s="55" t="s">
        <v>20</v>
      </c>
      <c r="C60" s="56" t="s">
        <v>857</v>
      </c>
      <c r="D60" s="56" t="str">
        <f>VLOOKUP(C60,DATA!B:C,2,0)</f>
        <v>GS US PYR -14</v>
      </c>
      <c r="E60" s="56" t="str">
        <f>VLOOKUP(C60,Sheet4!A:B,2,0)</f>
        <v>PYR -14</v>
      </c>
      <c r="F60" s="56" t="e">
        <f ca="1">Image("https://images-na.ssl-images-amazon.com/images/I/512YEeXfq3L.jpg;https://images-na.ssl-images-amazon.com/images/I/510fN+0J3zL.jpg;https://images-na.ssl-images-amazon.com/images/I/51lIlFamgTL.jpg;https://images-na.ssl-images-amazon.com/images/I/614XwNvMVzL"&amp;".jpg;https://images-na.ssl-images-amazon.com/images/I/51rCXwp9Z6S.jpg;https://images-na.ssl-images-amazon.com/images/I/51A0IYlEKpL.jpg;https://images-na.ssl-images-amazon.com/images/I/61+clyMAOCL.jpg")</f>
        <v>#NAME?</v>
      </c>
      <c r="G60" s="56" t="s">
        <v>402</v>
      </c>
      <c r="H60" s="83">
        <v>1</v>
      </c>
      <c r="I60" s="88">
        <v>17</v>
      </c>
      <c r="J60" s="83">
        <v>0</v>
      </c>
      <c r="K60" s="88">
        <v>0</v>
      </c>
      <c r="L60" s="84">
        <v>6.65</v>
      </c>
      <c r="M60" s="94">
        <f t="shared" si="0"/>
        <v>6.65</v>
      </c>
      <c r="N60" s="57">
        <f>(VLOOKUP(E60,Sheet4!F:G,2,0))/1000</f>
        <v>0.15</v>
      </c>
      <c r="O60" s="99">
        <f>VLOOKUP(E60,Sheet4!F60:J645,5,0)</f>
        <v>184.8</v>
      </c>
      <c r="P60" s="58" t="s">
        <v>1188</v>
      </c>
      <c r="Q60" s="59" cm="1">
        <f t="array" ref="Q60">_xlfn.IFS($P60=$P$2,O60+$P$3*N60,$P60=$Q$2,O60+$Q$3*N60)</f>
        <v>252.3</v>
      </c>
      <c r="R60" s="101">
        <f t="shared" si="1"/>
        <v>3.1537500000000001</v>
      </c>
      <c r="S60" s="60">
        <f t="shared" si="2"/>
        <v>3.4962500000000003</v>
      </c>
    </row>
    <row r="61" spans="2:19" ht="14.4">
      <c r="B61" s="55" t="s">
        <v>20</v>
      </c>
      <c r="C61" s="56" t="s">
        <v>649</v>
      </c>
      <c r="D61" s="56" t="str">
        <f>VLOOKUP(C61,DATA!B:C,2,0)</f>
        <v>GS US PYR -4</v>
      </c>
      <c r="E61" s="56" t="str">
        <f>VLOOKUP(C61,Sheet4!A:B,2,0)</f>
        <v>PYR -4</v>
      </c>
      <c r="F61" s="56" t="e">
        <f ca="1">Image("https://images-na.ssl-images-amazon.com/images/I/41kPLLKhCcL.jpg;https://images-na.ssl-images-amazon.com/images/I/61n9VyRzGML.jpg;https://images-na.ssl-images-amazon.com/images/I/51oVGfbJ-sL.jpg;https://images-na.ssl-images-amazon.com/images/I/61KpOmuH5KL"&amp;".jpg;https://images-na.ssl-images-amazon.com/images/I/51MuMGPX-3S.jpg;https://images-na.ssl-images-amazon.com/images/I/61q-OTxEd-L.jpg;https://images-na.ssl-images-amazon.com/images/I/413zOfpRBoL.jpg")</f>
        <v>#NAME?</v>
      </c>
      <c r="G61" s="56" t="s">
        <v>651</v>
      </c>
      <c r="H61" s="83">
        <v>2</v>
      </c>
      <c r="I61" s="88">
        <v>30.59</v>
      </c>
      <c r="J61" s="83">
        <v>0</v>
      </c>
      <c r="K61" s="88">
        <v>0</v>
      </c>
      <c r="L61" s="84">
        <v>26</v>
      </c>
      <c r="M61" s="94">
        <f t="shared" si="0"/>
        <v>13</v>
      </c>
      <c r="N61" s="57">
        <f>(VLOOKUP(E61,Sheet4!F:G,2,0))/1000</f>
        <v>0.15</v>
      </c>
      <c r="O61" s="99">
        <f>VLOOKUP(E61,Sheet4!F61:J646,5,0)</f>
        <v>135.6</v>
      </c>
      <c r="P61" s="58" t="s">
        <v>1188</v>
      </c>
      <c r="Q61" s="59" cm="1">
        <f t="array" ref="Q61">_xlfn.IFS($P61=$P$2,O61+$P$3*N61,$P61=$Q$2,O61+$Q$3*N61)</f>
        <v>203.1</v>
      </c>
      <c r="R61" s="101">
        <f t="shared" si="1"/>
        <v>5.0774999999999997</v>
      </c>
      <c r="S61" s="60">
        <f t="shared" si="2"/>
        <v>20.922499999999999</v>
      </c>
    </row>
    <row r="62" spans="2:19" ht="14.4">
      <c r="B62" s="55" t="s">
        <v>20</v>
      </c>
      <c r="C62" s="56" t="s">
        <v>776</v>
      </c>
      <c r="D62" s="56" t="str">
        <f>VLOOKUP(C62,DATA!B:C,2,0)</f>
        <v>GS US PYR -7</v>
      </c>
      <c r="E62" s="56" t="str">
        <f>VLOOKUP(C62,Sheet4!A:B,2,0)</f>
        <v>PYR -7</v>
      </c>
      <c r="F62" s="56" t="e">
        <f ca="1">Image("https://images-na.ssl-images-amazon.com/images/I/41rflXBihjS.jpg;https://images-na.ssl-images-amazon.com/images/I/51tFPjgsJRS.jpg;https://images-na.ssl-images-amazon.com/images/I/41jwG+O8a1S.jpg;https://images-na.ssl-images-amazon.com/images/I/613x0IQtbMS"&amp;".jpg;https://images-na.ssl-images-amazon.com/images/I/51tjR4HxCWS.jpg;https://images-na.ssl-images-amazon.com/images/I/41L7o5LjhBS.jpg")</f>
        <v>#NAME?</v>
      </c>
      <c r="G62" s="56" t="s">
        <v>778</v>
      </c>
      <c r="H62" s="83">
        <v>4</v>
      </c>
      <c r="I62" s="88">
        <v>34.82</v>
      </c>
      <c r="J62" s="83">
        <v>0</v>
      </c>
      <c r="K62" s="88">
        <v>0</v>
      </c>
      <c r="L62" s="84">
        <v>13.26</v>
      </c>
      <c r="M62" s="94">
        <f t="shared" si="0"/>
        <v>3.3149999999999999</v>
      </c>
      <c r="N62" s="57">
        <f>(VLOOKUP(E62,Sheet4!F:G,2,0))/1000</f>
        <v>0.15</v>
      </c>
      <c r="O62" s="99">
        <f>VLOOKUP(E62,Sheet4!F62:J647,5,0)</f>
        <v>135.6</v>
      </c>
      <c r="P62" s="58" t="s">
        <v>1188</v>
      </c>
      <c r="Q62" s="59" cm="1">
        <f t="array" ref="Q62">_xlfn.IFS($P62=$P$2,O62+$P$3*N62,$P62=$Q$2,O62+$Q$3*N62)</f>
        <v>203.1</v>
      </c>
      <c r="R62" s="101">
        <f t="shared" si="1"/>
        <v>10.154999999999999</v>
      </c>
      <c r="S62" s="60">
        <f t="shared" si="2"/>
        <v>3.1050000000000004</v>
      </c>
    </row>
    <row r="63" spans="2:19" ht="14.4">
      <c r="B63" s="55" t="s">
        <v>20</v>
      </c>
      <c r="C63" s="56" t="s">
        <v>611</v>
      </c>
      <c r="D63" s="56" t="str">
        <f>VLOOKUP(C63,DATA!B:C,2,0)</f>
        <v>PYR -15</v>
      </c>
      <c r="E63" s="56" t="str">
        <f>VLOOKUP(C63,Sheet4!A:B,2,0)</f>
        <v>PYR -15</v>
      </c>
      <c r="F63" s="56" t="e">
        <f ca="1">Image("https://images-na.ssl-images-amazon.com/images/I/41a8JlvaRCL.jpg;https://images-na.ssl-images-amazon.com/images/I/51Nbatm1cOL.jpg;https://images-na.ssl-images-amazon.com/images/I/51oY0al4u8L.jpg;https://images-na.ssl-images-amazon.com/images/I/61M5aJiwNaL"&amp;".jpg;https://images-na.ssl-images-amazon.com/images/I/51VihGQa6WS.jpg;https://images-na.ssl-images-amazon.com/images/I/516+WtlIeSL.jpg;https://images-na.ssl-images-amazon.com/images/I/41NyxeyKZ0L.jpg")</f>
        <v>#NAME?</v>
      </c>
      <c r="G63" s="56" t="s">
        <v>402</v>
      </c>
      <c r="H63" s="83">
        <v>5</v>
      </c>
      <c r="I63" s="88">
        <v>38.700000000000003</v>
      </c>
      <c r="J63" s="83">
        <v>0</v>
      </c>
      <c r="K63" s="88">
        <v>0</v>
      </c>
      <c r="L63" s="84">
        <v>32.9</v>
      </c>
      <c r="M63" s="94">
        <f t="shared" si="0"/>
        <v>6.58</v>
      </c>
      <c r="N63" s="57">
        <f>(VLOOKUP(E63,Sheet4!F:G,2,0))/1000</f>
        <v>0.15</v>
      </c>
      <c r="O63" s="99">
        <f>VLOOKUP(E63,Sheet4!F63:J648,5,0)</f>
        <v>135.6</v>
      </c>
      <c r="P63" s="58" t="s">
        <v>1188</v>
      </c>
      <c r="Q63" s="59" cm="1">
        <f t="array" ref="Q63">_xlfn.IFS($P63=$P$2,O63+$P$3*N63,$P63=$Q$2,O63+$Q$3*N63)</f>
        <v>203.1</v>
      </c>
      <c r="R63" s="101">
        <f t="shared" si="1"/>
        <v>12.69375</v>
      </c>
      <c r="S63" s="60">
        <f t="shared" si="2"/>
        <v>20.206249999999997</v>
      </c>
    </row>
    <row r="64" spans="2:19" ht="14.4">
      <c r="B64" s="55" t="s">
        <v>20</v>
      </c>
      <c r="C64" s="56" t="s">
        <v>242</v>
      </c>
      <c r="D64" s="56" t="str">
        <f>VLOOKUP(C64,DATA!B:C,2,0)</f>
        <v>MS US RUNE -5</v>
      </c>
      <c r="E64" s="56" t="str">
        <f>VLOOKUP(C64,Sheet4!A:B,2,0)</f>
        <v>RUNE -5</v>
      </c>
      <c r="F64" s="56" t="e">
        <f ca="1">Image("https://images-na.ssl-images-amazon.com/images/I/41ELdMKS5ZL.jpg;https://images-na.ssl-images-amazon.com/images/I/41iJio+uRKL.jpg;https://images-na.ssl-images-amazon.com/images/I/51Yxjdxj-RL.jpg;https://images-na.ssl-images-amazon.com/images/I/41rt5Ih977L"&amp;".jpg;https://images-na.ssl-images-amazon.com/images/I/61x2vm6K0sL.jpg;https://images-na.ssl-images-amazon.com/images/I/51rGJm3wZrL.jpg;https://images-na.ssl-images-amazon.com/images/I/61qhFU4IiQL.jpg")</f>
        <v>#NAME?</v>
      </c>
      <c r="G64" s="56" t="s">
        <v>244</v>
      </c>
      <c r="H64" s="83">
        <v>53</v>
      </c>
      <c r="I64" s="88">
        <v>570.79999999999995</v>
      </c>
      <c r="J64" s="83">
        <v>2</v>
      </c>
      <c r="K64" s="88">
        <v>-17.600000000000001</v>
      </c>
      <c r="L64" s="84">
        <v>292.66000000000003</v>
      </c>
      <c r="M64" s="94">
        <f t="shared" si="0"/>
        <v>5.5218867924528308</v>
      </c>
      <c r="N64" s="57">
        <f>(VLOOKUP(E64,Sheet4!F:G,2,0))/1000</f>
        <v>0.2</v>
      </c>
      <c r="O64" s="99">
        <f>VLOOKUP(E64,Sheet4!F64:J649,5,0)</f>
        <v>252</v>
      </c>
      <c r="P64" s="58" t="s">
        <v>1188</v>
      </c>
      <c r="Q64" s="59" cm="1">
        <f t="array" ref="Q64">_xlfn.IFS($P64=$P$2,O64+$P$3*N64,$P64=$Q$2,O64+$Q$3*N64)</f>
        <v>342</v>
      </c>
      <c r="R64" s="101">
        <f t="shared" si="1"/>
        <v>226.57499999999999</v>
      </c>
      <c r="S64" s="60">
        <f t="shared" si="2"/>
        <v>66.085000000000036</v>
      </c>
    </row>
    <row r="65" spans="2:19" ht="14.4">
      <c r="B65" s="55" t="s">
        <v>20</v>
      </c>
      <c r="C65" s="56" t="s">
        <v>88</v>
      </c>
      <c r="D65" s="56" t="str">
        <f>VLOOKUP(C65,DATA!B:C,2,0)</f>
        <v>PK RUNE -2</v>
      </c>
      <c r="E65" s="56" t="str">
        <f>VLOOKUP(C65,Sheet4!A:B,2,0)</f>
        <v>RUNE -2</v>
      </c>
      <c r="F65" s="56" t="e">
        <f ca="1">Image("https://images-na.ssl-images-amazon.com/images/I/41aEb7Hdp4L.jpg;https://images-na.ssl-images-amazon.com/images/I/51RNobz9zqL.jpg;https://images-na.ssl-images-amazon.com/images/I/41SNgC83nwL.jpg;https://images-na.ssl-images-amazon.com/images/I/51hyWzhfNcL"&amp;".jpg;https://images-na.ssl-images-amazon.com/images/I/51YJISElv5L.jpg;https://images-na.ssl-images-amazon.com/images/I/51CYNJk1TWL.jpg;https://images-na.ssl-images-amazon.com/images/I/51qeaNwt+9L.jpg;https://images-na.ssl-images-amazon.com/images/I/512t8z"&amp;"C0MGL.jpg")</f>
        <v>#NAME?</v>
      </c>
      <c r="G65" s="56" t="s">
        <v>90</v>
      </c>
      <c r="H65" s="83">
        <v>247</v>
      </c>
      <c r="I65" s="88">
        <v>2761.27</v>
      </c>
      <c r="J65" s="83">
        <v>5</v>
      </c>
      <c r="K65" s="88">
        <v>-54.43</v>
      </c>
      <c r="L65" s="84">
        <v>1548.1</v>
      </c>
      <c r="M65" s="94">
        <f t="shared" si="0"/>
        <v>6.2676113360323882</v>
      </c>
      <c r="N65" s="57">
        <f>(VLOOKUP(E65,Sheet4!F:G,2,0))/1000</f>
        <v>0.2</v>
      </c>
      <c r="O65" s="99">
        <f>VLOOKUP(E65,Sheet4!F65:J650,5,0)</f>
        <v>219.6</v>
      </c>
      <c r="P65" s="58" t="s">
        <v>1188</v>
      </c>
      <c r="Q65" s="59" cm="1">
        <f t="array" ref="Q65">_xlfn.IFS($P65=$P$2,O65+$P$3*N65,$P65=$Q$2,O65+$Q$3*N65)</f>
        <v>309.60000000000002</v>
      </c>
      <c r="R65" s="101">
        <f t="shared" si="1"/>
        <v>955.8900000000001</v>
      </c>
      <c r="S65" s="60">
        <f t="shared" si="2"/>
        <v>592.20999999999981</v>
      </c>
    </row>
    <row r="66" spans="2:19" ht="14.4">
      <c r="B66" s="55" t="s">
        <v>20</v>
      </c>
      <c r="C66" s="56" t="s">
        <v>304</v>
      </c>
      <c r="D66" s="56" t="str">
        <f>VLOOKUP(C66,DATA!B:C,2,0)</f>
        <v>MS US RUNE -3</v>
      </c>
      <c r="E66" s="56" t="str">
        <f>VLOOKUP(C66,Sheet4!A:B,2,0)</f>
        <v>RUNE -3</v>
      </c>
      <c r="F66" s="56" t="e">
        <f ca="1">Image("https://images-na.ssl-images-amazon.com/images/I/41wGO2BxR9S.jpg;https://images-na.ssl-images-amazon.com/images/I/41PY4xQtSJS.jpg;https://images-na.ssl-images-amazon.com/images/I/51Yxjdxj-RL.jpg;https://images-na.ssl-images-amazon.com/images/I/61wIGWyfkKL"&amp;".jpg;https://images-na.ssl-images-amazon.com/images/I/61I2EpK6VHL.jpg")</f>
        <v>#NAME?</v>
      </c>
      <c r="G66" s="56" t="s">
        <v>306</v>
      </c>
      <c r="H66" s="83">
        <v>26</v>
      </c>
      <c r="I66" s="88">
        <v>323.18</v>
      </c>
      <c r="J66" s="83">
        <v>1</v>
      </c>
      <c r="K66" s="88">
        <v>-11.05</v>
      </c>
      <c r="L66" s="84">
        <v>198.2</v>
      </c>
      <c r="M66" s="94">
        <f t="shared" ref="M66:M120" si="5">L66/H66</f>
        <v>7.6230769230769226</v>
      </c>
      <c r="N66" s="57">
        <f>(VLOOKUP(E66,Sheet4!F:G,2,0))/1000</f>
        <v>0.2</v>
      </c>
      <c r="O66" s="99">
        <f>VLOOKUP(E66,Sheet4!F66:J651,5,0)</f>
        <v>219.6</v>
      </c>
      <c r="P66" s="58" t="s">
        <v>1188</v>
      </c>
      <c r="Q66" s="59" cm="1">
        <f t="array" ref="Q66">_xlfn.IFS($P66=$P$2,O66+$P$3*N66,$P66=$Q$2,O66+$Q$3*N66)</f>
        <v>309.60000000000002</v>
      </c>
      <c r="R66" s="101">
        <f t="shared" si="1"/>
        <v>100.62</v>
      </c>
      <c r="S66" s="60">
        <f t="shared" si="2"/>
        <v>97.579999999999984</v>
      </c>
    </row>
    <row r="67" spans="2:19" ht="14.4">
      <c r="B67" s="55" t="s">
        <v>20</v>
      </c>
      <c r="C67" s="56" t="s">
        <v>145</v>
      </c>
      <c r="D67" s="56" t="str">
        <f>VLOOKUP(C67,DATA!B:C,2,0)</f>
        <v>MS US RUNE -1</v>
      </c>
      <c r="E67" s="56" t="str">
        <f>VLOOKUP(C67,Sheet4!A:B,2,0)</f>
        <v>RUNE -1</v>
      </c>
      <c r="F67" s="56" t="e">
        <f ca="1">Image("https://images-na.ssl-images-amazon.com/images/I/31q5fA+1dbL.jpg;https://images-na.ssl-images-amazon.com/images/I/51qQm37GqJL.jpg;https://images-na.ssl-images-amazon.com/images/I/51mYtBuhS-L.jpg;https://images-na.ssl-images-amazon.com/images/I/51SPPZ-kbIL"&amp;".jpg;https://images-na.ssl-images-amazon.com/images/I/41q2DLqpG9L.jpg;https://images-na.ssl-images-amazon.com/images/I/51gphCtXNTL.jpg;https://images-na.ssl-images-amazon.com/images/I/61PGVeOIkZS.jpg;https://images-na.ssl-images-amazon.com/images/I/61ec0p"&amp;"nWeQL.jpg")</f>
        <v>#NAME?</v>
      </c>
      <c r="G67" s="56" t="s">
        <v>147</v>
      </c>
      <c r="H67" s="83">
        <v>110</v>
      </c>
      <c r="I67" s="88">
        <v>1261.1500000000001</v>
      </c>
      <c r="J67" s="83">
        <v>4</v>
      </c>
      <c r="K67" s="88">
        <v>-37.159999999999997</v>
      </c>
      <c r="L67" s="84">
        <v>718.61</v>
      </c>
      <c r="M67" s="94">
        <f t="shared" si="5"/>
        <v>6.5328181818181816</v>
      </c>
      <c r="N67" s="57">
        <f>(VLOOKUP(E67,Sheet4!F:G,2,0))/1000</f>
        <v>0.2</v>
      </c>
      <c r="O67" s="99">
        <f>VLOOKUP(E67,Sheet4!F67:J652,5,0)</f>
        <v>355.2</v>
      </c>
      <c r="P67" s="58" t="s">
        <v>1188</v>
      </c>
      <c r="Q67" s="59" cm="1">
        <f t="array" ref="Q67">_xlfn.IFS($P67=$P$2,O67+$P$3*N67,$P67=$Q$2,O67+$Q$3*N67)</f>
        <v>445.2</v>
      </c>
      <c r="R67" s="101">
        <f t="shared" si="1"/>
        <v>612.15</v>
      </c>
      <c r="S67" s="60">
        <f t="shared" si="2"/>
        <v>106.46000000000004</v>
      </c>
    </row>
    <row r="68" spans="2:19" ht="14.4">
      <c r="B68" s="55" t="s">
        <v>20</v>
      </c>
      <c r="C68" s="56" t="s">
        <v>218</v>
      </c>
      <c r="D68" s="56" t="str">
        <f>VLOOKUP(C68,DATA!B:C,2,0)</f>
        <v>MS RUNE -8</v>
      </c>
      <c r="E68" s="56" t="str">
        <f>VLOOKUP(C68,Sheet4!A:B,2,0)</f>
        <v>RUNE -8</v>
      </c>
      <c r="F68" s="56" t="e">
        <f ca="1">Image("https://images-na.ssl-images-amazon.com/images/I/51JaG88vTwL.jpg;https://images-na.ssl-images-amazon.com/images/I/41lkF3dx4-L.jpg;https://images-na.ssl-images-amazon.com/images/I/51P4G70yb+L.jpg;https://images-na.ssl-images-amazon.com/images/I/51Yxjdxj-RL"&amp;".jpg;https://images-na.ssl-images-amazon.com/images/I/61a3LacXPzL.jpg;https://images-na.ssl-images-amazon.com/images/I/41bIOBA+ZcL.jpg")</f>
        <v>#NAME?</v>
      </c>
      <c r="G68" s="56" t="s">
        <v>220</v>
      </c>
      <c r="H68" s="83">
        <v>49</v>
      </c>
      <c r="I68" s="88">
        <v>606.35</v>
      </c>
      <c r="J68" s="83">
        <v>3</v>
      </c>
      <c r="K68" s="88">
        <v>-34.909999999999997</v>
      </c>
      <c r="L68" s="84">
        <v>361.67</v>
      </c>
      <c r="M68" s="94">
        <f t="shared" si="5"/>
        <v>7.3810204081632653</v>
      </c>
      <c r="N68" s="57">
        <f>(VLOOKUP(E68,Sheet4!F:G,2,0))/1000</f>
        <v>0.2</v>
      </c>
      <c r="O68" s="99">
        <f>VLOOKUP(E68,Sheet4!F68:J653,5,0)</f>
        <v>355.2</v>
      </c>
      <c r="P68" s="58" t="s">
        <v>1188</v>
      </c>
      <c r="Q68" s="59" cm="1">
        <f t="array" ref="Q68">_xlfn.IFS($P68=$P$2,O68+$P$3*N68,$P68=$Q$2,O68+$Q$3*N68)</f>
        <v>445.2</v>
      </c>
      <c r="R68" s="101">
        <f t="shared" si="1"/>
        <v>272.685</v>
      </c>
      <c r="S68" s="60">
        <f t="shared" si="2"/>
        <v>88.985000000000014</v>
      </c>
    </row>
    <row r="69" spans="2:19" ht="14.4">
      <c r="B69" s="55" t="s">
        <v>20</v>
      </c>
      <c r="C69" s="56" t="s">
        <v>239</v>
      </c>
      <c r="D69" s="56" t="str">
        <f>VLOOKUP(C69,DATA!B:C,2,0)</f>
        <v>MS US RUNE -9</v>
      </c>
      <c r="E69" s="56" t="str">
        <f>VLOOKUP(C69,Sheet4!A:B,2,0)</f>
        <v>RUNE -9</v>
      </c>
      <c r="F69" s="56" t="e">
        <f ca="1">Image("https://images-na.ssl-images-amazon.com/images/I/41ze7mM6wVL.jpg;https://images-na.ssl-images-amazon.com/images/I/41EUsg9pKYL.jpg;https://images-na.ssl-images-amazon.com/images/I/51Yxjdxj-RL.jpg;https://images-na.ssl-images-amazon.com/images/I/41Q3VVdbWUL"&amp;".jpg;https://images-na.ssl-images-amazon.com/images/I/61xWBrdBz+L.jpg;https://images-na.ssl-images-amazon.com/images/I/61902wogetL.jpg;https://images-na.ssl-images-amazon.com/images/I/51MTEWFCc6L.jpg")</f>
        <v>#NAME?</v>
      </c>
      <c r="G69" s="56" t="s">
        <v>241</v>
      </c>
      <c r="H69" s="83">
        <v>46</v>
      </c>
      <c r="I69" s="88">
        <v>496.55</v>
      </c>
      <c r="J69" s="83">
        <v>0</v>
      </c>
      <c r="K69" s="88">
        <v>0</v>
      </c>
      <c r="L69" s="84">
        <v>294.58</v>
      </c>
      <c r="M69" s="94">
        <f t="shared" si="5"/>
        <v>6.4039130434782603</v>
      </c>
      <c r="N69" s="57">
        <f>(VLOOKUP(E69,Sheet4!F:G,2,0))/1000</f>
        <v>0.2</v>
      </c>
      <c r="O69" s="99">
        <f>VLOOKUP(E69,Sheet4!F69:J654,5,0)</f>
        <v>180</v>
      </c>
      <c r="P69" s="58" t="s">
        <v>1188</v>
      </c>
      <c r="Q69" s="59" cm="1">
        <f t="array" ref="Q69">_xlfn.IFS($P69=$P$2,O69+$P$3*N69,$P69=$Q$2,O69+$Q$3*N69)</f>
        <v>270</v>
      </c>
      <c r="R69" s="101">
        <f t="shared" si="1"/>
        <v>155.25</v>
      </c>
      <c r="S69" s="60">
        <f t="shared" si="2"/>
        <v>139.32999999999998</v>
      </c>
    </row>
    <row r="70" spans="2:19" ht="14.4">
      <c r="B70" s="55" t="s">
        <v>20</v>
      </c>
      <c r="C70" s="56" t="s">
        <v>206</v>
      </c>
      <c r="D70" s="56" t="str">
        <f>VLOOKUP(C70,DATA!B:C,2,0)</f>
        <v>MS US RUNE -7</v>
      </c>
      <c r="E70" s="56" t="str">
        <f>VLOOKUP(C70,Sheet4!A:B,2,0)</f>
        <v>RUNE -7</v>
      </c>
      <c r="F70" s="56" t="e">
        <f ca="1">Image("https://images-na.ssl-images-amazon.com/images/I/51JXxV9SVlL.jpg;https://images-na.ssl-images-amazon.com/images/I/51bmI8M0lnL.jpg;https://images-na.ssl-images-amazon.com/images/I/51Yxjdxj-RL.jpg;https://images-na.ssl-images-amazon.com/images/I/41SbKlYf6yL"&amp;".jpg;https://images-na.ssl-images-amazon.com/images/I/61zFBHlaYkL.jpg;https://images-na.ssl-images-amazon.com/images/I/61U-7yYxGtL.jpg;https://images-na.ssl-images-amazon.com/images/I/61vqrdPd3FL.jpg")</f>
        <v>#NAME?</v>
      </c>
      <c r="G70" s="56" t="s">
        <v>208</v>
      </c>
      <c r="H70" s="83">
        <v>57</v>
      </c>
      <c r="I70" s="88">
        <v>657.68</v>
      </c>
      <c r="J70" s="83">
        <v>1</v>
      </c>
      <c r="K70" s="88">
        <v>-8.8000000000000007</v>
      </c>
      <c r="L70" s="84">
        <v>404.88</v>
      </c>
      <c r="M70" s="94">
        <f t="shared" si="5"/>
        <v>7.1031578947368423</v>
      </c>
      <c r="N70" s="57">
        <f>(VLOOKUP(E70,Sheet4!F:G,2,0))/1000</f>
        <v>0.2</v>
      </c>
      <c r="O70" s="99">
        <f>VLOOKUP(E70,Sheet4!F70:J655,5,0)</f>
        <v>240</v>
      </c>
      <c r="P70" s="58" t="s">
        <v>1188</v>
      </c>
      <c r="Q70" s="59" cm="1">
        <f t="array" ref="Q70">_xlfn.IFS($P70=$P$2,O70+$P$3*N70,$P70=$Q$2,O70+$Q$3*N70)</f>
        <v>330</v>
      </c>
      <c r="R70" s="101">
        <f t="shared" ref="R70:R133" si="6">Q70*H70/$R$2</f>
        <v>235.125</v>
      </c>
      <c r="S70" s="60">
        <f t="shared" ref="S70:S133" si="7">L70-R70</f>
        <v>169.755</v>
      </c>
    </row>
    <row r="71" spans="2:19" ht="14.4">
      <c r="B71" s="55" t="s">
        <v>20</v>
      </c>
      <c r="C71" s="56" t="s">
        <v>227</v>
      </c>
      <c r="D71" s="56" t="str">
        <f>VLOOKUP(C71,DATA!B:C,2,0)</f>
        <v>MS US RUNE -4</v>
      </c>
      <c r="E71" s="56" t="str">
        <f>VLOOKUP(C71,Sheet4!A:B,2,0)</f>
        <v>RUNE -4</v>
      </c>
      <c r="F71" s="56" t="e">
        <f ca="1">Image("https://images-na.ssl-images-amazon.com/images/I/41OVDNB8ZxL.jpg;https://images-na.ssl-images-amazon.com/images/I/51sf89CzEJL.jpg;https://images-na.ssl-images-amazon.com/images/I/41q2DLqpG9L.jpg;https://images-na.ssl-images-amazon.com/images/I/51qeaNwt+9L"&amp;".jpg;https://images-na.ssl-images-amazon.com/images/I/41lPflk+OgL.jpg;https://images-na.ssl-images-amazon.com/images/I/61geB7jq8YL.jpg;https://images-na.ssl-images-amazon.com/images/I/51l-NtkusjL.jpg")</f>
        <v>#NAME?</v>
      </c>
      <c r="G71" s="56" t="s">
        <v>229</v>
      </c>
      <c r="H71" s="83">
        <v>60</v>
      </c>
      <c r="I71" s="88">
        <v>626.04999999999995</v>
      </c>
      <c r="J71" s="83">
        <v>1</v>
      </c>
      <c r="K71" s="88">
        <v>-7.7</v>
      </c>
      <c r="L71" s="84">
        <v>339.66</v>
      </c>
      <c r="M71" s="94">
        <f t="shared" si="5"/>
        <v>5.6610000000000005</v>
      </c>
      <c r="N71" s="57">
        <f>(VLOOKUP(E71,Sheet4!F:G,2,0))/1000</f>
        <v>0.2</v>
      </c>
      <c r="O71" s="99">
        <f>VLOOKUP(E71,Sheet4!F71:J656,5,0)</f>
        <v>186</v>
      </c>
      <c r="P71" s="58" t="s">
        <v>1188</v>
      </c>
      <c r="Q71" s="59" cm="1">
        <f t="array" ref="Q71">_xlfn.IFS($P71=$P$2,O71+$P$3*N71,$P71=$Q$2,O71+$Q$3*N71)</f>
        <v>276</v>
      </c>
      <c r="R71" s="101">
        <f t="shared" si="6"/>
        <v>207</v>
      </c>
      <c r="S71" s="60">
        <f t="shared" si="7"/>
        <v>132.66000000000003</v>
      </c>
    </row>
    <row r="72" spans="2:19" ht="14.4">
      <c r="B72" s="55" t="s">
        <v>20</v>
      </c>
      <c r="C72" s="56" t="s">
        <v>917</v>
      </c>
      <c r="D72" s="56" t="str">
        <f>VLOOKUP(C72,DATA!B:C,2,0)</f>
        <v>GS US PYR -18</v>
      </c>
      <c r="E72" s="56" t="str">
        <f>VLOOKUP(C72,Sheet4!A:B,2,0)</f>
        <v>PYR -18</v>
      </c>
      <c r="F72" s="56" t="e">
        <f ca="1">Image("https://images-na.ssl-images-amazon.com/images/I/41S657bwRCL.jpg;https://images-na.ssl-images-amazon.com/images/I/51ppmOzOzDL.jpg;https://images-na.ssl-images-amazon.com/images/I/51o5aST8wYL.jpg;https://images-na.ssl-images-amazon.com/images/I/515gmkjMrIL"&amp;".jpg;https://images-na.ssl-images-amazon.com/images/I/51zcIIOwMvS.jpg;https://images-na.ssl-images-amazon.com/images/I/510VpJESKWL.jpg;https://images-na.ssl-images-amazon.com/images/I/51lYTtLBmCL.jpg")</f>
        <v>#NAME?</v>
      </c>
      <c r="G72" s="56" t="s">
        <v>402</v>
      </c>
      <c r="H72" s="83">
        <v>7</v>
      </c>
      <c r="I72" s="88">
        <v>51</v>
      </c>
      <c r="J72" s="83">
        <v>0</v>
      </c>
      <c r="K72" s="88">
        <v>0</v>
      </c>
      <c r="L72" s="84">
        <v>2.36</v>
      </c>
      <c r="M72" s="94">
        <f t="shared" si="5"/>
        <v>0.33714285714285713</v>
      </c>
      <c r="N72" s="57">
        <f>(VLOOKUP(E72,Sheet4!F:G,2,0))/1000</f>
        <v>0.15</v>
      </c>
      <c r="O72" s="99">
        <f>VLOOKUP(E72,Sheet4!F73:J658,5,0)</f>
        <v>184.8</v>
      </c>
      <c r="P72" s="58" t="s">
        <v>1188</v>
      </c>
      <c r="Q72" s="59" cm="1">
        <f t="array" ref="Q72">_xlfn.IFS($P72=$P$2,O72+$P$3*N72,$P72=$Q$2,O72+$Q$3*N72)</f>
        <v>252.3</v>
      </c>
      <c r="R72" s="101">
        <f t="shared" si="6"/>
        <v>22.076250000000002</v>
      </c>
      <c r="S72" s="60">
        <f t="shared" si="7"/>
        <v>-19.716250000000002</v>
      </c>
    </row>
    <row r="73" spans="2:19" ht="14.4">
      <c r="B73" s="55" t="s">
        <v>20</v>
      </c>
      <c r="C73" s="56" t="s">
        <v>827</v>
      </c>
      <c r="D73" s="56" t="str">
        <f>VLOOKUP(C73,DATA!B:C,2,0)</f>
        <v>GS US PYR -20</v>
      </c>
      <c r="E73" s="56" t="str">
        <f>VLOOKUP(C73,Sheet4!A:B,2,0)</f>
        <v>PYR -20</v>
      </c>
      <c r="F73" s="56" t="e">
        <f ca="1">Image("https://images-na.ssl-images-amazon.com/images/I/41RCIvZdnWL.jpg;https://images-na.ssl-images-amazon.com/images/I/51ZKFcIOXNL.jpg;https://images-na.ssl-images-amazon.com/images/I/51NEP4pEOZL.jpg;https://images-na.ssl-images-amazon.com/images/I/51BewhNWlRL"&amp;".jpg;https://images-na.ssl-images-amazon.com/images/I/51zUYX+O7uS.jpg;https://images-na.ssl-images-amazon.com/images/I/51aA9WSp2cL.jpg;https://images-na.ssl-images-amazon.com/images/I/41BfUFRiKkL.jpg")</f>
        <v>#NAME?</v>
      </c>
      <c r="G73" s="56" t="s">
        <v>402</v>
      </c>
      <c r="H73" s="83">
        <v>1</v>
      </c>
      <c r="I73" s="88">
        <v>7.75</v>
      </c>
      <c r="J73" s="83">
        <v>0</v>
      </c>
      <c r="K73" s="88">
        <v>0</v>
      </c>
      <c r="L73" s="84">
        <v>10.17</v>
      </c>
      <c r="M73" s="94">
        <f t="shared" si="5"/>
        <v>10.17</v>
      </c>
      <c r="N73" s="57">
        <f>(VLOOKUP(E73,Sheet4!F:G,2,0))/1000</f>
        <v>0.15</v>
      </c>
      <c r="O73" s="99">
        <f>VLOOKUP(E73,Sheet4!F74:J659,5,0)</f>
        <v>184.8</v>
      </c>
      <c r="P73" s="58" t="s">
        <v>1188</v>
      </c>
      <c r="Q73" s="59" cm="1">
        <f t="array" ref="Q73">_xlfn.IFS($P73=$P$2,O73+$P$3*N73,$P73=$Q$2,O73+$Q$3*N73)</f>
        <v>252.3</v>
      </c>
      <c r="R73" s="101">
        <f t="shared" si="6"/>
        <v>3.1537500000000001</v>
      </c>
      <c r="S73" s="60">
        <f t="shared" si="7"/>
        <v>7.0162499999999994</v>
      </c>
    </row>
    <row r="74" spans="2:19" ht="14.4">
      <c r="B74" s="55" t="s">
        <v>20</v>
      </c>
      <c r="C74" s="56" t="s">
        <v>400</v>
      </c>
      <c r="D74" s="56" t="str">
        <f>VLOOKUP(C74,DATA!B:C,2,0)</f>
        <v>GS US PYR -3</v>
      </c>
      <c r="E74" s="56" t="str">
        <f>VLOOKUP(C74,Sheet4!A:B,2,0)</f>
        <v>PYR -3</v>
      </c>
      <c r="F74" s="56" t="e">
        <f ca="1">Image("https://images-na.ssl-images-amazon.com/images/I/418t99GsBeL.jpg;https://images-na.ssl-images-amazon.com/images/I/51dCrnM6mDL.jpg;https://images-na.ssl-images-amazon.com/images/I/41-a6e7+28L.jpg;https://images-na.ssl-images-amazon.com/images/I/51SdLXPDoNL"&amp;".jpg;https://images-na.ssl-images-amazon.com/images/I/51uSebeVkJS.jpg;https://images-na.ssl-images-amazon.com/images/I/51mLm3qCuxL.jpg;https://images-na.ssl-images-amazon.com/images/I/41mcV6mPDTL.jpg")</f>
        <v>#NAME?</v>
      </c>
      <c r="G74" s="56" t="s">
        <v>402</v>
      </c>
      <c r="H74" s="83">
        <v>19</v>
      </c>
      <c r="I74" s="88">
        <v>155.12</v>
      </c>
      <c r="J74" s="83">
        <v>0</v>
      </c>
      <c r="K74" s="88">
        <v>0</v>
      </c>
      <c r="L74" s="84">
        <v>118.17</v>
      </c>
      <c r="M74" s="94">
        <f t="shared" si="5"/>
        <v>6.2194736842105263</v>
      </c>
      <c r="N74" s="57">
        <f>(VLOOKUP(E74,Sheet4!F:G,2,0))/1000</f>
        <v>0.15</v>
      </c>
      <c r="O74" s="99">
        <f>VLOOKUP(E74,Sheet4!F75:J660,5,0)</f>
        <v>184.8</v>
      </c>
      <c r="P74" s="58" t="s">
        <v>1188</v>
      </c>
      <c r="Q74" s="59" cm="1">
        <f t="array" ref="Q74">_xlfn.IFS($P74=$P$2,O74+$P$3*N74,$P74=$Q$2,O74+$Q$3*N74)</f>
        <v>252.3</v>
      </c>
      <c r="R74" s="101">
        <f t="shared" si="6"/>
        <v>59.921250000000001</v>
      </c>
      <c r="S74" s="60">
        <f t="shared" si="7"/>
        <v>58.248750000000001</v>
      </c>
    </row>
    <row r="75" spans="2:19" ht="14.4">
      <c r="B75" s="55" t="s">
        <v>20</v>
      </c>
      <c r="C75" s="56" t="s">
        <v>1034</v>
      </c>
      <c r="D75" s="56" t="str">
        <f>VLOOKUP(C75,DATA!B:C,2,0)</f>
        <v>GS US PYR -21</v>
      </c>
      <c r="E75" s="56" t="s">
        <v>1199</v>
      </c>
      <c r="F75" s="56" t="e">
        <f ca="1">Image("https://images-na.ssl-images-amazon.com/images/I/41QomNS594L.jpg;https://images-na.ssl-images-amazon.com/images/I/61tVMdB1xrL.jpg;https://images-na.ssl-images-amazon.com/images/I/51dfkpPO8rL.jpg;https://images-na.ssl-images-amazon.com/images/I/61AD7T-BZdL"&amp;".jpg;https://images-na.ssl-images-amazon.com/images/I/51FIaWZdZqS.jpg;https://images-na.ssl-images-amazon.com/images/I/51I3VK18VaL.jpg;https://images-na.ssl-images-amazon.com/images/I/51jqh3jmwWL.jpg;https://images-na.ssl-images-amazon.com/images/I/51IoHZ"&amp;"iSPxL.jpg")</f>
        <v>#NAME?</v>
      </c>
      <c r="G75" s="56" t="s">
        <v>402</v>
      </c>
      <c r="H75" s="83">
        <v>1</v>
      </c>
      <c r="I75" s="88">
        <v>12.99</v>
      </c>
      <c r="J75" s="83">
        <v>1</v>
      </c>
      <c r="K75" s="88">
        <v>-11.43</v>
      </c>
      <c r="L75" s="84">
        <v>-7.86</v>
      </c>
      <c r="M75" s="94">
        <f t="shared" si="5"/>
        <v>-7.86</v>
      </c>
      <c r="N75" s="57">
        <f>(VLOOKUP(E75,Sheet4!F:G,2,0))/1000</f>
        <v>0.15</v>
      </c>
      <c r="O75" s="99">
        <f>VLOOKUP(E75,Sheet4!F76:J661,5,0)</f>
        <v>184.8</v>
      </c>
      <c r="P75" s="58" t="s">
        <v>1188</v>
      </c>
      <c r="Q75" s="59" cm="1">
        <f t="array" ref="Q75">_xlfn.IFS($P75=$P$2,O75+$P$3*N75,$P75=$Q$2,O75+$Q$3*N75)</f>
        <v>252.3</v>
      </c>
      <c r="R75" s="101">
        <f t="shared" si="6"/>
        <v>3.1537500000000001</v>
      </c>
      <c r="S75" s="60">
        <f t="shared" si="7"/>
        <v>-11.01375</v>
      </c>
    </row>
    <row r="76" spans="2:19" ht="14.4">
      <c r="B76" s="55" t="s">
        <v>20</v>
      </c>
      <c r="C76" s="56" t="s">
        <v>52</v>
      </c>
      <c r="D76" s="56" t="str">
        <f>VLOOKUP(C76,DATA!B:C,2,0)</f>
        <v>MS US BOWL -17</v>
      </c>
      <c r="E76" s="56" t="str">
        <f>VLOOKUP(C76,Sheet4!A:B,2,0)</f>
        <v>BOWL -17</v>
      </c>
      <c r="F76" s="56" t="e">
        <f ca="1">Image("https://images-na.ssl-images-amazon.com/images/I/51NhfyJ8RXL.jpg;https://images-na.ssl-images-amazon.com/images/I/51fx5QVoZEL.jpg;https://images-na.ssl-images-amazon.com/images/I/51Pp3kjpyVL.jpg;https://images-na.ssl-images-amazon.com/images/I/51TkE7yOr8L"&amp;".jpg;https://images-na.ssl-images-amazon.com/images/I/51QbzfTP8aL.jpg;https://images-na.ssl-images-amazon.com/images/I/51x7uYgimCL.jpg;https://images-na.ssl-images-amazon.com/images/I/61xCBM3xztL.jpg")</f>
        <v>#NAME?</v>
      </c>
      <c r="G76" s="56" t="s">
        <v>54</v>
      </c>
      <c r="H76" s="83">
        <v>554</v>
      </c>
      <c r="I76" s="88">
        <v>5567.04</v>
      </c>
      <c r="J76" s="83">
        <v>16</v>
      </c>
      <c r="K76" s="88">
        <v>-144.06</v>
      </c>
      <c r="L76" s="84">
        <v>2239.3000000000002</v>
      </c>
      <c r="M76" s="94">
        <f t="shared" si="5"/>
        <v>4.0420577617328526</v>
      </c>
      <c r="N76" s="57">
        <f>(VLOOKUP(E76,Sheet4!F:G,2,0))/1000</f>
        <v>0.12</v>
      </c>
      <c r="O76" s="99">
        <f>VLOOKUP(E76,Sheet4!F77:J662,5,0)</f>
        <v>230.4</v>
      </c>
      <c r="P76" s="58" t="s">
        <v>1188</v>
      </c>
      <c r="Q76" s="59" cm="1">
        <f t="array" ref="Q76">_xlfn.IFS($P76=$P$2,O76+$P$3*N76,$P76=$Q$2,O76+$Q$3*N76)</f>
        <v>284.39999999999998</v>
      </c>
      <c r="R76" s="101">
        <f t="shared" si="6"/>
        <v>1969.4699999999998</v>
      </c>
      <c r="S76" s="60">
        <f t="shared" si="7"/>
        <v>269.83000000000038</v>
      </c>
    </row>
    <row r="77" spans="2:19" ht="14.4">
      <c r="B77" s="55" t="s">
        <v>20</v>
      </c>
      <c r="C77" s="56" t="s">
        <v>37</v>
      </c>
      <c r="D77" s="56" t="str">
        <f>VLOOKUP(C77,DATA!B:C,2,0)</f>
        <v>PK KNOBS TFR -7</v>
      </c>
      <c r="E77" s="56" t="str">
        <f>VLOOKUP(C77,Sheet4!A:B,2,0)</f>
        <v>KNOBS TFR -7</v>
      </c>
      <c r="F77" s="56" t="e">
        <f ca="1">Image("https://images-na.ssl-images-amazon.com/images/I/51QNrY7+45L.jpg;https://images-na.ssl-images-amazon.com/images/I/41BGqOsQRbL.jpg;https://images-na.ssl-images-amazon.com/images/I/41mZYBF9UML.jpg;https://images-na.ssl-images-amazon.com/images/I/41f3-al81pL"&amp;".jpg;https://images-na.ssl-images-amazon.com/images/I/51tdwZD6Z1L.jpg;https://images-na.ssl-images-amazon.com/images/I/611wZYAJlEL.jpg;https://images-na.ssl-images-amazon.com/images/I/51SmOiqXgtL.jpg")</f>
        <v>#NAME?</v>
      </c>
      <c r="G77" s="56" t="s">
        <v>39</v>
      </c>
      <c r="H77" s="83">
        <v>856</v>
      </c>
      <c r="I77" s="88">
        <v>10418.69</v>
      </c>
      <c r="J77" s="83">
        <v>102</v>
      </c>
      <c r="K77" s="88">
        <v>-1114.27</v>
      </c>
      <c r="L77" s="84">
        <v>3898.79</v>
      </c>
      <c r="M77" s="94">
        <f t="shared" si="5"/>
        <v>4.5546612149532706</v>
      </c>
      <c r="N77" s="57">
        <f>(VLOOKUP(E77,Sheet4!F:G,2,0))/1000</f>
        <v>0.48</v>
      </c>
      <c r="O77" s="99">
        <f>VLOOKUP(E77,Sheet4!F70:N655,9,0)</f>
        <v>234</v>
      </c>
      <c r="P77" s="58" t="s">
        <v>1187</v>
      </c>
      <c r="Q77" s="59" cm="1">
        <f t="array" ref="Q77">_xlfn.IFS($P77=$P$2,O77+$P$3*N77,$P77=$Q$2,O77+$Q$3*N77)</f>
        <v>291.60000000000002</v>
      </c>
      <c r="R77" s="101">
        <f t="shared" si="6"/>
        <v>3120.12</v>
      </c>
      <c r="S77" s="60">
        <f t="shared" si="7"/>
        <v>778.67000000000007</v>
      </c>
    </row>
    <row r="78" spans="2:19" ht="14.4">
      <c r="B78" s="55" t="s">
        <v>20</v>
      </c>
      <c r="C78" s="56" t="s">
        <v>94</v>
      </c>
      <c r="D78" s="56" t="str">
        <f>VLOOKUP(C78,DATA!B:C,2,0)</f>
        <v>GS US AIR KNOBS TFR -11</v>
      </c>
      <c r="E78" s="56" t="str">
        <f>VLOOKUP(C78,Sheet4!A:B,2,0)</f>
        <v>KNOBS TFR -11</v>
      </c>
      <c r="F78" s="56" t="e">
        <f ca="1">Image("https://images-na.ssl-images-amazon.com/images/I/41XxtP53SHL.jpg;https://images-na.ssl-images-amazon.com/images/I/41N4J-gvEOL.jpg;https://images-na.ssl-images-amazon.com/images/I/51NKQK93QwL.jpg;https://images-na.ssl-images-amazon.com/images/I/51ldLWl+xPL"&amp;".jpg;https://images-na.ssl-images-amazon.com/images/I/51-OBHwTsFL.jpg;https://images-na.ssl-images-amazon.com/images/I/51UHDnxz5gL.jpg;https://images-na.ssl-images-amazon.com/images/I/41EQ8YE35tL.jpg")</f>
        <v>#NAME?</v>
      </c>
      <c r="G78" s="56" t="s">
        <v>96</v>
      </c>
      <c r="H78" s="83">
        <v>248</v>
      </c>
      <c r="I78" s="88">
        <v>3333.47</v>
      </c>
      <c r="J78" s="83">
        <v>21</v>
      </c>
      <c r="K78" s="88">
        <v>-244.82</v>
      </c>
      <c r="L78" s="84">
        <v>1360.31</v>
      </c>
      <c r="M78" s="94">
        <f t="shared" si="5"/>
        <v>5.4851209677419357</v>
      </c>
      <c r="N78" s="57">
        <f>(VLOOKUP(E78,Sheet4!F:G,2,0))/1000</f>
        <v>0.48</v>
      </c>
      <c r="O78" s="99">
        <f>VLOOKUP(E78,Sheet4!F71:N656,9,0)</f>
        <v>234</v>
      </c>
      <c r="P78" s="58" t="s">
        <v>1187</v>
      </c>
      <c r="Q78" s="59" cm="1">
        <f t="array" ref="Q78">_xlfn.IFS($P78=$P$2,O78+$P$3*N78,$P78=$Q$2,O78+$Q$3*N78)</f>
        <v>291.60000000000002</v>
      </c>
      <c r="R78" s="101">
        <f t="shared" si="6"/>
        <v>903.96</v>
      </c>
      <c r="S78" s="60">
        <f t="shared" si="7"/>
        <v>456.34999999999991</v>
      </c>
    </row>
    <row r="79" spans="2:19" ht="14.4">
      <c r="B79" s="55" t="s">
        <v>20</v>
      </c>
      <c r="C79" s="56" t="s">
        <v>168</v>
      </c>
      <c r="D79" s="56" t="str">
        <f>VLOOKUP(C79,DATA!B:C,2,0)</f>
        <v>JD KNOBS FLAT -1</v>
      </c>
      <c r="E79" s="56" t="str">
        <f>VLOOKUP(C79,Sheet4!A:B,2,0)</f>
        <v>KNOBS FLAT -1</v>
      </c>
      <c r="F79" s="56" t="e">
        <f ca="1">Image("https://images-na.ssl-images-amazon.com/images/I/511dTfVh3qL.jpg;https://images-na.ssl-images-amazon.com/images/I/51ib6xDKXwL.jpg;https://images-na.ssl-images-amazon.com/images/I/41Lfp3uQhBL.jpg;https://images-na.ssl-images-amazon.com/images/I/41hx+s+7uIL"&amp;".jpg;https://images-na.ssl-images-amazon.com/images/I/51FQWAbFbTL.jpg")</f>
        <v>#NAME?</v>
      </c>
      <c r="G79" s="56" t="s">
        <v>170</v>
      </c>
      <c r="H79" s="83">
        <v>142</v>
      </c>
      <c r="I79" s="88">
        <v>1802.4</v>
      </c>
      <c r="J79" s="83">
        <v>21</v>
      </c>
      <c r="K79" s="88">
        <v>-231.14</v>
      </c>
      <c r="L79" s="84">
        <v>583.59</v>
      </c>
      <c r="M79" s="94">
        <f t="shared" si="5"/>
        <v>4.1097887323943665</v>
      </c>
      <c r="N79" s="57">
        <f>(VLOOKUP(E79,Sheet4!F:G,2,0))/1000</f>
        <v>0.48</v>
      </c>
      <c r="O79" s="99">
        <f>VLOOKUP(E79,Sheet4!F72:N657,9,0)</f>
        <v>260.39999999999998</v>
      </c>
      <c r="P79" s="58" t="s">
        <v>1187</v>
      </c>
      <c r="Q79" s="59" cm="1">
        <f t="array" ref="Q79">_xlfn.IFS($P79=$P$2,O79+$P$3*N79,$P79=$Q$2,O79+$Q$3*N79)</f>
        <v>318</v>
      </c>
      <c r="R79" s="101">
        <f t="shared" si="6"/>
        <v>564.45000000000005</v>
      </c>
      <c r="S79" s="60">
        <f t="shared" si="7"/>
        <v>19.139999999999986</v>
      </c>
    </row>
    <row r="80" spans="2:19" ht="14.4">
      <c r="B80" s="55" t="s">
        <v>20</v>
      </c>
      <c r="C80" s="56" t="s">
        <v>58</v>
      </c>
      <c r="D80" s="56" t="str">
        <f>VLOOKUP(C80,DATA!B:C,2,0)</f>
        <v>GS USA KNOBS FLAT -5</v>
      </c>
      <c r="E80" s="56" t="str">
        <f>VLOOKUP(C80,Sheet4!A:B,2,0)</f>
        <v>KNOBS FLAT -5</v>
      </c>
      <c r="F80" s="56" t="e">
        <f ca="1">Image("https://images-na.ssl-images-amazon.com/images/I/51291o7fzdL.jpg;https://images-na.ssl-images-amazon.com/images/I/51NDwofsY9L.jpg;https://images-na.ssl-images-amazon.com/images/I/41TM8PrZnJL.jpg;https://images-na.ssl-images-amazon.com/images/I/413TjTXnyIL"&amp;".jpg;https://images-na.ssl-images-amazon.com/images/I/51qBa1U+56L.jpg;https://images-na.ssl-images-amazon.com/images/I/51BfznTgQ3L.jpg;https://images-na.ssl-images-amazon.com/images/I/51lHkguOGLL.jpg")</f>
        <v>#NAME?</v>
      </c>
      <c r="G80" s="56" t="s">
        <v>60</v>
      </c>
      <c r="H80" s="83">
        <v>171</v>
      </c>
      <c r="I80" s="88">
        <v>4367.26</v>
      </c>
      <c r="J80" s="83">
        <v>17</v>
      </c>
      <c r="K80" s="88">
        <v>-382.71</v>
      </c>
      <c r="L80" s="84">
        <v>2048.35</v>
      </c>
      <c r="M80" s="94">
        <f t="shared" si="5"/>
        <v>11.978654970760234</v>
      </c>
      <c r="N80" s="57">
        <f>(VLOOKUP(E80,Sheet4!F:G,2,0))/1000</f>
        <v>1.3</v>
      </c>
      <c r="O80" s="99">
        <f>VLOOKUP(E80,Sheet4!F:N,9,0)</f>
        <v>631.6</v>
      </c>
      <c r="P80" s="58" t="s">
        <v>1187</v>
      </c>
      <c r="Q80" s="59" cm="1">
        <f t="array" ref="Q80">_xlfn.IFS($P80=$P$2,O80+$P$3*N80,$P80=$Q$2,O80+$Q$3*N80)</f>
        <v>787.6</v>
      </c>
      <c r="R80" s="101">
        <f t="shared" si="6"/>
        <v>1683.4950000000001</v>
      </c>
      <c r="S80" s="60">
        <f t="shared" si="7"/>
        <v>364.85499999999979</v>
      </c>
    </row>
    <row r="81" spans="2:19" ht="14.4">
      <c r="B81" s="55" t="s">
        <v>20</v>
      </c>
      <c r="C81" s="56" t="s">
        <v>322</v>
      </c>
      <c r="D81" s="56" t="str">
        <f>VLOOKUP(C81,DATA!B:C,2,0)</f>
        <v>MS US RUNE -13</v>
      </c>
      <c r="E81" s="56" t="str">
        <f>VLOOKUP(C81,Sheet4!A:B,2,0)</f>
        <v>RUNE -13</v>
      </c>
      <c r="F81" s="56" t="e">
        <f ca="1">Image("https://images-na.ssl-images-amazon.com/images/I/41UjIhu3v4L.jpg;https://images-na.ssl-images-amazon.com/images/I/41FNmvhossL.jpg;https://images-na.ssl-images-amazon.com/images/I/51Yxjdxj-RL.jpg;https://images-na.ssl-images-amazon.com/images/I/41vyzjACAfL"&amp;".jpg;https://images-na.ssl-images-amazon.com/images/I/61hClIxxcLL.jpg;https://images-na.ssl-images-amazon.com/images/I/61Op1bcgPrL.jpg;https://images-na.ssl-images-amazon.com/images/I/519XXkzez1L.jpg")</f>
        <v>#NAME?</v>
      </c>
      <c r="G81" s="56" t="s">
        <v>324</v>
      </c>
      <c r="H81" s="83">
        <v>27</v>
      </c>
      <c r="I81" s="88">
        <v>309.89</v>
      </c>
      <c r="J81" s="83">
        <v>0</v>
      </c>
      <c r="K81" s="88">
        <v>0</v>
      </c>
      <c r="L81" s="84">
        <v>184.4</v>
      </c>
      <c r="M81" s="94">
        <f t="shared" si="5"/>
        <v>6.8296296296296299</v>
      </c>
      <c r="N81" s="57">
        <f>(VLOOKUP(E81,Sheet4!F:G,2,0))/1000</f>
        <v>0.2</v>
      </c>
      <c r="O81" s="99">
        <f>VLOOKUP(E81,Sheet4!F82:J667,5,0)</f>
        <v>186</v>
      </c>
      <c r="P81" s="58" t="s">
        <v>1188</v>
      </c>
      <c r="Q81" s="59" cm="1">
        <f t="array" ref="Q81">_xlfn.IFS($P81=$P$2,O81+$P$3*N81,$P81=$Q$2,O81+$Q$3*N81)</f>
        <v>276</v>
      </c>
      <c r="R81" s="101">
        <f t="shared" si="6"/>
        <v>93.15</v>
      </c>
      <c r="S81" s="60">
        <f t="shared" si="7"/>
        <v>91.25</v>
      </c>
    </row>
    <row r="82" spans="2:19" ht="14.4">
      <c r="B82" s="55" t="s">
        <v>20</v>
      </c>
      <c r="C82" s="56" t="s">
        <v>307</v>
      </c>
      <c r="D82" s="56" t="str">
        <f>VLOOKUP(C82,DATA!B:C,2,0)</f>
        <v>MS US RUNE -12</v>
      </c>
      <c r="E82" s="56" t="str">
        <f>VLOOKUP(C82,Sheet4!A:B,2,0)</f>
        <v>RUNE -12</v>
      </c>
      <c r="F82" s="56" t="e">
        <f ca="1">Image("https://images-na.ssl-images-amazon.com/images/I/41LPVSsdqIL.jpg;https://images-na.ssl-images-amazon.com/images/I/5103XKI2mhL.jpg;https://images-na.ssl-images-amazon.com/images/I/41q2DLqpG9L.jpg;https://images-na.ssl-images-amazon.com/images/I/51qeaNwt+9L"&amp;".jpg;https://images-na.ssl-images-amazon.com/images/I/41kfDKcNb+L.jpg;https://images-na.ssl-images-amazon.com/images/I/61aaPBB3vrL.jpg;https://images-na.ssl-images-amazon.com/images/I/5133oUOjsKL.jpg")</f>
        <v>#NAME?</v>
      </c>
      <c r="G82" s="56" t="s">
        <v>309</v>
      </c>
      <c r="H82" s="83">
        <v>30</v>
      </c>
      <c r="I82" s="88">
        <v>324.64999999999998</v>
      </c>
      <c r="J82" s="83">
        <v>0</v>
      </c>
      <c r="K82" s="88">
        <v>0</v>
      </c>
      <c r="L82" s="84">
        <v>195.19</v>
      </c>
      <c r="M82" s="94">
        <f t="shared" si="5"/>
        <v>6.5063333333333331</v>
      </c>
      <c r="N82" s="57">
        <f>(VLOOKUP(E82,Sheet4!F:G,2,0))/1000</f>
        <v>0.2</v>
      </c>
      <c r="O82" s="99">
        <f>VLOOKUP(E82,Sheet4!F83:J668,5,0)</f>
        <v>222</v>
      </c>
      <c r="P82" s="58" t="s">
        <v>1188</v>
      </c>
      <c r="Q82" s="59" cm="1">
        <f t="array" ref="Q82">_xlfn.IFS($P82=$P$2,O82+$P$3*N82,$P82=$Q$2,O82+$Q$3*N82)</f>
        <v>312</v>
      </c>
      <c r="R82" s="101">
        <f t="shared" si="6"/>
        <v>117</v>
      </c>
      <c r="S82" s="60">
        <f t="shared" si="7"/>
        <v>78.19</v>
      </c>
    </row>
    <row r="83" spans="2:19" ht="14.4">
      <c r="B83" s="55" t="s">
        <v>20</v>
      </c>
      <c r="C83" s="56" t="s">
        <v>989</v>
      </c>
      <c r="D83" s="56" t="str">
        <f>VLOOKUP(C83,DATA!B:C,2,0)</f>
        <v>MS REI-TRE -0011</v>
      </c>
      <c r="E83" s="56" t="str">
        <f>VLOOKUP(C83,Sheet4!A:B,2,0)</f>
        <v>TRE -9</v>
      </c>
      <c r="F83" s="56" t="e">
        <f ca="1">Image("https://images-na.ssl-images-amazon.com/images/I/51R28Pjq4zS.jpg;https://images-na.ssl-images-amazon.com/images/I/51G9dfc5FIS.jpg;https://images-na.ssl-images-amazon.com/images/I/41rZFbewOnS.jpg;https://images-na.ssl-images-amazon.com/images/I/51lb1WO1svS"&amp;".jpg;https://images-na.ssl-images-amazon.com/images/I/512Tz7MnBlS.jpg;https://images-na.ssl-images-amazon.com/images/I/51EbL+fyvXS.jpg")</f>
        <v>#NAME?</v>
      </c>
      <c r="G83" s="56" t="s">
        <v>991</v>
      </c>
      <c r="H83" s="83">
        <v>3</v>
      </c>
      <c r="I83" s="88">
        <v>37.979999999999997</v>
      </c>
      <c r="J83" s="83">
        <v>0</v>
      </c>
      <c r="K83" s="88">
        <v>0</v>
      </c>
      <c r="L83" s="84">
        <v>-3.08</v>
      </c>
      <c r="M83" s="94">
        <f t="shared" si="5"/>
        <v>-1.0266666666666666</v>
      </c>
      <c r="N83" s="57">
        <f>(VLOOKUP(E83,Sheet4!F:G,2,0))/1000</f>
        <v>0.35</v>
      </c>
      <c r="O83" s="99">
        <f>VLOOKUP(E83,Sheet4!F84:J669,5,0)</f>
        <v>237.6</v>
      </c>
      <c r="P83" s="58" t="s">
        <v>1188</v>
      </c>
      <c r="Q83" s="59" cm="1">
        <f t="array" ref="Q83">_xlfn.IFS($P83=$P$2,O83+$P$3*N83,$P83=$Q$2,O83+$Q$3*N83)</f>
        <v>395.1</v>
      </c>
      <c r="R83" s="101">
        <f t="shared" si="6"/>
        <v>14.816250000000002</v>
      </c>
      <c r="S83" s="60">
        <f t="shared" si="7"/>
        <v>-17.896250000000002</v>
      </c>
    </row>
    <row r="84" spans="2:19" ht="14.4">
      <c r="B84" s="55" t="s">
        <v>20</v>
      </c>
      <c r="C84" s="56" t="s">
        <v>136</v>
      </c>
      <c r="D84" s="56" t="str">
        <f>VLOOKUP(C84,DATA!B:C,2,0)</f>
        <v>MS US RUNE -16</v>
      </c>
      <c r="E84" s="56" t="str">
        <f>VLOOKUP(C84,Sheet4!A:B,2,0)</f>
        <v>RUNE -16</v>
      </c>
      <c r="F84" s="56" t="e">
        <f ca="1">Image("https://images-na.ssl-images-amazon.com/images/I/41qXdOrQX2L.jpg;https://images-na.ssl-images-amazon.com/images/I/4190dN7yW4L.jpg;https://images-na.ssl-images-amazon.com/images/I/41q2DLqpG9L.jpg;https://images-na.ssl-images-amazon.com/images/I/51YygNcovnL"&amp;".jpg;https://images-na.ssl-images-amazon.com/images/I/51dJN7D8a7L.jpg;https://images-na.ssl-images-amazon.com/images/I/518bW09Od+L.jpg;https://images-na.ssl-images-amazon.com/images/I/51qeaNwt+9L.jpg;https://images-na.ssl-images-amazon.com/images/I/41ZkMr"&amp;"5aNHL.jpg;https://images-na.ssl-images-amazon.com/images/I/5126pbyaPlL.jpg")</f>
        <v>#NAME?</v>
      </c>
      <c r="G84" s="56" t="s">
        <v>138</v>
      </c>
      <c r="H84" s="83">
        <v>118</v>
      </c>
      <c r="I84" s="88">
        <v>1357.4</v>
      </c>
      <c r="J84" s="83">
        <v>0</v>
      </c>
      <c r="K84" s="88">
        <v>0</v>
      </c>
      <c r="L84" s="84">
        <v>814.33</v>
      </c>
      <c r="M84" s="94">
        <f t="shared" si="5"/>
        <v>6.9011016949152548</v>
      </c>
      <c r="N84" s="57">
        <f>(VLOOKUP(E84,Sheet4!F:G,2,0))/1000</f>
        <v>0.2</v>
      </c>
      <c r="O84" s="99">
        <f>VLOOKUP(E84,Sheet4!F85:J670,5,0)</f>
        <v>222</v>
      </c>
      <c r="P84" s="58" t="s">
        <v>1188</v>
      </c>
      <c r="Q84" s="59" cm="1">
        <f t="array" ref="Q84">_xlfn.IFS($P84=$P$2,O84+$P$3*N84,$P84=$Q$2,O84+$Q$3*N84)</f>
        <v>312</v>
      </c>
      <c r="R84" s="101">
        <f t="shared" si="6"/>
        <v>460.2</v>
      </c>
      <c r="S84" s="60">
        <f t="shared" si="7"/>
        <v>354.13000000000005</v>
      </c>
    </row>
    <row r="85" spans="2:19" ht="14.4">
      <c r="B85" s="55" t="s">
        <v>20</v>
      </c>
      <c r="C85" s="56" t="s">
        <v>200</v>
      </c>
      <c r="D85" s="56" t="str">
        <f>VLOOKUP(C85,DATA!B:C,2,0)</f>
        <v>MS US RUNE -22</v>
      </c>
      <c r="E85" s="56" t="str">
        <f>VLOOKUP(C85,Sheet4!A:B,2,0)</f>
        <v>RUNE -22</v>
      </c>
      <c r="F85" s="56" t="e">
        <f ca="1">Image("https://images-na.ssl-images-amazon.com/images/I/51KAxo3a-3L.jpg;https://images-na.ssl-images-amazon.com/images/I/51-8MIIOsVL.jpg;https://images-na.ssl-images-amazon.com/images/I/51Yxjdxj-RL.jpg;https://images-na.ssl-images-amazon.com/images/I/41IjNyOw+GL"&amp;".jpg;https://images-na.ssl-images-amazon.com/images/I/61YSpwZjHYL.jpg;https://images-na.ssl-images-amazon.com/images/I/61SxbPBq4VL.jpg;https://images-na.ssl-images-amazon.com/images/I/61B16W9kV0L.jpg")</f>
        <v>#NAME?</v>
      </c>
      <c r="G85" s="56" t="s">
        <v>202</v>
      </c>
      <c r="H85" s="83">
        <v>73</v>
      </c>
      <c r="I85" s="88">
        <v>772.44</v>
      </c>
      <c r="J85" s="83">
        <v>3</v>
      </c>
      <c r="K85" s="88">
        <v>-30.4</v>
      </c>
      <c r="L85" s="84">
        <v>415.02</v>
      </c>
      <c r="M85" s="94">
        <f t="shared" si="5"/>
        <v>5.6852054794520548</v>
      </c>
      <c r="N85" s="57">
        <f>(VLOOKUP(E85,Sheet4!F:G,2,0))/1000</f>
        <v>0.2</v>
      </c>
      <c r="O85" s="99">
        <f>VLOOKUP(E85,Sheet4!F86:J671,5,0)</f>
        <v>204</v>
      </c>
      <c r="P85" s="58" t="s">
        <v>1188</v>
      </c>
      <c r="Q85" s="59" cm="1">
        <f t="array" ref="Q85">_xlfn.IFS($P85=$P$2,O85+$P$3*N85,$P85=$Q$2,O85+$Q$3*N85)</f>
        <v>294</v>
      </c>
      <c r="R85" s="101">
        <f t="shared" si="6"/>
        <v>268.27499999999998</v>
      </c>
      <c r="S85" s="60">
        <f t="shared" si="7"/>
        <v>146.745</v>
      </c>
    </row>
    <row r="86" spans="2:19" ht="14.4">
      <c r="B86" s="55" t="s">
        <v>20</v>
      </c>
      <c r="C86" s="56" t="s">
        <v>444</v>
      </c>
      <c r="D86" s="56" t="str">
        <f>VLOOKUP(C86,DATA!B:C,2,0)</f>
        <v>MS US RUNE -10</v>
      </c>
      <c r="E86" s="56" t="str">
        <f>VLOOKUP(C86,Sheet4!A:B,2,0)</f>
        <v>RUNE -10</v>
      </c>
      <c r="F86" s="56" t="e">
        <f ca="1">Image("https://images-na.ssl-images-amazon.com/images/I/41UJe5wbCmL.jpg;https://images-na.ssl-images-amazon.com/images/I/41E99IdNZaL.jpg;https://images-na.ssl-images-amazon.com/images/I/51Yxjdxj-RL.jpg;https://images-na.ssl-images-amazon.com/images/I/417zseSr+iL"&amp;".jpg;https://images-na.ssl-images-amazon.com/images/I/61JNpvQ3rLL.jpg;https://images-na.ssl-images-amazon.com/images/I/61-8dZ++4dL.jpg;https://images-na.ssl-images-amazon.com/images/I/51Fring6kcL.jpg")</f>
        <v>#NAME?</v>
      </c>
      <c r="G86" s="56" t="s">
        <v>446</v>
      </c>
      <c r="H86" s="83">
        <v>16</v>
      </c>
      <c r="I86" s="88">
        <v>166.95</v>
      </c>
      <c r="J86" s="83">
        <v>0</v>
      </c>
      <c r="K86" s="88">
        <v>0</v>
      </c>
      <c r="L86" s="84">
        <v>96.29</v>
      </c>
      <c r="M86" s="94">
        <f t="shared" si="5"/>
        <v>6.0181250000000004</v>
      </c>
      <c r="N86" s="57">
        <f>(VLOOKUP(E86,Sheet4!F:G,2,0))/1000</f>
        <v>0.2</v>
      </c>
      <c r="O86" s="99">
        <f>VLOOKUP(E86,Sheet4!F87:J672,5,0)</f>
        <v>186</v>
      </c>
      <c r="P86" s="58" t="s">
        <v>1188</v>
      </c>
      <c r="Q86" s="59" cm="1">
        <f t="array" ref="Q86">_xlfn.IFS($P86=$P$2,O86+$P$3*N86,$P86=$Q$2,O86+$Q$3*N86)</f>
        <v>276</v>
      </c>
      <c r="R86" s="101">
        <f t="shared" si="6"/>
        <v>55.2</v>
      </c>
      <c r="S86" s="60">
        <f t="shared" si="7"/>
        <v>41.09</v>
      </c>
    </row>
    <row r="87" spans="2:19" ht="14.4">
      <c r="B87" s="55" t="s">
        <v>20</v>
      </c>
      <c r="C87" s="56" t="s">
        <v>203</v>
      </c>
      <c r="D87" s="56" t="str">
        <f>VLOOKUP(C87,DATA!B:C,2,0)</f>
        <v>MS US RUNE -15</v>
      </c>
      <c r="E87" s="56" t="str">
        <f>VLOOKUP(C87,Sheet4!A:B,2,0)</f>
        <v>RUNE -15</v>
      </c>
      <c r="F87" s="56" t="e">
        <f ca="1">Image("https://images-na.ssl-images-amazon.com/images/I/41V7GUEZ4rL.jpg;https://images-na.ssl-images-amazon.com/images/I/41SM6fAxGLL.jpg;https://images-na.ssl-images-amazon.com/images/I/51Yxjdxj-RL.jpg;https://images-na.ssl-images-amazon.com/images/I/41jrAX77PLL"&amp;".jpg;https://images-na.ssl-images-amazon.com/images/I/611omcHeAvL.jpg;https://images-na.ssl-images-amazon.com/images/I/61bSvDpeNBL.jpg;https://images-na.ssl-images-amazon.com/images/I/51bdrOTZBZL.jpg")</f>
        <v>#NAME?</v>
      </c>
      <c r="G87" s="56" t="s">
        <v>205</v>
      </c>
      <c r="H87" s="83">
        <v>69</v>
      </c>
      <c r="I87" s="88">
        <v>760.03</v>
      </c>
      <c r="J87" s="83">
        <v>4</v>
      </c>
      <c r="K87" s="88">
        <v>-36.950000000000003</v>
      </c>
      <c r="L87" s="84">
        <v>411.02</v>
      </c>
      <c r="M87" s="94">
        <f t="shared" si="5"/>
        <v>5.9568115942028985</v>
      </c>
      <c r="N87" s="57">
        <f>(VLOOKUP(E87,Sheet4!F:G,2,0))/1000</f>
        <v>0.2</v>
      </c>
      <c r="O87" s="99">
        <f>VLOOKUP(E87,Sheet4!F88:J673,5,0)</f>
        <v>246</v>
      </c>
      <c r="P87" s="58" t="s">
        <v>1188</v>
      </c>
      <c r="Q87" s="59" cm="1">
        <f t="array" ref="Q87">_xlfn.IFS($P87=$P$2,O87+$P$3*N87,$P87=$Q$2,O87+$Q$3*N87)</f>
        <v>336</v>
      </c>
      <c r="R87" s="101">
        <f t="shared" si="6"/>
        <v>289.8</v>
      </c>
      <c r="S87" s="60">
        <f t="shared" si="7"/>
        <v>121.21999999999997</v>
      </c>
    </row>
    <row r="88" spans="2:19" ht="14.4">
      <c r="B88" s="55" t="s">
        <v>20</v>
      </c>
      <c r="C88" s="56" t="s">
        <v>512</v>
      </c>
      <c r="D88" s="56" t="str">
        <f>VLOOKUP(C88,DATA!B:C,2,0)</f>
        <v>GS USA RUNE -17</v>
      </c>
      <c r="E88" s="56" t="str">
        <f>VLOOKUP(C88,Sheet4!A:B,2,0)</f>
        <v>RUNE -17</v>
      </c>
      <c r="F88" s="56" t="e">
        <f ca="1">Image("https://images-na.ssl-images-amazon.com/images/I/41nqJs9rWfL.jpg;https://images-na.ssl-images-amazon.com/images/I/31cfoZJy8WL.jpg;https://images-na.ssl-images-amazon.com/images/I/51Yxjdxj-RL.jpg;https://images-na.ssl-images-amazon.com/images/I/51xrWYBGhJL"&amp;".jpg;https://images-na.ssl-images-amazon.com/images/I/51LgTBMU3QL.jpg;https://images-na.ssl-images-amazon.com/images/I/51qltnEr4KL.jpg")</f>
        <v>#NAME?</v>
      </c>
      <c r="G88" s="56" t="s">
        <v>514</v>
      </c>
      <c r="H88" s="83">
        <v>5</v>
      </c>
      <c r="I88" s="88">
        <v>74.349999999999994</v>
      </c>
      <c r="J88" s="83">
        <v>0</v>
      </c>
      <c r="K88" s="88">
        <v>0</v>
      </c>
      <c r="L88" s="84">
        <v>63.21</v>
      </c>
      <c r="M88" s="94">
        <f t="shared" si="5"/>
        <v>12.641999999999999</v>
      </c>
      <c r="N88" s="57">
        <f>(VLOOKUP(E88,Sheet4!F:G,2,0))/1000</f>
        <v>0.2</v>
      </c>
      <c r="O88" s="99">
        <f>VLOOKUP(E88,Sheet4!F89:J674,5,0)</f>
        <v>240</v>
      </c>
      <c r="P88" s="58" t="s">
        <v>1188</v>
      </c>
      <c r="Q88" s="59" cm="1">
        <f t="array" ref="Q88">_xlfn.IFS($P88=$P$2,O88+$P$3*N88,$P88=$Q$2,O88+$Q$3*N88)</f>
        <v>330</v>
      </c>
      <c r="R88" s="101">
        <f t="shared" si="6"/>
        <v>20.625</v>
      </c>
      <c r="S88" s="60">
        <f t="shared" si="7"/>
        <v>42.585000000000001</v>
      </c>
    </row>
    <row r="89" spans="2:19" ht="14.4">
      <c r="B89" s="55" t="s">
        <v>20</v>
      </c>
      <c r="C89" s="56" t="s">
        <v>680</v>
      </c>
      <c r="D89" s="56" t="str">
        <f>VLOOKUP(C89,DATA!B:C,2,0)</f>
        <v>GS USA RUNE -20</v>
      </c>
      <c r="E89" s="56" t="str">
        <f>VLOOKUP(C89,Sheet4!A:B,2,0)</f>
        <v>RUNE -20</v>
      </c>
      <c r="F89" s="56" t="e">
        <f ca="1">Image("https://images-na.ssl-images-amazon.com/images/I/51aWfgAE-EL.jpg;https://images-na.ssl-images-amazon.com/images/I/51kmFr815YL.jpg;https://images-na.ssl-images-amazon.com/images/I/51Yxjdxj-RL.jpg;https://images-na.ssl-images-amazon.com/images/I/41PktYaRd6L"&amp;".jpg;https://images-na.ssl-images-amazon.com/images/I/61sedC25fxL.jpg;https://images-na.ssl-images-amazon.com/images/I/614sHuOfgKL.jpg;https://images-na.ssl-images-amazon.com/images/I/61NgN-LRVML.jpg")</f>
        <v>#NAME?</v>
      </c>
      <c r="G89" s="56" t="s">
        <v>682</v>
      </c>
      <c r="H89" s="83">
        <v>4</v>
      </c>
      <c r="I89" s="88">
        <v>55.96</v>
      </c>
      <c r="J89" s="83">
        <v>2</v>
      </c>
      <c r="K89" s="88">
        <v>-24.62</v>
      </c>
      <c r="L89" s="84">
        <v>22.94</v>
      </c>
      <c r="M89" s="94">
        <f t="shared" si="5"/>
        <v>5.7350000000000003</v>
      </c>
      <c r="N89" s="57">
        <f>(VLOOKUP(E89,Sheet4!F:G,2,0))/1000</f>
        <v>0.2</v>
      </c>
      <c r="O89" s="99">
        <f>VLOOKUP(E89,Sheet4!F90:J675,5,0)</f>
        <v>216</v>
      </c>
      <c r="P89" s="58" t="s">
        <v>1188</v>
      </c>
      <c r="Q89" s="59" cm="1">
        <f t="array" ref="Q89">_xlfn.IFS($P89=$P$2,O89+$P$3*N89,$P89=$Q$2,O89+$Q$3*N89)</f>
        <v>306</v>
      </c>
      <c r="R89" s="101">
        <f t="shared" si="6"/>
        <v>15.3</v>
      </c>
      <c r="S89" s="60">
        <f t="shared" si="7"/>
        <v>7.6400000000000006</v>
      </c>
    </row>
    <row r="90" spans="2:19" ht="14.4">
      <c r="B90" s="55" t="s">
        <v>20</v>
      </c>
      <c r="C90" s="56" t="s">
        <v>533</v>
      </c>
      <c r="D90" s="56" t="str">
        <f>VLOOKUP(C90,DATA!B:C,2,0)</f>
        <v>MS US RUNE -18</v>
      </c>
      <c r="E90" s="56" t="str">
        <f>VLOOKUP(C90,Sheet4!A:B,2,0)</f>
        <v>RUNE -18</v>
      </c>
      <c r="F90" s="56" t="e">
        <f ca="1">Image("https://images-na.ssl-images-amazon.com/images/I/41UKyCayfVL.jpg;https://images-na.ssl-images-amazon.com/images/I/416Q8oChquL.jpg;https://images-na.ssl-images-amazon.com/images/I/51Yxjdxj-RL.jpg;https://images-na.ssl-images-amazon.com/images/I/41nv8soafuL"&amp;".jpg;https://images-na.ssl-images-amazon.com/images/I/61919xho04L.jpg;https://images-na.ssl-images-amazon.com/images/I/61ogBak3BnL.jpg;https://images-na.ssl-images-amazon.com/images/I/51bxw2FuOIL.jpg")</f>
        <v>#NAME?</v>
      </c>
      <c r="G90" s="56" t="s">
        <v>535</v>
      </c>
      <c r="H90" s="83">
        <v>10</v>
      </c>
      <c r="I90" s="88">
        <v>108.4</v>
      </c>
      <c r="J90" s="83">
        <v>1</v>
      </c>
      <c r="K90" s="88">
        <v>-9.2899999999999991</v>
      </c>
      <c r="L90" s="84">
        <v>51.59</v>
      </c>
      <c r="M90" s="94">
        <f t="shared" si="5"/>
        <v>5.1590000000000007</v>
      </c>
      <c r="N90" s="57">
        <f>(VLOOKUP(E90,Sheet4!F:G,2,0))/1000</f>
        <v>0.2</v>
      </c>
      <c r="O90" s="99">
        <f>VLOOKUP(E90,Sheet4!F91:J676,5,0)</f>
        <v>222</v>
      </c>
      <c r="P90" s="58" t="s">
        <v>1188</v>
      </c>
      <c r="Q90" s="59" cm="1">
        <f t="array" ref="Q90">_xlfn.IFS($P90=$P$2,O90+$P$3*N90,$P90=$Q$2,O90+$Q$3*N90)</f>
        <v>312</v>
      </c>
      <c r="R90" s="101">
        <f t="shared" si="6"/>
        <v>39</v>
      </c>
      <c r="S90" s="60">
        <f t="shared" si="7"/>
        <v>12.590000000000003</v>
      </c>
    </row>
    <row r="91" spans="2:19" ht="14.4">
      <c r="B91" s="55" t="s">
        <v>20</v>
      </c>
      <c r="C91" s="56" t="s">
        <v>643</v>
      </c>
      <c r="D91" s="56" t="str">
        <f>VLOOKUP(C91,DATA!B:C,2,0)</f>
        <v>MS REI-TRE-0002</v>
      </c>
      <c r="E91" s="56" t="str">
        <f>VLOOKUP(C91,Sheet4!A:B,2,0)</f>
        <v>TRE -2</v>
      </c>
      <c r="F91" s="56" t="e">
        <f ca="1">Image("https://images-na.ssl-images-amazon.com/images/I/51wOsiWYZAS.jpg;https://images-na.ssl-images-amazon.com/images/I/514qT7cVA6S.jpg;https://images-na.ssl-images-amazon.com/images/I/51E-VcPenGS.jpg;https://images-na.ssl-images-amazon.com/images/I/51pDa1YVDrS"&amp;".jpg;https://images-na.ssl-images-amazon.com/images/I/51EwCYv-ocS.jpg;https://images-na.ssl-images-amazon.com/images/I/41au967KyyS.jpg")</f>
        <v>#NAME?</v>
      </c>
      <c r="G91" s="56" t="s">
        <v>645</v>
      </c>
      <c r="H91" s="83">
        <v>6</v>
      </c>
      <c r="I91" s="88">
        <v>72</v>
      </c>
      <c r="J91" s="83">
        <v>0</v>
      </c>
      <c r="K91" s="88">
        <v>0</v>
      </c>
      <c r="L91" s="84">
        <v>27.01</v>
      </c>
      <c r="M91" s="94">
        <f t="shared" si="5"/>
        <v>4.5016666666666669</v>
      </c>
      <c r="N91" s="57">
        <f>(VLOOKUP(E91,Sheet4!F:G,2,0))/1000</f>
        <v>0.35</v>
      </c>
      <c r="O91" s="99">
        <f>VLOOKUP(E91,Sheet4!F93:J678,5,0)</f>
        <v>237.6</v>
      </c>
      <c r="P91" s="58" t="s">
        <v>1188</v>
      </c>
      <c r="Q91" s="59" cm="1">
        <f t="array" ref="Q91">_xlfn.IFS($P91=$P$2,O91+$P$3*N91,$P91=$Q$2,O91+$Q$3*N91)</f>
        <v>395.1</v>
      </c>
      <c r="R91" s="101">
        <f t="shared" si="6"/>
        <v>29.632500000000004</v>
      </c>
      <c r="S91" s="60">
        <f t="shared" si="7"/>
        <v>-2.6225000000000023</v>
      </c>
    </row>
    <row r="92" spans="2:19" ht="14.4">
      <c r="B92" s="55" t="s">
        <v>20</v>
      </c>
      <c r="C92" s="56" t="s">
        <v>349</v>
      </c>
      <c r="D92" s="56" t="str">
        <f>VLOOKUP(C92,DATA!B:C,2,0)</f>
        <v>MS US RUNE -6</v>
      </c>
      <c r="E92" s="56" t="str">
        <f>VLOOKUP(C92,Sheet4!A:B,2,0)</f>
        <v>RUNE -6</v>
      </c>
      <c r="F92" s="56" t="e">
        <f ca="1">Image("https://images-na.ssl-images-amazon.com/images/I/418SPFkyQxL.jpg;https://images-na.ssl-images-amazon.com/images/I/51f9dCmknwL.jpg;https://images-na.ssl-images-amazon.com/images/I/51Yxjdxj-RL.jpg;https://images-na.ssl-images-amazon.com/images/I/41jfoLLT0WL"&amp;".jpg;https://images-na.ssl-images-amazon.com/images/I/61vqS+q9gjL.jpg;https://images-na.ssl-images-amazon.com/images/I/61NkztjjVkL.jpg;https://images-na.ssl-images-amazon.com/images/I/51Tc6Skn-gL.jpg")</f>
        <v>#NAME?</v>
      </c>
      <c r="G92" s="56" t="s">
        <v>351</v>
      </c>
      <c r="H92" s="83">
        <v>25</v>
      </c>
      <c r="I92" s="88">
        <v>269.45</v>
      </c>
      <c r="J92" s="83">
        <v>0</v>
      </c>
      <c r="K92" s="88">
        <v>0</v>
      </c>
      <c r="L92" s="84">
        <v>159.72999999999999</v>
      </c>
      <c r="M92" s="94">
        <f t="shared" si="5"/>
        <v>6.3891999999999998</v>
      </c>
      <c r="N92" s="57">
        <f>(VLOOKUP(E92,Sheet4!F:G,2,0))/1000</f>
        <v>0.2</v>
      </c>
      <c r="O92" s="99">
        <f>VLOOKUP(E92,Sheet4!F94:J679,5,0)</f>
        <v>240</v>
      </c>
      <c r="P92" s="58" t="s">
        <v>1188</v>
      </c>
      <c r="Q92" s="59" cm="1">
        <f t="array" ref="Q92">_xlfn.IFS($P92=$P$2,O92+$P$3*N92,$P92=$Q$2,O92+$Q$3*N92)</f>
        <v>330</v>
      </c>
      <c r="R92" s="101">
        <f t="shared" si="6"/>
        <v>103.125</v>
      </c>
      <c r="S92" s="60">
        <f t="shared" si="7"/>
        <v>56.60499999999999</v>
      </c>
    </row>
    <row r="93" spans="2:19" ht="14.4">
      <c r="B93" s="55" t="s">
        <v>20</v>
      </c>
      <c r="C93" s="56" t="s">
        <v>427</v>
      </c>
      <c r="D93" s="56" t="str">
        <f>VLOOKUP(C93,DATA!B:C,2,0)</f>
        <v>MS US RUNE -14</v>
      </c>
      <c r="E93" s="56" t="str">
        <f>VLOOKUP(C93,Sheet4!A:B,2,0)</f>
        <v>RUNE -14</v>
      </c>
      <c r="F93" s="56" t="e">
        <f ca="1">Image("https://images-na.ssl-images-amazon.com/images/I/41u3ZXUdfkL.jpg;https://images-na.ssl-images-amazon.com/images/I/51g+QC5ZUFL.jpg;https://images-na.ssl-images-amazon.com/images/I/51Yxjdxj-RL.jpg;https://images-na.ssl-images-amazon.com/images/I/41xBy9LksML"&amp;".jpg;https://images-na.ssl-images-amazon.com/images/I/61cILs-dThL.jpg;https://images-na.ssl-images-amazon.com/images/I/61r0RnfXcHL.jpg;https://images-na.ssl-images-amazon.com/images/I/51aV4JF+6oL.jpg")</f>
        <v>#NAME?</v>
      </c>
      <c r="G93" s="56" t="s">
        <v>429</v>
      </c>
      <c r="H93" s="83">
        <v>24</v>
      </c>
      <c r="I93" s="88">
        <v>195.3</v>
      </c>
      <c r="J93" s="83">
        <v>0</v>
      </c>
      <c r="K93" s="88">
        <v>0</v>
      </c>
      <c r="L93" s="84">
        <v>101.92</v>
      </c>
      <c r="M93" s="94">
        <f t="shared" si="5"/>
        <v>4.246666666666667</v>
      </c>
      <c r="N93" s="57">
        <f>(VLOOKUP(E93,Sheet4!F:G,2,0))/1000</f>
        <v>0.2</v>
      </c>
      <c r="O93" s="99">
        <f>VLOOKUP(E93,Sheet4!F95:J680,5,0)</f>
        <v>186</v>
      </c>
      <c r="P93" s="58" t="s">
        <v>1188</v>
      </c>
      <c r="Q93" s="59" cm="1">
        <f t="array" ref="Q93">_xlfn.IFS($P93=$P$2,O93+$P$3*N93,$P93=$Q$2,O93+$Q$3*N93)</f>
        <v>276</v>
      </c>
      <c r="R93" s="101">
        <f t="shared" si="6"/>
        <v>82.8</v>
      </c>
      <c r="S93" s="60">
        <f t="shared" si="7"/>
        <v>19.120000000000005</v>
      </c>
    </row>
    <row r="94" spans="2:19" ht="14.4">
      <c r="B94" s="55" t="s">
        <v>20</v>
      </c>
      <c r="C94" s="56" t="s">
        <v>157</v>
      </c>
      <c r="D94" s="56" t="str">
        <f>VLOOKUP(C94,DATA!B:C,2,0)</f>
        <v>MS USA RUNE -19</v>
      </c>
      <c r="E94" s="56" t="str">
        <f>VLOOKUP(C94,Sheet4!A:B,2,0)</f>
        <v>RUNE -19</v>
      </c>
      <c r="F94" s="56" t="e">
        <f ca="1">Image("https://images-na.ssl-images-amazon.com/images/I/51omqILQ3qL.jpg;https://images-na.ssl-images-amazon.com/images/I/510oEd39NnL.jpg;https://images-na.ssl-images-amazon.com/images/I/41q2DLqpG9L.jpg;https://images-na.ssl-images-amazon.com/images/I/51qeaNwt+9L"&amp;".jpg;https://images-na.ssl-images-amazon.com/images/I/41o30RPNFQL.jpg;https://images-na.ssl-images-amazon.com/images/I/61JtvfVX5xL.jpg;https://images-na.ssl-images-amazon.com/images/I/51HWVFhGIBL.jpg")</f>
        <v>#NAME?</v>
      </c>
      <c r="G94" s="56" t="s">
        <v>159</v>
      </c>
      <c r="H94" s="83">
        <v>94</v>
      </c>
      <c r="I94" s="88">
        <v>1056.3399999999999</v>
      </c>
      <c r="J94" s="83">
        <v>2</v>
      </c>
      <c r="K94" s="88">
        <v>-22.1</v>
      </c>
      <c r="L94" s="84">
        <v>600.77</v>
      </c>
      <c r="M94" s="94">
        <f t="shared" si="5"/>
        <v>6.3911702127659575</v>
      </c>
      <c r="N94" s="57">
        <f>(VLOOKUP(E94,Sheet4!F:G,2,0))/1000</f>
        <v>0.2</v>
      </c>
      <c r="O94" s="99">
        <f>VLOOKUP(E94,Sheet4!F97:J682,5,0)</f>
        <v>240</v>
      </c>
      <c r="P94" s="58" t="s">
        <v>1188</v>
      </c>
      <c r="Q94" s="59" cm="1">
        <f t="array" ref="Q94">_xlfn.IFS($P94=$P$2,O94+$P$3*N94,$P94=$Q$2,O94+$Q$3*N94)</f>
        <v>330</v>
      </c>
      <c r="R94" s="101">
        <f t="shared" si="6"/>
        <v>387.75</v>
      </c>
      <c r="S94" s="60">
        <f t="shared" si="7"/>
        <v>213.01999999999998</v>
      </c>
    </row>
    <row r="95" spans="2:19" ht="14.4">
      <c r="B95" s="55" t="s">
        <v>20</v>
      </c>
      <c r="C95" s="56" t="s">
        <v>260</v>
      </c>
      <c r="D95" s="56" t="str">
        <f>VLOOKUP(C95,DATA!B:C,2,0)</f>
        <v>MS US RUNE -21</v>
      </c>
      <c r="E95" s="56" t="str">
        <f>VLOOKUP(C95,Sheet4!A:B,2,0)</f>
        <v>RUNE -21</v>
      </c>
      <c r="F95" s="56" t="e">
        <f ca="1">Image("https://images-na.ssl-images-amazon.com/images/I/51aax+LXamL.jpg;https://images-na.ssl-images-amazon.com/images/I/51K8G8sxrGL.jpg;https://images-na.ssl-images-amazon.com/images/I/51Yxjdxj-RL.jpg;https://images-na.ssl-images-amazon.com/images/I/415XsatkMhL"&amp;".jpg;https://images-na.ssl-images-amazon.com/images/I/61UNLoniAoL.jpg;https://images-na.ssl-images-amazon.com/images/I/61XZSXM935L.jpg;https://images-na.ssl-images-amazon.com/images/I/618r+q6zVUL.jpg")</f>
        <v>#NAME?</v>
      </c>
      <c r="G95" s="56" t="s">
        <v>262</v>
      </c>
      <c r="H95" s="83">
        <v>41</v>
      </c>
      <c r="I95" s="88">
        <v>477.6</v>
      </c>
      <c r="J95" s="83">
        <v>1</v>
      </c>
      <c r="K95" s="88">
        <v>-12.81</v>
      </c>
      <c r="L95" s="84">
        <v>265.33</v>
      </c>
      <c r="M95" s="94">
        <f t="shared" si="5"/>
        <v>6.4714634146341456</v>
      </c>
      <c r="N95" s="57">
        <f>(VLOOKUP(E95,Sheet4!F:G,2,0))/1000</f>
        <v>0.2</v>
      </c>
      <c r="O95" s="99">
        <f>VLOOKUP(E95,Sheet4!F98:J683,5,0)</f>
        <v>216</v>
      </c>
      <c r="P95" s="58" t="s">
        <v>1188</v>
      </c>
      <c r="Q95" s="59" cm="1">
        <f t="array" ref="Q95">_xlfn.IFS($P95=$P$2,O95+$P$3*N95,$P95=$Q$2,O95+$Q$3*N95)</f>
        <v>306</v>
      </c>
      <c r="R95" s="101">
        <f t="shared" si="6"/>
        <v>156.82499999999999</v>
      </c>
      <c r="S95" s="60">
        <f t="shared" si="7"/>
        <v>108.505</v>
      </c>
    </row>
    <row r="96" spans="2:19" ht="14.4">
      <c r="B96" s="55" t="s">
        <v>20</v>
      </c>
      <c r="C96" s="56" t="s">
        <v>770</v>
      </c>
      <c r="D96" s="56" t="str">
        <f>VLOOKUP(C96,DATA!B:C,2,0)</f>
        <v>GS US REI-TRE-0007</v>
      </c>
      <c r="E96" s="56" t="str">
        <f>VLOOKUP(C96,Sheet4!A:B,2,0)</f>
        <v>TRE -7</v>
      </c>
      <c r="F96" s="56" t="e">
        <f ca="1">Image("https://images-na.ssl-images-amazon.com/images/I/41zc-Tk4HqL.jpg;https://images-na.ssl-images-amazon.com/images/I/51hcPoE09cL.jpg;https://images-na.ssl-images-amazon.com/images/I/41lcbtfMwLL.jpg;https://images-na.ssl-images-amazon.com/images/I/41wSWKiVi5L"&amp;".jpg;https://images-na.ssl-images-amazon.com/images/I/41l14c0-RpL.jpg;https://images-na.ssl-images-amazon.com/images/I/51O+Aj7NAeL.jpg")</f>
        <v>#NAME?</v>
      </c>
      <c r="G96" s="56" t="s">
        <v>772</v>
      </c>
      <c r="H96" s="83">
        <v>1</v>
      </c>
      <c r="I96" s="88">
        <v>15.99</v>
      </c>
      <c r="J96" s="83">
        <v>0</v>
      </c>
      <c r="K96" s="88">
        <v>0</v>
      </c>
      <c r="L96" s="84">
        <v>13.59</v>
      </c>
      <c r="M96" s="94">
        <f t="shared" si="5"/>
        <v>13.59</v>
      </c>
      <c r="N96" s="57">
        <f>(VLOOKUP(E96,Sheet4!F:G,2,0))/1000</f>
        <v>0.35</v>
      </c>
      <c r="O96" s="99">
        <f>VLOOKUP(E96,Sheet4!F99:J684,5,0)</f>
        <v>237.6</v>
      </c>
      <c r="P96" s="58" t="s">
        <v>1188</v>
      </c>
      <c r="Q96" s="59" cm="1">
        <f t="array" ref="Q96">_xlfn.IFS($P96=$P$2,O96+$P$3*N96,$P96=$Q$2,O96+$Q$3*N96)</f>
        <v>395.1</v>
      </c>
      <c r="R96" s="101">
        <f t="shared" si="6"/>
        <v>4.9387500000000006</v>
      </c>
      <c r="S96" s="60">
        <f t="shared" si="7"/>
        <v>8.6512499999999992</v>
      </c>
    </row>
    <row r="97" spans="2:19" ht="14.4">
      <c r="B97" s="55" t="s">
        <v>20</v>
      </c>
      <c r="C97" s="56" t="s">
        <v>883</v>
      </c>
      <c r="D97" s="56" t="str">
        <f>VLOOKUP(C97,DATA!B:C,2,0)</f>
        <v>GS US REI-TRE-0004</v>
      </c>
      <c r="E97" s="56" t="str">
        <f>VLOOKUP(C97,Sheet4!A:B,2,0)</f>
        <v>TRE -4</v>
      </c>
      <c r="F97" s="56" t="e">
        <f ca="1">Image("https://images-na.ssl-images-amazon.com/images/I/41z83KjYNxL.jpg")</f>
        <v>#NAME?</v>
      </c>
      <c r="G97" s="56" t="s">
        <v>885</v>
      </c>
      <c r="H97" s="83">
        <v>1</v>
      </c>
      <c r="I97" s="88">
        <v>12.5</v>
      </c>
      <c r="J97" s="83">
        <v>0</v>
      </c>
      <c r="K97" s="88">
        <v>0</v>
      </c>
      <c r="L97" s="84">
        <v>5.09</v>
      </c>
      <c r="M97" s="94">
        <f t="shared" si="5"/>
        <v>5.09</v>
      </c>
      <c r="N97" s="57">
        <f>(VLOOKUP(E97,Sheet4!F:G,2,0))/1000</f>
        <v>0.35</v>
      </c>
      <c r="O97" s="99">
        <f>VLOOKUP(E97,Sheet4!F100:J685,5,0)</f>
        <v>237.6</v>
      </c>
      <c r="P97" s="58" t="s">
        <v>1188</v>
      </c>
      <c r="Q97" s="59" cm="1">
        <f t="array" ref="Q97">_xlfn.IFS($P97=$P$2,O97+$P$3*N97,$P97=$Q$2,O97+$Q$3*N97)</f>
        <v>395.1</v>
      </c>
      <c r="R97" s="101">
        <f t="shared" si="6"/>
        <v>4.9387500000000006</v>
      </c>
      <c r="S97" s="60">
        <f t="shared" si="7"/>
        <v>0.15124999999999922</v>
      </c>
    </row>
    <row r="98" spans="2:19" ht="14.4">
      <c r="B98" s="55" t="s">
        <v>20</v>
      </c>
      <c r="C98" s="56" t="s">
        <v>343</v>
      </c>
      <c r="D98" s="56" t="str">
        <f>VLOOKUP(C98,DATA!B:C,2,0)</f>
        <v>MS US RUNE -11</v>
      </c>
      <c r="E98" s="56" t="str">
        <f>VLOOKUP(C98,Sheet4!A:B,2,0)</f>
        <v>RUNE -11</v>
      </c>
      <c r="F98" s="56" t="e">
        <f ca="1">Image("https://images-na.ssl-images-amazon.com/images/I/518DoVOs+wL.jpg;https://images-na.ssl-images-amazon.com/images/I/51RpoOhF2pL.jpg;https://images-na.ssl-images-amazon.com/images/I/51Yxjdxj-RL.jpg;https://images-na.ssl-images-amazon.com/images/I/414AmS4f1zL"&amp;".jpg;https://images-na.ssl-images-amazon.com/images/I/61O8Ac8tAfL.jpg;https://images-na.ssl-images-amazon.com/images/I/61CzNQ2RuwL.jpg;https://images-na.ssl-images-amazon.com/images/I/61aMtyYcGAL.jpg")</f>
        <v>#NAME?</v>
      </c>
      <c r="G98" s="56" t="s">
        <v>345</v>
      </c>
      <c r="H98" s="83">
        <v>26</v>
      </c>
      <c r="I98" s="88">
        <v>367.2</v>
      </c>
      <c r="J98" s="83">
        <v>0</v>
      </c>
      <c r="K98" s="88">
        <v>0</v>
      </c>
      <c r="L98" s="84">
        <v>163.79</v>
      </c>
      <c r="M98" s="94">
        <f t="shared" si="5"/>
        <v>6.2996153846153842</v>
      </c>
      <c r="N98" s="57">
        <f>(VLOOKUP(E98,Sheet4!F:G,2,0))/1000</f>
        <v>0.2</v>
      </c>
      <c r="O98" s="99">
        <f>VLOOKUP(E98,Sheet4!F101:J686,5,0)</f>
        <v>354.73200000000003</v>
      </c>
      <c r="P98" s="58" t="s">
        <v>1188</v>
      </c>
      <c r="Q98" s="59" cm="1">
        <f t="array" ref="Q98">_xlfn.IFS($P98=$P$2,O98+$P$3*N98,$P98=$Q$2,O98+$Q$3*N98)</f>
        <v>444.73200000000003</v>
      </c>
      <c r="R98" s="101">
        <f t="shared" si="6"/>
        <v>144.53790000000001</v>
      </c>
      <c r="S98" s="60">
        <f t="shared" si="7"/>
        <v>19.252099999999984</v>
      </c>
    </row>
    <row r="99" spans="2:19" ht="14.4">
      <c r="B99" s="55" t="s">
        <v>20</v>
      </c>
      <c r="C99" s="56" t="s">
        <v>727</v>
      </c>
      <c r="D99" s="56" t="str">
        <f>VLOOKUP(C99,DATA!B:C,2,0)</f>
        <v>GS US CTN POUCH -4</v>
      </c>
      <c r="E99" s="56" t="str">
        <f>VLOOKUP(C99,Sheet4!A:B,2,0)</f>
        <v>CTN POUCH -4</v>
      </c>
      <c r="F99" s="56" t="e">
        <f ca="1">Image("https://images-na.ssl-images-amazon.com/images/I/4184P7-BQWL.jpg;https://images-na.ssl-images-amazon.com/images/I/515+P-DcLrL.jpg;https://images-na.ssl-images-amazon.com/images/I/61LaDo-C2zS.jpg;https://images-na.ssl-images-amazon.com/images/I/51y3uJTePrL"&amp;".jpg;https://images-na.ssl-images-amazon.com/images/I/51kdyn7bdWS.jpg;https://images-na.ssl-images-amazon.com/images/I/610uCceF-DS.jpg;https://images-na.ssl-images-amazon.com/images/I/51+Cbj5vxdS.jpg")</f>
        <v>#NAME?</v>
      </c>
      <c r="G99" s="56" t="s">
        <v>729</v>
      </c>
      <c r="H99" s="83">
        <v>8</v>
      </c>
      <c r="I99" s="88">
        <v>47.2</v>
      </c>
      <c r="J99" s="83">
        <v>0</v>
      </c>
      <c r="K99" s="88">
        <v>0</v>
      </c>
      <c r="L99" s="84">
        <v>16.809999999999999</v>
      </c>
      <c r="M99" s="94">
        <f t="shared" si="5"/>
        <v>2.1012499999999998</v>
      </c>
      <c r="N99" s="57">
        <f>(VLOOKUP(E99,Sheet4!F:G,2,0))/1000</f>
        <v>0.14000000000000001</v>
      </c>
      <c r="O99" s="99">
        <f>VLOOKUP(E99,Sheet4!F104:J689,5,0)</f>
        <v>108</v>
      </c>
      <c r="P99" s="58" t="s">
        <v>1188</v>
      </c>
      <c r="Q99" s="59" cm="1">
        <f t="array" ref="Q99">_xlfn.IFS($P99=$P$2,O99+$P$3*N99,$P99=$Q$2,O99+$Q$3*N99)</f>
        <v>171</v>
      </c>
      <c r="R99" s="101">
        <f t="shared" si="6"/>
        <v>17.100000000000001</v>
      </c>
      <c r="S99" s="60">
        <f t="shared" si="7"/>
        <v>-0.2900000000000027</v>
      </c>
    </row>
    <row r="100" spans="2:19" ht="14.4">
      <c r="B100" s="55" t="s">
        <v>20</v>
      </c>
      <c r="C100" s="56" t="s">
        <v>424</v>
      </c>
      <c r="D100" s="56" t="str">
        <f>VLOOKUP(C100,DATA!B:C,2,0)</f>
        <v>GS USA JWL-BCL-0007</v>
      </c>
      <c r="E100" s="56" t="str">
        <f>VLOOKUP(C100,Sheet4!A:B,2,0)</f>
        <v>JWL-BCL-0007</v>
      </c>
      <c r="F100" s="56" t="e">
        <f ca="1">Image("https://images-na.ssl-images-amazon.com/images/I/31rxkYueElL.jpg;https://images-na.ssl-images-amazon.com/images/I/314idXZH1xL.jpg;https://images-na.ssl-images-amazon.com/images/I/315hH+9ybhL.jpg;https://images-na.ssl-images-amazon.com/images/I/51JAGc5-DRL"&amp;".jpg;https://images-na.ssl-images-amazon.com/images/I/51ClpcN1DsL.jpg;https://images-na.ssl-images-amazon.com/images/I/51kjqCLJaYL.jpg")</f>
        <v>#NAME?</v>
      </c>
      <c r="G100" s="56" t="s">
        <v>426</v>
      </c>
      <c r="H100" s="83">
        <v>15</v>
      </c>
      <c r="I100" s="88">
        <v>179.79</v>
      </c>
      <c r="J100" s="83">
        <v>0</v>
      </c>
      <c r="K100" s="88">
        <v>0</v>
      </c>
      <c r="L100" s="84">
        <v>102.68</v>
      </c>
      <c r="M100" s="94">
        <f t="shared" si="5"/>
        <v>6.8453333333333335</v>
      </c>
      <c r="N100" s="57">
        <f>(VLOOKUP(E100,Sheet4!F:G,2,0))/1000</f>
        <v>0.15</v>
      </c>
      <c r="O100" s="99">
        <f>VLOOKUP(E100,Sheet4!F105:J690,5,0)</f>
        <v>204</v>
      </c>
      <c r="P100" s="58" t="s">
        <v>1188</v>
      </c>
      <c r="Q100" s="59" cm="1">
        <f t="array" ref="Q100">_xlfn.IFS($P100=$P$2,O100+$P$3*N100,$P100=$Q$2,O100+$Q$3*N100)</f>
        <v>271.5</v>
      </c>
      <c r="R100" s="101">
        <f t="shared" si="6"/>
        <v>50.90625</v>
      </c>
      <c r="S100" s="60">
        <f t="shared" si="7"/>
        <v>51.773750000000007</v>
      </c>
    </row>
    <row r="101" spans="2:19" ht="14.4">
      <c r="B101" s="55" t="s">
        <v>20</v>
      </c>
      <c r="C101" s="56" t="s">
        <v>470</v>
      </c>
      <c r="D101" s="56" t="str">
        <f>VLOOKUP(C101,DATA!B:C,2,0)</f>
        <v>GS USA JWL-BCL-0017</v>
      </c>
      <c r="E101" s="56" t="str">
        <f>VLOOKUP(C101,Sheet4!A:B,2,0)</f>
        <v>JWL-BCL-0017</v>
      </c>
      <c r="F101" s="56" t="e">
        <f ca="1">Image("https://images-na.ssl-images-amazon.com/images/I/51iEN7rTzOL.jpg;https://images-na.ssl-images-amazon.com/images/I/51D0zYrA0BL.jpg;https://images-na.ssl-images-amazon.com/images/I/41aZFAVVBUL.jpg;https://images-na.ssl-images-amazon.com/images/I/51csQ3LBQWL"&amp;".jpg;https://images-na.ssl-images-amazon.com/images/I/51PFJ1EOFwL.jpg;https://images-na.ssl-images-amazon.com/images/I/51UwIe1ZT1L.jpg")</f>
        <v>#NAME?</v>
      </c>
      <c r="G101" s="56" t="s">
        <v>472</v>
      </c>
      <c r="H101" s="83">
        <v>7</v>
      </c>
      <c r="I101" s="88">
        <v>103.13</v>
      </c>
      <c r="J101" s="83">
        <v>0</v>
      </c>
      <c r="K101" s="88">
        <v>0</v>
      </c>
      <c r="L101" s="84">
        <v>82.49</v>
      </c>
      <c r="M101" s="94">
        <f t="shared" si="5"/>
        <v>11.784285714285714</v>
      </c>
      <c r="N101" s="57">
        <f>(VLOOKUP(E101,Sheet4!F:G,2,0))/1000</f>
        <v>0.1</v>
      </c>
      <c r="O101" s="99">
        <f>VLOOKUP(E101,Sheet4!F107:J692,5,0)</f>
        <v>156</v>
      </c>
      <c r="P101" s="58" t="s">
        <v>1188</v>
      </c>
      <c r="Q101" s="59" cm="1">
        <f t="array" ref="Q101">_xlfn.IFS($P101=$P$2,O101+$P$3*N101,$P101=$Q$2,O101+$Q$3*N101)</f>
        <v>201</v>
      </c>
      <c r="R101" s="101">
        <f t="shared" si="6"/>
        <v>17.587499999999999</v>
      </c>
      <c r="S101" s="60">
        <f t="shared" si="7"/>
        <v>64.902500000000003</v>
      </c>
    </row>
    <row r="102" spans="2:19" ht="14.4">
      <c r="B102" s="55" t="s">
        <v>20</v>
      </c>
      <c r="C102" s="56" t="s">
        <v>415</v>
      </c>
      <c r="D102" s="56" t="str">
        <f>VLOOKUP(C102,DATA!B:C,2,0)</f>
        <v>JD US JWL-BCL-0015</v>
      </c>
      <c r="E102" s="56" t="str">
        <f>VLOOKUP(C102,Sheet4!A:B,2,0)</f>
        <v>JWL-BCL-0015</v>
      </c>
      <c r="F102" s="56" t="e">
        <f ca="1">Image("https://images-na.ssl-images-amazon.com/images/I/41ZmNJvRs4L.jpg;https://images-na.ssl-images-amazon.com/images/I/41A2ydZLV8L.jpg;https://images-na.ssl-images-amazon.com/images/I/41vLAFVNHyL.jpg;https://images-na.ssl-images-amazon.com/images/I/51GmWZVKs8L"&amp;".jpg;https://images-na.ssl-images-amazon.com/images/I/61cI9s7GHQL.jpg;https://images-na.ssl-images-amazon.com/images/I/51jLLEaGTBL.jpg")</f>
        <v>#NAME?</v>
      </c>
      <c r="G102" s="56" t="s">
        <v>417</v>
      </c>
      <c r="H102" s="83">
        <v>18</v>
      </c>
      <c r="I102" s="88">
        <v>217.35</v>
      </c>
      <c r="J102" s="83">
        <v>1</v>
      </c>
      <c r="K102" s="88">
        <v>-10.32</v>
      </c>
      <c r="L102" s="84">
        <v>111.09</v>
      </c>
      <c r="M102" s="94">
        <f t="shared" si="5"/>
        <v>6.1716666666666669</v>
      </c>
      <c r="N102" s="57">
        <f>(VLOOKUP(E102,Sheet4!F:G,2,0))/1000</f>
        <v>0.1</v>
      </c>
      <c r="O102" s="99">
        <f>VLOOKUP(E102,Sheet4!F110:J695,5,0)</f>
        <v>156</v>
      </c>
      <c r="P102" s="58" t="s">
        <v>1188</v>
      </c>
      <c r="Q102" s="59" cm="1">
        <f t="array" ref="Q102">_xlfn.IFS($P102=$P$2,O102+$P$3*N102,$P102=$Q$2,O102+$Q$3*N102)</f>
        <v>201</v>
      </c>
      <c r="R102" s="101">
        <f t="shared" si="6"/>
        <v>45.225000000000001</v>
      </c>
      <c r="S102" s="60">
        <f t="shared" si="7"/>
        <v>65.865000000000009</v>
      </c>
    </row>
    <row r="103" spans="2:19" ht="14.4">
      <c r="B103" s="55" t="s">
        <v>20</v>
      </c>
      <c r="C103" s="56" t="s">
        <v>441</v>
      </c>
      <c r="D103" s="56" t="str">
        <f>VLOOKUP(C103,DATA!B:C,2,0)</f>
        <v>GS USA JWL-BCL-0008</v>
      </c>
      <c r="E103" s="56" t="str">
        <f>VLOOKUP(C103,Sheet4!A:B,2,0)</f>
        <v>JWL-BCL-0008</v>
      </c>
      <c r="F103" s="56" t="e">
        <f ca="1">Image("https://images-na.ssl-images-amazon.com/images/I/51vE9yg+bSL.jpg")</f>
        <v>#NAME?</v>
      </c>
      <c r="G103" s="56" t="s">
        <v>443</v>
      </c>
      <c r="H103" s="83">
        <v>23</v>
      </c>
      <c r="I103" s="88">
        <v>324.2</v>
      </c>
      <c r="J103" s="83">
        <v>4</v>
      </c>
      <c r="K103" s="88">
        <v>-46</v>
      </c>
      <c r="L103" s="84">
        <v>96.32</v>
      </c>
      <c r="M103" s="94">
        <f t="shared" si="5"/>
        <v>4.1878260869565214</v>
      </c>
      <c r="N103" s="57">
        <f>(VLOOKUP(E103,Sheet4!F:G,2,0))/1000</f>
        <v>0.15</v>
      </c>
      <c r="O103" s="99">
        <f>VLOOKUP(E103,Sheet4!F111:J696,5,0)</f>
        <v>146.4</v>
      </c>
      <c r="P103" s="58" t="s">
        <v>1188</v>
      </c>
      <c r="Q103" s="59" cm="1">
        <f t="array" ref="Q103">_xlfn.IFS($P103=$P$2,O103+$P$3*N103,$P103=$Q$2,O103+$Q$3*N103)</f>
        <v>213.9</v>
      </c>
      <c r="R103" s="101">
        <f t="shared" si="6"/>
        <v>61.496249999999996</v>
      </c>
      <c r="S103" s="60">
        <f t="shared" si="7"/>
        <v>34.823749999999997</v>
      </c>
    </row>
    <row r="104" spans="2:19" ht="14.4">
      <c r="B104" s="55" t="s">
        <v>20</v>
      </c>
      <c r="C104" s="56" t="s">
        <v>355</v>
      </c>
      <c r="D104" s="56" t="str">
        <f>VLOOKUP(C104,DATA!B:C,2,0)</f>
        <v>GS USA JWL-BCL-0014</v>
      </c>
      <c r="E104" s="56" t="str">
        <f>VLOOKUP(C104,Sheet4!A:B,2,0)</f>
        <v>JWL-BCL-0014</v>
      </c>
      <c r="F104" s="56" t="e">
        <f ca="1">Image("https://images-na.ssl-images-amazon.com/images/I/31rfydc2mQL.jpg;https://images-na.ssl-images-amazon.com/images/I/312lrVBIHYL.jpg;https://images-na.ssl-images-amazon.com/images/I/31ZkyTzDxcL.jpg;https://images-na.ssl-images-amazon.com/images/I/510nwfBN1vL"&amp;".jpg;https://images-na.ssl-images-amazon.com/images/I/51-14-yMsIL.jpg;https://images-na.ssl-images-amazon.com/images/I/51OjJFS+R0L.jpg")</f>
        <v>#NAME?</v>
      </c>
      <c r="G104" s="56" t="s">
        <v>357</v>
      </c>
      <c r="H104" s="83">
        <v>31</v>
      </c>
      <c r="I104" s="88">
        <v>321.95999999999998</v>
      </c>
      <c r="J104" s="83">
        <v>3</v>
      </c>
      <c r="K104" s="88">
        <v>-31.65</v>
      </c>
      <c r="L104" s="84">
        <v>157.25</v>
      </c>
      <c r="M104" s="94">
        <f t="shared" si="5"/>
        <v>5.07258064516129</v>
      </c>
      <c r="N104" s="57">
        <f>(VLOOKUP(E104,Sheet4!F:G,2,0))/1000</f>
        <v>0.15</v>
      </c>
      <c r="O104" s="99">
        <f>VLOOKUP(E104,Sheet4!F112:J697,5,0)</f>
        <v>146.4</v>
      </c>
      <c r="P104" s="58" t="s">
        <v>1188</v>
      </c>
      <c r="Q104" s="59" cm="1">
        <f t="array" ref="Q104">_xlfn.IFS($P104=$P$2,O104+$P$3*N104,$P104=$Q$2,O104+$Q$3*N104)</f>
        <v>213.9</v>
      </c>
      <c r="R104" s="101">
        <f t="shared" si="6"/>
        <v>82.886250000000004</v>
      </c>
      <c r="S104" s="60">
        <f t="shared" si="7"/>
        <v>74.363749999999996</v>
      </c>
    </row>
    <row r="105" spans="2:19" ht="14.4">
      <c r="B105" s="55" t="s">
        <v>20</v>
      </c>
      <c r="C105" s="56" t="s">
        <v>803</v>
      </c>
      <c r="D105" s="56" t="str">
        <f>VLOOKUP(C105,DATA!B:C,2,0)</f>
        <v>GS USA JWL-BCL-0012</v>
      </c>
      <c r="E105" s="56" t="str">
        <f>VLOOKUP(C105,Sheet4!A:B,2,0)</f>
        <v>JWL-BCL-0012</v>
      </c>
      <c r="F105" s="56" t="e">
        <f ca="1">Image("https://images-na.ssl-images-amazon.com/images/I/41nkPdQqZQL.jpg;https://images-na.ssl-images-amazon.com/images/I/413pB2to7LL.jpg;https://images-na.ssl-images-amazon.com/images/I/417xmGQhlBL.jpg;https://images-na.ssl-images-amazon.com/images/I/61fl+IYop7L"&amp;".jpg;https://images-na.ssl-images-amazon.com/images/I/517kb4FBc3L.jpg;https://images-na.ssl-images-amazon.com/images/I/51o1v4BUXIL.jpg")</f>
        <v>#NAME?</v>
      </c>
      <c r="G105" s="56" t="s">
        <v>805</v>
      </c>
      <c r="H105" s="83">
        <v>2</v>
      </c>
      <c r="I105" s="88">
        <v>27.98</v>
      </c>
      <c r="J105" s="83">
        <v>1</v>
      </c>
      <c r="K105" s="88">
        <v>-11.75</v>
      </c>
      <c r="L105" s="84">
        <v>10.63</v>
      </c>
      <c r="M105" s="94">
        <f t="shared" si="5"/>
        <v>5.3150000000000004</v>
      </c>
      <c r="N105" s="57">
        <f>(VLOOKUP(E105,Sheet4!F:G,2,0))/1000</f>
        <v>0.1</v>
      </c>
      <c r="O105" s="99">
        <f>VLOOKUP(E105,Sheet4!F113:J698,5,0)</f>
        <v>132</v>
      </c>
      <c r="P105" s="58" t="s">
        <v>1188</v>
      </c>
      <c r="Q105" s="59" cm="1">
        <f t="array" ref="Q105">_xlfn.IFS($P105=$P$2,O105+$P$3*N105,$P105=$Q$2,O105+$Q$3*N105)</f>
        <v>177</v>
      </c>
      <c r="R105" s="101">
        <f t="shared" si="6"/>
        <v>4.4249999999999998</v>
      </c>
      <c r="S105" s="60">
        <f t="shared" si="7"/>
        <v>6.205000000000001</v>
      </c>
    </row>
    <row r="106" spans="2:19" ht="14.4">
      <c r="B106" s="55" t="s">
        <v>20</v>
      </c>
      <c r="C106" s="56" t="s">
        <v>613</v>
      </c>
      <c r="D106" s="56" t="str">
        <f>VLOOKUP(C106,DATA!B:C,2,0)</f>
        <v>GS USA JWL-BCL-0018</v>
      </c>
      <c r="E106" s="56" t="str">
        <f>VLOOKUP(C106,Sheet4!A:B,2,0)</f>
        <v>JWL-BCL-0018</v>
      </c>
      <c r="F106" s="56" t="e">
        <f ca="1">Image("https://images-na.ssl-images-amazon.com/images/I/415kbYiL9JL.jpg;https://images-na.ssl-images-amazon.com/images/I/41iQjIYeymL.jpg;https://images-na.ssl-images-amazon.com/images/I/41o1+t5+9+L.jpg;https://images-na.ssl-images-amazon.com/images/I/51oZv4BcktL"&amp;".jpg;https://images-na.ssl-images-amazon.com/images/I/51rV56r0fXL.jpg;https://images-na.ssl-images-amazon.com/images/I/51hqopAg6uL.jpg")</f>
        <v>#NAME?</v>
      </c>
      <c r="G106" s="56" t="s">
        <v>615</v>
      </c>
      <c r="H106" s="83">
        <v>5</v>
      </c>
      <c r="I106" s="88">
        <v>69.95</v>
      </c>
      <c r="J106" s="83">
        <v>2</v>
      </c>
      <c r="K106" s="88">
        <v>-23.5</v>
      </c>
      <c r="L106" s="84">
        <v>32.450000000000003</v>
      </c>
      <c r="M106" s="94">
        <f t="shared" si="5"/>
        <v>6.49</v>
      </c>
      <c r="N106" s="57">
        <f>(VLOOKUP(E106,Sheet4!F:G,2,0))/1000</f>
        <v>0.12</v>
      </c>
      <c r="O106" s="99">
        <f>VLOOKUP(E106,Sheet4!F114:J699,5,0)</f>
        <v>132</v>
      </c>
      <c r="P106" s="58" t="s">
        <v>1188</v>
      </c>
      <c r="Q106" s="59" cm="1">
        <f t="array" ref="Q106">_xlfn.IFS($P106=$P$2,O106+$P$3*N106,$P106=$Q$2,O106+$Q$3*N106)</f>
        <v>186</v>
      </c>
      <c r="R106" s="101">
        <f t="shared" si="6"/>
        <v>11.625</v>
      </c>
      <c r="S106" s="60">
        <f t="shared" si="7"/>
        <v>20.825000000000003</v>
      </c>
    </row>
    <row r="107" spans="2:19" ht="14.4">
      <c r="B107" s="55" t="s">
        <v>20</v>
      </c>
      <c r="C107" s="56" t="s">
        <v>390</v>
      </c>
      <c r="D107" s="56" t="str">
        <f>VLOOKUP(C107,DATA!B:C,2,0)</f>
        <v>GS USA JWL-BCL-0010</v>
      </c>
      <c r="E107" s="56" t="str">
        <f>VLOOKUP(C107,Sheet4!A:B,2,0)</f>
        <v>JWL-BCL-0010</v>
      </c>
      <c r="F107" s="56" t="e">
        <f ca="1">Image("https://images-na.ssl-images-amazon.com/images/I/31zFMIkwk5L.jpg;https://images-na.ssl-images-amazon.com/images/I/41V9Wuc94HL.jpg;https://images-na.ssl-images-amazon.com/images/I/31eekZG8InL.jpg;https://images-na.ssl-images-amazon.com/images/I/51u69-wws9L"&amp;".jpg")</f>
        <v>#NAME?</v>
      </c>
      <c r="G107" s="56" t="s">
        <v>392</v>
      </c>
      <c r="H107" s="83">
        <v>24</v>
      </c>
      <c r="I107" s="88">
        <v>287.41000000000003</v>
      </c>
      <c r="J107" s="83">
        <v>2</v>
      </c>
      <c r="K107" s="88">
        <v>-20.64</v>
      </c>
      <c r="L107" s="84">
        <v>124.73</v>
      </c>
      <c r="M107" s="94">
        <f t="shared" si="5"/>
        <v>5.1970833333333335</v>
      </c>
      <c r="N107" s="57">
        <f>(VLOOKUP(E107,Sheet4!F:G,2,0))/1000</f>
        <v>0.12</v>
      </c>
      <c r="O107" s="99">
        <f>VLOOKUP(E107,Sheet4!F116:J701,5,0)</f>
        <v>132</v>
      </c>
      <c r="P107" s="58" t="s">
        <v>1188</v>
      </c>
      <c r="Q107" s="59" cm="1">
        <f t="array" ref="Q107">_xlfn.IFS($P107=$P$2,O107+$P$3*N107,$P107=$Q$2,O107+$Q$3*N107)</f>
        <v>186</v>
      </c>
      <c r="R107" s="101">
        <f t="shared" si="6"/>
        <v>55.8</v>
      </c>
      <c r="S107" s="60">
        <f t="shared" si="7"/>
        <v>68.930000000000007</v>
      </c>
    </row>
    <row r="108" spans="2:19" ht="14.4">
      <c r="B108" s="55" t="s">
        <v>20</v>
      </c>
      <c r="C108" s="56" t="s">
        <v>325</v>
      </c>
      <c r="D108" s="56" t="str">
        <f>VLOOKUP(C108,DATA!B:C,2,0)</f>
        <v>GS USA JWL-BCL-0006</v>
      </c>
      <c r="E108" s="56" t="str">
        <f>VLOOKUP(C108,Sheet4!A:B,2,0)</f>
        <v>JWL-BCL-0006</v>
      </c>
      <c r="F108" s="56" t="e">
        <f ca="1">Image("https://images-na.ssl-images-amazon.com/images/I/41dzhot5iQL.jpg;https://images-na.ssl-images-amazon.com/images/I/41Xp03GHduL.jpg")</f>
        <v>#NAME?</v>
      </c>
      <c r="G108" s="56" t="s">
        <v>327</v>
      </c>
      <c r="H108" s="83">
        <v>28</v>
      </c>
      <c r="I108" s="88">
        <v>334.86</v>
      </c>
      <c r="J108" s="83">
        <v>2</v>
      </c>
      <c r="K108" s="88">
        <v>-19.559999999999999</v>
      </c>
      <c r="L108" s="84">
        <v>179.86</v>
      </c>
      <c r="M108" s="94">
        <f t="shared" si="5"/>
        <v>6.4235714285714289</v>
      </c>
      <c r="N108" s="57">
        <f>(VLOOKUP(E108,Sheet4!F:G,2,0))/1000</f>
        <v>0.15</v>
      </c>
      <c r="O108" s="99">
        <f>VLOOKUP(E108,Sheet4!F117:J702,5,0)</f>
        <v>144</v>
      </c>
      <c r="P108" s="58" t="s">
        <v>1188</v>
      </c>
      <c r="Q108" s="59" cm="1">
        <f t="array" ref="Q108">_xlfn.IFS($P108=$P$2,O108+$P$3*N108,$P108=$Q$2,O108+$Q$3*N108)</f>
        <v>211.5</v>
      </c>
      <c r="R108" s="101">
        <f t="shared" si="6"/>
        <v>74.025000000000006</v>
      </c>
      <c r="S108" s="60">
        <f t="shared" si="7"/>
        <v>105.83500000000001</v>
      </c>
    </row>
    <row r="109" spans="2:19" ht="14.4">
      <c r="B109" s="55" t="s">
        <v>20</v>
      </c>
      <c r="C109" s="56" t="s">
        <v>328</v>
      </c>
      <c r="D109" s="56" t="str">
        <f>VLOOKUP(C109,DATA!B:C,2,0)</f>
        <v>JD US JWL-BCL-0011</v>
      </c>
      <c r="E109" s="56" t="str">
        <f>VLOOKUP(C109,Sheet4!A:B,2,0)</f>
        <v>JWL-BCL-0011</v>
      </c>
      <c r="F109" s="56" t="e">
        <f ca="1">Image("https://images-na.ssl-images-amazon.com/images/I/31C0SlG4ZWL.jpg;https://images-na.ssl-images-amazon.com/images/I/31W0fZg-VfL.jpg;https://images-na.ssl-images-amazon.com/images/I/31KkKUK5fJL.jpg;https://images-na.ssl-images-amazon.com/images/I/51wGbT7sizL"&amp;".jpg;https://images-na.ssl-images-amazon.com/images/I/51EXDi+ejbL.jpg;https://images-na.ssl-images-amazon.com/images/I/51uumpRYccL.jpg")</f>
        <v>#NAME?</v>
      </c>
      <c r="G109" s="56" t="s">
        <v>330</v>
      </c>
      <c r="H109" s="83">
        <v>27</v>
      </c>
      <c r="I109" s="88">
        <v>355.47</v>
      </c>
      <c r="J109" s="83">
        <v>3</v>
      </c>
      <c r="K109" s="88">
        <v>-32.06</v>
      </c>
      <c r="L109" s="84">
        <v>177.79</v>
      </c>
      <c r="M109" s="94">
        <f t="shared" si="5"/>
        <v>6.5848148148148145</v>
      </c>
      <c r="N109" s="57">
        <f>(VLOOKUP(E109,Sheet4!F:G,2,0))/1000</f>
        <v>0.1</v>
      </c>
      <c r="O109" s="99">
        <f>VLOOKUP(E109,Sheet4!F118:J703,5,0)</f>
        <v>204</v>
      </c>
      <c r="P109" s="58" t="s">
        <v>1188</v>
      </c>
      <c r="Q109" s="59" cm="1">
        <f t="array" ref="Q109">_xlfn.IFS($P109=$P$2,O109+$P$3*N109,$P109=$Q$2,O109+$Q$3*N109)</f>
        <v>249</v>
      </c>
      <c r="R109" s="101">
        <f t="shared" si="6"/>
        <v>84.037499999999994</v>
      </c>
      <c r="S109" s="60">
        <f t="shared" si="7"/>
        <v>93.752499999999998</v>
      </c>
    </row>
    <row r="110" spans="2:19" ht="14.4">
      <c r="B110" s="55" t="s">
        <v>20</v>
      </c>
      <c r="C110" s="56" t="s">
        <v>215</v>
      </c>
      <c r="D110" s="56" t="str">
        <f>VLOOKUP(C110,DATA!B:C,2,0)</f>
        <v>GS USA JWL-BCL-0001</v>
      </c>
      <c r="E110" s="56" t="str">
        <f>VLOOKUP(C110,Sheet4!A:B,2,0)</f>
        <v>JWL-BCL-0001</v>
      </c>
      <c r="F110" s="56" t="e">
        <f ca="1">Image("https://images-na.ssl-images-amazon.com/images/I/51m2E2rfIhS.jpg;https://images-na.ssl-images-amazon.com/images/I/51gnlyTK4VS.jpg;https://images-na.ssl-images-amazon.com/images/I/311VlKbj4uL.jpg;https://images-na.ssl-images-amazon.com/images/I/518UqmeV-XL"&amp;".jpg;https://images-na.ssl-images-amazon.com/images/I/61ov+Cs9e0L.jpg;https://images-na.ssl-images-amazon.com/images/I/51HCwVZiI8L.jpg")</f>
        <v>#NAME?</v>
      </c>
      <c r="G110" s="56" t="s">
        <v>217</v>
      </c>
      <c r="H110" s="83">
        <v>33</v>
      </c>
      <c r="I110" s="88">
        <v>541.67999999999995</v>
      </c>
      <c r="J110" s="83">
        <v>4</v>
      </c>
      <c r="K110" s="88">
        <v>-52.88</v>
      </c>
      <c r="L110" s="84">
        <v>380.4</v>
      </c>
      <c r="M110" s="94">
        <f t="shared" si="5"/>
        <v>11.527272727272727</v>
      </c>
      <c r="N110" s="57">
        <f>(VLOOKUP(E110,Sheet4!F:G,2,0))/1000</f>
        <v>0.1</v>
      </c>
      <c r="O110" s="99">
        <f>VLOOKUP(E110,Sheet4!F119:J704,5,0)</f>
        <v>204</v>
      </c>
      <c r="P110" s="58" t="s">
        <v>1188</v>
      </c>
      <c r="Q110" s="59" cm="1">
        <f t="array" ref="Q110">_xlfn.IFS($P110=$P$2,O110+$P$3*N110,$P110=$Q$2,O110+$Q$3*N110)</f>
        <v>249</v>
      </c>
      <c r="R110" s="101">
        <f t="shared" si="6"/>
        <v>102.71250000000001</v>
      </c>
      <c r="S110" s="60">
        <f t="shared" si="7"/>
        <v>277.6875</v>
      </c>
    </row>
    <row r="111" spans="2:19" ht="14.4">
      <c r="B111" s="55" t="s">
        <v>20</v>
      </c>
      <c r="C111" s="56" t="s">
        <v>450</v>
      </c>
      <c r="D111" s="56" t="str">
        <f>VLOOKUP(C111,DATA!B:C,2,0)</f>
        <v>JD US JWL-BCL-0009</v>
      </c>
      <c r="E111" s="56" t="str">
        <f>VLOOKUP(C111,Sheet4!A:B,2,0)</f>
        <v>JWL-BCL-0009</v>
      </c>
      <c r="F111" s="56" t="e">
        <f ca="1">Image("https://images-na.ssl-images-amazon.com/images/I/314pyQvUGzL.jpg;https://images-na.ssl-images-amazon.com/images/I/31ld8nPK9mL.jpg;https://images-na.ssl-images-amazon.com/images/I/313BKQCS8xL.jpg;https://images-na.ssl-images-amazon.com/images/I/61EdZcyPleL"&amp;".jpg;https://images-na.ssl-images-amazon.com/images/I/51Pueuvx0oL.jpg;https://images-na.ssl-images-amazon.com/images/I/51GL1QedrWL.jpg")</f>
        <v>#NAME?</v>
      </c>
      <c r="G111" s="56" t="s">
        <v>452</v>
      </c>
      <c r="H111" s="83">
        <v>26</v>
      </c>
      <c r="I111" s="88">
        <v>323.75</v>
      </c>
      <c r="J111" s="83">
        <v>4</v>
      </c>
      <c r="K111" s="88">
        <v>-38.21</v>
      </c>
      <c r="L111" s="84">
        <v>93.15</v>
      </c>
      <c r="M111" s="94">
        <f t="shared" si="5"/>
        <v>3.5826923076923078</v>
      </c>
      <c r="N111" s="57">
        <f>(VLOOKUP(E111,Sheet4!F:G,2,0))/1000</f>
        <v>0.12</v>
      </c>
      <c r="O111" s="99">
        <f>VLOOKUP(E111,Sheet4!F120:J705,5,0)</f>
        <v>132</v>
      </c>
      <c r="P111" s="58" t="s">
        <v>1188</v>
      </c>
      <c r="Q111" s="59" cm="1">
        <f t="array" ref="Q111">_xlfn.IFS($P111=$P$2,O111+$P$3*N111,$P111=$Q$2,O111+$Q$3*N111)</f>
        <v>186</v>
      </c>
      <c r="R111" s="101">
        <f t="shared" si="6"/>
        <v>60.45</v>
      </c>
      <c r="S111" s="60">
        <f t="shared" si="7"/>
        <v>32.700000000000003</v>
      </c>
    </row>
    <row r="112" spans="2:19" ht="14.4">
      <c r="B112" s="55" t="s">
        <v>20</v>
      </c>
      <c r="C112" s="56" t="s">
        <v>331</v>
      </c>
      <c r="D112" s="56" t="str">
        <f>VLOOKUP(C112,DATA!B:C,2,0)</f>
        <v>JD US JWL-BCL-0016</v>
      </c>
      <c r="E112" s="56" t="str">
        <f>VLOOKUP(C112,Sheet4!A:B,2,0)</f>
        <v>JWL-BCL-0016</v>
      </c>
      <c r="F112" s="56" t="e">
        <f ca="1">Image("https://images-na.ssl-images-amazon.com/images/I/51-YS2scMxL.jpg;https://images-na.ssl-images-amazon.com/images/I/51tmrgn3bqL.jpg;https://images-na.ssl-images-amazon.com/images/I/41X8sC2INXL.jpg;https://images-na.ssl-images-amazon.com/images/I/51EC51kvDOL"&amp;".jpg;https://images-na.ssl-images-amazon.com/images/I/51HCI94jOKL.jpg;https://images-na.ssl-images-amazon.com/images/I/51vIiDveGfL.jpg")</f>
        <v>#NAME?</v>
      </c>
      <c r="G112" s="56" t="s">
        <v>333</v>
      </c>
      <c r="H112" s="83">
        <v>29</v>
      </c>
      <c r="I112" s="88">
        <v>342.53</v>
      </c>
      <c r="J112" s="83">
        <v>2</v>
      </c>
      <c r="K112" s="88">
        <v>-20.64</v>
      </c>
      <c r="L112" s="84">
        <v>173.52</v>
      </c>
      <c r="M112" s="94">
        <f t="shared" si="5"/>
        <v>5.9834482758620693</v>
      </c>
      <c r="N112" s="57">
        <f>(VLOOKUP(E112,Sheet4!F:G,2,0))/1000</f>
        <v>0.1</v>
      </c>
      <c r="O112" s="99">
        <f>VLOOKUP(E112,Sheet4!F121:J706,5,0)</f>
        <v>156</v>
      </c>
      <c r="P112" s="58" t="s">
        <v>1188</v>
      </c>
      <c r="Q112" s="59" cm="1">
        <f t="array" ref="Q112">_xlfn.IFS($P112=$P$2,O112+$P$3*N112,$P112=$Q$2,O112+$Q$3*N112)</f>
        <v>201</v>
      </c>
      <c r="R112" s="101">
        <f t="shared" si="6"/>
        <v>72.862499999999997</v>
      </c>
      <c r="S112" s="60">
        <f t="shared" si="7"/>
        <v>100.65750000000001</v>
      </c>
    </row>
    <row r="113" spans="2:19" ht="14.4">
      <c r="B113" s="55" t="s">
        <v>20</v>
      </c>
      <c r="C113" s="56" t="s">
        <v>515</v>
      </c>
      <c r="D113" s="56" t="str">
        <f>VLOOKUP(C113,DATA!B:C,2,0)</f>
        <v>GS USA JWL-BCL-0019</v>
      </c>
      <c r="E113" s="56" t="str">
        <f>VLOOKUP(C113,Sheet4!A:B,2,0)</f>
        <v>JWL-BCL-0019</v>
      </c>
      <c r="F113" s="56" t="e">
        <f ca="1">Image("https://images-na.ssl-images-amazon.com/images/I/41OO4v+z14L.jpg;https://images-na.ssl-images-amazon.com/images/I/41umzU7+V5L.jpg;https://images-na.ssl-images-amazon.com/images/I/41-mDtN1KEL.jpg;https://images-na.ssl-images-amazon.com/images/I/41ixO9sAGeL"&amp;".jpg")</f>
        <v>#NAME?</v>
      </c>
      <c r="G113" s="56" t="s">
        <v>517</v>
      </c>
      <c r="H113" s="83">
        <v>7</v>
      </c>
      <c r="I113" s="88">
        <v>104.23</v>
      </c>
      <c r="J113" s="83">
        <v>2</v>
      </c>
      <c r="K113" s="88">
        <v>-23.5</v>
      </c>
      <c r="L113" s="84">
        <v>59.87</v>
      </c>
      <c r="M113" s="94">
        <f t="shared" si="5"/>
        <v>8.5528571428571425</v>
      </c>
      <c r="N113" s="57">
        <f>(VLOOKUP(E113,Sheet4!F:G,2,0))/1000</f>
        <v>0.12</v>
      </c>
      <c r="O113" s="99">
        <f>VLOOKUP(E113,Sheet4!F122:J707,5,0)</f>
        <v>132</v>
      </c>
      <c r="P113" s="58" t="s">
        <v>1188</v>
      </c>
      <c r="Q113" s="59" cm="1">
        <f t="array" ref="Q113">_xlfn.IFS($P113=$P$2,O113+$P$3*N113,$P113=$Q$2,O113+$Q$3*N113)</f>
        <v>186</v>
      </c>
      <c r="R113" s="101">
        <f t="shared" si="6"/>
        <v>16.274999999999999</v>
      </c>
      <c r="S113" s="60">
        <f t="shared" si="7"/>
        <v>43.594999999999999</v>
      </c>
    </row>
    <row r="114" spans="2:19" ht="14.4">
      <c r="B114" s="55" t="s">
        <v>20</v>
      </c>
      <c r="C114" s="56" t="s">
        <v>313</v>
      </c>
      <c r="D114" s="56" t="str">
        <f>VLOOKUP(C114,DATA!B:C,2,0)</f>
        <v>GS USA JWL-BCL-0013</v>
      </c>
      <c r="E114" s="56" t="str">
        <f>VLOOKUP(C114,Sheet4!A:B,2,0)</f>
        <v>JWL-BCL-0013</v>
      </c>
      <c r="F114" s="56" t="e">
        <f ca="1">Image("https://images-na.ssl-images-amazon.com/images/I/513M84LXxaS.jpg;https://images-na.ssl-images-amazon.com/images/I/51kwWidyANS.jpg;https://images-na.ssl-images-amazon.com/images/I/31olNVRQ24L.jpg;https://images-na.ssl-images-amazon.com/images/I/51eYh8AfwYL"&amp;".jpg;https://images-na.ssl-images-amazon.com/images/I/517lA+vxpTL.jpg;https://images-na.ssl-images-amazon.com/images/I/51ou1kBJ3iL.jpg")</f>
        <v>#NAME?</v>
      </c>
      <c r="G114" s="56" t="s">
        <v>315</v>
      </c>
      <c r="H114" s="83">
        <v>19</v>
      </c>
      <c r="I114" s="88">
        <v>285.81</v>
      </c>
      <c r="J114" s="83">
        <v>3</v>
      </c>
      <c r="K114" s="88">
        <v>-38.61</v>
      </c>
      <c r="L114" s="84">
        <v>190</v>
      </c>
      <c r="M114" s="94">
        <f t="shared" si="5"/>
        <v>10</v>
      </c>
      <c r="N114" s="57">
        <f>(VLOOKUP(E114,Sheet4!F:G,2,0))/1000</f>
        <v>0.1</v>
      </c>
      <c r="O114" s="99">
        <f>VLOOKUP(E114,Sheet4!F123:J708,5,0)</f>
        <v>174</v>
      </c>
      <c r="P114" s="58" t="s">
        <v>1188</v>
      </c>
      <c r="Q114" s="59" cm="1">
        <f t="array" ref="Q114">_xlfn.IFS($P114=$P$2,O114+$P$3*N114,$P114=$Q$2,O114+$Q$3*N114)</f>
        <v>219</v>
      </c>
      <c r="R114" s="101">
        <f t="shared" si="6"/>
        <v>52.012500000000003</v>
      </c>
      <c r="S114" s="60">
        <f t="shared" si="7"/>
        <v>137.98750000000001</v>
      </c>
    </row>
    <row r="115" spans="2:19" ht="14.4">
      <c r="B115" s="55" t="s">
        <v>20</v>
      </c>
      <c r="C115" s="56" t="s">
        <v>998</v>
      </c>
      <c r="D115" s="56" t="str">
        <f>VLOOKUP(C115,DATA!B:C,2,0)</f>
        <v>GS US ANG -9</v>
      </c>
      <c r="E115" s="56" t="str">
        <f>VLOOKUP(C115,Sheet4!A:B,2,0)</f>
        <v>ANG -9</v>
      </c>
      <c r="F115" s="56" t="e">
        <f ca="1">Image("https://images-na.ssl-images-amazon.com/images/I/41SFznznEFS.jpg;https://images-na.ssl-images-amazon.com/images/I/41q0OauXejS.jpg;https://images-na.ssl-images-amazon.com/images/I/41Y+Ii7zmNS.jpg;https://images-na.ssl-images-amazon.com/images/I/41X2WYT-LSL"&amp;".jpg;https://images-na.ssl-images-amazon.com/images/I/51jdXccM3wL.jpg;https://images-na.ssl-images-amazon.com/images/I/41dATmCUiwL.jpg;https://images-na.ssl-images-amazon.com/images/I/518Ynk+Kk4L.jpg")</f>
        <v>#NAME?</v>
      </c>
      <c r="G115" s="56" t="s">
        <v>1000</v>
      </c>
      <c r="H115" s="83">
        <v>2</v>
      </c>
      <c r="I115" s="88">
        <v>13.2</v>
      </c>
      <c r="J115" s="83">
        <v>0</v>
      </c>
      <c r="K115" s="88">
        <v>0</v>
      </c>
      <c r="L115" s="84">
        <v>-3.62</v>
      </c>
      <c r="M115" s="94">
        <f t="shared" si="5"/>
        <v>-1.81</v>
      </c>
      <c r="N115" s="57">
        <f>(VLOOKUP(E115,Sheet4!F:G,2,0))/1000</f>
        <v>0.06</v>
      </c>
      <c r="O115" s="99">
        <f>VLOOKUP(E115,Sheet4!F124:J709,5,0)</f>
        <v>174</v>
      </c>
      <c r="P115" s="58" t="s">
        <v>1188</v>
      </c>
      <c r="Q115" s="59" cm="1">
        <f t="array" ref="Q115">_xlfn.IFS($P115=$P$2,O115+$P$3*N115,$P115=$Q$2,O115+$Q$3*N115)</f>
        <v>201</v>
      </c>
      <c r="R115" s="101">
        <f t="shared" si="6"/>
        <v>5.0250000000000004</v>
      </c>
      <c r="S115" s="60">
        <f t="shared" si="7"/>
        <v>-8.6449999999999996</v>
      </c>
    </row>
    <row r="116" spans="2:19" ht="14.4">
      <c r="B116" s="55" t="s">
        <v>20</v>
      </c>
      <c r="C116" s="56" t="s">
        <v>686</v>
      </c>
      <c r="D116" s="56" t="str">
        <f>VLOOKUP(C116,DATA!B:C,2,0)</f>
        <v>GS US ANG -12</v>
      </c>
      <c r="E116" s="56" t="str">
        <f>VLOOKUP(C116,Sheet4!A:B,2,0)</f>
        <v>ANG -12</v>
      </c>
      <c r="F116" s="56" t="e">
        <f ca="1">Image("https://images-na.ssl-images-amazon.com/images/I/31znvpyyj2S.jpg;https://images-na.ssl-images-amazon.com/images/I/21NBTn07TTS.jpg;https://images-na.ssl-images-amazon.com/images/I/31vEiv96NbS.jpg;https://images-na.ssl-images-amazon.com/images/I/31rm24UTz7L"&amp;".jpg;https://images-na.ssl-images-amazon.com/images/I/51J2f5j689L.jpg;https://images-na.ssl-images-amazon.com/images/I/41wQ3D6OO0L.jpg;https://images-na.ssl-images-amazon.com/images/I/51aSzSKJNvL.jpg")</f>
        <v>#NAME?</v>
      </c>
      <c r="G116" s="56" t="s">
        <v>688</v>
      </c>
      <c r="H116" s="83">
        <v>7</v>
      </c>
      <c r="I116" s="88">
        <v>48.46</v>
      </c>
      <c r="J116" s="83">
        <v>0</v>
      </c>
      <c r="K116" s="88">
        <v>0</v>
      </c>
      <c r="L116" s="84">
        <v>22.53</v>
      </c>
      <c r="M116" s="94">
        <f t="shared" si="5"/>
        <v>3.2185714285714289</v>
      </c>
      <c r="N116" s="57">
        <f>(VLOOKUP(E116,Sheet4!F:G,2,0))/1000</f>
        <v>0.06</v>
      </c>
      <c r="O116" s="99">
        <f>VLOOKUP(E116,Sheet4!F125:J710,5,0)</f>
        <v>174</v>
      </c>
      <c r="P116" s="58" t="s">
        <v>1188</v>
      </c>
      <c r="Q116" s="59" cm="1">
        <f t="array" ref="Q116">_xlfn.IFS($P116=$P$2,O116+$P$3*N116,$P116=$Q$2,O116+$Q$3*N116)</f>
        <v>201</v>
      </c>
      <c r="R116" s="101">
        <f t="shared" si="6"/>
        <v>17.587499999999999</v>
      </c>
      <c r="S116" s="60">
        <f t="shared" si="7"/>
        <v>4.9425000000000026</v>
      </c>
    </row>
    <row r="117" spans="2:19" ht="14.4">
      <c r="B117" s="55" t="s">
        <v>20</v>
      </c>
      <c r="C117" s="56" t="s">
        <v>893</v>
      </c>
      <c r="D117" s="56" t="str">
        <f>VLOOKUP(C117,DATA!B:C,2,0)</f>
        <v>GS US ANG -13</v>
      </c>
      <c r="E117" s="56" t="str">
        <f>VLOOKUP(C117,Sheet4!A:B,2,0)</f>
        <v>ANG -13</v>
      </c>
      <c r="F117" s="56" t="e">
        <f ca="1">Image("https://images-na.ssl-images-amazon.com/images/I/41xJDdWJkmS.jpg;https://images-na.ssl-images-amazon.com/images/I/31PalhmCoUS.jpg;https://images-na.ssl-images-amazon.com/images/I/41goTcNz6AS.jpg;https://images-na.ssl-images-amazon.com/images/I/411S6q0Q2ZL"&amp;".jpg;https://images-na.ssl-images-amazon.com/images/I/517R0GsaR4L.jpg;https://images-na.ssl-images-amazon.com/images/I/51321BECnjL.jpg;https://images-na.ssl-images-amazon.com/images/I/51HJtn1RGuL.jpg")</f>
        <v>#NAME?</v>
      </c>
      <c r="G117" s="56" t="s">
        <v>895</v>
      </c>
      <c r="H117" s="83">
        <v>5</v>
      </c>
      <c r="I117" s="88">
        <v>28.9</v>
      </c>
      <c r="J117" s="83">
        <v>0</v>
      </c>
      <c r="K117" s="88">
        <v>0</v>
      </c>
      <c r="L117" s="84">
        <v>4.5199999999999996</v>
      </c>
      <c r="M117" s="94">
        <f t="shared" si="5"/>
        <v>0.90399999999999991</v>
      </c>
      <c r="N117" s="57">
        <f>(VLOOKUP(E117,Sheet4!F:G,2,0))/1000</f>
        <v>0.06</v>
      </c>
      <c r="O117" s="99">
        <f>VLOOKUP(E117,Sheet4!F126:J711,5,0)</f>
        <v>174</v>
      </c>
      <c r="P117" s="58" t="s">
        <v>1188</v>
      </c>
      <c r="Q117" s="59" cm="1">
        <f t="array" ref="Q117">_xlfn.IFS($P117=$P$2,O117+$P$3*N117,$P117=$Q$2,O117+$Q$3*N117)</f>
        <v>201</v>
      </c>
      <c r="R117" s="101">
        <f t="shared" si="6"/>
        <v>12.5625</v>
      </c>
      <c r="S117" s="60">
        <f t="shared" si="7"/>
        <v>-8.0425000000000004</v>
      </c>
    </row>
    <row r="118" spans="2:19" ht="14.4">
      <c r="B118" s="55" t="s">
        <v>20</v>
      </c>
      <c r="C118" s="56" t="s">
        <v>902</v>
      </c>
      <c r="D118" s="56" t="str">
        <f>VLOOKUP(C118,DATA!B:C,2,0)</f>
        <v>GS US ANG -16</v>
      </c>
      <c r="E118" s="56" t="str">
        <f>VLOOKUP(C118,Sheet4!A:B,2,0)</f>
        <v>ANG -16</v>
      </c>
      <c r="F118" s="56" t="e">
        <f ca="1">Image("https://images-na.ssl-images-amazon.com/images/I/41R1Zvm9uxS.jpg;https://images-na.ssl-images-amazon.com/images/I/31deAHiBF3S.jpg;https://images-na.ssl-images-amazon.com/images/I/41x+4sQbbJS.jpg;https://images-na.ssl-images-amazon.com/images/I/516WilQw4uS"&amp;".jpg;https://images-na.ssl-images-amazon.com/images/I/41XnxafS9gS.jpg")</f>
        <v>#NAME?</v>
      </c>
      <c r="G118" s="56" t="s">
        <v>904</v>
      </c>
      <c r="H118" s="83">
        <v>3</v>
      </c>
      <c r="I118" s="88">
        <v>17.28</v>
      </c>
      <c r="J118" s="83">
        <v>0</v>
      </c>
      <c r="K118" s="88">
        <v>0</v>
      </c>
      <c r="L118" s="84">
        <v>3.46</v>
      </c>
      <c r="M118" s="94">
        <f t="shared" si="5"/>
        <v>1.1533333333333333</v>
      </c>
      <c r="N118" s="57">
        <f>(VLOOKUP(E118,Sheet4!F:G,2,0))/1000</f>
        <v>0.06</v>
      </c>
      <c r="O118" s="99">
        <f>VLOOKUP(E118,Sheet4!F127:J712,5,0)</f>
        <v>174</v>
      </c>
      <c r="P118" s="58" t="s">
        <v>1188</v>
      </c>
      <c r="Q118" s="59" cm="1">
        <f t="array" ref="Q118">_xlfn.IFS($P118=$P$2,O118+$P$3*N118,$P118=$Q$2,O118+$Q$3*N118)</f>
        <v>201</v>
      </c>
      <c r="R118" s="101">
        <f t="shared" si="6"/>
        <v>7.5374999999999996</v>
      </c>
      <c r="S118" s="60">
        <f t="shared" si="7"/>
        <v>-4.0774999999999997</v>
      </c>
    </row>
    <row r="119" spans="2:19" ht="14.4">
      <c r="B119" s="55" t="s">
        <v>20</v>
      </c>
      <c r="C119" s="56" t="s">
        <v>914</v>
      </c>
      <c r="D119" s="56" t="str">
        <f>VLOOKUP(C119,DATA!B:C,2,0)</f>
        <v>GS US ANG -3</v>
      </c>
      <c r="E119" s="56" t="str">
        <f>VLOOKUP(C119,Sheet4!A:B,2,0)</f>
        <v>ANG -3</v>
      </c>
      <c r="F119" s="56" t="e">
        <f ca="1">Image("https://images-na.ssl-images-amazon.com/images/I/41mWjqynNEL.jpg;https://images-na.ssl-images-amazon.com/images/I/41kdayazkWL.jpg;https://images-na.ssl-images-amazon.com/images/I/312RFDx8QSL.jpg;https://images-na.ssl-images-amazon.com/images/I/41Hyc7rE-7L"&amp;".jpg;https://images-na.ssl-images-amazon.com/images/I/51pn-s+NNaL.jpg;https://images-na.ssl-images-amazon.com/images/I/41j1MWgFLgL.jpg;https://images-na.ssl-images-amazon.com/images/I/51ZoC3BwZGL.jpg")</f>
        <v>#NAME?</v>
      </c>
      <c r="G119" s="56" t="s">
        <v>916</v>
      </c>
      <c r="H119" s="83">
        <v>6</v>
      </c>
      <c r="I119" s="88">
        <v>35.4</v>
      </c>
      <c r="J119" s="83">
        <v>1</v>
      </c>
      <c r="K119" s="88">
        <v>-5.07</v>
      </c>
      <c r="L119" s="84">
        <v>2.56</v>
      </c>
      <c r="M119" s="94">
        <f t="shared" si="5"/>
        <v>0.42666666666666669</v>
      </c>
      <c r="N119" s="57">
        <f>(VLOOKUP(E119,Sheet4!F:G,2,0))/1000</f>
        <v>0.06</v>
      </c>
      <c r="O119" s="99">
        <f>VLOOKUP(E119,Sheet4!F128:J713,5,0)</f>
        <v>174</v>
      </c>
      <c r="P119" s="58" t="s">
        <v>1188</v>
      </c>
      <c r="Q119" s="59" cm="1">
        <f t="array" ref="Q119">_xlfn.IFS($P119=$P$2,O119+$P$3*N119,$P119=$Q$2,O119+$Q$3*N119)</f>
        <v>201</v>
      </c>
      <c r="R119" s="101">
        <f t="shared" si="6"/>
        <v>15.074999999999999</v>
      </c>
      <c r="S119" s="60">
        <f t="shared" si="7"/>
        <v>-12.514999999999999</v>
      </c>
    </row>
    <row r="120" spans="2:19" ht="14.4">
      <c r="B120" s="55" t="s">
        <v>20</v>
      </c>
      <c r="C120" s="56" t="s">
        <v>851</v>
      </c>
      <c r="D120" s="56" t="str">
        <f>VLOOKUP(C120,DATA!B:C,2,0)</f>
        <v>GS US ANG -10</v>
      </c>
      <c r="E120" s="56" t="str">
        <f>VLOOKUP(C120,Sheet4!A:B,2,0)</f>
        <v>ANG -10</v>
      </c>
      <c r="F120" s="56" t="e">
        <f ca="1">Image("https://images-na.ssl-images-amazon.com/images/I/41iaFMXr1US.jpg;https://images-na.ssl-images-amazon.com/images/I/31gBGTFeDRS.jpg;https://images-na.ssl-images-amazon.com/images/I/31WrOWgDEwS.jpg;https://images-na.ssl-images-amazon.com/images/I/41sDbnvCjcS"&amp;".jpg;https://images-na.ssl-images-amazon.com/images/I/41nAn72JxvS.jpg")</f>
        <v>#NAME?</v>
      </c>
      <c r="G120" s="56" t="s">
        <v>853</v>
      </c>
      <c r="H120" s="83">
        <v>4</v>
      </c>
      <c r="I120" s="88">
        <v>26.4</v>
      </c>
      <c r="J120" s="83">
        <v>0</v>
      </c>
      <c r="K120" s="88">
        <v>0</v>
      </c>
      <c r="L120" s="84">
        <v>6.96</v>
      </c>
      <c r="M120" s="94">
        <f t="shared" si="5"/>
        <v>1.74</v>
      </c>
      <c r="N120" s="57">
        <f>(VLOOKUP(E120,Sheet4!F:G,2,0))/1000</f>
        <v>0.06</v>
      </c>
      <c r="O120" s="99">
        <f>VLOOKUP(E120,Sheet4!F129:J714,5,0)</f>
        <v>174</v>
      </c>
      <c r="P120" s="58" t="s">
        <v>1188</v>
      </c>
      <c r="Q120" s="59" cm="1">
        <f t="array" ref="Q120">_xlfn.IFS($P120=$P$2,O120+$P$3*N120,$P120=$Q$2,O120+$Q$3*N120)</f>
        <v>201</v>
      </c>
      <c r="R120" s="101">
        <f t="shared" si="6"/>
        <v>10.050000000000001</v>
      </c>
      <c r="S120" s="60">
        <f t="shared" si="7"/>
        <v>-3.0900000000000007</v>
      </c>
    </row>
    <row r="121" spans="2:19" ht="14.4">
      <c r="B121" s="55" t="s">
        <v>20</v>
      </c>
      <c r="C121" s="56" t="s">
        <v>782</v>
      </c>
      <c r="D121" s="56" t="str">
        <f>VLOOKUP(C121,DATA!B:C,2,0)</f>
        <v>GS US ANG -2</v>
      </c>
      <c r="E121" s="56" t="str">
        <f>VLOOKUP(C121,Sheet4!A:B,2,0)</f>
        <v>ANG -2</v>
      </c>
      <c r="F121" s="56" t="e">
        <f ca="1">Image("https://images-na.ssl-images-amazon.com/images/I/41T9W9RtevS.jpg;https://images-na.ssl-images-amazon.com/images/I/31tE45l5TfS.jpg;https://images-na.ssl-images-amazon.com/images/I/41RpRs0hhxS.jpg;https://images-na.ssl-images-amazon.com/images/I/41xpluj1PZL"&amp;".jpg;https://images-na.ssl-images-amazon.com/images/I/51dnP9IyYuL.jpg;https://images-na.ssl-images-amazon.com/images/I/41-d7VM62ZL.jpg;https://images-na.ssl-images-amazon.com/images/I/51XUWION6mL.jpg")</f>
        <v>#NAME?</v>
      </c>
      <c r="G121" s="56" t="s">
        <v>784</v>
      </c>
      <c r="H121" s="83">
        <v>6</v>
      </c>
      <c r="I121" s="88">
        <v>40.54</v>
      </c>
      <c r="J121" s="83">
        <v>0</v>
      </c>
      <c r="K121" s="88">
        <v>0</v>
      </c>
      <c r="L121" s="84">
        <v>11.84</v>
      </c>
      <c r="M121" s="94">
        <f t="shared" ref="M121:M161" si="8">L121/H121</f>
        <v>1.9733333333333334</v>
      </c>
      <c r="N121" s="57">
        <f>(VLOOKUP(E121,Sheet4!F:G,2,0))/1000</f>
        <v>0.06</v>
      </c>
      <c r="O121" s="99">
        <f>VLOOKUP(E121,Sheet4!F130:J715,5,0)</f>
        <v>174</v>
      </c>
      <c r="P121" s="58" t="s">
        <v>1188</v>
      </c>
      <c r="Q121" s="59" cm="1">
        <f t="array" ref="Q121">_xlfn.IFS($P121=$P$2,O121+$P$3*N121,$P121=$Q$2,O121+$Q$3*N121)</f>
        <v>201</v>
      </c>
      <c r="R121" s="101">
        <f t="shared" si="6"/>
        <v>15.074999999999999</v>
      </c>
      <c r="S121" s="60">
        <f t="shared" si="7"/>
        <v>-3.2349999999999994</v>
      </c>
    </row>
    <row r="122" spans="2:19" ht="14.4">
      <c r="B122" s="55" t="s">
        <v>20</v>
      </c>
      <c r="C122" s="56" t="s">
        <v>871</v>
      </c>
      <c r="D122" s="56" t="str">
        <f>VLOOKUP(C122,DATA!B:C,2,0)</f>
        <v>GS US ANG -5</v>
      </c>
      <c r="E122" s="56" t="str">
        <f>VLOOKUP(C122,Sheet4!A:B,2,0)</f>
        <v>ANG -5</v>
      </c>
      <c r="F122" s="56" t="e">
        <f ca="1">Image("https://images-na.ssl-images-amazon.com/images/I/31JaZY9M5jS.jpg;https://images-na.ssl-images-amazon.com/images/I/31xNWRXNEAS.jpg;https://images-na.ssl-images-amazon.com/images/I/31nXZp+wgMS.jpg;https://images-na.ssl-images-amazon.com/images/I/31TsKXChFiL"&amp;".jpg;https://images-na.ssl-images-amazon.com/images/I/31+o96pfupL.jpg;https://images-na.ssl-images-amazon.com/images/I/4199mwB8xgL.jpg;https://images-na.ssl-images-amazon.com/images/I/41vN7TQMwiL.jpg")</f>
        <v>#NAME?</v>
      </c>
      <c r="G122" s="56" t="s">
        <v>873</v>
      </c>
      <c r="H122" s="83">
        <v>4</v>
      </c>
      <c r="I122" s="88">
        <v>18.16</v>
      </c>
      <c r="J122" s="83">
        <v>0</v>
      </c>
      <c r="K122" s="88">
        <v>0</v>
      </c>
      <c r="L122" s="84">
        <v>5.76</v>
      </c>
      <c r="M122" s="94">
        <f t="shared" si="8"/>
        <v>1.44</v>
      </c>
      <c r="N122" s="57">
        <f>(VLOOKUP(E122,Sheet4!F:G,2,0))/1000</f>
        <v>0.06</v>
      </c>
      <c r="O122" s="99">
        <f>VLOOKUP(E122,Sheet4!F131:J716,5,0)</f>
        <v>174</v>
      </c>
      <c r="P122" s="58" t="s">
        <v>1188</v>
      </c>
      <c r="Q122" s="59" cm="1">
        <f t="array" ref="Q122">_xlfn.IFS($P122=$P$2,O122+$P$3*N122,$P122=$Q$2,O122+$Q$3*N122)</f>
        <v>201</v>
      </c>
      <c r="R122" s="101">
        <f t="shared" si="6"/>
        <v>10.050000000000001</v>
      </c>
      <c r="S122" s="60">
        <f t="shared" si="7"/>
        <v>-4.2900000000000009</v>
      </c>
    </row>
    <row r="123" spans="2:19" ht="14.4">
      <c r="B123" s="55" t="s">
        <v>20</v>
      </c>
      <c r="C123" s="56" t="s">
        <v>707</v>
      </c>
      <c r="D123" s="56" t="str">
        <f>VLOOKUP(C123,DATA!B:C,2,0)</f>
        <v>GS US ANG -15</v>
      </c>
      <c r="E123" s="56" t="str">
        <f>VLOOKUP(C123,Sheet4!A:B,2,0)</f>
        <v>ANG -15</v>
      </c>
      <c r="F123" s="56" t="e">
        <f ca="1">Image("https://images-na.ssl-images-amazon.com/images/I/41nMBbB4XDS.jpg;https://images-na.ssl-images-amazon.com/images/I/31dekOl9z+S.jpg;https://images-na.ssl-images-amazon.com/images/I/41lxQP-0ZRS.jpg;https://images-na.ssl-images-amazon.com/images/I/41Q6vLwcSOL"&amp;".jpg;https://images-na.ssl-images-amazon.com/images/I/51qbPWI1YhL.jpg;https://images-na.ssl-images-amazon.com/images/I/41w2Yf1NuJL.jpg;https://images-na.ssl-images-amazon.com/images/I/51S2dYMb9YL.jpg")</f>
        <v>#NAME?</v>
      </c>
      <c r="G123" s="56" t="s">
        <v>709</v>
      </c>
      <c r="H123" s="83">
        <v>6</v>
      </c>
      <c r="I123" s="88">
        <v>46.52</v>
      </c>
      <c r="J123" s="83">
        <v>0</v>
      </c>
      <c r="K123" s="88">
        <v>0</v>
      </c>
      <c r="L123" s="84">
        <v>19.07</v>
      </c>
      <c r="M123" s="94">
        <f t="shared" si="8"/>
        <v>3.1783333333333332</v>
      </c>
      <c r="N123" s="57">
        <f>(VLOOKUP(E123,Sheet4!F:G,2,0))/1000</f>
        <v>0.06</v>
      </c>
      <c r="O123" s="99">
        <f>VLOOKUP(E123,Sheet4!F132:J717,5,0)</f>
        <v>174</v>
      </c>
      <c r="P123" s="58" t="s">
        <v>1188</v>
      </c>
      <c r="Q123" s="59" cm="1">
        <f t="array" ref="Q123">_xlfn.IFS($P123=$P$2,O123+$P$3*N123,$P123=$Q$2,O123+$Q$3*N123)</f>
        <v>201</v>
      </c>
      <c r="R123" s="101">
        <f t="shared" si="6"/>
        <v>15.074999999999999</v>
      </c>
      <c r="S123" s="60">
        <f t="shared" si="7"/>
        <v>3.995000000000001</v>
      </c>
    </row>
    <row r="124" spans="2:19" ht="14.4">
      <c r="B124" s="55" t="s">
        <v>20</v>
      </c>
      <c r="C124" s="56" t="s">
        <v>896</v>
      </c>
      <c r="D124" s="56" t="str">
        <f>VLOOKUP(C124,DATA!B:C,2,0)</f>
        <v>GS US ANG -4</v>
      </c>
      <c r="E124" s="56" t="str">
        <f>VLOOKUP(C124,Sheet4!A:B,2,0)</f>
        <v>ANG -4</v>
      </c>
      <c r="F124" s="56" t="e">
        <f ca="1">Image("https://images-na.ssl-images-amazon.com/images/I/31txN1JrcAS.jpg;https://images-na.ssl-images-amazon.com/images/I/318tbEGXS8S.jpg;https://images-na.ssl-images-amazon.com/images/I/31gaPCeU1sS.jpg;https://images-na.ssl-images-amazon.com/images/I/31tnP+oCuiL"&amp;".jpg;https://images-na.ssl-images-amazon.com/images/I/51SEYUiBflL.jpg;https://images-na.ssl-images-amazon.com/images/I/41W5zNY652L.jpg;https://images-na.ssl-images-amazon.com/images/I/5116ju7L+AL.jpg")</f>
        <v>#NAME?</v>
      </c>
      <c r="G124" s="56" t="s">
        <v>898</v>
      </c>
      <c r="H124" s="83">
        <v>6</v>
      </c>
      <c r="I124" s="88">
        <v>37.549999999999997</v>
      </c>
      <c r="J124" s="83">
        <v>1</v>
      </c>
      <c r="K124" s="88">
        <v>-5.07</v>
      </c>
      <c r="L124" s="84">
        <v>4.38</v>
      </c>
      <c r="M124" s="94">
        <f t="shared" si="8"/>
        <v>0.73</v>
      </c>
      <c r="N124" s="57">
        <f>(VLOOKUP(E124,Sheet4!F:G,2,0))/1000</f>
        <v>0.06</v>
      </c>
      <c r="O124" s="99">
        <f>VLOOKUP(E124,Sheet4!F133:J718,5,0)</f>
        <v>174</v>
      </c>
      <c r="P124" s="58" t="s">
        <v>1188</v>
      </c>
      <c r="Q124" s="59" cm="1">
        <f t="array" ref="Q124">_xlfn.IFS($P124=$P$2,O124+$P$3*N124,$P124=$Q$2,O124+$Q$3*N124)</f>
        <v>201</v>
      </c>
      <c r="R124" s="101">
        <f t="shared" si="6"/>
        <v>15.074999999999999</v>
      </c>
      <c r="S124" s="60">
        <f t="shared" si="7"/>
        <v>-10.695</v>
      </c>
    </row>
    <row r="125" spans="2:19" ht="14.4">
      <c r="B125" s="55" t="s">
        <v>20</v>
      </c>
      <c r="C125" s="56" t="s">
        <v>868</v>
      </c>
      <c r="D125" s="56" t="str">
        <f>VLOOKUP(C125,DATA!B:C,2,0)</f>
        <v>GS US ANG -1</v>
      </c>
      <c r="E125" s="56" t="str">
        <f>VLOOKUP(C125,Sheet4!A:B,2,0)</f>
        <v>ANG -1</v>
      </c>
      <c r="F125" s="56" t="e">
        <f ca="1">Image("https://images-na.ssl-images-amazon.com/images/I/31givXJgNSS.jpg;https://images-na.ssl-images-amazon.com/images/I/317u2KpKzQS.jpg;https://images-na.ssl-images-amazon.com/images/I/31QaVOU7QCS.jpg;https://images-na.ssl-images-amazon.com/images/I/31y4qghW2RL"&amp;".jpg;https://images-na.ssl-images-amazon.com/images/I/414BDRrYqaL.jpg;https://images-na.ssl-images-amazon.com/images/I/41dP43HLZ9L.jpg;https://images-na.ssl-images-amazon.com/images/I/414hm11A2jL.jpg")</f>
        <v>#NAME?</v>
      </c>
      <c r="G125" s="56" t="s">
        <v>870</v>
      </c>
      <c r="H125" s="83">
        <v>6</v>
      </c>
      <c r="I125" s="88">
        <v>34.56</v>
      </c>
      <c r="J125" s="83">
        <v>0</v>
      </c>
      <c r="K125" s="88">
        <v>0</v>
      </c>
      <c r="L125" s="84">
        <v>5.87</v>
      </c>
      <c r="M125" s="94">
        <f t="shared" si="8"/>
        <v>0.97833333333333339</v>
      </c>
      <c r="N125" s="57">
        <f>(VLOOKUP(E125,Sheet4!F:G,2,0))/1000</f>
        <v>0.06</v>
      </c>
      <c r="O125" s="99">
        <f>VLOOKUP(E125,Sheet4!F134:J719,5,0)</f>
        <v>174</v>
      </c>
      <c r="P125" s="58" t="s">
        <v>1188</v>
      </c>
      <c r="Q125" s="59" cm="1">
        <f t="array" ref="Q125">_xlfn.IFS($P125=$P$2,O125+$P$3*N125,$P125=$Q$2,O125+$Q$3*N125)</f>
        <v>201</v>
      </c>
      <c r="R125" s="101">
        <f t="shared" si="6"/>
        <v>15.074999999999999</v>
      </c>
      <c r="S125" s="60">
        <f t="shared" si="7"/>
        <v>-9.2049999999999983</v>
      </c>
    </row>
    <row r="126" spans="2:19" ht="14.4">
      <c r="B126" s="55" t="s">
        <v>20</v>
      </c>
      <c r="C126" s="56" t="s">
        <v>788</v>
      </c>
      <c r="D126" s="56" t="str">
        <f>VLOOKUP(C126,DATA!B:C,2,0)</f>
        <v>GS US ANG -11</v>
      </c>
      <c r="E126" s="56" t="str">
        <f>VLOOKUP(C126,Sheet4!A:B,2,0)</f>
        <v>ANG -11</v>
      </c>
      <c r="F126" s="56" t="e">
        <f ca="1">Image("https://images-na.ssl-images-amazon.com/images/I/31mGDKPHIfS.jpg;https://images-na.ssl-images-amazon.com/images/I/31uxFG6CS8S.jpg;https://images-na.ssl-images-amazon.com/images/I/31vbEU3mK8S.jpg;https://images-na.ssl-images-amazon.com/images/I/31JaoXjUaNL"&amp;".jpg;https://images-na.ssl-images-amazon.com/images/I/51PNvaIQo9L.jpg;https://images-na.ssl-images-amazon.com/images/I/41HxjDellqL.jpg;https://images-na.ssl-images-amazon.com/images/I/51Ng8sD5qwL.jpg")</f>
        <v>#NAME?</v>
      </c>
      <c r="G126" s="56" t="s">
        <v>790</v>
      </c>
      <c r="H126" s="83">
        <v>3</v>
      </c>
      <c r="I126" s="88">
        <v>22.19</v>
      </c>
      <c r="J126" s="83">
        <v>0</v>
      </c>
      <c r="K126" s="88">
        <v>0</v>
      </c>
      <c r="L126" s="84">
        <v>11.41</v>
      </c>
      <c r="M126" s="94">
        <f t="shared" si="8"/>
        <v>3.8033333333333332</v>
      </c>
      <c r="N126" s="57">
        <f>(VLOOKUP(E126,Sheet4!F:G,2,0))/1000</f>
        <v>0.06</v>
      </c>
      <c r="O126" s="99">
        <f>VLOOKUP(E126,Sheet4!F135:J720,5,0)</f>
        <v>174</v>
      </c>
      <c r="P126" s="58" t="s">
        <v>1188</v>
      </c>
      <c r="Q126" s="59" cm="1">
        <f t="array" ref="Q126">_xlfn.IFS($P126=$P$2,O126+$P$3*N126,$P126=$Q$2,O126+$Q$3*N126)</f>
        <v>201</v>
      </c>
      <c r="R126" s="101">
        <f t="shared" si="6"/>
        <v>7.5374999999999996</v>
      </c>
      <c r="S126" s="60">
        <f t="shared" si="7"/>
        <v>3.8725000000000005</v>
      </c>
    </row>
    <row r="127" spans="2:19" ht="14.4">
      <c r="B127" s="55" t="s">
        <v>20</v>
      </c>
      <c r="C127" s="56" t="s">
        <v>154</v>
      </c>
      <c r="D127" s="56" t="str">
        <f>VLOOKUP(C127,DATA!B:C,2,0)</f>
        <v>C CNDL -1</v>
      </c>
      <c r="E127" s="56" t="str">
        <f>VLOOKUP(C127,Sheet4!A:B,2,0)</f>
        <v>CNDL -1</v>
      </c>
      <c r="F127" s="56" t="e">
        <f ca="1">Image("https://images-na.ssl-images-amazon.com/images/I/418r1Ul4f6S.jpg;https://images-na.ssl-images-amazon.com/images/I/51+FjnQX7mS.jpg;https://images-na.ssl-images-amazon.com/images/I/41ldPjktwDS.jpg;https://images-na.ssl-images-amazon.com/images/I/61vB7MZUz3S"&amp;".jpg;https://images-na.ssl-images-amazon.com/images/I/314g2uvo+QS.jpg;https://images-na.ssl-images-amazon.com/images/I/41poqv9TyTL.jpg")</f>
        <v>#NAME?</v>
      </c>
      <c r="G127" s="56" t="s">
        <v>156</v>
      </c>
      <c r="H127" s="83">
        <v>257</v>
      </c>
      <c r="I127" s="88">
        <v>2298.41</v>
      </c>
      <c r="J127" s="83">
        <v>6</v>
      </c>
      <c r="K127" s="88">
        <v>-47.49</v>
      </c>
      <c r="L127" s="84">
        <v>605.99</v>
      </c>
      <c r="M127" s="94">
        <f t="shared" si="8"/>
        <v>2.3579377431906616</v>
      </c>
      <c r="N127" s="57">
        <f>(VLOOKUP(E127,Sheet4!F:G,2,0))/1000</f>
        <v>0.4</v>
      </c>
      <c r="O127" s="99">
        <f>VLOOKUP(E127,Sheet4!F136:J721,5,0)</f>
        <v>110.4</v>
      </c>
      <c r="P127" s="58" t="s">
        <v>1188</v>
      </c>
      <c r="Q127" s="59" cm="1">
        <f t="array" ref="Q127">_xlfn.IFS($P127=$P$2,O127+$P$3*N127,$P127=$Q$2,O127+$Q$3*N127)</f>
        <v>290.39999999999998</v>
      </c>
      <c r="R127" s="101">
        <f t="shared" si="6"/>
        <v>932.90999999999985</v>
      </c>
      <c r="S127" s="60">
        <f t="shared" si="7"/>
        <v>-326.91999999999985</v>
      </c>
    </row>
    <row r="128" spans="2:19" ht="14.4">
      <c r="B128" s="55" t="s">
        <v>20</v>
      </c>
      <c r="C128" s="56" t="s">
        <v>100</v>
      </c>
      <c r="D128" s="56" t="str">
        <f>VLOOKUP(C128,DATA!B:C,2,0)</f>
        <v>KNOBS</v>
      </c>
      <c r="E128" s="56" t="str">
        <f>VLOOKUP(C128,Sheet4!A:B,2,0)</f>
        <v>KNOBS TFR -18</v>
      </c>
      <c r="F128" s="56" t="e">
        <f ca="1">Image("https://images-na.ssl-images-amazon.com/images/I/31eXRUjBMbL.jpg;https://images-na.ssl-images-amazon.com/images/I/216MqaMqpcL.jpg;https://images-na.ssl-images-amazon.com/images/I/513qXfkwQHL.jpg;https://images-na.ssl-images-amazon.com/images/I/51oOWnpHliL"&amp;".jpg;https://images-na.ssl-images-amazon.com/images/I/51IOJ0m18nL.jpg;https://images-na.ssl-images-amazon.com/images/I/51o4+P8zXtL.jpg;https://images-na.ssl-images-amazon.com/images/I/51rSrc9q7RL.jpg;https://images-na.ssl-images-amazon.com/images/I/6184X-"&amp;"sipfL.jpg")</f>
        <v>#NAME?</v>
      </c>
      <c r="G128" s="56" t="s">
        <v>102</v>
      </c>
      <c r="H128" s="83">
        <v>235</v>
      </c>
      <c r="I128" s="88">
        <v>2940.8</v>
      </c>
      <c r="J128" s="83">
        <v>22</v>
      </c>
      <c r="K128" s="88">
        <v>-256.64999999999998</v>
      </c>
      <c r="L128" s="84">
        <v>1287.51</v>
      </c>
      <c r="M128" s="94">
        <f t="shared" si="8"/>
        <v>5.4787659574468082</v>
      </c>
      <c r="N128" s="57">
        <f>(VLOOKUP(E128,Sheet4!F:G,2,0))/1000</f>
        <v>0.48</v>
      </c>
      <c r="O128" s="99">
        <f>VLOOKUP(E128,Sheet4!F129:N714,9,0)</f>
        <v>234</v>
      </c>
      <c r="P128" s="58" t="s">
        <v>1187</v>
      </c>
      <c r="Q128" s="59" cm="1">
        <f t="array" ref="Q128">_xlfn.IFS($P128=$P$2,O128+$P$3*N128,$P128=$Q$2,O128+$Q$3*N128)</f>
        <v>291.60000000000002</v>
      </c>
      <c r="R128" s="101">
        <f t="shared" si="6"/>
        <v>856.57500000000005</v>
      </c>
      <c r="S128" s="60">
        <f t="shared" si="7"/>
        <v>430.93499999999995</v>
      </c>
    </row>
    <row r="129" spans="2:19" ht="14.4">
      <c r="B129" s="55" t="s">
        <v>20</v>
      </c>
      <c r="C129" s="56" t="s">
        <v>1007</v>
      </c>
      <c r="D129" s="56" t="str">
        <f>VLOOKUP(C129,DATA!B:C,2,0)</f>
        <v>GS US PYR -13</v>
      </c>
      <c r="E129" s="56" t="str">
        <f>VLOOKUP(C129,Sheet4!A:B,2,0)</f>
        <v>PYR -13</v>
      </c>
      <c r="F129" s="56" t="e">
        <f ca="1">Image("https://images-na.ssl-images-amazon.com/images/I/41HsJSbzuKL.jpg;https://images-na.ssl-images-amazon.com/images/I/51ho0c3n4OL.jpg;https://images-na.ssl-images-amazon.com/images/I/417JJEBWlvL.jpg;https://images-na.ssl-images-amazon.com/images/I/61y7Zjy8dxL"&amp;".jpg;https://images-na.ssl-images-amazon.com/images/I/51ca9W-SocS.jpg;https://images-na.ssl-images-amazon.com/images/I/61KGPXoU7DL.jpg")</f>
        <v>#NAME?</v>
      </c>
      <c r="G129" s="56" t="s">
        <v>1009</v>
      </c>
      <c r="H129" s="83">
        <v>7</v>
      </c>
      <c r="I129" s="88">
        <v>37.75</v>
      </c>
      <c r="J129" s="83">
        <v>2</v>
      </c>
      <c r="K129" s="88">
        <v>-11.22</v>
      </c>
      <c r="L129" s="84">
        <v>-4.97</v>
      </c>
      <c r="M129" s="94">
        <f t="shared" si="8"/>
        <v>-0.71</v>
      </c>
      <c r="N129" s="57">
        <f>(VLOOKUP(E129,Sheet4!F:G,2,0))/1000</f>
        <v>0.15</v>
      </c>
      <c r="O129" s="99">
        <f>VLOOKUP(E129,Sheet4!F138:J723,5,0)</f>
        <v>184.8</v>
      </c>
      <c r="P129" s="58" t="s">
        <v>1188</v>
      </c>
      <c r="Q129" s="59" cm="1">
        <f t="array" ref="Q129">_xlfn.IFS($P129=$P$2,O129+$P$3*N129,$P129=$Q$2,O129+$Q$3*N129)</f>
        <v>252.3</v>
      </c>
      <c r="R129" s="101">
        <f t="shared" si="6"/>
        <v>22.076250000000002</v>
      </c>
      <c r="S129" s="60">
        <f t="shared" si="7"/>
        <v>-27.046250000000001</v>
      </c>
    </row>
    <row r="130" spans="2:19" ht="14.4">
      <c r="B130" s="55" t="s">
        <v>20</v>
      </c>
      <c r="C130" s="56" t="s">
        <v>1059</v>
      </c>
      <c r="D130" s="56" t="str">
        <f>VLOOKUP(C130,DATA!B:C,2,0)</f>
        <v>GS US PYR -19</v>
      </c>
      <c r="E130" s="56" t="str">
        <f>VLOOKUP(C130,Sheet4!A:B,2,0)</f>
        <v>PYR -19</v>
      </c>
      <c r="F130" s="56" t="e">
        <f ca="1">Image("https://images-na.ssl-images-amazon.com/images/I/4189zQj2tpS.jpg;https://images-na.ssl-images-amazon.com/images/I/61FMDYSH6NS.jpg;https://images-na.ssl-images-amazon.com/images/I/51m+yoij3iS.jpg;https://images-na.ssl-images-amazon.com/images/I/61nsNF1x7xS"&amp;".jpg;https://images-na.ssl-images-amazon.com/images/I/517-E7cMu+S.jpg;https://images-na.ssl-images-amazon.com/images/I/51Mq91sl4sS.jpg")</f>
        <v>#NAME?</v>
      </c>
      <c r="G130" s="56" t="s">
        <v>1061</v>
      </c>
      <c r="H130" s="83">
        <v>1</v>
      </c>
      <c r="I130" s="88">
        <v>10.5</v>
      </c>
      <c r="J130" s="83">
        <v>0</v>
      </c>
      <c r="K130" s="88">
        <v>0</v>
      </c>
      <c r="L130" s="84">
        <v>-11.92</v>
      </c>
      <c r="M130" s="94">
        <f t="shared" si="8"/>
        <v>-11.92</v>
      </c>
      <c r="N130" s="57">
        <f>(VLOOKUP(E130,Sheet4!F:G,2,0))/1000</f>
        <v>0.15</v>
      </c>
      <c r="O130" s="99">
        <f>VLOOKUP(E130,Sheet4!F139:J724,5,0)</f>
        <v>184.8</v>
      </c>
      <c r="P130" s="58" t="s">
        <v>1188</v>
      </c>
      <c r="Q130" s="59" cm="1">
        <f t="array" ref="Q130">_xlfn.IFS($P130=$P$2,O130+$P$3*N130,$P130=$Q$2,O130+$Q$3*N130)</f>
        <v>252.3</v>
      </c>
      <c r="R130" s="101">
        <f t="shared" si="6"/>
        <v>3.1537500000000001</v>
      </c>
      <c r="S130" s="60">
        <f t="shared" si="7"/>
        <v>-15.07375</v>
      </c>
    </row>
    <row r="131" spans="2:19" ht="14.4">
      <c r="B131" s="55" t="s">
        <v>20</v>
      </c>
      <c r="C131" s="56" t="s">
        <v>1001</v>
      </c>
      <c r="D131" s="56" t="str">
        <f>VLOOKUP(C131,DATA!B:C,2,0)</f>
        <v>GS US PYR -22</v>
      </c>
      <c r="E131" s="56" t="str">
        <f>VLOOKUP(C131,Sheet4!A:B,2,0)</f>
        <v>PYR -22</v>
      </c>
      <c r="F131" s="56" t="e">
        <f ca="1">Image("https://images-na.ssl-images-amazon.com/images/I/41iV5oFBPZS.jpg;https://images-na.ssl-images-amazon.com/images/I/61IUloso2US.jpg;https://images-na.ssl-images-amazon.com/images/I/41imtaig3AS.jpg;https://images-na.ssl-images-amazon.com/images/I/51AFBVxKxSS"&amp;".jpg;https://images-na.ssl-images-amazon.com/images/I/511H5osZZMS.jpg;https://images-na.ssl-images-amazon.com/images/I/51C5vn2s4aS.jpg")</f>
        <v>#NAME?</v>
      </c>
      <c r="G131" s="56" t="s">
        <v>1003</v>
      </c>
      <c r="H131" s="83">
        <v>1</v>
      </c>
      <c r="I131" s="88">
        <v>7.74</v>
      </c>
      <c r="J131" s="83">
        <v>1</v>
      </c>
      <c r="K131" s="88">
        <v>-6.81</v>
      </c>
      <c r="L131" s="84">
        <v>-4.17</v>
      </c>
      <c r="M131" s="94">
        <f t="shared" si="8"/>
        <v>-4.17</v>
      </c>
      <c r="N131" s="57">
        <f>(VLOOKUP(E131,Sheet4!F:G,2,0))/1000</f>
        <v>0.15</v>
      </c>
      <c r="O131" s="99">
        <f>VLOOKUP(E131,Sheet4!F141:J726,5,0)</f>
        <v>184.8</v>
      </c>
      <c r="P131" s="58" t="s">
        <v>1188</v>
      </c>
      <c r="Q131" s="59" cm="1">
        <f t="array" ref="Q131">_xlfn.IFS($P131=$P$2,O131+$P$3*N131,$P131=$Q$2,O131+$Q$3*N131)</f>
        <v>252.3</v>
      </c>
      <c r="R131" s="101">
        <f t="shared" si="6"/>
        <v>3.1537500000000001</v>
      </c>
      <c r="S131" s="60">
        <f t="shared" si="7"/>
        <v>-7.3237500000000004</v>
      </c>
    </row>
    <row r="132" spans="2:19" ht="14.4">
      <c r="B132" s="55" t="s">
        <v>20</v>
      </c>
      <c r="C132" s="56" t="s">
        <v>713</v>
      </c>
      <c r="D132" s="56" t="str">
        <f>VLOOKUP(C132,DATA!B:C,2,0)</f>
        <v>PYR-23</v>
      </c>
      <c r="E132" s="56" t="str">
        <f>VLOOKUP(C132,Sheet4!A:B,2,0)</f>
        <v>PYR -23</v>
      </c>
      <c r="F132" s="56" t="e">
        <f ca="1">Image("https://images-na.ssl-images-amazon.com/images/I/41qHyyjPYkS.jpg;https://images-na.ssl-images-amazon.com/images/I/51fbrQbmxdS.jpg;https://images-na.ssl-images-amazon.com/images/I/51maaQMU4vS.jpg;https://images-na.ssl-images-amazon.com/images/I/61DlVjTgsGS"&amp;".jpg;https://images-na.ssl-images-amazon.com/images/I/61rnW-PAEQS.jpg;https://images-na.ssl-images-amazon.com/images/I/41UK0L2Yc4S.jpg")</f>
        <v>#NAME?</v>
      </c>
      <c r="G132" s="56" t="s">
        <v>715</v>
      </c>
      <c r="H132" s="83">
        <v>5</v>
      </c>
      <c r="I132" s="88">
        <v>62.6</v>
      </c>
      <c r="J132" s="83">
        <v>3</v>
      </c>
      <c r="K132" s="88">
        <v>-35.76</v>
      </c>
      <c r="L132" s="84">
        <v>17.45</v>
      </c>
      <c r="M132" s="94">
        <f t="shared" si="8"/>
        <v>3.4899999999999998</v>
      </c>
      <c r="N132" s="57">
        <f>(VLOOKUP(E132,Sheet4!F:G,2,0))/1000</f>
        <v>0.15</v>
      </c>
      <c r="O132" s="99">
        <f>VLOOKUP(E132,Sheet4!F142:J727,5,0)</f>
        <v>184.8</v>
      </c>
      <c r="P132" s="58" t="s">
        <v>1188</v>
      </c>
      <c r="Q132" s="59" cm="1">
        <f t="array" ref="Q132">_xlfn.IFS($P132=$P$2,O132+$P$3*N132,$P132=$Q$2,O132+$Q$3*N132)</f>
        <v>252.3</v>
      </c>
      <c r="R132" s="101">
        <f t="shared" si="6"/>
        <v>15.768750000000001</v>
      </c>
      <c r="S132" s="60">
        <f t="shared" si="7"/>
        <v>1.6812499999999986</v>
      </c>
    </row>
    <row r="133" spans="2:19" ht="14.4">
      <c r="B133" s="55" t="s">
        <v>20</v>
      </c>
      <c r="C133" s="56" t="s">
        <v>1031</v>
      </c>
      <c r="D133" s="56" t="str">
        <f>VLOOKUP(C133,DATA!B:C,2,0)</f>
        <v>GS US PYR -1</v>
      </c>
      <c r="E133" s="56" t="str">
        <f>VLOOKUP(C133,Sheet4!A:B,2,0)</f>
        <v>PYR -1</v>
      </c>
      <c r="F133" s="56" t="e">
        <f ca="1">Image("https://images-na.ssl-images-amazon.com/images/I/41W0Nxqi0TL.jpg;https://images-na.ssl-images-amazon.com/images/I/61d8tpWsRlL.jpg;https://images-na.ssl-images-amazon.com/images/I/41U1hRwVO-L.jpg;https://images-na.ssl-images-amazon.com/images/I/614efB4sdmL"&amp;".jpg;https://images-na.ssl-images-amazon.com/images/I/51h6D2Bd2bS.jpg;https://images-na.ssl-images-amazon.com/images/I/51t4wYXOIdL.jpg")</f>
        <v>#NAME?</v>
      </c>
      <c r="G133" s="56" t="s">
        <v>1033</v>
      </c>
      <c r="H133" s="83">
        <v>7</v>
      </c>
      <c r="I133" s="88">
        <v>61.69</v>
      </c>
      <c r="J133" s="83">
        <v>0</v>
      </c>
      <c r="K133" s="88">
        <v>0</v>
      </c>
      <c r="L133" s="84">
        <v>-7.78</v>
      </c>
      <c r="M133" s="94">
        <f t="shared" si="8"/>
        <v>-1.1114285714285714</v>
      </c>
      <c r="N133" s="57">
        <f>(VLOOKUP(E133,Sheet4!F:G,2,0))/1000</f>
        <v>0.15</v>
      </c>
      <c r="O133" s="99">
        <f>VLOOKUP(E133,Sheet4!F143:J728,5,0)</f>
        <v>184.8</v>
      </c>
      <c r="P133" s="58" t="s">
        <v>1188</v>
      </c>
      <c r="Q133" s="59" cm="1">
        <f t="array" ref="Q133">_xlfn.IFS($P133=$P$2,O133+$P$3*N133,$P133=$Q$2,O133+$Q$3*N133)</f>
        <v>252.3</v>
      </c>
      <c r="R133" s="101">
        <f t="shared" si="6"/>
        <v>22.076250000000002</v>
      </c>
      <c r="S133" s="60">
        <f t="shared" si="7"/>
        <v>-29.856250000000003</v>
      </c>
    </row>
    <row r="134" spans="2:19" ht="14.4">
      <c r="B134" s="55" t="s">
        <v>20</v>
      </c>
      <c r="C134" s="56" t="s">
        <v>968</v>
      </c>
      <c r="D134" s="56" t="str">
        <f>VLOOKUP(C134,DATA!B:C,2,0)</f>
        <v>GS US PYR -47</v>
      </c>
      <c r="E134" s="56" t="str">
        <f>VLOOKUP(C134,Sheet4!A:B,2,0)</f>
        <v>PYR -47</v>
      </c>
      <c r="F134" s="56" t="e">
        <f ca="1">Image("https://images-na.ssl-images-amazon.com/images/I/41fqB4qw0LL.jpg;https://images-na.ssl-images-amazon.com/images/I/51m6Oz77b8L.jpg;https://images-na.ssl-images-amazon.com/images/I/51MUxJwTbjL.jpg;https://images-na.ssl-images-amazon.com/images/I/61HZGO-OWgL"&amp;".jpg;https://images-na.ssl-images-amazon.com/images/I/511ILQ6XVPS.jpg;https://images-na.ssl-images-amazon.com/images/I/613Eb95TomL.jpg")</f>
        <v>#NAME?</v>
      </c>
      <c r="G134" s="56" t="s">
        <v>970</v>
      </c>
      <c r="H134" s="83">
        <v>1</v>
      </c>
      <c r="I134" s="88">
        <v>8</v>
      </c>
      <c r="J134" s="83">
        <v>0</v>
      </c>
      <c r="K134" s="88">
        <v>0</v>
      </c>
      <c r="L134" s="84">
        <v>-1.1000000000000001</v>
      </c>
      <c r="M134" s="94">
        <f t="shared" si="8"/>
        <v>-1.1000000000000001</v>
      </c>
      <c r="N134" s="57">
        <f>(VLOOKUP(E134,Sheet4!F:G,2,0))/1000</f>
        <v>0.15</v>
      </c>
      <c r="O134" s="99">
        <f>VLOOKUP(E134,Sheet4!F144:J729,5,0)</f>
        <v>184.8</v>
      </c>
      <c r="P134" s="58" t="s">
        <v>1188</v>
      </c>
      <c r="Q134" s="59" cm="1">
        <f t="array" ref="Q134">_xlfn.IFS($P134=$P$2,O134+$P$3*N134,$P134=$Q$2,O134+$Q$3*N134)</f>
        <v>252.3</v>
      </c>
      <c r="R134" s="101">
        <f t="shared" ref="R134:R197" si="9">Q134*H134/$R$2</f>
        <v>3.1537500000000001</v>
      </c>
      <c r="S134" s="60">
        <f t="shared" ref="S134:S197" si="10">L134-R134</f>
        <v>-4.2537500000000001</v>
      </c>
    </row>
    <row r="135" spans="2:19" ht="14.4">
      <c r="B135" s="55" t="s">
        <v>20</v>
      </c>
      <c r="C135" s="56" t="s">
        <v>749</v>
      </c>
      <c r="D135" s="56" t="str">
        <f>VLOOKUP(C135,DATA!B:C,2,0)</f>
        <v>GS US KNOBS TFR -6</v>
      </c>
      <c r="E135" s="56" t="str">
        <f>VLOOKUP(C135,Sheet4!A:B,2,0)</f>
        <v>KNOBS TFR -6</v>
      </c>
      <c r="F135" s="56" t="e">
        <f ca="1">Image("https://images-na.ssl-images-amazon.com/images/I/31jeeSfq5CL.jpg;https://images-na.ssl-images-amazon.com/images/I/21IaHHNkhEL.jpg;https://images-na.ssl-images-amazon.com/images/I/31RgXkMJk3L.jpg;https://images-na.ssl-images-amazon.com/images/I/51cia6K+mhL"&amp;".jpg;https://images-na.ssl-images-amazon.com/images/I/51kew2nJz2L.jpg;https://images-na.ssl-images-amazon.com/images/I/514qDsH-8FL.jpg")</f>
        <v>#NAME?</v>
      </c>
      <c r="G135" s="56" t="s">
        <v>751</v>
      </c>
      <c r="H135" s="83">
        <v>1</v>
      </c>
      <c r="I135" s="88">
        <v>18.989999999999998</v>
      </c>
      <c r="J135" s="83">
        <v>0</v>
      </c>
      <c r="K135" s="88">
        <v>0</v>
      </c>
      <c r="L135" s="84">
        <v>15.33</v>
      </c>
      <c r="M135" s="94">
        <f t="shared" si="8"/>
        <v>15.33</v>
      </c>
      <c r="N135" s="57">
        <f>(VLOOKUP(E135,Sheet4!F:G,2,0))/1000</f>
        <v>0.26400000000000001</v>
      </c>
      <c r="O135" s="99">
        <f>VLOOKUP(E135,Sheet4!F145:J730,5,0)</f>
        <v>96</v>
      </c>
      <c r="P135" s="58" t="s">
        <v>1188</v>
      </c>
      <c r="Q135" s="59" cm="1">
        <f t="array" ref="Q135">_xlfn.IFS($P135=$P$2,O135+$P$3*N135,$P135=$Q$2,O135+$Q$3*N135)</f>
        <v>214.8</v>
      </c>
      <c r="R135" s="101">
        <f t="shared" si="9"/>
        <v>2.6850000000000001</v>
      </c>
      <c r="S135" s="60">
        <f t="shared" si="10"/>
        <v>12.645</v>
      </c>
    </row>
    <row r="136" spans="2:19" ht="14.4">
      <c r="B136" s="55" t="s">
        <v>20</v>
      </c>
      <c r="C136" s="56" t="s">
        <v>548</v>
      </c>
      <c r="D136" s="56" t="str">
        <f>VLOOKUP(C136,DATA!B:C,2,0)</f>
        <v>JD PNDM -15</v>
      </c>
      <c r="E136" s="56" t="str">
        <f>VLOOKUP(C136,Sheet4!A:B,2,0)</f>
        <v>PNDM -15</v>
      </c>
      <c r="F136" s="56" t="e">
        <f ca="1">Image("https://images-na.ssl-images-amazon.com/images/I/41Dld8-KkkL.jpg;https://images-na.ssl-images-amazon.com/images/I/410uZZVr9pL.jpg;https://images-na.ssl-images-amazon.com/images/I/41xFegftz2L.jpg;https://images-na.ssl-images-amazon.com/images/I/516rmYUsj5L"&amp;".jpg;https://images-na.ssl-images-amazon.com/images/I/61cjnPXQqhL.jpg;https://images-na.ssl-images-amazon.com/images/I/51Gvx6cfBdL.jpg;https://images-na.ssl-images-amazon.com/images/I/51KOzTFKBiL.jpg")</f>
        <v>#NAME?</v>
      </c>
      <c r="G136" s="56" t="s">
        <v>550</v>
      </c>
      <c r="H136" s="83">
        <v>6</v>
      </c>
      <c r="I136" s="88">
        <v>59.22</v>
      </c>
      <c r="J136" s="83">
        <v>1</v>
      </c>
      <c r="K136" s="88">
        <v>-6.32</v>
      </c>
      <c r="L136" s="84">
        <v>45.43</v>
      </c>
      <c r="M136" s="94">
        <f t="shared" si="8"/>
        <v>7.5716666666666663</v>
      </c>
      <c r="N136" s="57">
        <f>(VLOOKUP(E136,Sheet4!F:G,2,0))/1000</f>
        <v>0.05</v>
      </c>
      <c r="O136" s="99">
        <f>VLOOKUP(E136,Sheet4!F146:J731,5,0)</f>
        <v>72</v>
      </c>
      <c r="P136" s="58" t="s">
        <v>1188</v>
      </c>
      <c r="Q136" s="59" cm="1">
        <f t="array" ref="Q136">_xlfn.IFS($P136=$P$2,O136+$P$3*N136,$P136=$Q$2,O136+$Q$3*N136)</f>
        <v>94.5</v>
      </c>
      <c r="R136" s="101">
        <f t="shared" si="9"/>
        <v>7.0875000000000004</v>
      </c>
      <c r="S136" s="60">
        <f t="shared" si="10"/>
        <v>38.342500000000001</v>
      </c>
    </row>
    <row r="137" spans="2:19" ht="14.4">
      <c r="B137" s="55" t="s">
        <v>20</v>
      </c>
      <c r="C137" s="56" t="s">
        <v>539</v>
      </c>
      <c r="D137" s="56" t="str">
        <f>VLOOKUP(C137,DATA!B:C,2,0)</f>
        <v>MS PNDM -6</v>
      </c>
      <c r="E137" s="56" t="str">
        <f>VLOOKUP(C137,Sheet4!A:B,2,0)</f>
        <v>PNDM -6</v>
      </c>
      <c r="F137" s="56" t="e">
        <f ca="1">Image("https://images-na.ssl-images-amazon.com/images/I/317r31q1MzL.jpg;https://images-na.ssl-images-amazon.com/images/I/31Mo+VL8Y0L.jpg;https://images-na.ssl-images-amazon.com/images/I/3152JEeuqnL.jpg;https://images-na.ssl-images-amazon.com/images/I/41WqCjB8hyL"&amp;".jpg;https://images-na.ssl-images-amazon.com/images/I/41NbMPA08qL.jpg;https://images-na.ssl-images-amazon.com/images/I/41TL6egbrJL.jpg")</f>
        <v>#NAME?</v>
      </c>
      <c r="G137" s="56" t="s">
        <v>541</v>
      </c>
      <c r="H137" s="83">
        <v>36</v>
      </c>
      <c r="I137" s="88">
        <v>187.24</v>
      </c>
      <c r="J137" s="83">
        <v>1</v>
      </c>
      <c r="K137" s="88">
        <v>-6.54</v>
      </c>
      <c r="L137" s="84">
        <v>50.54</v>
      </c>
      <c r="M137" s="94">
        <f t="shared" si="8"/>
        <v>1.403888888888889</v>
      </c>
      <c r="N137" s="57">
        <f>(VLOOKUP(E137,Sheet4!F:G,2,0))/1000</f>
        <v>0.05</v>
      </c>
      <c r="O137" s="99">
        <f>VLOOKUP(E137,Sheet4!F147:J732,5,0)</f>
        <v>72</v>
      </c>
      <c r="P137" s="58" t="s">
        <v>1188</v>
      </c>
      <c r="Q137" s="59" cm="1">
        <f t="array" ref="Q137">_xlfn.IFS($P137=$P$2,O137+$P$3*N137,$P137=$Q$2,O137+$Q$3*N137)</f>
        <v>94.5</v>
      </c>
      <c r="R137" s="101">
        <f t="shared" si="9"/>
        <v>42.524999999999999</v>
      </c>
      <c r="S137" s="60">
        <f t="shared" si="10"/>
        <v>8.0150000000000006</v>
      </c>
    </row>
    <row r="138" spans="2:19" ht="14.4">
      <c r="B138" s="55" t="s">
        <v>20</v>
      </c>
      <c r="C138" s="56" t="s">
        <v>566</v>
      </c>
      <c r="D138" s="56" t="str">
        <f>VLOOKUP(C138,DATA!B:C,2,0)</f>
        <v>MS US PNDM -7</v>
      </c>
      <c r="E138" s="56" t="str">
        <f>VLOOKUP(C138,Sheet4!A:B,2,0)</f>
        <v>PNDM -7</v>
      </c>
      <c r="F138" s="56" t="e">
        <f ca="1">Image("https://images-na.ssl-images-amazon.com/images/I/31KCPTP+qNL.jpg;https://images-na.ssl-images-amazon.com/images/I/319VuiJ2nvL.jpg;https://images-na.ssl-images-amazon.com/images/I/31VDfo7Uj5L.jpg;https://images-na.ssl-images-amazon.com/images/I/41JIPc31d6L"&amp;".jpg;https://images-na.ssl-images-amazon.com/images/I/41YDRczuiGL.jpg;https://images-na.ssl-images-amazon.com/images/I/51TAiw2MGTL.jpg;https://images-na.ssl-images-amazon.com/images/I/41cLO3ZWQoL.jpg")</f>
        <v>#NAME?</v>
      </c>
      <c r="G138" s="56" t="s">
        <v>568</v>
      </c>
      <c r="H138" s="83">
        <v>26</v>
      </c>
      <c r="I138" s="88">
        <v>123.25</v>
      </c>
      <c r="J138" s="83">
        <v>1</v>
      </c>
      <c r="K138" s="88">
        <v>-4.21</v>
      </c>
      <c r="L138" s="84">
        <v>42.02</v>
      </c>
      <c r="M138" s="94">
        <f t="shared" si="8"/>
        <v>1.6161538461538463</v>
      </c>
      <c r="N138" s="57">
        <f>(VLOOKUP(E138,Sheet4!F:G,2,0))/1000</f>
        <v>0.05</v>
      </c>
      <c r="O138" s="99">
        <f>VLOOKUP(E138,Sheet4!F148:J733,5,0)</f>
        <v>72</v>
      </c>
      <c r="P138" s="58" t="s">
        <v>1188</v>
      </c>
      <c r="Q138" s="59" cm="1">
        <f t="array" ref="Q138">_xlfn.IFS($P138=$P$2,O138+$P$3*N138,$P138=$Q$2,O138+$Q$3*N138)</f>
        <v>94.5</v>
      </c>
      <c r="R138" s="101">
        <f t="shared" si="9"/>
        <v>30.712499999999999</v>
      </c>
      <c r="S138" s="60">
        <f t="shared" si="10"/>
        <v>11.307500000000005</v>
      </c>
    </row>
    <row r="139" spans="2:19" ht="14.4">
      <c r="B139" s="55" t="s">
        <v>20</v>
      </c>
      <c r="C139" s="56" t="s">
        <v>1154</v>
      </c>
      <c r="D139" s="56" t="str">
        <f>VLOOKUP(C139,DATA!B:C,2,0)</f>
        <v>GS US FLAG -2</v>
      </c>
      <c r="E139" s="56" t="str">
        <f>VLOOKUP(C139,Sheet4!A:B,2,0)</f>
        <v>FLG -2</v>
      </c>
      <c r="F139" s="56" t="e">
        <f ca="1">Image("https://images-na.ssl-images-amazon.com/images/I/51+9jyJW5IL.jpg;https://images-na.ssl-images-amazon.com/images/I/41qWULk2-1S.jpg;https://images-na.ssl-images-amazon.com/images/I/51pXPMUsHuS.jpg;https://images-na.ssl-images-amazon.com/images/I/51tnzAAJ6MS"&amp;".jpg;https://images-na.ssl-images-amazon.com/images/I/61KIVa7q28S.jpg;https://images-na.ssl-images-amazon.com/images/I/61YHp5+KvMS.jpg")</f>
        <v>#NAME?</v>
      </c>
      <c r="G139" s="56" t="s">
        <v>1156</v>
      </c>
      <c r="H139" s="83">
        <v>12</v>
      </c>
      <c r="I139" s="88">
        <v>96</v>
      </c>
      <c r="J139" s="83">
        <v>0</v>
      </c>
      <c r="K139" s="88">
        <v>0</v>
      </c>
      <c r="L139" s="84">
        <v>-104.41</v>
      </c>
      <c r="M139" s="94">
        <f t="shared" si="8"/>
        <v>-8.7008333333333336</v>
      </c>
      <c r="N139" s="57">
        <f>(VLOOKUP(E139,Sheet4!F:G,2,0))/1000</f>
        <v>0.15</v>
      </c>
      <c r="O139" s="99">
        <f>VLOOKUP(E139,Sheet4!F149:J734,5,0)</f>
        <v>271.2</v>
      </c>
      <c r="P139" s="58" t="s">
        <v>1188</v>
      </c>
      <c r="Q139" s="59" cm="1">
        <f t="array" ref="Q139">_xlfn.IFS($P139=$P$2,O139+$P$3*N139,$P139=$Q$2,O139+$Q$3*N139)</f>
        <v>338.7</v>
      </c>
      <c r="R139" s="101">
        <f t="shared" si="9"/>
        <v>50.804999999999993</v>
      </c>
      <c r="S139" s="60">
        <f t="shared" si="10"/>
        <v>-155.21499999999997</v>
      </c>
    </row>
    <row r="140" spans="2:19" ht="14.4">
      <c r="B140" s="55" t="s">
        <v>20</v>
      </c>
      <c r="C140" s="56" t="s">
        <v>1125</v>
      </c>
      <c r="D140" s="56" t="str">
        <f>VLOOKUP(C140,DATA!B:C,2,0)</f>
        <v>GS USA FLAG -1</v>
      </c>
      <c r="E140" s="56" t="str">
        <f>VLOOKUP(C140,Sheet4!A:B,2,0)</f>
        <v>FLG -1</v>
      </c>
      <c r="F140" s="56" t="e">
        <f ca="1">Image("https://images-na.ssl-images-amazon.com/images/I/51+9jyJW5IL.jpg;https://images-na.ssl-images-amazon.com/images/I/41qWULk2-1S.jpg;https://images-na.ssl-images-amazon.com/images/I/51pXPMUsHuS.jpg;https://images-na.ssl-images-amazon.com/images/I/51tnzAAJ6MS"&amp;".jpg;https://images-na.ssl-images-amazon.com/images/I/61KIVa7q28S.jpg;https://images-na.ssl-images-amazon.com/images/I/61YHp5+KvMS.jpg")</f>
        <v>#NAME?</v>
      </c>
      <c r="G140" s="56" t="s">
        <v>1127</v>
      </c>
      <c r="H140" s="83">
        <v>16</v>
      </c>
      <c r="I140" s="88">
        <v>91.04</v>
      </c>
      <c r="J140" s="83">
        <v>0</v>
      </c>
      <c r="K140" s="88">
        <v>0</v>
      </c>
      <c r="L140" s="84">
        <v>-45.73</v>
      </c>
      <c r="M140" s="94">
        <f t="shared" si="8"/>
        <v>-2.8581249999999998</v>
      </c>
      <c r="N140" s="57">
        <f>(VLOOKUP(E140,Sheet4!F:G,2,0))/1000</f>
        <v>9.5000000000000001E-2</v>
      </c>
      <c r="O140" s="99">
        <f>VLOOKUP(E140,Sheet4!F150:J735,5,0)</f>
        <v>108</v>
      </c>
      <c r="P140" s="58" t="s">
        <v>1188</v>
      </c>
      <c r="Q140" s="59" cm="1">
        <f t="array" ref="Q140">_xlfn.IFS($P140=$P$2,O140+$P$3*N140,$P140=$Q$2,O140+$Q$3*N140)</f>
        <v>150.75</v>
      </c>
      <c r="R140" s="101">
        <f t="shared" si="9"/>
        <v>30.15</v>
      </c>
      <c r="S140" s="60">
        <f t="shared" si="10"/>
        <v>-75.88</v>
      </c>
    </row>
    <row r="141" spans="2:19" ht="14.4">
      <c r="B141" s="55" t="s">
        <v>20</v>
      </c>
      <c r="C141" s="56" t="s">
        <v>922</v>
      </c>
      <c r="D141" s="56" t="str">
        <f>VLOOKUP(C141,DATA!B:C,2,0)</f>
        <v>GS US KNOBS RESIN -2</v>
      </c>
      <c r="E141" s="56" t="str">
        <f>VLOOKUP(C141,Sheet4!A:B,2,0)</f>
        <v>KNOBS RESIN -2</v>
      </c>
      <c r="F141" s="56" t="e">
        <f ca="1">Image("https://images-na.ssl-images-amazon.com/images/I/51yeINGmEhL.jpg;https://images-na.ssl-images-amazon.com/images/I/41Az6hd5y9L.jpg;https://images-na.ssl-images-amazon.com/images/I/31xMD0g1+GL.jpg;https://images-na.ssl-images-amazon.com/images/I/41sPt1l5-8L"&amp;".jpg;https://images-na.ssl-images-amazon.com/images/I/31Nsrf06hJL.jpg;https://images-na.ssl-images-amazon.com/images/I/41tCZD5oCTL.jpg")</f>
        <v>#NAME?</v>
      </c>
      <c r="G141" s="56" t="s">
        <v>924</v>
      </c>
      <c r="H141" s="83">
        <v>1</v>
      </c>
      <c r="I141" s="88">
        <v>19.989999999999998</v>
      </c>
      <c r="J141" s="83">
        <v>0</v>
      </c>
      <c r="K141" s="88">
        <v>0</v>
      </c>
      <c r="L141" s="84">
        <v>0.96</v>
      </c>
      <c r="M141" s="94">
        <f t="shared" si="8"/>
        <v>0.96</v>
      </c>
      <c r="N141" s="57">
        <f>(VLOOKUP(E141,Sheet4!F:G,2,0))/1000</f>
        <v>0.65200000000000002</v>
      </c>
      <c r="O141" s="99">
        <f>VLOOKUP(E141,Sheet4!F155:J740,5,0)</f>
        <v>526.79999999999995</v>
      </c>
      <c r="P141" s="58" t="s">
        <v>1188</v>
      </c>
      <c r="Q141" s="59" cm="1">
        <f t="array" ref="Q141">_xlfn.IFS($P141=$P$2,O141+$P$3*N141,$P141=$Q$2,O141+$Q$3*N141)</f>
        <v>820.2</v>
      </c>
      <c r="R141" s="101">
        <f t="shared" si="9"/>
        <v>10.252500000000001</v>
      </c>
      <c r="S141" s="60">
        <f t="shared" si="10"/>
        <v>-9.2925000000000004</v>
      </c>
    </row>
    <row r="142" spans="2:19" ht="14.4">
      <c r="B142" s="55" t="s">
        <v>20</v>
      </c>
      <c r="C142" s="56" t="s">
        <v>980</v>
      </c>
      <c r="D142" s="56" t="str">
        <f>VLOOKUP(C142,DATA!B:C,2,0)</f>
        <v>OU-RJ4E-B9FQ</v>
      </c>
      <c r="E142" s="56" t="s">
        <v>1202</v>
      </c>
      <c r="F142" s="56" t="e">
        <f ca="1">Image("https://images-na.ssl-images-amazon.com/images/I/41xp7Rcx9sL.jpg;https://images-na.ssl-images-amazon.com/images/I/414-DWmiYeL.jpg;https://images-na.ssl-images-amazon.com/images/I/41LBRvhdy-L.jpg;https://images-na.ssl-images-amazon.com/images/I/51CV9eTOvGL"&amp;".jpg;https://images-na.ssl-images-amazon.com/images/I/51OxQEEe+jL.jpg;https://images-na.ssl-images-amazon.com/images/I/41EVjGg9RvL.jpg;https://images-na.ssl-images-amazon.com/images/I/61RNGo98NeL.jpg")</f>
        <v>#NAME?</v>
      </c>
      <c r="G142" s="56" t="s">
        <v>982</v>
      </c>
      <c r="H142" s="83">
        <v>1</v>
      </c>
      <c r="I142" s="88">
        <v>23.5</v>
      </c>
      <c r="J142" s="83">
        <v>0</v>
      </c>
      <c r="K142" s="88">
        <v>0</v>
      </c>
      <c r="L142" s="84">
        <v>-2.34</v>
      </c>
      <c r="M142" s="94">
        <f t="shared" si="8"/>
        <v>-2.34</v>
      </c>
      <c r="N142" s="57">
        <f>(VLOOKUP(E142,Sheet4!F:G,2,0))/1000</f>
        <v>0.57999999999999996</v>
      </c>
      <c r="O142" s="99">
        <f>VLOOKUP(E142,Sheet4!F157:J742,5,0)</f>
        <v>560.4</v>
      </c>
      <c r="P142" s="58" t="s">
        <v>1188</v>
      </c>
      <c r="Q142" s="59" cm="1">
        <f t="array" ref="Q142">_xlfn.IFS($P142=$P$2,O142+$P$3*N142,$P142=$Q$2,O142+$Q$3*N142)</f>
        <v>821.4</v>
      </c>
      <c r="R142" s="101">
        <f t="shared" si="9"/>
        <v>10.2675</v>
      </c>
      <c r="S142" s="60">
        <f t="shared" si="10"/>
        <v>-12.6075</v>
      </c>
    </row>
    <row r="143" spans="2:19" ht="14.4">
      <c r="B143" s="55" t="s">
        <v>20</v>
      </c>
      <c r="C143" s="56" t="s">
        <v>995</v>
      </c>
      <c r="D143" s="56" t="str">
        <f>VLOOKUP(C143,DATA!B:C,2,0)</f>
        <v>GS US BRASS KNOBS -53</v>
      </c>
      <c r="E143" s="56" t="s">
        <v>1203</v>
      </c>
      <c r="F143" s="56" t="e">
        <f ca="1">Image("https://images-na.ssl-images-amazon.com/images/I/41hhB+QPFwL.jpg;https://images-na.ssl-images-amazon.com/images/I/51vp-EM0TuL.jpg;https://images-na.ssl-images-amazon.com/images/I/41e2eFmNsLL.jpg;https://images-na.ssl-images-amazon.com/images/I/51q19cVFVVL"&amp;".jpg;https://images-na.ssl-images-amazon.com/images/I/51a-jIqv8TL.jpg;https://images-na.ssl-images-amazon.com/images/I/51NvS5KDCiL.jpg;https://images-na.ssl-images-amazon.com/images/I/41EVjGg9RvL.jpg")</f>
        <v>#NAME?</v>
      </c>
      <c r="G143" s="56" t="s">
        <v>997</v>
      </c>
      <c r="H143" s="83">
        <v>1</v>
      </c>
      <c r="I143" s="88">
        <v>16</v>
      </c>
      <c r="J143" s="83">
        <v>0</v>
      </c>
      <c r="K143" s="88">
        <v>0</v>
      </c>
      <c r="L143" s="84">
        <v>-3.18</v>
      </c>
      <c r="M143" s="94">
        <f t="shared" si="8"/>
        <v>-3.18</v>
      </c>
      <c r="N143" s="57">
        <f>(VLOOKUP(E143,Sheet4!F:G,2,0))/1000</f>
        <v>0.57999999999999996</v>
      </c>
      <c r="O143" s="99">
        <v>560.4</v>
      </c>
      <c r="P143" s="58" t="s">
        <v>1188</v>
      </c>
      <c r="Q143" s="59" cm="1">
        <f t="array" ref="Q143">_xlfn.IFS($P143=$P$2,O143+$P$3*N143,$P143=$Q$2,O143+$Q$3*N143)</f>
        <v>821.4</v>
      </c>
      <c r="R143" s="101">
        <f t="shared" si="9"/>
        <v>10.2675</v>
      </c>
      <c r="S143" s="60">
        <f t="shared" si="10"/>
        <v>-13.4475</v>
      </c>
    </row>
    <row r="144" spans="2:19" ht="14.4">
      <c r="B144" s="55" t="s">
        <v>20</v>
      </c>
      <c r="C144" s="56" t="s">
        <v>908</v>
      </c>
      <c r="D144" s="56" t="str">
        <f>VLOOKUP(C144,DATA!B:C,2,0)</f>
        <v>GS US BRASS KNOBS -57</v>
      </c>
      <c r="E144" s="56" t="s">
        <v>1204</v>
      </c>
      <c r="F144" s="56" t="e">
        <f ca="1">Image("https://images-na.ssl-images-amazon.com/images/I/41S9RvZ0ryL.jpg;https://images-na.ssl-images-amazon.com/images/I/41gtS0URodL.jpg;https://images-na.ssl-images-amazon.com/images/I/41e2eFmNsLL.jpg;https://images-na.ssl-images-amazon.com/images/I/51q19cVFVVL"&amp;".jpg;https://images-na.ssl-images-amazon.com/images/I/51zwo37Pm5L.jpg;https://images-na.ssl-images-amazon.com/images/I/61+VhmGA-pL.jpg;https://images-na.ssl-images-amazon.com/images/I/41EVjGg9RvL.jpg")</f>
        <v>#NAME?</v>
      </c>
      <c r="G144" s="56" t="s">
        <v>910</v>
      </c>
      <c r="H144" s="83">
        <v>1</v>
      </c>
      <c r="I144" s="88">
        <v>16</v>
      </c>
      <c r="J144" s="83">
        <v>0</v>
      </c>
      <c r="K144" s="88">
        <v>0</v>
      </c>
      <c r="L144" s="84">
        <v>2.82</v>
      </c>
      <c r="M144" s="94">
        <f t="shared" si="8"/>
        <v>2.82</v>
      </c>
      <c r="N144" s="57">
        <f>(VLOOKUP(E144,Sheet4!F:G,2,0))/1000</f>
        <v>0.57999999999999996</v>
      </c>
      <c r="O144" s="99">
        <v>560.4</v>
      </c>
      <c r="P144" s="58" t="s">
        <v>1188</v>
      </c>
      <c r="Q144" s="59" cm="1">
        <f t="array" ref="Q144">_xlfn.IFS($P144=$P$2,O144+$P$3*N144,$P144=$Q$2,O144+$Q$3*N144)</f>
        <v>821.4</v>
      </c>
      <c r="R144" s="101">
        <f t="shared" si="9"/>
        <v>10.2675</v>
      </c>
      <c r="S144" s="60">
        <f t="shared" si="10"/>
        <v>-7.4474999999999998</v>
      </c>
    </row>
    <row r="145" spans="2:19" ht="14.4">
      <c r="B145" s="55" t="s">
        <v>20</v>
      </c>
      <c r="C145" s="56" t="s">
        <v>1133</v>
      </c>
      <c r="D145" s="56" t="str">
        <f>VLOOKUP(C145,DATA!B:C,2,0)</f>
        <v>GS US MKRM -5</v>
      </c>
      <c r="E145" s="56" t="str">
        <f>VLOOKUP(C145,Sheet4!A:B,2,0)</f>
        <v>MKRM -5</v>
      </c>
      <c r="F145" s="56" t="e">
        <f ca="1">Image("https://images-na.ssl-images-amazon.com/images/I/51AtX6ocVhL.jpg;https://images-na.ssl-images-amazon.com/images/I/41Tn504EyQL.jpg;https://images-na.ssl-images-amazon.com/images/I/51vmR7a9u3L.jpg;https://images-na.ssl-images-amazon.com/images/I/51gfwJ-3MpL"&amp;".jpg;https://images-na.ssl-images-amazon.com/images/I/51enG9MXScL.jpg;https://images-na.ssl-images-amazon.com/images/I/51NtK-rjEbL.jpg")</f>
        <v>#NAME?</v>
      </c>
      <c r="G145" s="56" t="s">
        <v>1135</v>
      </c>
      <c r="H145" s="83">
        <v>1</v>
      </c>
      <c r="I145" s="88">
        <v>13</v>
      </c>
      <c r="J145" s="83">
        <v>0</v>
      </c>
      <c r="K145" s="88">
        <v>0</v>
      </c>
      <c r="L145" s="84">
        <v>-75.44</v>
      </c>
      <c r="M145" s="94">
        <f t="shared" si="8"/>
        <v>-75.44</v>
      </c>
      <c r="N145" s="57">
        <f>(VLOOKUP(E145,Sheet4!F:G,2,0))/1000</f>
        <v>0.55000000000000004</v>
      </c>
      <c r="O145" s="99">
        <f>VLOOKUP(E145,Sheet4!F:N,9,0)</f>
        <v>346.6</v>
      </c>
      <c r="P145" s="58" t="s">
        <v>1187</v>
      </c>
      <c r="Q145" s="59" cm="1">
        <f t="array" ref="Q145">_xlfn.IFS($P145=$P$2,O145+$P$3*N145,$P145=$Q$2,O145+$Q$3*N145)</f>
        <v>412.6</v>
      </c>
      <c r="R145" s="101">
        <f t="shared" si="9"/>
        <v>5.1575000000000006</v>
      </c>
      <c r="S145" s="60">
        <f t="shared" si="10"/>
        <v>-80.597499999999997</v>
      </c>
    </row>
    <row r="146" spans="2:19" ht="14.4">
      <c r="B146" s="55" t="s">
        <v>20</v>
      </c>
      <c r="C146" s="56" t="s">
        <v>334</v>
      </c>
      <c r="D146" s="56" t="str">
        <f>VLOOKUP(C146,DATA!B:C,2,0)</f>
        <v>MS US RUNE -23</v>
      </c>
      <c r="E146" s="56" t="str">
        <f>VLOOKUP(C146,Sheet4!A:B,2,0)</f>
        <v>RUNE -23</v>
      </c>
      <c r="F146" s="56" t="e">
        <f ca="1">Image("https://images-na.ssl-images-amazon.com/images/I/41w4nldMEXL.jpg;https://images-na.ssl-images-amazon.com/images/I/41wykx3OuuL.jpg;https://images-na.ssl-images-amazon.com/images/I/41QdvP4fhPL.jpg;https://images-na.ssl-images-amazon.com/images/I/515-99gEUKL"&amp;".jpg;https://images-na.ssl-images-amazon.com/images/I/51-Yk3L-V7L.jpg;https://images-na.ssl-images-amazon.com/images/I/51Fm8nrGEeL.jpg;https://images-na.ssl-images-amazon.com/images/I/51Yxjdxj-RL.jpg")</f>
        <v>#NAME?</v>
      </c>
      <c r="G146" s="56" t="s">
        <v>336</v>
      </c>
      <c r="H146" s="83">
        <v>30</v>
      </c>
      <c r="I146" s="88">
        <v>346.3</v>
      </c>
      <c r="J146" s="83">
        <v>0</v>
      </c>
      <c r="K146" s="88">
        <v>0</v>
      </c>
      <c r="L146" s="84">
        <v>173.32</v>
      </c>
      <c r="M146" s="94">
        <f t="shared" si="8"/>
        <v>5.777333333333333</v>
      </c>
      <c r="N146" s="57">
        <f>(VLOOKUP(E146,Sheet4!F:G,2,0))/1000</f>
        <v>0.2</v>
      </c>
      <c r="O146" s="99">
        <f>VLOOKUP(E146,Sheet4!F163:N748,9,0)</f>
        <v>272</v>
      </c>
      <c r="P146" s="58" t="s">
        <v>1187</v>
      </c>
      <c r="Q146" s="59" cm="1">
        <f t="array" ref="Q146">_xlfn.IFS($P146=$P$2,O146+$P$3*N146,$P146=$Q$2,O146+$Q$3*N146)</f>
        <v>296</v>
      </c>
      <c r="R146" s="101">
        <f t="shared" si="9"/>
        <v>111</v>
      </c>
      <c r="S146" s="60">
        <f t="shared" si="10"/>
        <v>62.319999999999993</v>
      </c>
    </row>
    <row r="147" spans="2:19" ht="14.4">
      <c r="B147" s="55" t="s">
        <v>20</v>
      </c>
      <c r="C147" s="56" t="s">
        <v>1165</v>
      </c>
      <c r="D147" s="56" t="str">
        <f>VLOOKUP(C147,DATA!B:C,2,0)</f>
        <v>MS SLNT -1</v>
      </c>
      <c r="E147" s="56" t="str">
        <f>VLOOKUP(C147,Sheet4!A:B,2,0)</f>
        <v>SLNT -1</v>
      </c>
      <c r="F147" s="56" t="e">
        <f ca="1">Image("https://images-na.ssl-images-amazon.com/images/I/31sgEWasgzL.jpg;https://images-na.ssl-images-amazon.com/images/I/41wXnxDSOTS.jpg;https://images-na.ssl-images-amazon.com/images/I/31si8fCBuVL.jpg;https://images-na.ssl-images-amazon.com/images/I/41Suke+1k0L"&amp;".jpg;https://images-na.ssl-images-amazon.com/images/I/51N6zCRmjCS.jpg;https://images-na.ssl-images-amazon.com/images/I/61eY0fnfygL.jpg;https://images-na.ssl-images-amazon.com/images/I/61W-DjCziWS.jpg;https://images-na.ssl-images-amazon.com/images/I/51d799"&amp;"ocbCS.jpg")</f>
        <v>#NAME?</v>
      </c>
      <c r="G147" s="56" t="s">
        <v>1167</v>
      </c>
      <c r="H147" s="83">
        <v>88</v>
      </c>
      <c r="I147" s="88">
        <v>556.59</v>
      </c>
      <c r="J147" s="83">
        <v>5</v>
      </c>
      <c r="K147" s="88">
        <v>-31.66</v>
      </c>
      <c r="L147" s="84">
        <v>-116.32</v>
      </c>
      <c r="M147" s="94">
        <f t="shared" si="8"/>
        <v>-1.3218181818181818</v>
      </c>
      <c r="N147" s="57">
        <f>(VLOOKUP(E147,Sheet4!F:G,2,0))/1000</f>
        <v>0.12</v>
      </c>
      <c r="O147" s="99">
        <f>VLOOKUP(E147,Sheet4!F172:J757,5,0)</f>
        <v>108</v>
      </c>
      <c r="P147" s="58" t="s">
        <v>1188</v>
      </c>
      <c r="Q147" s="59" cm="1">
        <f t="array" ref="Q147">_xlfn.IFS($P147=$P$2,O147+$P$3*N147,$P147=$Q$2,O147+$Q$3*N147)</f>
        <v>162</v>
      </c>
      <c r="R147" s="101">
        <f t="shared" si="9"/>
        <v>178.2</v>
      </c>
      <c r="S147" s="60">
        <f t="shared" si="10"/>
        <v>-294.52</v>
      </c>
    </row>
    <row r="148" spans="2:19" ht="14.4">
      <c r="B148" s="55" t="s">
        <v>20</v>
      </c>
      <c r="C148" s="56" t="s">
        <v>310</v>
      </c>
      <c r="D148" s="56" t="str">
        <f>VLOOKUP(C148,DATA!B:C,2,0)</f>
        <v>JD SOAPSTONE -8</v>
      </c>
      <c r="E148" s="56" t="str">
        <f>VLOOKUP(C148,Sheet4!A:B,2,0)</f>
        <v>SOAPSTONE -8</v>
      </c>
      <c r="F148" s="56" t="e">
        <f ca="1">Image("https://images-na.ssl-images-amazon.com/images/I/41EUSaD5ClS.jpg;https://images-na.ssl-images-amazon.com/images/I/41HOiRHbEuS.jpg;https://images-na.ssl-images-amazon.com/images/I/41tzeQpwtBS.jpg;https://images-na.ssl-images-amazon.com/images/I/412HTsGnTpS"&amp;".jpg;https://images-na.ssl-images-amazon.com/images/I/51dIs+7iP6S.jpg;https://images-na.ssl-images-amazon.com/images/I/4156M7lZ6bS.jpg")</f>
        <v>#NAME?</v>
      </c>
      <c r="G148" s="56" t="s">
        <v>312</v>
      </c>
      <c r="H148" s="83">
        <v>77</v>
      </c>
      <c r="I148" s="88">
        <v>833.64</v>
      </c>
      <c r="J148" s="83">
        <v>5</v>
      </c>
      <c r="K148" s="88">
        <v>-45.07</v>
      </c>
      <c r="L148" s="84">
        <v>194.22</v>
      </c>
      <c r="M148" s="94">
        <f t="shared" si="8"/>
        <v>2.5223376623376623</v>
      </c>
      <c r="N148" s="57">
        <f>(VLOOKUP(E148,Sheet4!F:G,2,0))/1000</f>
        <v>0.2</v>
      </c>
      <c r="O148" s="99">
        <f>VLOOKUP(E148,Sheet4!F173:J758,5,0)</f>
        <v>178.8</v>
      </c>
      <c r="P148" s="58" t="s">
        <v>1188</v>
      </c>
      <c r="Q148" s="59" cm="1">
        <f t="array" ref="Q148">_xlfn.IFS($P148=$P$2,O148+$P$3*N148,$P148=$Q$2,O148+$Q$3*N148)</f>
        <v>268.8</v>
      </c>
      <c r="R148" s="101">
        <f t="shared" si="9"/>
        <v>258.72000000000003</v>
      </c>
      <c r="S148" s="60">
        <f t="shared" si="10"/>
        <v>-64.500000000000028</v>
      </c>
    </row>
    <row r="149" spans="2:19" ht="14.4">
      <c r="B149" s="55" t="s">
        <v>20</v>
      </c>
      <c r="C149" s="56" t="s">
        <v>755</v>
      </c>
      <c r="D149" s="56" t="str">
        <f>VLOOKUP(C149,DATA!B:C,2,0)</f>
        <v>ANG -14</v>
      </c>
      <c r="E149" s="56" t="str">
        <f>VLOOKUP(C149,Sheet4!A:B,2,0)</f>
        <v>ANG -14</v>
      </c>
      <c r="F149" s="56" t="e">
        <f ca="1">Image("https://images-na.ssl-images-amazon.com/images/I/31H6fRXC1yS.jpg;https://images-na.ssl-images-amazon.com/images/I/31+c0cj+sLS.jpg;https://images-na.ssl-images-amazon.com/images/I/31NowTgXBnS.jpg;https://images-na.ssl-images-amazon.com/images/I/318MebIaTWL"&amp;".jpg;https://images-na.ssl-images-amazon.com/images/I/41QP3I2IafL.jpg;https://images-na.ssl-images-amazon.com/images/I/41H-eHcctuL.jpg;https://images-na.ssl-images-amazon.com/images/I/51UltZP4XSL.jpg")</f>
        <v>#NAME?</v>
      </c>
      <c r="G149" s="56" t="s">
        <v>757</v>
      </c>
      <c r="H149" s="83">
        <v>2</v>
      </c>
      <c r="I149" s="88">
        <v>17.98</v>
      </c>
      <c r="J149" s="83">
        <v>0</v>
      </c>
      <c r="K149" s="88">
        <v>0</v>
      </c>
      <c r="L149" s="84">
        <v>15.28</v>
      </c>
      <c r="M149" s="94">
        <f t="shared" si="8"/>
        <v>7.64</v>
      </c>
      <c r="N149" s="57">
        <f>(VLOOKUP(E149,Sheet4!F:G,2,0))/1000</f>
        <v>0.06</v>
      </c>
      <c r="O149" s="99">
        <f>VLOOKUP(E149,Sheet4!F176:J761,5,0)</f>
        <v>174</v>
      </c>
      <c r="P149" s="58" t="s">
        <v>1188</v>
      </c>
      <c r="Q149" s="59" cm="1">
        <f t="array" ref="Q149">_xlfn.IFS($P149=$P$2,O149+$P$3*N149,$P149=$Q$2,O149+$Q$3*N149)</f>
        <v>201</v>
      </c>
      <c r="R149" s="101">
        <f t="shared" si="9"/>
        <v>5.0250000000000004</v>
      </c>
      <c r="S149" s="60">
        <f t="shared" si="10"/>
        <v>10.254999999999999</v>
      </c>
    </row>
    <row r="150" spans="2:19" ht="14.4">
      <c r="B150" s="55" t="s">
        <v>20</v>
      </c>
      <c r="C150" s="56" t="s">
        <v>859</v>
      </c>
      <c r="D150" s="56" t="str">
        <f>VLOOKUP(C150,DATA!B:C,2,0)</f>
        <v>S -303</v>
      </c>
      <c r="E150" s="56" t="str">
        <f>VLOOKUP(C150,Sheet4!A:B,2,0)</f>
        <v>S-303</v>
      </c>
      <c r="F150" s="56" t="e">
        <f ca="1">Image("https://images-na.ssl-images-amazon.com/images/I/51hfNa+Ic9S.jpg")</f>
        <v>#NAME?</v>
      </c>
      <c r="G150" s="56" t="s">
        <v>861</v>
      </c>
      <c r="H150" s="83">
        <v>1</v>
      </c>
      <c r="I150" s="88">
        <v>7.75</v>
      </c>
      <c r="J150" s="83">
        <v>0</v>
      </c>
      <c r="K150" s="88">
        <v>0</v>
      </c>
      <c r="L150" s="84">
        <v>6.59</v>
      </c>
      <c r="M150" s="94">
        <f t="shared" si="8"/>
        <v>6.59</v>
      </c>
      <c r="N150" s="57">
        <f>(VLOOKUP(E150,Sheet4!F:G,2,0))/1000</f>
        <v>0.09</v>
      </c>
      <c r="O150" s="99">
        <f>VLOOKUP(E150,Sheet4!F177:J762,5,0)</f>
        <v>261.60000000000002</v>
      </c>
      <c r="P150" s="58" t="s">
        <v>1188</v>
      </c>
      <c r="Q150" s="59" cm="1">
        <f t="array" ref="Q150">_xlfn.IFS($P150=$P$2,O150+$P$3*N150,$P150=$Q$2,O150+$Q$3*N150)</f>
        <v>302.10000000000002</v>
      </c>
      <c r="R150" s="101">
        <f t="shared" si="9"/>
        <v>3.7762500000000001</v>
      </c>
      <c r="S150" s="60">
        <f t="shared" si="10"/>
        <v>2.8137499999999998</v>
      </c>
    </row>
    <row r="151" spans="2:19" ht="14.4">
      <c r="B151" s="55" t="s">
        <v>20</v>
      </c>
      <c r="C151" s="56" t="s">
        <v>1046</v>
      </c>
      <c r="D151" s="56" t="str">
        <f>VLOOKUP(C151,DATA!B:C,2,0)</f>
        <v>MS REI-TRE -0016</v>
      </c>
      <c r="E151" s="56" t="str">
        <f>VLOOKUP(C151,Sheet4!A:B,2,0)</f>
        <v>TRE -16</v>
      </c>
      <c r="F151" s="56" t="e">
        <f ca="1">Image("https://images-na.ssl-images-amazon.com/images/I/51bLuIqD1-S.jpg;https://images-na.ssl-images-amazon.com/images/I/51Z4UbP7GnS.jpg;https://images-na.ssl-images-amazon.com/images/I/511ZFNxt7fS.jpg;https://images-na.ssl-images-amazon.com/images/I/619ynBIOwzS"&amp;".jpg;https://images-na.ssl-images-amazon.com/images/I/410eWJEezpS.jpg;https://images-na.ssl-images-amazon.com/images/I/51BoQT10j6S.jpg")</f>
        <v>#NAME?</v>
      </c>
      <c r="G151" s="56" t="s">
        <v>1048</v>
      </c>
      <c r="H151" s="83">
        <v>2</v>
      </c>
      <c r="I151" s="88">
        <v>31.99</v>
      </c>
      <c r="J151" s="83">
        <v>0</v>
      </c>
      <c r="K151" s="88">
        <v>0</v>
      </c>
      <c r="L151" s="84">
        <v>-10.220000000000001</v>
      </c>
      <c r="M151" s="94">
        <f t="shared" si="8"/>
        <v>-5.1100000000000003</v>
      </c>
      <c r="N151" s="57">
        <f>(VLOOKUP(E151,Sheet4!F:G,2,0))/1000</f>
        <v>0.35</v>
      </c>
      <c r="O151" s="99">
        <f>VLOOKUP(E151,Sheet4!F178:J763,5,0)</f>
        <v>237.6</v>
      </c>
      <c r="P151" s="58" t="s">
        <v>1188</v>
      </c>
      <c r="Q151" s="59" cm="1">
        <f t="array" ref="Q151">_xlfn.IFS($P151=$P$2,O151+$P$3*N151,$P151=$Q$2,O151+$Q$3*N151)</f>
        <v>395.1</v>
      </c>
      <c r="R151" s="101">
        <f t="shared" si="9"/>
        <v>9.8775000000000013</v>
      </c>
      <c r="S151" s="60">
        <f t="shared" si="10"/>
        <v>-20.097500000000004</v>
      </c>
    </row>
    <row r="152" spans="2:19" ht="14.4">
      <c r="B152" s="55" t="s">
        <v>20</v>
      </c>
      <c r="C152" s="56" t="s">
        <v>773</v>
      </c>
      <c r="D152" s="56" t="str">
        <f>VLOOKUP(C152,DATA!B:C,2,0)</f>
        <v>GS US REK-BAL-0001</v>
      </c>
      <c r="E152" s="56" t="s">
        <v>1211</v>
      </c>
      <c r="F152" s="56" t="e">
        <f ca="1">Image("https://images-na.ssl-images-amazon.com/images/I/51kxyb-ipDL.jpg;https://images-na.ssl-images-amazon.com/images/I/51KibRtoN+L.jpg;https://images-na.ssl-images-amazon.com/images/I/519OZ+ptMdL.jpg;https://images-na.ssl-images-amazon.com/images/I/51Y+JVZgjDL"&amp;".jpg;https://images-na.ssl-images-amazon.com/images/I/51PtO26O9ML.jpg;https://images-na.ssl-images-amazon.com/images/I/510qw9+zHyL.jpg;https://images-na.ssl-images-amazon.com/images/I/51UKdDJYmWL.jpg")</f>
        <v>#NAME?</v>
      </c>
      <c r="G152" s="56" t="s">
        <v>775</v>
      </c>
      <c r="H152" s="83">
        <v>1</v>
      </c>
      <c r="I152" s="88">
        <v>15.99</v>
      </c>
      <c r="J152" s="83">
        <v>0</v>
      </c>
      <c r="K152" s="88">
        <v>0</v>
      </c>
      <c r="L152" s="84">
        <v>13.59</v>
      </c>
      <c r="M152" s="94">
        <f t="shared" si="8"/>
        <v>13.59</v>
      </c>
      <c r="N152" s="57">
        <f>(VLOOKUP(E152,Sheet4!F:G,2,0))/1000</f>
        <v>0.2</v>
      </c>
      <c r="O152" s="99">
        <f>VLOOKUP(E152,Sheet4!F180:J765,5,0)</f>
        <v>300</v>
      </c>
      <c r="P152" s="58" t="s">
        <v>1188</v>
      </c>
      <c r="Q152" s="59" cm="1">
        <f t="array" ref="Q152">_xlfn.IFS($P152=$P$2,O152+$P$3*N152,$P152=$Q$2,O152+$Q$3*N152)</f>
        <v>390</v>
      </c>
      <c r="R152" s="101">
        <f t="shared" si="9"/>
        <v>4.875</v>
      </c>
      <c r="S152" s="60">
        <f t="shared" si="10"/>
        <v>8.7149999999999999</v>
      </c>
    </row>
    <row r="153" spans="2:19" ht="14.4">
      <c r="B153" s="55" t="s">
        <v>20</v>
      </c>
      <c r="C153" s="56" t="s">
        <v>865</v>
      </c>
      <c r="D153" s="56" t="str">
        <f>VLOOKUP(C153,DATA!B:C,2,0)</f>
        <v>MS US PNDM - 21</v>
      </c>
      <c r="E153" s="56" t="str">
        <f>VLOOKUP(C153,Sheet4!A:B,2,0)</f>
        <v>PNDM - 21</v>
      </c>
      <c r="F153" s="56" t="e">
        <f ca="1">Image("https://images-na.ssl-images-amazon.com/images/I/21l9LY0hH4L.jpg;https://images-na.ssl-images-amazon.com/images/I/21NxPrvaSFL.jpg;https://images-na.ssl-images-amazon.com/images/I/31gX8ZPHbdL.jpg;https://images-na.ssl-images-amazon.com/images/I/21NdpSXls0L"&amp;".jpg")</f>
        <v>#NAME?</v>
      </c>
      <c r="G153" s="56" t="s">
        <v>867</v>
      </c>
      <c r="H153" s="83">
        <v>3</v>
      </c>
      <c r="I153" s="88">
        <v>18</v>
      </c>
      <c r="J153" s="83">
        <v>0</v>
      </c>
      <c r="K153" s="88">
        <v>0</v>
      </c>
      <c r="L153" s="84">
        <v>5.95</v>
      </c>
      <c r="M153" s="94">
        <f t="shared" si="8"/>
        <v>1.9833333333333334</v>
      </c>
      <c r="N153" s="57">
        <f>(VLOOKUP(E153,Sheet4!F:G,2,0))/1000</f>
        <v>0.05</v>
      </c>
      <c r="O153" s="99">
        <f>VLOOKUP(E153,Sheet4!F182:J767,5,0)</f>
        <v>72</v>
      </c>
      <c r="P153" s="58" t="s">
        <v>1188</v>
      </c>
      <c r="Q153" s="59" cm="1">
        <f t="array" ref="Q153">_xlfn.IFS($P153=$P$2,O153+$P$3*N153,$P153=$Q$2,O153+$Q$3*N153)</f>
        <v>94.5</v>
      </c>
      <c r="R153" s="101">
        <f t="shared" si="9"/>
        <v>3.5437500000000002</v>
      </c>
      <c r="S153" s="60">
        <f t="shared" si="10"/>
        <v>2.40625</v>
      </c>
    </row>
    <row r="154" spans="2:19" ht="14.4">
      <c r="B154" s="55" t="s">
        <v>20</v>
      </c>
      <c r="C154" s="56" t="s">
        <v>590</v>
      </c>
      <c r="D154" s="56" t="str">
        <f>VLOOKUP(C154,DATA!B:C,2,0)</f>
        <v>MS US PNDM -19</v>
      </c>
      <c r="E154" s="56" t="str">
        <f>VLOOKUP(C154,Sheet4!A:B,2,0)</f>
        <v>PNDM -19</v>
      </c>
      <c r="F154" s="56" t="e">
        <f ca="1">Image("https://images-na.ssl-images-amazon.com/images/I/31020BwR3gL.jpg;https://images-na.ssl-images-amazon.com/images/I/41ho8gpp+cL.jpg;https://images-na.ssl-images-amazon.com/images/I/31lQVp64HCL.jpg;https://images-na.ssl-images-amazon.com/images/I/31-XZAY0lFL"&amp;".jpg")</f>
        <v>#NAME?</v>
      </c>
      <c r="G154" s="56" t="s">
        <v>592</v>
      </c>
      <c r="H154" s="83">
        <v>21</v>
      </c>
      <c r="I154" s="88">
        <v>111.55</v>
      </c>
      <c r="J154" s="83">
        <v>1</v>
      </c>
      <c r="K154" s="88">
        <v>-5.2</v>
      </c>
      <c r="L154" s="84">
        <v>38.17</v>
      </c>
      <c r="M154" s="94">
        <f t="shared" si="8"/>
        <v>1.8176190476190477</v>
      </c>
      <c r="N154" s="57">
        <f>(VLOOKUP(E154,Sheet4!F:G,2,0))/1000</f>
        <v>0.05</v>
      </c>
      <c r="O154" s="99">
        <f>VLOOKUP(E154,Sheet4!F183:J768,5,0)</f>
        <v>72</v>
      </c>
      <c r="P154" s="58" t="s">
        <v>1188</v>
      </c>
      <c r="Q154" s="59" cm="1">
        <f t="array" ref="Q154">_xlfn.IFS($P154=$P$2,O154+$P$3*N154,$P154=$Q$2,O154+$Q$3*N154)</f>
        <v>94.5</v>
      </c>
      <c r="R154" s="101">
        <f t="shared" si="9"/>
        <v>24.806249999999999</v>
      </c>
      <c r="S154" s="60">
        <f t="shared" si="10"/>
        <v>13.363750000000003</v>
      </c>
    </row>
    <row r="155" spans="2:19" ht="14.4">
      <c r="B155" s="55" t="s">
        <v>20</v>
      </c>
      <c r="C155" s="56" t="s">
        <v>545</v>
      </c>
      <c r="D155" s="56" t="str">
        <f>VLOOKUP(C155,DATA!B:C,2,0)</f>
        <v>MS US PNDM - 23</v>
      </c>
      <c r="E155" s="56" t="str">
        <f>VLOOKUP(C155,Sheet4!A:B,2,0)</f>
        <v>PNDM - 23</v>
      </c>
      <c r="F155" s="56" t="e">
        <f ca="1">Image("https://images-na.ssl-images-amazon.com/images/I/21PI-hYxmJL.jpg;https://images-na.ssl-images-amazon.com/images/I/21Ghpe9VbvL.jpg;https://images-na.ssl-images-amazon.com/images/I/11mcDBOpnDL.jpg;https://images-na.ssl-images-amazon.com/images/I/21UfEckZSbL"&amp;".jpg;https://images-na.ssl-images-amazon.com/images/I/31UWnLINN2L.jpg;https://images-na.ssl-images-amazon.com/images/I/41s6L0G-UhL.jpg")</f>
        <v>#NAME?</v>
      </c>
      <c r="G155" s="56" t="s">
        <v>547</v>
      </c>
      <c r="H155" s="83">
        <v>26</v>
      </c>
      <c r="I155" s="88">
        <v>127.38</v>
      </c>
      <c r="J155" s="83">
        <v>0</v>
      </c>
      <c r="K155" s="88">
        <v>0</v>
      </c>
      <c r="L155" s="84">
        <v>45.89</v>
      </c>
      <c r="M155" s="94">
        <f t="shared" si="8"/>
        <v>1.7650000000000001</v>
      </c>
      <c r="N155" s="57">
        <f>(VLOOKUP(E155,Sheet4!F:G,2,0))/1000</f>
        <v>0.05</v>
      </c>
      <c r="O155" s="99">
        <f>VLOOKUP(E155,Sheet4!F184:J769,5,0)</f>
        <v>72</v>
      </c>
      <c r="P155" s="58" t="s">
        <v>1188</v>
      </c>
      <c r="Q155" s="59" cm="1">
        <f t="array" ref="Q155">_xlfn.IFS($P155=$P$2,O155+$P$3*N155,$P155=$Q$2,O155+$Q$3*N155)</f>
        <v>94.5</v>
      </c>
      <c r="R155" s="101">
        <f t="shared" si="9"/>
        <v>30.712499999999999</v>
      </c>
      <c r="S155" s="60">
        <f t="shared" si="10"/>
        <v>15.177500000000002</v>
      </c>
    </row>
    <row r="156" spans="2:19" ht="14.4">
      <c r="B156" s="55" t="s">
        <v>20</v>
      </c>
      <c r="C156" s="56" t="s">
        <v>662</v>
      </c>
      <c r="D156" s="56" t="str">
        <f>VLOOKUP(C156,DATA!B:C,2,0)</f>
        <v>MS US PNDM - 20</v>
      </c>
      <c r="E156" s="56" t="s">
        <v>1212</v>
      </c>
      <c r="F156" s="56" t="e">
        <f ca="1">Image("https://images-na.ssl-images-amazon.com/images/I/21q954KQDOL.jpg;https://images-na.ssl-images-amazon.com/images/I/21D6Q490WJL.jpg;https://images-na.ssl-images-amazon.com/images/I/315-8Mz6TpL.jpg;https://images-na.ssl-images-amazon.com/images/I/314xm1qPe5L"&amp;".jpg;https://images-na.ssl-images-amazon.com/images/I/318lrT3pegL.jpg;https://images-na.ssl-images-amazon.com/images/I/21iqY6JpKbL.jpg")</f>
        <v>#NAME?</v>
      </c>
      <c r="G156" s="56" t="s">
        <v>664</v>
      </c>
      <c r="H156" s="83">
        <v>5</v>
      </c>
      <c r="I156" s="88">
        <v>39.99</v>
      </c>
      <c r="J156" s="83">
        <v>0</v>
      </c>
      <c r="K156" s="88">
        <v>0</v>
      </c>
      <c r="L156" s="84">
        <v>24.98</v>
      </c>
      <c r="M156" s="94">
        <f t="shared" si="8"/>
        <v>4.9960000000000004</v>
      </c>
      <c r="N156" s="57">
        <f>(VLOOKUP(E156,Sheet4!F:G,2,0))/1000</f>
        <v>0.05</v>
      </c>
      <c r="O156" s="99">
        <f>VLOOKUP(E156,Sheet4!F185:J770,5,0)</f>
        <v>72</v>
      </c>
      <c r="P156" s="58" t="s">
        <v>1188</v>
      </c>
      <c r="Q156" s="59" cm="1">
        <f t="array" ref="Q156">_xlfn.IFS($P156=$P$2,O156+$P$3*N156,$P156=$Q$2,O156+$Q$3*N156)</f>
        <v>94.5</v>
      </c>
      <c r="R156" s="101">
        <f t="shared" si="9"/>
        <v>5.90625</v>
      </c>
      <c r="S156" s="60">
        <f t="shared" si="10"/>
        <v>19.07375</v>
      </c>
    </row>
    <row r="157" spans="2:19" ht="14.4">
      <c r="B157" s="55" t="s">
        <v>20</v>
      </c>
      <c r="C157" s="56" t="s">
        <v>551</v>
      </c>
      <c r="D157" s="56" t="str">
        <f>VLOOKUP(C157,DATA!B:C,2,0)</f>
        <v>GS US PNDM - 22</v>
      </c>
      <c r="E157" s="56" t="s">
        <v>1213</v>
      </c>
      <c r="F157" s="56" t="e">
        <f ca="1">Image("https://images-na.ssl-images-amazon.com/images/I/21p+ILRg6TL.jpg;https://images-na.ssl-images-amazon.com/images/I/41Dm7AAbLjL.jpg;https://images-na.ssl-images-amazon.com/images/I/31+GpQnVaDL.jpg;https://images-na.ssl-images-amazon.com/images/I/41mPq-P30bL"&amp;".jpg;https://images-na.ssl-images-amazon.com/images/I/51jHIudoHLL.jpg")</f>
        <v>#NAME?</v>
      </c>
      <c r="G157" s="56" t="s">
        <v>553</v>
      </c>
      <c r="H157" s="83">
        <v>30</v>
      </c>
      <c r="I157" s="88">
        <v>157.5</v>
      </c>
      <c r="J157" s="83">
        <v>1</v>
      </c>
      <c r="K157" s="88">
        <v>-4.84</v>
      </c>
      <c r="L157" s="84">
        <v>43.25</v>
      </c>
      <c r="M157" s="94">
        <f t="shared" si="8"/>
        <v>1.4416666666666667</v>
      </c>
      <c r="N157" s="57">
        <f>(VLOOKUP(E157,Sheet4!F:G,2,0))/1000</f>
        <v>0.05</v>
      </c>
      <c r="O157" s="99">
        <f>VLOOKUP(E157,Sheet4!F186:J771,5,0)</f>
        <v>72</v>
      </c>
      <c r="P157" s="58" t="s">
        <v>1188</v>
      </c>
      <c r="Q157" s="59" cm="1">
        <f t="array" ref="Q157">_xlfn.IFS($P157=$P$2,O157+$P$3*N157,$P157=$Q$2,O157+$Q$3*N157)</f>
        <v>94.5</v>
      </c>
      <c r="R157" s="101">
        <f t="shared" si="9"/>
        <v>35.4375</v>
      </c>
      <c r="S157" s="60">
        <f t="shared" si="10"/>
        <v>7.8125</v>
      </c>
    </row>
    <row r="158" spans="2:19" ht="14.4">
      <c r="B158" s="55" t="s">
        <v>20</v>
      </c>
      <c r="C158" s="56" t="s">
        <v>758</v>
      </c>
      <c r="D158" s="56" t="str">
        <f>VLOOKUP(C158,DATA!B:C,2,0)</f>
        <v>MS CARD -1</v>
      </c>
      <c r="E158" s="56" t="str">
        <f>VLOOKUP(C158,Sheet4!A:B,2,0)</f>
        <v>CARD -1</v>
      </c>
      <c r="F158" s="56" t="e">
        <f ca="1">Image("https://images-na.ssl-images-amazon.com/images/I/31GuWJMspUL.jpg;https://images-na.ssl-images-amazon.com/images/I/21efXFWKlLL.jpg;https://images-na.ssl-images-amazon.com/images/I/41-HQQqk7-L.jpg;https://images-na.ssl-images-amazon.com/images/I/4167yk-nngL"&amp;".jpg;https://images-na.ssl-images-amazon.com/images/I/31W6+ULtJ3L.jpg;https://images-na.ssl-images-amazon.com/images/I/41QvZ-ZFPxL.jpg")</f>
        <v>#NAME?</v>
      </c>
      <c r="G158" s="56" t="s">
        <v>760</v>
      </c>
      <c r="H158" s="83">
        <v>12</v>
      </c>
      <c r="I158" s="88">
        <v>59.52</v>
      </c>
      <c r="J158" s="83">
        <v>2</v>
      </c>
      <c r="K158" s="88">
        <v>-9.91</v>
      </c>
      <c r="L158" s="84">
        <v>15.27</v>
      </c>
      <c r="M158" s="94">
        <f t="shared" si="8"/>
        <v>1.2725</v>
      </c>
      <c r="N158" s="57">
        <f>(VLOOKUP(E158,Sheet4!F:G,2,0))/1000</f>
        <v>0.08</v>
      </c>
      <c r="O158" s="99">
        <f>VLOOKUP(E158,Sheet4!F187:J772,5,0)</f>
        <v>66</v>
      </c>
      <c r="P158" s="58" t="s">
        <v>1188</v>
      </c>
      <c r="Q158" s="59" cm="1">
        <f t="array" ref="Q158">_xlfn.IFS($P158=$P$2,O158+$P$3*N158,$P158=$Q$2,O158+$Q$3*N158)</f>
        <v>102</v>
      </c>
      <c r="R158" s="101">
        <f t="shared" si="9"/>
        <v>15.3</v>
      </c>
      <c r="S158" s="60">
        <f t="shared" si="10"/>
        <v>-3.0000000000001137E-2</v>
      </c>
    </row>
    <row r="159" spans="2:19" ht="14.4">
      <c r="B159" s="55" t="s">
        <v>20</v>
      </c>
      <c r="C159" s="56" t="s">
        <v>854</v>
      </c>
      <c r="D159" s="56" t="str">
        <f>VLOOKUP(C159,DATA!B:C,2,0)</f>
        <v>GS USA MTL BRNR -1</v>
      </c>
      <c r="E159" s="56" t="str">
        <f>VLOOKUP(C159,Sheet4!A:B,2,0)</f>
        <v>MTL BRNR -1</v>
      </c>
      <c r="F159" s="56" t="e">
        <f ca="1">Image("https://images-na.ssl-images-amazon.com/images/I/51viXjVFSSL.jpg;https://images-na.ssl-images-amazon.com/images/I/31VtEv6szvL.jpg")</f>
        <v>#NAME?</v>
      </c>
      <c r="G159" s="56" t="s">
        <v>856</v>
      </c>
      <c r="H159" s="83">
        <v>1</v>
      </c>
      <c r="I159" s="88">
        <v>7.99</v>
      </c>
      <c r="J159" s="83">
        <v>0</v>
      </c>
      <c r="K159" s="88">
        <v>0</v>
      </c>
      <c r="L159" s="84">
        <v>6.79</v>
      </c>
      <c r="M159" s="94">
        <f t="shared" si="8"/>
        <v>6.79</v>
      </c>
      <c r="N159" s="57">
        <f>(VLOOKUP(E159,Sheet4!F:G,2,0))/1000</f>
        <v>0.1</v>
      </c>
      <c r="O159" s="99">
        <f>VLOOKUP(E159,Sheet4!F189:J774,5,0)</f>
        <v>214.8</v>
      </c>
      <c r="P159" s="58" t="s">
        <v>1188</v>
      </c>
      <c r="Q159" s="59" cm="1">
        <f t="array" ref="Q159">_xlfn.IFS($P159=$P$2,O159+$P$3*N159,$P159=$Q$2,O159+$Q$3*N159)</f>
        <v>259.8</v>
      </c>
      <c r="R159" s="101">
        <f t="shared" si="9"/>
        <v>3.2475000000000001</v>
      </c>
      <c r="S159" s="60">
        <f t="shared" si="10"/>
        <v>3.5425</v>
      </c>
    </row>
    <row r="160" spans="2:19" ht="14.4">
      <c r="B160" s="55" t="s">
        <v>20</v>
      </c>
      <c r="C160" s="56" t="s">
        <v>409</v>
      </c>
      <c r="D160" s="56" t="str">
        <f>VLOOKUP(C160,DATA!B:C,2,0)</f>
        <v>VKB WOODEN -19</v>
      </c>
      <c r="E160" s="56" t="str">
        <f>VLOOKUP(C160,Sheet4!A:B,2,0)</f>
        <v>WOODEN -19</v>
      </c>
      <c r="F160" s="56" t="e">
        <f ca="1">Image("https://images-na.ssl-images-amazon.com/images/I/31GeyANItrL.jpg;https://images-na.ssl-images-amazon.com/images/I/51nBifORE-L.jpg;https://images-na.ssl-images-amazon.com/images/I/51Zr8VrzF1L.jpg;https://images-na.ssl-images-amazon.com/images/I/51KD03os6CL"&amp;".jpg;https://images-na.ssl-images-amazon.com/images/I/517buProtvL.jpg;https://images-na.ssl-images-amazon.com/images/I/5195l-kHtAL.jpg;https://images-na.ssl-images-amazon.com/images/I/51YhBQOjFzL.jpg")</f>
        <v>#NAME?</v>
      </c>
      <c r="G160" s="56" t="s">
        <v>411</v>
      </c>
      <c r="H160" s="83">
        <v>55</v>
      </c>
      <c r="I160" s="88">
        <v>554.46</v>
      </c>
      <c r="J160" s="83">
        <v>4</v>
      </c>
      <c r="K160" s="88">
        <v>-35.159999999999997</v>
      </c>
      <c r="L160" s="84">
        <v>113.55</v>
      </c>
      <c r="M160" s="94">
        <f t="shared" si="8"/>
        <v>2.0645454545454545</v>
      </c>
      <c r="N160" s="57">
        <f>(VLOOKUP(E160,Sheet4!F:G,2,0))/1000</f>
        <v>0.24</v>
      </c>
      <c r="O160" s="99">
        <f>VLOOKUP(E160,Sheet4!F182:N767,9,0)</f>
        <v>247.2</v>
      </c>
      <c r="P160" s="58" t="s">
        <v>1187</v>
      </c>
      <c r="Q160" s="59" cm="1">
        <f t="array" ref="Q160">_xlfn.IFS($P160=$P$2,O160+$P$3*N160,$P160=$Q$2,O160+$Q$3*N160)</f>
        <v>276</v>
      </c>
      <c r="R160" s="101">
        <f t="shared" si="9"/>
        <v>189.75</v>
      </c>
      <c r="S160" s="60">
        <f t="shared" si="10"/>
        <v>-76.2</v>
      </c>
    </row>
    <row r="161" spans="2:19" ht="14.4">
      <c r="B161" s="55" t="s">
        <v>20</v>
      </c>
      <c r="C161" s="56" t="s">
        <v>622</v>
      </c>
      <c r="D161" s="56" t="str">
        <f>VLOOKUP(C161,DATA!B:C,2,0)</f>
        <v>VKB WOODEN -20</v>
      </c>
      <c r="E161" s="56" t="str">
        <f>VLOOKUP(C161,Sheet4!A:B,2,0)</f>
        <v>WOODEN -20</v>
      </c>
      <c r="F161" s="56" t="e">
        <f ca="1">Image("https://images-na.ssl-images-amazon.com/images/I/31GeyANItrL.jpg;https://images-na.ssl-images-amazon.com/images/I/51nBifORE-L.jpg;https://images-na.ssl-images-amazon.com/images/I/51Zr8VrzF1L.jpg;https://images-na.ssl-images-amazon.com/images/I/51KD03os6CL"&amp;".jpg;https://images-na.ssl-images-amazon.com/images/I/517buProtvL.jpg;https://images-na.ssl-images-amazon.com/images/I/5195l-kHtAL.jpg;https://images-na.ssl-images-amazon.com/images/I/51YhBQOjFzL.jpg")</f>
        <v>#NAME?</v>
      </c>
      <c r="G161" s="56" t="s">
        <v>624</v>
      </c>
      <c r="H161" s="83">
        <v>26</v>
      </c>
      <c r="I161" s="88">
        <v>285.48</v>
      </c>
      <c r="J161" s="83">
        <v>0</v>
      </c>
      <c r="K161" s="88">
        <v>0</v>
      </c>
      <c r="L161" s="84">
        <v>31.31</v>
      </c>
      <c r="M161" s="94">
        <f t="shared" si="8"/>
        <v>1.2042307692307692</v>
      </c>
      <c r="N161" s="57">
        <f>(VLOOKUP(E161,Sheet4!F:G,2,0))/1000</f>
        <v>0.17</v>
      </c>
      <c r="O161" s="99">
        <f>VLOOKUP(E161,Sheet4!F183:N768,9,0)</f>
        <v>170.6</v>
      </c>
      <c r="P161" s="58" t="s">
        <v>1187</v>
      </c>
      <c r="Q161" s="59" cm="1">
        <f t="array" ref="Q161">_xlfn.IFS($P161=$P$2,O161+$P$3*N161,$P161=$Q$2,O161+$Q$3*N161)</f>
        <v>191</v>
      </c>
      <c r="R161" s="101">
        <f t="shared" si="9"/>
        <v>62.075000000000003</v>
      </c>
      <c r="S161" s="60">
        <f t="shared" si="10"/>
        <v>-30.765000000000004</v>
      </c>
    </row>
    <row r="162" spans="2:19" ht="14.4">
      <c r="B162" s="55" t="s">
        <v>20</v>
      </c>
      <c r="C162" s="56" t="s">
        <v>824</v>
      </c>
      <c r="D162" s="56" t="str">
        <f>VLOOKUP(C162,DATA!B:C,2,0)</f>
        <v>GS WOODEN -37</v>
      </c>
      <c r="E162" s="56" t="str">
        <f>VLOOKUP(C162,Sheet4!A:B,2,0)</f>
        <v>WOODEN -37</v>
      </c>
      <c r="F162" s="56" t="e">
        <f ca="1">Image("https://images-na.ssl-images-amazon.com/images/I/31NQjDa0l8L.jpg;https://images-na.ssl-images-amazon.com/images/I/41t4ovVRoiL.jpg;https://images-na.ssl-images-amazon.com/images/I/21lT13ol3TL.jpg")</f>
        <v>#NAME?</v>
      </c>
      <c r="G162" s="56" t="s">
        <v>826</v>
      </c>
      <c r="H162" s="83">
        <v>1</v>
      </c>
      <c r="I162" s="88">
        <v>11.99</v>
      </c>
      <c r="J162" s="83">
        <v>0</v>
      </c>
      <c r="K162" s="88">
        <v>0</v>
      </c>
      <c r="L162" s="84">
        <v>10.19</v>
      </c>
      <c r="M162" s="94">
        <f t="shared" ref="M162:M211" si="11">L162/H162</f>
        <v>10.19</v>
      </c>
      <c r="N162" s="57">
        <f>(VLOOKUP(E162,Sheet4!F:G,2,0))/1000</f>
        <v>0.115</v>
      </c>
      <c r="O162" s="99">
        <f>VLOOKUP(E162,Sheet4!F186:N771,9,0)</f>
        <v>114.7</v>
      </c>
      <c r="P162" s="58" t="s">
        <v>1187</v>
      </c>
      <c r="Q162" s="59" cm="1">
        <f t="array" ref="Q162">_xlfn.IFS($P162=$P$2,O162+$P$3*N162,$P162=$Q$2,O162+$Q$3*N162)</f>
        <v>128.5</v>
      </c>
      <c r="R162" s="101">
        <f t="shared" si="9"/>
        <v>1.60625</v>
      </c>
      <c r="S162" s="60">
        <f t="shared" si="10"/>
        <v>8.5837500000000002</v>
      </c>
    </row>
    <row r="163" spans="2:19" ht="14.4">
      <c r="B163" s="55" t="s">
        <v>20</v>
      </c>
      <c r="C163" s="56" t="s">
        <v>263</v>
      </c>
      <c r="D163" s="56" t="str">
        <f>VLOOKUP(C163,DATA!B:C,2,0)</f>
        <v>JD C BOWL -12</v>
      </c>
      <c r="E163" s="56" t="str">
        <f>VLOOKUP(C163,Sheet4!A:B,2,0)</f>
        <v>BOWL -12</v>
      </c>
      <c r="F163" s="56" t="e">
        <f ca="1">Image("https://images-na.ssl-images-amazon.com/images/I/41GBW9I65pL.jpg;https://images-na.ssl-images-amazon.com/images/I/51lpvFoncpL.jpg;https://images-na.ssl-images-amazon.com/images/I/41wXdYkHizL.jpg;https://images-na.ssl-images-amazon.com/images/I/41HGjAQiKpL"&amp;".jpg;https://images-na.ssl-images-amazon.com/images/I/31kx3w+Gf1L.jpg;https://images-na.ssl-images-amazon.com/images/I/516ZXiYv7NL.jpg")</f>
        <v>#NAME?</v>
      </c>
      <c r="G163" s="56" t="s">
        <v>141</v>
      </c>
      <c r="H163" s="83">
        <v>15</v>
      </c>
      <c r="I163" s="88">
        <v>423.95</v>
      </c>
      <c r="J163" s="83">
        <v>0</v>
      </c>
      <c r="K163" s="88">
        <v>0</v>
      </c>
      <c r="L163" s="84">
        <v>261.89999999999998</v>
      </c>
      <c r="M163" s="94">
        <f t="shared" si="11"/>
        <v>17.459999999999997</v>
      </c>
      <c r="N163" s="57">
        <f>(VLOOKUP(E163,Sheet4!F:G,2,0))/1000</f>
        <v>0.95</v>
      </c>
      <c r="O163" s="99">
        <v>1116</v>
      </c>
      <c r="P163" s="58" t="s">
        <v>1188</v>
      </c>
      <c r="Q163" s="59" cm="1">
        <f t="array" ref="Q163">_xlfn.IFS($P163=$P$2,O163+$P$3*N163,$P163=$Q$2,O163+$Q$3*N163)</f>
        <v>1543.5</v>
      </c>
      <c r="R163" s="101">
        <f t="shared" si="9"/>
        <v>289.40625</v>
      </c>
      <c r="S163" s="60">
        <f t="shared" si="10"/>
        <v>-27.506250000000023</v>
      </c>
    </row>
    <row r="164" spans="2:19" ht="14.4">
      <c r="B164" s="55" t="s">
        <v>20</v>
      </c>
      <c r="C164" s="56" t="s">
        <v>186</v>
      </c>
      <c r="D164" s="56" t="str">
        <f>VLOOKUP(C164,DATA!B:C,2,0)</f>
        <v>JD C BOWL -15</v>
      </c>
      <c r="E164" s="56" t="str">
        <f>VLOOKUP(C164,Sheet4!A:B,2,0)</f>
        <v>BOWL -15</v>
      </c>
      <c r="F164" s="56" t="e">
        <f ca="1">Image("https://images-na.ssl-images-amazon.com/images/I/51UMwCTiswL.jpg;https://images-na.ssl-images-amazon.com/images/I/41y25dbr3mL.jpg;https://images-na.ssl-images-amazon.com/images/I/41DK6xflUDL.jpg;https://images-na.ssl-images-amazon.com/images/I/412dKAPx9zL"&amp;".jpg;https://images-na.ssl-images-amazon.com/images/I/31tls1anW+L.jpg;https://images-na.ssl-images-amazon.com/images/I/516ZXiYv7NL.jpg")</f>
        <v>#NAME?</v>
      </c>
      <c r="G164" s="56" t="s">
        <v>141</v>
      </c>
      <c r="H164" s="83">
        <v>27</v>
      </c>
      <c r="I164" s="88">
        <v>754.31</v>
      </c>
      <c r="J164" s="83">
        <v>1</v>
      </c>
      <c r="K164" s="88">
        <v>-22</v>
      </c>
      <c r="L164" s="84">
        <v>452.77</v>
      </c>
      <c r="M164" s="94">
        <f t="shared" si="11"/>
        <v>16.769259259259258</v>
      </c>
      <c r="N164" s="57">
        <f>(VLOOKUP(E164,Sheet4!F:G,2,0))/1000</f>
        <v>0.95</v>
      </c>
      <c r="O164" s="99">
        <v>1116</v>
      </c>
      <c r="P164" s="58" t="s">
        <v>1188</v>
      </c>
      <c r="Q164" s="59" cm="1">
        <f t="array" ref="Q164">_xlfn.IFS($P164=$P$2,O164+$P$3*N164,$P164=$Q$2,O164+$Q$3*N164)</f>
        <v>1543.5</v>
      </c>
      <c r="R164" s="101">
        <f t="shared" si="9"/>
        <v>520.93124999999998</v>
      </c>
      <c r="S164" s="60">
        <f t="shared" si="10"/>
        <v>-68.161249999999995</v>
      </c>
    </row>
    <row r="165" spans="2:19" ht="14.4">
      <c r="B165" s="55" t="s">
        <v>20</v>
      </c>
      <c r="C165" s="56" t="s">
        <v>619</v>
      </c>
      <c r="D165" s="56" t="str">
        <f>VLOOKUP(C165,DATA!B:C,2,0)</f>
        <v>GS NPKN -3</v>
      </c>
      <c r="E165" s="56" t="str">
        <f>VLOOKUP(C165,Sheet4!A:B,2,0)</f>
        <v>NPKN -3</v>
      </c>
      <c r="F165" s="56" t="e">
        <f ca="1">Image("https://images-na.ssl-images-amazon.com/images/I/51AafpwlfCL.jpg;https://images-na.ssl-images-amazon.com/images/I/61nr120ls6L.jpg;https://images-na.ssl-images-amazon.com/images/I/511ieqhntUL.jpg;https://images-na.ssl-images-amazon.com/images/I/31UfSxWKjbL"&amp;".jpg;https://images-na.ssl-images-amazon.com/images/I/51AafpwlfCL.jpg")</f>
        <v>#NAME?</v>
      </c>
      <c r="G165" s="56" t="s">
        <v>621</v>
      </c>
      <c r="H165" s="83">
        <v>3</v>
      </c>
      <c r="I165" s="88">
        <v>37.97</v>
      </c>
      <c r="J165" s="83">
        <v>0</v>
      </c>
      <c r="K165" s="88">
        <v>0</v>
      </c>
      <c r="L165" s="84">
        <v>32.270000000000003</v>
      </c>
      <c r="M165" s="94">
        <f t="shared" si="11"/>
        <v>10.756666666666668</v>
      </c>
      <c r="N165" s="57">
        <f>(VLOOKUP(E165,Sheet4!F:G,2,0))/1000</f>
        <v>0.28399999999999997</v>
      </c>
      <c r="O165" s="99">
        <f>VLOOKUP(E165,Sheet4!F190:N775,9,0)</f>
        <v>158</v>
      </c>
      <c r="P165" s="58" t="s">
        <v>1187</v>
      </c>
      <c r="Q165" s="59" cm="1">
        <f t="array" ref="Q165">_xlfn.IFS($P165=$P$2,O165+$P$3*N165,$P165=$Q$2,O165+$Q$3*N165)</f>
        <v>192.07999999999998</v>
      </c>
      <c r="R165" s="101">
        <f t="shared" si="9"/>
        <v>7.2030000000000003</v>
      </c>
      <c r="S165" s="60">
        <f t="shared" si="10"/>
        <v>25.067000000000004</v>
      </c>
    </row>
    <row r="166" spans="2:19" ht="14.4">
      <c r="B166" s="55" t="s">
        <v>20</v>
      </c>
      <c r="C166" s="56" t="s">
        <v>433</v>
      </c>
      <c r="D166" s="56" t="str">
        <f>VLOOKUP(C166,DATA!B:C,2,0)</f>
        <v>JD C BOWL -20</v>
      </c>
      <c r="E166" s="56" t="str">
        <f>VLOOKUP(C166,Sheet4!A:B,2,0)</f>
        <v>BOWL -20</v>
      </c>
      <c r="F166" s="56" t="e">
        <f ca="1">Image("https://images-na.ssl-images-amazon.com/images/I/41Jkb7h0EgL.jpg;https://images-na.ssl-images-amazon.com/images/I/41FiFc4MQUL.jpg;https://images-na.ssl-images-amazon.com/images/I/41Nx0KLjyYL.jpg;https://images-na.ssl-images-amazon.com/images/I/41uBQX-iozL"&amp;".jpg;https://images-na.ssl-images-amazon.com/images/I/31tls1anW+L.jpg;https://images-na.ssl-images-amazon.com/images/I/516ZXiYv7NL.jpg")</f>
        <v>#NAME?</v>
      </c>
      <c r="G166" s="56" t="s">
        <v>141</v>
      </c>
      <c r="H166" s="83">
        <v>7</v>
      </c>
      <c r="I166" s="88">
        <v>185.09</v>
      </c>
      <c r="J166" s="83">
        <v>0</v>
      </c>
      <c r="K166" s="88">
        <v>0</v>
      </c>
      <c r="L166" s="84">
        <v>97.61</v>
      </c>
      <c r="M166" s="94">
        <f t="shared" si="11"/>
        <v>13.944285714285714</v>
      </c>
      <c r="N166" s="57">
        <f>(VLOOKUP(E166,Sheet4!F:G,2,0))/1000</f>
        <v>0.95</v>
      </c>
      <c r="O166" s="99">
        <v>1116</v>
      </c>
      <c r="P166" s="58" t="s">
        <v>1188</v>
      </c>
      <c r="Q166" s="59" cm="1">
        <f t="array" ref="Q166">_xlfn.IFS($P166=$P$2,O166+$P$3*N166,$P166=$Q$2,O166+$Q$3*N166)</f>
        <v>1543.5</v>
      </c>
      <c r="R166" s="101">
        <f t="shared" si="9"/>
        <v>135.05625000000001</v>
      </c>
      <c r="S166" s="60">
        <f t="shared" si="10"/>
        <v>-37.446250000000006</v>
      </c>
    </row>
    <row r="167" spans="2:19" ht="14.4">
      <c r="B167" s="55" t="s">
        <v>20</v>
      </c>
      <c r="C167" s="56" t="s">
        <v>779</v>
      </c>
      <c r="D167" s="56" t="str">
        <f>VLOOKUP(C167,DATA!B:C,2,0)</f>
        <v>GS NPKN -8</v>
      </c>
      <c r="E167" s="56" t="str">
        <f>VLOOKUP(C167,Sheet4!A:B,2,0)</f>
        <v>NPKN -8</v>
      </c>
      <c r="F167" s="56" t="e">
        <f ca="1">Image("https://images-na.ssl-images-amazon.com/images/I/51AafpwlfCL.jpg;https://images-na.ssl-images-amazon.com/images/I/61nr120ls6L.jpg;https://images-na.ssl-images-amazon.com/images/I/511ieqhntUL.jpg;https://images-na.ssl-images-amazon.com/images/I/31UfSxWKjbL"&amp;".jpg;https://images-na.ssl-images-amazon.com/images/I/51AafpwlfCL.jpg")</f>
        <v>#NAME?</v>
      </c>
      <c r="G167" s="56" t="s">
        <v>781</v>
      </c>
      <c r="H167" s="83">
        <v>1</v>
      </c>
      <c r="I167" s="88">
        <v>13.99</v>
      </c>
      <c r="J167" s="83">
        <v>0</v>
      </c>
      <c r="K167" s="88">
        <v>0</v>
      </c>
      <c r="L167" s="84">
        <v>11.89</v>
      </c>
      <c r="M167" s="94">
        <f t="shared" si="11"/>
        <v>11.89</v>
      </c>
      <c r="N167" s="57">
        <f>(VLOOKUP(E167,Sheet4!F:G,2,0))/1000</f>
        <v>0.28399999999999997</v>
      </c>
      <c r="O167" s="99">
        <f>VLOOKUP(E167,Sheet4!F192:N777,9,0)</f>
        <v>192.8</v>
      </c>
      <c r="P167" s="58" t="s">
        <v>1187</v>
      </c>
      <c r="Q167" s="59" cm="1">
        <f t="array" ref="Q167">_xlfn.IFS($P167=$P$2,O167+$P$3*N167,$P167=$Q$2,O167+$Q$3*N167)</f>
        <v>226.88</v>
      </c>
      <c r="R167" s="101">
        <f t="shared" si="9"/>
        <v>2.8359999999999999</v>
      </c>
      <c r="S167" s="60">
        <f t="shared" si="10"/>
        <v>9.0540000000000003</v>
      </c>
    </row>
    <row r="168" spans="2:19" ht="14.4">
      <c r="B168" s="55" t="s">
        <v>20</v>
      </c>
      <c r="C168" s="56" t="s">
        <v>139</v>
      </c>
      <c r="D168" s="56" t="str">
        <f>VLOOKUP(C168,DATA!B:C,2,0)</f>
        <v>GS BOWL -14</v>
      </c>
      <c r="E168" s="56" t="str">
        <f>VLOOKUP(C168,Sheet4!A:B,2,0)</f>
        <v>BOWL -14</v>
      </c>
      <c r="F168" s="56" t="e">
        <f ca="1">Image("https://images-na.ssl-images-amazon.com/images/I/51Rl9tbrpyL.jpg;https://images-na.ssl-images-amazon.com/images/I/51SPR+4SLiL.jpg;https://images-na.ssl-images-amazon.com/images/I/41vfB9m5tOL.jpg;https://images-na.ssl-images-amazon.com/images/I/41v0Aerb4OL"&amp;".jpg;https://images-na.ssl-images-amazon.com/images/I/31tls1anW+L.jpg;https://images-na.ssl-images-amazon.com/images/I/516ZXiYv7NL.jpg")</f>
        <v>#NAME?</v>
      </c>
      <c r="G168" s="56" t="s">
        <v>141</v>
      </c>
      <c r="H168" s="83">
        <v>41</v>
      </c>
      <c r="I168" s="88">
        <v>1321.97</v>
      </c>
      <c r="J168" s="83">
        <v>3</v>
      </c>
      <c r="K168" s="88">
        <v>-80.069999999999993</v>
      </c>
      <c r="L168" s="84">
        <v>747.24</v>
      </c>
      <c r="M168" s="94">
        <f t="shared" si="11"/>
        <v>18.225365853658538</v>
      </c>
      <c r="N168" s="57">
        <f>(VLOOKUP(E168,Sheet4!F:G,2,0))/1000</f>
        <v>0.95</v>
      </c>
      <c r="O168" s="99">
        <v>1116</v>
      </c>
      <c r="P168" s="58" t="s">
        <v>1188</v>
      </c>
      <c r="Q168" s="59" cm="1">
        <f t="array" ref="Q168">_xlfn.IFS($P168=$P$2,O168+$P$3*N168,$P168=$Q$2,O168+$Q$3*N168)</f>
        <v>1543.5</v>
      </c>
      <c r="R168" s="101">
        <f t="shared" si="9"/>
        <v>791.04375000000005</v>
      </c>
      <c r="S168" s="60">
        <f t="shared" si="10"/>
        <v>-43.803750000000036</v>
      </c>
    </row>
    <row r="169" spans="2:19" ht="14.4">
      <c r="B169" s="55" t="s">
        <v>20</v>
      </c>
      <c r="C169" s="56" t="s">
        <v>503</v>
      </c>
      <c r="D169" s="56" t="str">
        <f>VLOOKUP(C169,DATA!B:C,2,0)</f>
        <v>JD C BOWL -13</v>
      </c>
      <c r="E169" s="56" t="str">
        <f>VLOOKUP(C169,Sheet4!A:B,2,0)</f>
        <v>BOWL -13</v>
      </c>
      <c r="F169" s="56" t="e">
        <f ca="1">Image("https://images-na.ssl-images-amazon.com/images/I/316wB+2rSnL.jpg;https://images-na.ssl-images-amazon.com/images/I/31tQSWHh7wL.jpg;https://images-na.ssl-images-amazon.com/images/I/311qT4B5uJL.jpg;https://images-na.ssl-images-amazon.com/images/I/31kx3w+Gf1L"&amp;".jpg;https://images-na.ssl-images-amazon.com/images/I/516ZXiYv7NL.jpg;https://images-na.ssl-images-amazon.com/images/I/31Kps+HAoQL.jpg")</f>
        <v>#NAME?</v>
      </c>
      <c r="G169" s="56" t="s">
        <v>141</v>
      </c>
      <c r="H169" s="83">
        <v>5</v>
      </c>
      <c r="I169" s="88">
        <v>151.86000000000001</v>
      </c>
      <c r="J169" s="83">
        <v>1</v>
      </c>
      <c r="K169" s="88">
        <v>-28.76</v>
      </c>
      <c r="L169" s="84">
        <v>67.98</v>
      </c>
      <c r="M169" s="94">
        <f t="shared" si="11"/>
        <v>13.596</v>
      </c>
      <c r="N169" s="57">
        <f>(VLOOKUP(E169,Sheet4!F:G,2,0))/1000</f>
        <v>0.95</v>
      </c>
      <c r="O169" s="99">
        <v>1116</v>
      </c>
      <c r="P169" s="58" t="s">
        <v>1188</v>
      </c>
      <c r="Q169" s="59" cm="1">
        <f t="array" ref="Q169">_xlfn.IFS($P169=$P$2,O169+$P$3*N169,$P169=$Q$2,O169+$Q$3*N169)</f>
        <v>1543.5</v>
      </c>
      <c r="R169" s="101">
        <f t="shared" si="9"/>
        <v>96.46875</v>
      </c>
      <c r="S169" s="60">
        <f t="shared" si="10"/>
        <v>-28.488749999999996</v>
      </c>
    </row>
    <row r="170" spans="2:19" ht="14.4">
      <c r="B170" s="55" t="s">
        <v>20</v>
      </c>
      <c r="C170" s="56" t="s">
        <v>292</v>
      </c>
      <c r="D170" s="56" t="str">
        <f>VLOOKUP(C170,DATA!B:C,2,0)</f>
        <v>GS BOWL -10</v>
      </c>
      <c r="E170" s="56" t="str">
        <f>VLOOKUP(C170,Sheet4!A:B,2,0)</f>
        <v>BOWL -10</v>
      </c>
      <c r="F170" s="56" t="e">
        <f ca="1">Image("https://images-na.ssl-images-amazon.com/images/I/31Ka0DrMSgL.jpg;https://images-na.ssl-images-amazon.com/images/I/31t4bUYcRPL.jpg;https://images-na.ssl-images-amazon.com/images/I/312vyQoLUXL.jpg;https://images-na.ssl-images-amazon.com/images/I/31FMUkazwJL"&amp;".jpg;https://images-na.ssl-images-amazon.com/images/I/516ZXiYv7NL.jpg;https://images-na.ssl-images-amazon.com/images/I/31Kps+HAoQL.jpg")</f>
        <v>#NAME?</v>
      </c>
      <c r="G170" s="56" t="s">
        <v>141</v>
      </c>
      <c r="H170" s="83">
        <v>11</v>
      </c>
      <c r="I170" s="88">
        <v>316.14</v>
      </c>
      <c r="J170" s="83">
        <v>1</v>
      </c>
      <c r="K170" s="88">
        <v>-27.27</v>
      </c>
      <c r="L170" s="84">
        <v>223.34</v>
      </c>
      <c r="M170" s="94">
        <f t="shared" si="11"/>
        <v>20.303636363636365</v>
      </c>
      <c r="N170" s="57">
        <f>(VLOOKUP(E170,Sheet4!F:G,2,0))/1000</f>
        <v>0.95</v>
      </c>
      <c r="O170" s="99">
        <v>1116</v>
      </c>
      <c r="P170" s="58" t="s">
        <v>1188</v>
      </c>
      <c r="Q170" s="59" cm="1">
        <f t="array" ref="Q170">_xlfn.IFS($P170=$P$2,O170+$P$3*N170,$P170=$Q$2,O170+$Q$3*N170)</f>
        <v>1543.5</v>
      </c>
      <c r="R170" s="101">
        <f t="shared" si="9"/>
        <v>212.23124999999999</v>
      </c>
      <c r="S170" s="60">
        <f t="shared" si="10"/>
        <v>11.108750000000015</v>
      </c>
    </row>
    <row r="171" spans="2:19" ht="14.4">
      <c r="B171" s="55" t="s">
        <v>20</v>
      </c>
      <c r="C171" s="56" t="s">
        <v>554</v>
      </c>
      <c r="D171" s="56" t="str">
        <f>VLOOKUP(C171,DATA!B:C,2,0)</f>
        <v>VKB WOODEN -32</v>
      </c>
      <c r="E171" s="56" t="str">
        <f>VLOOKUP(C171,Sheet4!A:B,2,0)</f>
        <v>WOODEN -32</v>
      </c>
      <c r="F171" s="56" t="e">
        <f ca="1">Image("https://images-na.ssl-images-amazon.com/images/I/31Ad5HrLpOL.jpg;https://images-na.ssl-images-amazon.com/images/I/21LwDgCQ0dL.jpg;https://images-na.ssl-images-amazon.com/images/I/215dW+udfIL.jpg;https://images-na.ssl-images-amazon.com/images/I/41QQuAx931L"&amp;".jpg;https://images-na.ssl-images-amazon.com/images/I/41w4VajnmLL.jpg")</f>
        <v>#NAME?</v>
      </c>
      <c r="G171" s="56" t="s">
        <v>556</v>
      </c>
      <c r="H171" s="83">
        <v>7</v>
      </c>
      <c r="I171" s="88">
        <v>105</v>
      </c>
      <c r="J171" s="83">
        <v>0</v>
      </c>
      <c r="K171" s="88">
        <v>0</v>
      </c>
      <c r="L171" s="84">
        <v>42.56</v>
      </c>
      <c r="M171" s="94">
        <f t="shared" si="11"/>
        <v>6.08</v>
      </c>
      <c r="N171" s="57">
        <f>(VLOOKUP(E171,Sheet4!F:G,2,0))/1000</f>
        <v>0.16400000000000001</v>
      </c>
      <c r="O171" s="99">
        <f>VLOOKUP(E171,Sheet4!F197:N782,9,0)</f>
        <v>314</v>
      </c>
      <c r="P171" s="58" t="s">
        <v>1187</v>
      </c>
      <c r="Q171" s="59" cm="1">
        <f t="array" ref="Q171">_xlfn.IFS($P171=$P$2,O171+$P$3*N171,$P171=$Q$2,O171+$Q$3*N171)</f>
        <v>333.68</v>
      </c>
      <c r="R171" s="101">
        <f t="shared" si="9"/>
        <v>29.197000000000003</v>
      </c>
      <c r="S171" s="60">
        <f t="shared" si="10"/>
        <v>13.363</v>
      </c>
    </row>
    <row r="172" spans="2:19" ht="14.4">
      <c r="B172" s="55" t="s">
        <v>20</v>
      </c>
      <c r="C172" s="56" t="s">
        <v>373</v>
      </c>
      <c r="D172" s="56" t="str">
        <f>VLOOKUP(C172,DATA!B:C,2,0)</f>
        <v>JD C BOWL -11</v>
      </c>
      <c r="E172" s="56" t="str">
        <f>VLOOKUP(C172,Sheet4!A:B,2,0)</f>
        <v>BOWL -11</v>
      </c>
      <c r="F172" s="56" t="e">
        <f ca="1">Image("https://images-na.ssl-images-amazon.com/images/I/41VadFmDhhL.jpg;https://images-na.ssl-images-amazon.com/images/I/417yBKYlGKL.jpg;https://images-na.ssl-images-amazon.com/images/I/41uWx19yH4L.jpg;https://images-na.ssl-images-amazon.com/images/I/31I-0vebw0L"&amp;".jpg;https://images-na.ssl-images-amazon.com/images/I/31tls1anW+L.jpg;https://images-na.ssl-images-amazon.com/images/I/516ZXiYv7NL.jpg")</f>
        <v>#NAME?</v>
      </c>
      <c r="G172" s="56" t="s">
        <v>141</v>
      </c>
      <c r="H172" s="83">
        <v>9</v>
      </c>
      <c r="I172" s="88">
        <v>237.59</v>
      </c>
      <c r="J172" s="83">
        <v>0</v>
      </c>
      <c r="K172" s="88">
        <v>0</v>
      </c>
      <c r="L172" s="84">
        <v>135.11000000000001</v>
      </c>
      <c r="M172" s="94">
        <f t="shared" si="11"/>
        <v>15.012222222222224</v>
      </c>
      <c r="N172" s="57">
        <f>(VLOOKUP(E172,Sheet4!F:G,2,0))/1000</f>
        <v>0.95</v>
      </c>
      <c r="O172" s="99">
        <v>1116</v>
      </c>
      <c r="P172" s="58" t="s">
        <v>1188</v>
      </c>
      <c r="Q172" s="59" cm="1">
        <f t="array" ref="Q172">_xlfn.IFS($P172=$P$2,O172+$P$3*N172,$P172=$Q$2,O172+$Q$3*N172)</f>
        <v>1543.5</v>
      </c>
      <c r="R172" s="101">
        <f t="shared" si="9"/>
        <v>173.64375000000001</v>
      </c>
      <c r="S172" s="60">
        <f t="shared" si="10"/>
        <v>-38.533749999999998</v>
      </c>
    </row>
    <row r="173" spans="2:19" ht="14.4">
      <c r="B173" s="55" t="s">
        <v>20</v>
      </c>
      <c r="C173" s="56" t="s">
        <v>971</v>
      </c>
      <c r="D173" s="56" t="str">
        <f>VLOOKUP(C173,DATA!B:C,2,0)</f>
        <v>VKB WOODEN -47</v>
      </c>
      <c r="E173" s="56" t="str">
        <f>VLOOKUP(C173,Sheet4!A:B,2,0)</f>
        <v>WOODEN -47</v>
      </c>
      <c r="F173" s="56" t="e">
        <f ca="1">Image("https://images-na.ssl-images-amazon.com/images/I/31+N1cJ9KBL.jpg;https://images-na.ssl-images-amazon.com/images/I/41gJNXcyu+L.jpg;https://images-na.ssl-images-amazon.com/images/I/21IF0sQKcUL.jpg")</f>
        <v>#NAME?</v>
      </c>
      <c r="G173" s="56" t="s">
        <v>973</v>
      </c>
      <c r="H173" s="83">
        <v>1</v>
      </c>
      <c r="I173" s="88">
        <v>15</v>
      </c>
      <c r="J173" s="83">
        <v>0</v>
      </c>
      <c r="K173" s="88">
        <v>0</v>
      </c>
      <c r="L173" s="84">
        <v>-1.46</v>
      </c>
      <c r="M173" s="94">
        <f t="shared" si="11"/>
        <v>-1.46</v>
      </c>
      <c r="N173" s="57">
        <f>(VLOOKUP(E173,Sheet4!F:G,2,0))/1000</f>
        <v>0.13</v>
      </c>
      <c r="O173" s="99">
        <f>VLOOKUP(E173,Sheet4!F199:N784,9,0)</f>
        <v>183.4</v>
      </c>
      <c r="P173" s="58" t="s">
        <v>1187</v>
      </c>
      <c r="Q173" s="59" cm="1">
        <f t="array" ref="Q173">_xlfn.IFS($P173=$P$2,O173+$P$3*N173,$P173=$Q$2,O173+$Q$3*N173)</f>
        <v>199</v>
      </c>
      <c r="R173" s="101">
        <f t="shared" si="9"/>
        <v>2.4874999999999998</v>
      </c>
      <c r="S173" s="60">
        <f t="shared" si="10"/>
        <v>-3.9474999999999998</v>
      </c>
    </row>
    <row r="174" spans="2:19" ht="14.4">
      <c r="B174" s="55" t="s">
        <v>20</v>
      </c>
      <c r="C174" s="56" t="s">
        <v>928</v>
      </c>
      <c r="D174" s="56" t="str">
        <f>VLOOKUP(C174,DATA!B:C,2,0)</f>
        <v>GS WOODEN -33</v>
      </c>
      <c r="E174" s="56" t="str">
        <f>VLOOKUP(C174,Sheet4!A:B,2,0)</f>
        <v>WOODEN -33</v>
      </c>
      <c r="F174" s="56" t="e">
        <f ca="1">Image("https://images-na.ssl-images-amazon.com/images/I/31Ad5HrLpOL.jpg;https://images-na.ssl-images-amazon.com/images/I/21LwDgCQ0dL.jpg;https://images-na.ssl-images-amazon.com/images/I/215dW+udfIL.jpg;https://images-na.ssl-images-amazon.com/images/I/41QQuAx931L"&amp;".jpg;https://images-na.ssl-images-amazon.com/images/I/41w4VajnmLL.jpg")</f>
        <v>#NAME?</v>
      </c>
      <c r="G174" s="56" t="s">
        <v>930</v>
      </c>
      <c r="H174" s="83">
        <v>1</v>
      </c>
      <c r="I174" s="88">
        <v>7.99</v>
      </c>
      <c r="J174" s="83">
        <v>0</v>
      </c>
      <c r="K174" s="88">
        <v>0</v>
      </c>
      <c r="L174" s="84">
        <v>0.52</v>
      </c>
      <c r="M174" s="94">
        <f t="shared" si="11"/>
        <v>0.52</v>
      </c>
      <c r="N174" s="57">
        <f>(VLOOKUP(E174,Sheet4!F:G,2,0))/1000</f>
        <v>0.11600000000000001</v>
      </c>
      <c r="O174" s="99">
        <f>VLOOKUP(E174,Sheet4!F201:N786,9,0)</f>
        <v>224</v>
      </c>
      <c r="P174" s="58" t="s">
        <v>1187</v>
      </c>
      <c r="Q174" s="59" cm="1">
        <f t="array" ref="Q174">_xlfn.IFS($P174=$P$2,O174+$P$3*N174,$P174=$Q$2,O174+$Q$3*N174)</f>
        <v>237.92</v>
      </c>
      <c r="R174" s="101">
        <f t="shared" si="9"/>
        <v>2.9739999999999998</v>
      </c>
      <c r="S174" s="60">
        <f t="shared" si="10"/>
        <v>-2.4539999999999997</v>
      </c>
    </row>
    <row r="175" spans="2:19" ht="14.4">
      <c r="B175" s="55" t="s">
        <v>20</v>
      </c>
      <c r="C175" s="56" t="s">
        <v>953</v>
      </c>
      <c r="D175" s="56" t="str">
        <f>VLOOKUP(C175,DATA!B:C,2,0)</f>
        <v>GS WOODEN -34</v>
      </c>
      <c r="E175" s="56" t="str">
        <f>VLOOKUP(C175,Sheet4!A:B,2,0)</f>
        <v>WOODEN -34</v>
      </c>
      <c r="F175" s="56" t="e">
        <f ca="1">Image("https://images-na.ssl-images-amazon.com/images/I/31Ad5HrLpOL.jpg;https://images-na.ssl-images-amazon.com/images/I/21LwDgCQ0dL.jpg;https://images-na.ssl-images-amazon.com/images/I/215dW+udfIL.jpg;https://images-na.ssl-images-amazon.com/images/I/41QQuAx931L"&amp;".jpg;https://images-na.ssl-images-amazon.com/images/I/41w4VajnmLL.jpg")</f>
        <v>#NAME?</v>
      </c>
      <c r="G175" s="56" t="s">
        <v>955</v>
      </c>
      <c r="H175" s="83">
        <v>1</v>
      </c>
      <c r="I175" s="88">
        <v>6.99</v>
      </c>
      <c r="J175" s="83">
        <v>0</v>
      </c>
      <c r="K175" s="88">
        <v>0</v>
      </c>
      <c r="L175" s="84">
        <v>-0.71</v>
      </c>
      <c r="M175" s="94">
        <f t="shared" si="11"/>
        <v>-0.71</v>
      </c>
      <c r="N175" s="57">
        <f>(VLOOKUP(E175,Sheet4!F:G,2,0))/1000</f>
        <v>9.6000000000000002E-2</v>
      </c>
      <c r="O175" s="99">
        <f>VLOOKUP(E175,Sheet4!F202:N787,9,0)</f>
        <v>168</v>
      </c>
      <c r="P175" s="58" t="s">
        <v>1187</v>
      </c>
      <c r="Q175" s="59" cm="1">
        <f t="array" ref="Q175">_xlfn.IFS($P175=$P$2,O175+$P$3*N175,$P175=$Q$2,O175+$Q$3*N175)</f>
        <v>179.52</v>
      </c>
      <c r="R175" s="101">
        <f t="shared" si="9"/>
        <v>2.2440000000000002</v>
      </c>
      <c r="S175" s="60">
        <f t="shared" si="10"/>
        <v>-2.9540000000000002</v>
      </c>
    </row>
    <row r="176" spans="2:19" ht="14.4">
      <c r="B176" s="55" t="s">
        <v>20</v>
      </c>
      <c r="C176" s="56" t="s">
        <v>46</v>
      </c>
      <c r="D176" s="56" t="str">
        <f>VLOOKUP(C176,DATA!B:C,2,0)</f>
        <v>GS BOWL -1</v>
      </c>
      <c r="E176" s="56" t="str">
        <f>VLOOKUP(C176,Sheet4!A:B,2,0)</f>
        <v>BOWL -1</v>
      </c>
      <c r="F176" s="56" t="e">
        <f ca="1">Image("https://images-na.ssl-images-amazon.com/images/I/31CBdF+1J4L.jpg;https://images-na.ssl-images-amazon.com/images/I/21ucIJxr87L.jpg;https://images-na.ssl-images-amazon.com/images/I/31FC8wsDksL.jpg;https://images-na.ssl-images-amazon.com/images/I/31sSF2oQGfL"&amp;".jpg;https://images-na.ssl-images-amazon.com/images/I/11Xse3KQL4L.jpg;https://images-na.ssl-images-amazon.com/images/I/31mrIpihA5L.jpg")</f>
        <v>#NAME?</v>
      </c>
      <c r="G176" s="56" t="s">
        <v>48</v>
      </c>
      <c r="H176" s="83">
        <v>47</v>
      </c>
      <c r="I176" s="88">
        <v>3820.95</v>
      </c>
      <c r="J176" s="83">
        <v>5</v>
      </c>
      <c r="K176" s="88">
        <v>-365.67</v>
      </c>
      <c r="L176" s="84">
        <v>2457.34</v>
      </c>
      <c r="M176" s="94">
        <f t="shared" si="11"/>
        <v>52.283829787234048</v>
      </c>
      <c r="N176" s="57">
        <f>(VLOOKUP(E176,Sheet4!F:G,2,0))/1000</f>
        <v>1.6</v>
      </c>
      <c r="O176" s="99">
        <v>2926.8</v>
      </c>
      <c r="P176" s="58" t="s">
        <v>1188</v>
      </c>
      <c r="Q176" s="59" cm="1">
        <f t="array" ref="Q176">_xlfn.IFS($P176=$P$2,O176+$P$3*N176,$P176=$Q$2,O176+$Q$3*N176)</f>
        <v>3646.8</v>
      </c>
      <c r="R176" s="101">
        <f t="shared" si="9"/>
        <v>2142.4949999999999</v>
      </c>
      <c r="S176" s="60">
        <f t="shared" si="10"/>
        <v>314.84500000000025</v>
      </c>
    </row>
    <row r="177" spans="2:19" ht="14.4">
      <c r="B177" s="55" t="s">
        <v>20</v>
      </c>
      <c r="C177" s="56" t="s">
        <v>183</v>
      </c>
      <c r="D177" s="56" t="str">
        <f>VLOOKUP(C177,DATA!B:C,2,0)</f>
        <v>JD C BOWL -2</v>
      </c>
      <c r="E177" s="56" t="str">
        <f>VLOOKUP(C177,Sheet4!A:B,2,0)</f>
        <v>BOWL -2</v>
      </c>
      <c r="F177" s="56" t="e">
        <f ca="1">Image("https://images-na.ssl-images-amazon.com/images/I/31XCB-yz02L.jpg;https://images-na.ssl-images-amazon.com/images/I/31NTwjcGCeL.jpg;https://images-na.ssl-images-amazon.com/images/I/21bg0PLsNpL.jpg;https://images-na.ssl-images-amazon.com/images/I/516ZXiYv7NL"&amp;".jpg;https://images-na.ssl-images-amazon.com/images/I/21E-+BmFo5L.jpg;https://images-na.ssl-images-amazon.com/images/I/31Kps+HAoQL.jpg")</f>
        <v>#NAME?</v>
      </c>
      <c r="G177" s="56" t="s">
        <v>185</v>
      </c>
      <c r="H177" s="83">
        <v>19</v>
      </c>
      <c r="I177" s="88">
        <v>888.27</v>
      </c>
      <c r="J177" s="83">
        <v>2</v>
      </c>
      <c r="K177" s="88">
        <v>-78.13</v>
      </c>
      <c r="L177" s="84">
        <v>456.18</v>
      </c>
      <c r="M177" s="94">
        <f t="shared" si="11"/>
        <v>24.009473684210526</v>
      </c>
      <c r="N177" s="57">
        <f>(VLOOKUP(E177,Sheet4!F:G,2,0))/1000</f>
        <v>0.84</v>
      </c>
      <c r="O177" s="99">
        <v>1694.4</v>
      </c>
      <c r="P177" s="58" t="s">
        <v>1188</v>
      </c>
      <c r="Q177" s="59" cm="1">
        <f t="array" ref="Q177">_xlfn.IFS($P177=$P$2,O177+$P$3*N177,$P177=$Q$2,O177+$Q$3*N177)</f>
        <v>2072.4</v>
      </c>
      <c r="R177" s="101">
        <f t="shared" si="9"/>
        <v>492.19499999999999</v>
      </c>
      <c r="S177" s="60">
        <f t="shared" si="10"/>
        <v>-36.014999999999986</v>
      </c>
    </row>
    <row r="178" spans="2:19" ht="14.4">
      <c r="B178" s="55" t="s">
        <v>20</v>
      </c>
      <c r="C178" s="56" t="s">
        <v>473</v>
      </c>
      <c r="D178" s="56" t="str">
        <f>VLOOKUP(C178,DATA!B:C,2,0)</f>
        <v>GS BOWL -6</v>
      </c>
      <c r="E178" s="56" t="str">
        <f>VLOOKUP(C178,Sheet4!A:B,2,0)</f>
        <v>BOWL -6</v>
      </c>
      <c r="F178" s="56" t="e">
        <f ca="1">Image("https://images-na.ssl-images-amazon.com/images/I/313vOEFnV6L.jpg;https://images-na.ssl-images-amazon.com/images/I/31e9E9Gum6L.jpg;https://images-na.ssl-images-amazon.com/images/I/21-wO-l67jL.jpg;https://images-na.ssl-images-amazon.com/images/I/31jBt72gVQL"&amp;".jpg;https://images-na.ssl-images-amazon.com/images/I/312B8YmA4sL.jpg;https://images-na.ssl-images-amazon.com/images/I/31KDLWdDnmL.jpg")</f>
        <v>#NAME?</v>
      </c>
      <c r="G178" s="56" t="s">
        <v>389</v>
      </c>
      <c r="H178" s="83">
        <v>6</v>
      </c>
      <c r="I178" s="88">
        <v>145.99</v>
      </c>
      <c r="J178" s="83">
        <v>0</v>
      </c>
      <c r="K178" s="88">
        <v>0</v>
      </c>
      <c r="L178" s="84">
        <v>82.3</v>
      </c>
      <c r="M178" s="94">
        <f t="shared" si="11"/>
        <v>13.716666666666667</v>
      </c>
      <c r="N178" s="57">
        <f>(VLOOKUP(E178,Sheet4!F:G,2,0))/1000</f>
        <v>0.75</v>
      </c>
      <c r="O178" s="99">
        <v>723.6</v>
      </c>
      <c r="P178" s="58" t="s">
        <v>1188</v>
      </c>
      <c r="Q178" s="59" cm="1">
        <f t="array" ref="Q178">_xlfn.IFS($P178=$P$2,O178+$P$3*N178,$P178=$Q$2,O178+$Q$3*N178)</f>
        <v>1061.0999999999999</v>
      </c>
      <c r="R178" s="101">
        <f t="shared" si="9"/>
        <v>79.582499999999996</v>
      </c>
      <c r="S178" s="60">
        <f t="shared" si="10"/>
        <v>2.7175000000000011</v>
      </c>
    </row>
    <row r="179" spans="2:19" ht="14.4">
      <c r="B179" s="55" t="s">
        <v>20</v>
      </c>
      <c r="C179" s="56" t="s">
        <v>716</v>
      </c>
      <c r="D179" s="56" t="str">
        <f>VLOOKUP(C179,DATA!B:C,2,0)</f>
        <v>JD C BOWL -19</v>
      </c>
      <c r="E179" s="56" t="str">
        <f>VLOOKUP(C179,Sheet4!A:B,2,0)</f>
        <v>BOWL -19</v>
      </c>
      <c r="F179" s="56" t="e">
        <f ca="1">Image("https://images-na.ssl-images-amazon.com/images/I/512rtEHMFyL.jpg;https://images-na.ssl-images-amazon.com/images/I/41UpUxS0LFL.jpg;https://images-na.ssl-images-amazon.com/images/I/41U8qrsQhJL.jpg;https://images-na.ssl-images-amazon.com/images/I/516ZXiYv7NL"&amp;".jpg;https://images-na.ssl-images-amazon.com/images/I/51G+M1QKoEL.jpg;https://images-na.ssl-images-amazon.com/images/I/31Kps+HAoQL.jpg")</f>
        <v>#NAME?</v>
      </c>
      <c r="G179" s="56" t="s">
        <v>389</v>
      </c>
      <c r="H179" s="83">
        <v>3</v>
      </c>
      <c r="I179" s="88">
        <v>66</v>
      </c>
      <c r="J179" s="83">
        <v>1</v>
      </c>
      <c r="K179" s="88">
        <v>-19.36</v>
      </c>
      <c r="L179" s="84">
        <v>17.39</v>
      </c>
      <c r="M179" s="94">
        <f t="shared" si="11"/>
        <v>5.7966666666666669</v>
      </c>
      <c r="N179" s="57">
        <f>(VLOOKUP(E179,Sheet4!F:G,2,0))/1000</f>
        <v>0.75</v>
      </c>
      <c r="O179" s="99">
        <v>723.6</v>
      </c>
      <c r="P179" s="58" t="s">
        <v>1188</v>
      </c>
      <c r="Q179" s="59" cm="1">
        <f t="array" ref="Q179">_xlfn.IFS($P179=$P$2,O179+$P$3*N179,$P179=$Q$2,O179+$Q$3*N179)</f>
        <v>1061.0999999999999</v>
      </c>
      <c r="R179" s="101">
        <f t="shared" si="9"/>
        <v>39.791249999999998</v>
      </c>
      <c r="S179" s="60">
        <f t="shared" si="10"/>
        <v>-22.401249999999997</v>
      </c>
    </row>
    <row r="180" spans="2:19" ht="14.4">
      <c r="B180" s="55" t="s">
        <v>20</v>
      </c>
      <c r="C180" s="56" t="s">
        <v>387</v>
      </c>
      <c r="D180" s="56" t="str">
        <f>VLOOKUP(C180,DATA!B:C,2,0)</f>
        <v>GS BOWL -7</v>
      </c>
      <c r="E180" s="56" t="str">
        <f>VLOOKUP(C180,Sheet4!A:B,2,0)</f>
        <v>BOWL -7</v>
      </c>
      <c r="F180" s="56" t="e">
        <f ca="1">Image("https://images-na.ssl-images-amazon.com/images/I/51wY1nPAduL.jpg;https://images-na.ssl-images-amazon.com/images/I/41gJEkWPxgL.jpg;https://images-na.ssl-images-amazon.com/images/I/516ZXiYv7NL.jpg;https://images-na.ssl-images-amazon.com/images/I/41RgtBH3nCS"&amp;".jpg;https://images-na.ssl-images-amazon.com/images/I/51DRrRncviL.jpg;https://images-na.ssl-images-amazon.com/images/I/31Kps+HAoQL.jpg")</f>
        <v>#NAME?</v>
      </c>
      <c r="G180" s="56" t="s">
        <v>389</v>
      </c>
      <c r="H180" s="83">
        <v>8</v>
      </c>
      <c r="I180" s="88">
        <v>187.96</v>
      </c>
      <c r="J180" s="83">
        <v>0</v>
      </c>
      <c r="K180" s="88">
        <v>0</v>
      </c>
      <c r="L180" s="84">
        <v>126.99</v>
      </c>
      <c r="M180" s="94">
        <f t="shared" si="11"/>
        <v>15.873749999999999</v>
      </c>
      <c r="N180" s="57">
        <f>(VLOOKUP(E180,Sheet4!F:G,2,0))/1000</f>
        <v>0.75</v>
      </c>
      <c r="O180" s="99">
        <v>723.6</v>
      </c>
      <c r="P180" s="58" t="s">
        <v>1188</v>
      </c>
      <c r="Q180" s="59" cm="1">
        <f t="array" ref="Q180">_xlfn.IFS($P180=$P$2,O180+$P$3*N180,$P180=$Q$2,O180+$Q$3*N180)</f>
        <v>1061.0999999999999</v>
      </c>
      <c r="R180" s="101">
        <f t="shared" si="9"/>
        <v>106.10999999999999</v>
      </c>
      <c r="S180" s="60">
        <f t="shared" si="10"/>
        <v>20.88000000000001</v>
      </c>
    </row>
    <row r="181" spans="2:19" ht="14.4">
      <c r="B181" s="55" t="s">
        <v>20</v>
      </c>
      <c r="C181" s="56" t="s">
        <v>696</v>
      </c>
      <c r="D181" s="56" t="str">
        <f>VLOOKUP(C181,DATA!B:C,2,0)</f>
        <v>GS BOWL -9</v>
      </c>
      <c r="E181" s="56" t="str">
        <f>VLOOKUP(C181,Sheet4!A:B,2,0)</f>
        <v>BOWL -9</v>
      </c>
      <c r="F181" s="56" t="e">
        <f ca="1">Image("https://images-na.ssl-images-amazon.com/images/I/51NuxobzU0L.jpg;https://images-na.ssl-images-amazon.com/images/I/41sfcPJwMBL.jpg;https://images-na.ssl-images-amazon.com/images/I/516ZXiYv7NL.jpg;https://images-na.ssl-images-amazon.com/images/I/41XNfZ1Y9DL"&amp;".jpg;https://images-na.ssl-images-amazon.com/images/I/51Wo7-EA20L.jpg;https://images-na.ssl-images-amazon.com/images/I/31Kps+HAoQL.jpg")</f>
        <v>#NAME?</v>
      </c>
      <c r="G181" s="56" t="s">
        <v>389</v>
      </c>
      <c r="H181" s="83">
        <v>1</v>
      </c>
      <c r="I181" s="88">
        <v>25.99</v>
      </c>
      <c r="J181" s="83">
        <v>0</v>
      </c>
      <c r="K181" s="88">
        <v>0</v>
      </c>
      <c r="L181" s="84">
        <v>21.98</v>
      </c>
      <c r="M181" s="94">
        <f t="shared" si="11"/>
        <v>21.98</v>
      </c>
      <c r="N181" s="57">
        <f>(VLOOKUP(E181,Sheet4!F:G,2,0))/1000</f>
        <v>0.75</v>
      </c>
      <c r="O181" s="99">
        <v>723.6</v>
      </c>
      <c r="P181" s="58" t="s">
        <v>1188</v>
      </c>
      <c r="Q181" s="59" cm="1">
        <f t="array" ref="Q181">_xlfn.IFS($P181=$P$2,O181+$P$3*N181,$P181=$Q$2,O181+$Q$3*N181)</f>
        <v>1061.0999999999999</v>
      </c>
      <c r="R181" s="101">
        <f t="shared" si="9"/>
        <v>13.263749999999998</v>
      </c>
      <c r="S181" s="60">
        <f t="shared" si="10"/>
        <v>8.7162500000000023</v>
      </c>
    </row>
    <row r="182" spans="2:19" ht="14.4">
      <c r="B182" s="55" t="s">
        <v>20</v>
      </c>
      <c r="C182" s="56" t="s">
        <v>752</v>
      </c>
      <c r="D182" s="56" t="str">
        <f>VLOOKUP(C182,DATA!B:C,2,0)</f>
        <v>GS SPOON -2</v>
      </c>
      <c r="E182" s="56" t="str">
        <f>VLOOKUP(C182,Sheet4!A:B,2,0)</f>
        <v>SPOON -2</v>
      </c>
      <c r="F182" s="56" t="e">
        <f ca="1">Image("https://images-na.ssl-images-amazon.com/images/I/31vkaxlILOL.jpg;https://images-na.ssl-images-amazon.com/images/I/31lLezF1tXL.jpg;https://images-na.ssl-images-amazon.com/images/I/31VLblckqmL.jpg;https://images-na.ssl-images-amazon.com/images/I/31p5hJqeI7L"&amp;".jpg;https://images-na.ssl-images-amazon.com/images/I/31Z93CikXKL.jpg;https://images-na.ssl-images-amazon.com/images/I/51xAR4ohNJL.jpg")</f>
        <v>#NAME?</v>
      </c>
      <c r="G182" s="56" t="s">
        <v>754</v>
      </c>
      <c r="H182" s="83">
        <v>1</v>
      </c>
      <c r="I182" s="88">
        <v>17.989999999999998</v>
      </c>
      <c r="J182" s="83">
        <v>0</v>
      </c>
      <c r="K182" s="88">
        <v>0</v>
      </c>
      <c r="L182" s="84">
        <v>15.29</v>
      </c>
      <c r="M182" s="94">
        <f t="shared" si="11"/>
        <v>15.29</v>
      </c>
      <c r="N182" s="57">
        <f>(VLOOKUP(E182,Sheet4!F:G,2,0))/1000</f>
        <v>0.27</v>
      </c>
      <c r="O182" s="99">
        <f>VLOOKUP(E182,Sheet4!F218:J803,5,0)</f>
        <v>420</v>
      </c>
      <c r="P182" s="58" t="s">
        <v>1188</v>
      </c>
      <c r="Q182" s="59" cm="1">
        <f t="array" ref="Q182">_xlfn.IFS($P182=$P$2,O182+$P$3*N182,$P182=$Q$2,O182+$Q$3*N182)</f>
        <v>541.5</v>
      </c>
      <c r="R182" s="101">
        <f t="shared" si="9"/>
        <v>6.7687499999999998</v>
      </c>
      <c r="S182" s="60">
        <f t="shared" si="10"/>
        <v>8.5212499999999984</v>
      </c>
    </row>
    <row r="183" spans="2:19" ht="14.4">
      <c r="B183" s="55" t="s">
        <v>20</v>
      </c>
      <c r="C183" s="56" t="s">
        <v>656</v>
      </c>
      <c r="D183" s="56" t="str">
        <f>VLOOKUP(C183,DATA!B:C,2,0)</f>
        <v>JD C BOWL -27</v>
      </c>
      <c r="E183" s="56" t="str">
        <f>VLOOKUP(C183,Sheet4!A:B,2,0)</f>
        <v>BOWL -27</v>
      </c>
      <c r="F183" s="56" t="e">
        <f ca="1">Image("https://images-na.ssl-images-amazon.com/images/I/313vOEFnV6L.jpg;https://images-na.ssl-images-amazon.com/images/I/31UNjQO2TXL.jpg;https://images-na.ssl-images-amazon.com/images/I/31e9E9Gum6L.jpg;https://images-na.ssl-images-amazon.com/images/I/31kx3w+Gf1L"&amp;".jpg;https://images-na.ssl-images-amazon.com/images/I/516ZXiYv7NL.jpg;https://images-na.ssl-images-amazon.com/images/I/31Kps+HAoQL.jpg")</f>
        <v>#NAME?</v>
      </c>
      <c r="G183" s="56" t="s">
        <v>658</v>
      </c>
      <c r="H183" s="83">
        <v>1</v>
      </c>
      <c r="I183" s="88">
        <v>38.79</v>
      </c>
      <c r="J183" s="83">
        <v>0</v>
      </c>
      <c r="K183" s="88">
        <v>0</v>
      </c>
      <c r="L183" s="84">
        <v>25.51</v>
      </c>
      <c r="M183" s="94">
        <f t="shared" si="11"/>
        <v>25.51</v>
      </c>
      <c r="N183" s="57">
        <f>(VLOOKUP(E183,Sheet4!F:G,2,0))/1000</f>
        <v>1.05</v>
      </c>
      <c r="O183" s="99">
        <v>1269.5999999999999</v>
      </c>
      <c r="P183" s="58" t="s">
        <v>1188</v>
      </c>
      <c r="Q183" s="59" cm="1">
        <f t="array" ref="Q183">_xlfn.IFS($P183=$P$2,O183+$P$3*N183,$P183=$Q$2,O183+$Q$3*N183)</f>
        <v>1742.1</v>
      </c>
      <c r="R183" s="101">
        <f t="shared" si="9"/>
        <v>21.776249999999997</v>
      </c>
      <c r="S183" s="60">
        <f t="shared" si="10"/>
        <v>3.7337500000000041</v>
      </c>
    </row>
    <row r="184" spans="2:19" ht="14.4">
      <c r="B184" s="55" t="s">
        <v>20</v>
      </c>
      <c r="C184" s="56" t="s">
        <v>743</v>
      </c>
      <c r="D184" s="56" t="str">
        <f>VLOOKUP(C184,DATA!B:C,2,0)</f>
        <v>JD C BOWL -25</v>
      </c>
      <c r="E184" s="56" t="str">
        <f>VLOOKUP(C184,Sheet4!A:B,2,0)</f>
        <v>BOWL -25</v>
      </c>
      <c r="F184" s="56" t="e">
        <f ca="1">Image("https://images-na.ssl-images-amazon.com/images/I/512rtEHMFyL.jpg;https://images-na.ssl-images-amazon.com/images/I/41UpUxS0LFL.jpg;https://images-na.ssl-images-amazon.com/images/I/41U8qrsQhJL.jpg;https://images-na.ssl-images-amazon.com/images/I/516ZXiYv7NL"&amp;".jpg;https://images-na.ssl-images-amazon.com/images/I/51G+M1QKoEL.jpg;https://images-na.ssl-images-amazon.com/images/I/31Kps+HAoQL.jpg")</f>
        <v>#NAME?</v>
      </c>
      <c r="G184" s="56" t="s">
        <v>745</v>
      </c>
      <c r="H184" s="83">
        <v>1</v>
      </c>
      <c r="I184" s="88">
        <v>24</v>
      </c>
      <c r="J184" s="83">
        <v>0</v>
      </c>
      <c r="K184" s="88">
        <v>0</v>
      </c>
      <c r="L184" s="84">
        <v>15.57</v>
      </c>
      <c r="M184" s="94">
        <f t="shared" si="11"/>
        <v>15.57</v>
      </c>
      <c r="N184" s="57">
        <f>(VLOOKUP(E184,Sheet4!F:G,2,0))/1000</f>
        <v>0.9</v>
      </c>
      <c r="O184" s="99">
        <v>1269.5999999999999</v>
      </c>
      <c r="P184" s="58" t="s">
        <v>1188</v>
      </c>
      <c r="Q184" s="59" cm="1">
        <f t="array" ref="Q184">_xlfn.IFS($P184=$P$2,O184+$P$3*N184,$P184=$Q$2,O184+$Q$3*N184)</f>
        <v>1674.6</v>
      </c>
      <c r="R184" s="101">
        <f t="shared" si="9"/>
        <v>20.932499999999997</v>
      </c>
      <c r="S184" s="60">
        <f t="shared" si="10"/>
        <v>-5.3624999999999972</v>
      </c>
    </row>
    <row r="185" spans="2:19" ht="14.4">
      <c r="B185" s="55" t="s">
        <v>20</v>
      </c>
      <c r="C185" s="56" t="s">
        <v>724</v>
      </c>
      <c r="D185" s="56" t="str">
        <f>VLOOKUP(C185,DATA!B:C,2,0)</f>
        <v>GS WOODEN -31A</v>
      </c>
      <c r="E185" s="56" t="str">
        <f>VLOOKUP(C185,Sheet4!A:B,2,0)</f>
        <v>WOODEN -31</v>
      </c>
      <c r="F185" s="56" t="e">
        <f ca="1">Image("https://images-na.ssl-images-amazon.com/images/I/51Ub-D9YmuL.jpg;https://images-na.ssl-images-amazon.com/images/I/51rUs9p7IuL.jpg;https://images-na.ssl-images-amazon.com/images/I/51o77rMAQaL.jpg;https://images-na.ssl-images-amazon.com/images/I/4105j3UbhFL"&amp;".jpg;https://images-na.ssl-images-amazon.com/images/I/41U367pmGYL.jpg;https://images-na.ssl-images-amazon.com/images/I/41lkixLc3XL.jpg")</f>
        <v>#NAME?</v>
      </c>
      <c r="G185" s="56" t="s">
        <v>726</v>
      </c>
      <c r="H185" s="83">
        <v>2</v>
      </c>
      <c r="I185" s="88">
        <v>35.979999999999997</v>
      </c>
      <c r="J185" s="83">
        <v>1</v>
      </c>
      <c r="K185" s="88">
        <v>-13.63</v>
      </c>
      <c r="L185" s="84">
        <v>16.96</v>
      </c>
      <c r="M185" s="94">
        <f t="shared" si="11"/>
        <v>8.48</v>
      </c>
      <c r="N185" s="57">
        <f>(VLOOKUP(E185,Sheet4!F:G,2,0))/1000</f>
        <v>0.312</v>
      </c>
      <c r="O185" s="99">
        <v>207.6</v>
      </c>
      <c r="P185" s="58" t="s">
        <v>1188</v>
      </c>
      <c r="Q185" s="59" cm="1">
        <f t="array" ref="Q185">_xlfn.IFS($P185=$P$2,O185+$P$3*N185,$P185=$Q$2,O185+$Q$3*N185)</f>
        <v>348</v>
      </c>
      <c r="R185" s="101">
        <f t="shared" si="9"/>
        <v>8.6999999999999993</v>
      </c>
      <c r="S185" s="60">
        <f t="shared" si="10"/>
        <v>8.2600000000000016</v>
      </c>
    </row>
    <row r="186" spans="2:19" ht="14.4">
      <c r="B186" s="55" t="s">
        <v>20</v>
      </c>
      <c r="C186" s="56" t="s">
        <v>848</v>
      </c>
      <c r="D186" s="56" t="str">
        <f>VLOOKUP(C186,DATA!B:C,2,0)</f>
        <v>JD CTN FBRC -1</v>
      </c>
      <c r="E186" s="56" t="str">
        <f>VLOOKUP(C186,Sheet4!A:B,2,0)</f>
        <v>CTN FBRC -1</v>
      </c>
      <c r="F186" s="56" t="e">
        <f ca="1">Image("https://images-na.ssl-images-amazon.com/images/I/51wuu2d8wPL.jpg;https://images-na.ssl-images-amazon.com/images/I/51ky5s74LML.jpg;https://images-na.ssl-images-amazon.com/images/I/51yC44nda5L.jpg;https://images-na.ssl-images-amazon.com/images/I/51dIfN6dcOL"&amp;".jpg;https://images-na.ssl-images-amazon.com/images/I/51m9o8OkwwL.jpg;https://images-na.ssl-images-amazon.com/images/I/51Xdu9ddQbL.jpg")</f>
        <v>#NAME?</v>
      </c>
      <c r="G186" s="56" t="s">
        <v>850</v>
      </c>
      <c r="H186" s="83">
        <v>6</v>
      </c>
      <c r="I186" s="88">
        <v>41.94</v>
      </c>
      <c r="J186" s="83">
        <v>0</v>
      </c>
      <c r="K186" s="88">
        <v>0</v>
      </c>
      <c r="L186" s="84">
        <v>7.1</v>
      </c>
      <c r="M186" s="94">
        <f t="shared" si="11"/>
        <v>1.1833333333333333</v>
      </c>
      <c r="N186" s="57">
        <f>(VLOOKUP(E186,Sheet4!F:G,2,0))/1000</f>
        <v>0.05</v>
      </c>
      <c r="O186" s="99">
        <f>VLOOKUP(E186,Sheet4!F223:J808,5,0)</f>
        <v>36</v>
      </c>
      <c r="P186" s="58" t="s">
        <v>1188</v>
      </c>
      <c r="Q186" s="59" cm="1">
        <f t="array" ref="Q186">_xlfn.IFS($P186=$P$2,O186+$P$3*N186,$P186=$Q$2,O186+$Q$3*N186)</f>
        <v>58.5</v>
      </c>
      <c r="R186" s="101">
        <f t="shared" si="9"/>
        <v>4.3875000000000002</v>
      </c>
      <c r="S186" s="60">
        <f t="shared" si="10"/>
        <v>2.7124999999999995</v>
      </c>
    </row>
    <row r="187" spans="2:19" ht="14.4">
      <c r="B187" s="55" t="s">
        <v>20</v>
      </c>
      <c r="C187" s="56" t="s">
        <v>191</v>
      </c>
      <c r="D187" s="56" t="str">
        <f>VLOOKUP(C187,DATA!B:C,2,0)</f>
        <v>JD MURTI -1</v>
      </c>
      <c r="E187" s="56" t="str">
        <f>VLOOKUP(C187,Sheet4!A:B,2,0)</f>
        <v>MURTI -1</v>
      </c>
      <c r="F187" s="56" t="e">
        <f ca="1">Image("https://images-na.ssl-images-amazon.com/images/I/51MAdIF8esL.jpg;https://images-na.ssl-images-amazon.com/images/I/41NYUThSpCL.jpg;https://images-na.ssl-images-amazon.com/images/I/41VboHcJQVL.jpg;https://images-na.ssl-images-amazon.com/images/I/41yqUaMB26L"&amp;".jpg;https://images-na.ssl-images-amazon.com/images/I/41DPNjtfr8L.jpg;https://images-na.ssl-images-amazon.com/images/I/51OX7hHl+wL.jpg")</f>
        <v>#NAME?</v>
      </c>
      <c r="G187" s="56" t="s">
        <v>193</v>
      </c>
      <c r="H187" s="83">
        <v>21</v>
      </c>
      <c r="I187" s="88">
        <v>718.9</v>
      </c>
      <c r="J187" s="83">
        <v>2</v>
      </c>
      <c r="K187" s="88">
        <v>-57.01</v>
      </c>
      <c r="L187" s="84">
        <v>438.39</v>
      </c>
      <c r="M187" s="94">
        <f t="shared" si="11"/>
        <v>20.875714285714285</v>
      </c>
      <c r="N187" s="57">
        <f>(VLOOKUP(E187,Sheet4!F:G,2,0))/1000</f>
        <v>0.9</v>
      </c>
      <c r="O187" s="99">
        <v>972</v>
      </c>
      <c r="P187" s="58" t="s">
        <v>1188</v>
      </c>
      <c r="Q187" s="59" cm="1">
        <f t="array" ref="Q187">_xlfn.IFS($P187=$P$2,O187+$P$3*N187,$P187=$Q$2,O187+$Q$3*N187)</f>
        <v>1377</v>
      </c>
      <c r="R187" s="101">
        <f t="shared" si="9"/>
        <v>361.46249999999998</v>
      </c>
      <c r="S187" s="60">
        <f t="shared" si="10"/>
        <v>76.927500000000009</v>
      </c>
    </row>
    <row r="188" spans="2:19" ht="14.4">
      <c r="B188" s="55" t="s">
        <v>20</v>
      </c>
      <c r="C188" s="56" t="s">
        <v>352</v>
      </c>
      <c r="D188" s="56" t="str">
        <f>VLOOKUP(C188,DATA!B:C,2,0)</f>
        <v>JD MURTI -2</v>
      </c>
      <c r="E188" s="56" t="str">
        <f>VLOOKUP(C188,Sheet4!A:B,2,0)</f>
        <v>MURTI -2</v>
      </c>
      <c r="F188" s="56" t="e">
        <f ca="1">Image("https://images-na.ssl-images-amazon.com/images/I/41wt1AGgyRL.jpg;https://images-na.ssl-images-amazon.com/images/I/414CMAHH-FL.jpg;https://images-na.ssl-images-amazon.com/images/I/51W2AdjzIxL.jpg;https://images-na.ssl-images-amazon.com/images/I/41rhN0Z2RaL"&amp;".jpg;https://images-na.ssl-images-amazon.com/images/I/41cXTXcl0bL.jpg;https://images-na.ssl-images-amazon.com/images/I/41dclObNxJL.jpg;https://images-na.ssl-images-amazon.com/images/I/41P9x2oubnL.jpg")</f>
        <v>#NAME?</v>
      </c>
      <c r="G188" s="56" t="s">
        <v>354</v>
      </c>
      <c r="H188" s="83">
        <v>10</v>
      </c>
      <c r="I188" s="88">
        <v>335.7</v>
      </c>
      <c r="J188" s="83">
        <v>3</v>
      </c>
      <c r="K188" s="88">
        <v>-88.78</v>
      </c>
      <c r="L188" s="84">
        <v>159.69999999999999</v>
      </c>
      <c r="M188" s="94">
        <f t="shared" si="11"/>
        <v>15.969999999999999</v>
      </c>
      <c r="N188" s="57">
        <f>(VLOOKUP(E188,Sheet4!F:G,2,0))/1000</f>
        <v>0.9</v>
      </c>
      <c r="O188" s="99">
        <v>972</v>
      </c>
      <c r="P188" s="58" t="s">
        <v>1188</v>
      </c>
      <c r="Q188" s="59" cm="1">
        <f t="array" ref="Q188">_xlfn.IFS($P188=$P$2,O188+$P$3*N188,$P188=$Q$2,O188+$Q$3*N188)</f>
        <v>1377</v>
      </c>
      <c r="R188" s="101">
        <f t="shared" si="9"/>
        <v>172.125</v>
      </c>
      <c r="S188" s="60">
        <f t="shared" si="10"/>
        <v>-12.425000000000011</v>
      </c>
    </row>
    <row r="189" spans="2:19" ht="14.4">
      <c r="B189" s="55" t="s">
        <v>20</v>
      </c>
      <c r="C189" s="56" t="s">
        <v>652</v>
      </c>
      <c r="D189" s="56" t="str">
        <f>VLOOKUP(C189,DATA!B:C,2,0)</f>
        <v>C BOWL -22</v>
      </c>
      <c r="E189" s="56" t="str">
        <f>VLOOKUP(C189,Sheet4!A:B,2,0)</f>
        <v>BOWL -22</v>
      </c>
      <c r="F189" s="56" t="e">
        <f ca="1">Image("https://images-na.ssl-images-amazon.com/images/I/31OV9OeFbYL.jpg;https://images-na.ssl-images-amazon.com/images/I/31EycRGcidL.jpg;https://images-na.ssl-images-amazon.com/images/I/31xiOx-ZP5L.jpg;https://images-na.ssl-images-amazon.com/images/I/31jhLVdr6oL"&amp;".jpg;https://images-na.ssl-images-amazon.com/images/I/516ZXiYv7NL.jpg;https://images-na.ssl-images-amazon.com/images/I/31hsIqA6e9L.jpg;https://images-na.ssl-images-amazon.com/images/I/41lS00XKigL.jpg")</f>
        <v>#NAME?</v>
      </c>
      <c r="G189" s="56" t="s">
        <v>655</v>
      </c>
      <c r="H189" s="83">
        <v>1</v>
      </c>
      <c r="I189" s="88">
        <v>30.99</v>
      </c>
      <c r="J189" s="83">
        <v>0</v>
      </c>
      <c r="K189" s="88">
        <v>0</v>
      </c>
      <c r="L189" s="84">
        <v>25.82</v>
      </c>
      <c r="M189" s="94">
        <f t="shared" si="11"/>
        <v>25.82</v>
      </c>
      <c r="N189" s="57">
        <f>(VLOOKUP(E189,Sheet4!F:G,2,0))/1000</f>
        <v>0.75</v>
      </c>
      <c r="O189" s="99">
        <v>723.6</v>
      </c>
      <c r="P189" s="58" t="s">
        <v>1188</v>
      </c>
      <c r="Q189" s="59" cm="1">
        <f t="array" ref="Q189">_xlfn.IFS($P189=$P$2,O189+$P$3*N189,$P189=$Q$2,O189+$Q$3*N189)</f>
        <v>1061.0999999999999</v>
      </c>
      <c r="R189" s="101">
        <f t="shared" si="9"/>
        <v>13.263749999999998</v>
      </c>
      <c r="S189" s="60">
        <f t="shared" si="10"/>
        <v>12.556250000000002</v>
      </c>
    </row>
    <row r="190" spans="2:19" ht="14.4">
      <c r="B190" s="55" t="s">
        <v>20</v>
      </c>
      <c r="C190" s="56" t="s">
        <v>1065</v>
      </c>
      <c r="D190" s="56" t="str">
        <f>VLOOKUP(C190,DATA!B:C,2,0)</f>
        <v>JD C BOWL -8</v>
      </c>
      <c r="E190" s="56" t="s">
        <v>1216</v>
      </c>
      <c r="F190" s="56" t="e">
        <f ca="1">Image("https://images-na.ssl-images-amazon.com/images/I/31oA880RAtL.jpg;https://images-na.ssl-images-amazon.com/images/I/31hE6RyAZbL.jpg;https://images-na.ssl-images-amazon.com/images/I/21VMA9CGR1L.jpg;https://images-na.ssl-images-amazon.com/images/I/312EBoe7j4L"&amp;".jpg;https://images-na.ssl-images-amazon.com/images/I/516ZXiYv7NL.jpg;https://images-na.ssl-images-amazon.com/images/I/31ji2QCbKdL.jpg;https://images-na.ssl-images-amazon.com/images/I/41H+AJi9hcL.jpg")</f>
        <v>#NAME?</v>
      </c>
      <c r="G190" s="56" t="s">
        <v>141</v>
      </c>
      <c r="H190" s="83">
        <v>2</v>
      </c>
      <c r="I190" s="88">
        <v>46</v>
      </c>
      <c r="J190" s="83">
        <v>2</v>
      </c>
      <c r="K190" s="88">
        <v>-40.479999999999997</v>
      </c>
      <c r="L190" s="84">
        <v>-13.89</v>
      </c>
      <c r="M190" s="94">
        <f t="shared" si="11"/>
        <v>-6.9450000000000003</v>
      </c>
      <c r="N190" s="57">
        <f>(VLOOKUP(E190,Sheet4!F:G,2,0))/1000</f>
        <v>0.75</v>
      </c>
      <c r="O190" s="99">
        <v>723.6</v>
      </c>
      <c r="P190" s="58" t="s">
        <v>1188</v>
      </c>
      <c r="Q190" s="59" cm="1">
        <f t="array" ref="Q190">_xlfn.IFS($P190=$P$2,O190+$P$3*N190,$P190=$Q$2,O190+$Q$3*N190)</f>
        <v>1061.0999999999999</v>
      </c>
      <c r="R190" s="101">
        <f t="shared" si="9"/>
        <v>26.527499999999996</v>
      </c>
      <c r="S190" s="60">
        <f t="shared" si="10"/>
        <v>-40.417499999999997</v>
      </c>
    </row>
    <row r="191" spans="2:19" ht="14.4">
      <c r="B191" s="55" t="s">
        <v>20</v>
      </c>
      <c r="C191" s="56" t="s">
        <v>488</v>
      </c>
      <c r="D191" s="56" t="str">
        <f>VLOOKUP(C191,DATA!B:C,2,0)</f>
        <v>GS BOWL -21</v>
      </c>
      <c r="E191" s="56" t="str">
        <f>VLOOKUP(C191,Sheet4!A:B,2,0)</f>
        <v>BOWL -21</v>
      </c>
      <c r="F191" s="56" t="e">
        <f ca="1">Image("https://images-na.ssl-images-amazon.com/images/I/31d+++76HYL.jpg;https://images-na.ssl-images-amazon.com/images/I/21msLb3LRUL.jpg;https://images-na.ssl-images-amazon.com/images/I/21w6j3xmjML.jpg;https://images-na.ssl-images-amazon.com/images/I/516ZXiYv7NL"&amp;".jpg;https://images-na.ssl-images-amazon.com/images/I/21E-+BmFo5L.jpg;https://images-na.ssl-images-amazon.com/images/I/31Kps+HAoQL.jpg")</f>
        <v>#NAME?</v>
      </c>
      <c r="G191" s="56" t="s">
        <v>490</v>
      </c>
      <c r="H191" s="83">
        <v>2</v>
      </c>
      <c r="I191" s="88">
        <v>87.98</v>
      </c>
      <c r="J191" s="83">
        <v>0</v>
      </c>
      <c r="K191" s="88">
        <v>0</v>
      </c>
      <c r="L191" s="84">
        <v>74.75</v>
      </c>
      <c r="M191" s="94">
        <f t="shared" si="11"/>
        <v>37.375</v>
      </c>
      <c r="N191" s="57">
        <f>(VLOOKUP(E191,Sheet4!F:G,2,0))/1000</f>
        <v>1.25</v>
      </c>
      <c r="O191" s="99">
        <v>1255.2</v>
      </c>
      <c r="P191" s="58" t="s">
        <v>1188</v>
      </c>
      <c r="Q191" s="59" cm="1">
        <f t="array" ref="Q191">_xlfn.IFS($P191=$P$2,O191+$P$3*N191,$P191=$Q$2,O191+$Q$3*N191)</f>
        <v>1817.7</v>
      </c>
      <c r="R191" s="101">
        <f t="shared" si="9"/>
        <v>45.442500000000003</v>
      </c>
      <c r="S191" s="60">
        <f t="shared" si="10"/>
        <v>29.307499999999997</v>
      </c>
    </row>
    <row r="192" spans="2:19" ht="14.4">
      <c r="B192" s="55" t="s">
        <v>20</v>
      </c>
      <c r="C192" s="56" t="s">
        <v>294</v>
      </c>
      <c r="D192" s="56" t="str">
        <f>VLOOKUP(C192,DATA!B:C,2,0)</f>
        <v>JD C BOWL -29</v>
      </c>
      <c r="E192" s="56" t="str">
        <f>VLOOKUP(C192,Sheet4!A:B,2,0)</f>
        <v>BOWL -29</v>
      </c>
      <c r="F192" s="56" t="e">
        <f ca="1">Image("https://images-na.ssl-images-amazon.com/images/I/31JBeLoo0SL.jpg;https://images-na.ssl-images-amazon.com/images/I/21i78FuHE2L.jpg;https://images-na.ssl-images-amazon.com/images/I/41LDBVedazL.jpg;https://images-na.ssl-images-amazon.com/images/I/21PH100fTaL"&amp;".jpg;https://images-na.ssl-images-amazon.com/images/I/516ZXiYv7NL.jpg")</f>
        <v>#NAME?</v>
      </c>
      <c r="G192" s="56" t="s">
        <v>296</v>
      </c>
      <c r="H192" s="83">
        <v>8</v>
      </c>
      <c r="I192" s="88">
        <v>272.61</v>
      </c>
      <c r="J192" s="83">
        <v>0</v>
      </c>
      <c r="K192" s="88">
        <v>0</v>
      </c>
      <c r="L192" s="84">
        <v>219.95</v>
      </c>
      <c r="M192" s="94">
        <f t="shared" si="11"/>
        <v>27.493749999999999</v>
      </c>
      <c r="N192" s="57">
        <f>(VLOOKUP(E192,Sheet4!F:G,2,0))/1000</f>
        <v>1.19</v>
      </c>
      <c r="O192" s="99">
        <f>VLOOKUP(E192,Sheet4!F1:J586,5,0)</f>
        <v>1255.2</v>
      </c>
      <c r="P192" s="58" t="s">
        <v>1188</v>
      </c>
      <c r="Q192" s="59" cm="1">
        <f t="array" ref="Q192">_xlfn.IFS($P192=$P$2,O192+$P$3*N192,$P192=$Q$2,O192+$Q$3*N192)</f>
        <v>1790.7</v>
      </c>
      <c r="R192" s="101">
        <f t="shared" si="9"/>
        <v>179.07</v>
      </c>
      <c r="S192" s="60">
        <f t="shared" si="10"/>
        <v>40.879999999999995</v>
      </c>
    </row>
    <row r="193" spans="2:19" ht="14.4">
      <c r="B193" s="55" t="s">
        <v>20</v>
      </c>
      <c r="C193" s="56" t="s">
        <v>82</v>
      </c>
      <c r="D193" s="56" t="str">
        <f>VLOOKUP(C193,DATA!B:C,2,0)</f>
        <v>BROOM -1</v>
      </c>
      <c r="E193" s="56" t="str">
        <f>VLOOKUP(C193,Sheet4!A:B,2,0)</f>
        <v>BROOM -1</v>
      </c>
      <c r="F193" s="56" t="e">
        <f ca="1">Image("https://images-na.ssl-images-amazon.com/images/I/41e1rbszsQL.jpg;https://images-na.ssl-images-amazon.com/images/I/21DNaUWkseL.jpg;https://images-na.ssl-images-amazon.com/images/I/31AUIAhX5+L.jpg;https://images-na.ssl-images-amazon.com/images/I/51yQoZzg+yL"&amp;".jpg;https://images-na.ssl-images-amazon.com/images/I/61MVDqWFf7L.jpg;https://images-na.ssl-images-amazon.com/images/I/513VyruhmEL.jpg;https://images-na.ssl-images-amazon.com/images/I/51xNAS7mwJL.jpg;https://images-na.ssl-images-amazon.com/images/I/61WfeJ"&amp;"caHhL.jpg")</f>
        <v>#NAME?</v>
      </c>
      <c r="G193" s="56" t="s">
        <v>84</v>
      </c>
      <c r="H193" s="83">
        <v>338</v>
      </c>
      <c r="I193" s="88">
        <v>6644.41</v>
      </c>
      <c r="J193" s="83">
        <v>13</v>
      </c>
      <c r="K193" s="88">
        <v>-221.48</v>
      </c>
      <c r="L193" s="84">
        <v>1874.89</v>
      </c>
      <c r="M193" s="94">
        <f t="shared" si="11"/>
        <v>5.5470118343195267</v>
      </c>
      <c r="N193" s="57">
        <f>(VLOOKUP(E193,Sheet4!F:G,2,0))/1000</f>
        <v>0.5</v>
      </c>
      <c r="O193" s="99">
        <f>VLOOKUP(E193,Sheet4!F231:J816,5,0)</f>
        <v>87.6</v>
      </c>
      <c r="P193" s="58" t="s">
        <v>1188</v>
      </c>
      <c r="Q193" s="59" cm="1">
        <f t="array" ref="Q193">_xlfn.IFS($P193=$P$2,O193+$P$3*N193,$P193=$Q$2,O193+$Q$3*N193)</f>
        <v>312.60000000000002</v>
      </c>
      <c r="R193" s="101">
        <f t="shared" si="9"/>
        <v>1320.7350000000001</v>
      </c>
      <c r="S193" s="60">
        <f t="shared" si="10"/>
        <v>554.15499999999997</v>
      </c>
    </row>
    <row r="194" spans="2:19" ht="14.4">
      <c r="B194" s="55" t="s">
        <v>20</v>
      </c>
      <c r="C194" s="56" t="s">
        <v>581</v>
      </c>
      <c r="D194" s="56" t="str">
        <f>VLOOKUP(C194,DATA!B:C,2,0)</f>
        <v>GS C SOASPSTONE -9</v>
      </c>
      <c r="E194" s="56" t="str">
        <f>VLOOKUP(C194,Sheet4!A:B,2,0)</f>
        <v>SOAPSTONE -9</v>
      </c>
      <c r="F194" s="56" t="e">
        <f ca="1">Image("https://images-na.ssl-images-amazon.com/images/I/41hUI-doAyL.jpg;https://images-na.ssl-images-amazon.com/images/I/41MTO8joLNL.jpg;https://images-na.ssl-images-amazon.com/images/I/415O2xkP8eL.jpg;https://images-na.ssl-images-amazon.com/images/I/41MJsAwGKDL"&amp;".jpg;https://images-na.ssl-images-amazon.com/images/I/31vzSFOnAyL.jpg;https://images-na.ssl-images-amazon.com/images/I/61Ex8c7thXL.jpg")</f>
        <v>#NAME?</v>
      </c>
      <c r="G194" s="56" t="s">
        <v>440</v>
      </c>
      <c r="H194" s="83">
        <v>4</v>
      </c>
      <c r="I194" s="88">
        <v>54.16</v>
      </c>
      <c r="J194" s="83">
        <v>0</v>
      </c>
      <c r="K194" s="88">
        <v>-5.27</v>
      </c>
      <c r="L194" s="84">
        <v>40.770000000000003</v>
      </c>
      <c r="M194" s="94">
        <f t="shared" si="11"/>
        <v>10.192500000000001</v>
      </c>
      <c r="N194" s="57">
        <f>(VLOOKUP(E194,Sheet4!F:G,2,0))/1000</f>
        <v>0.42499999999999999</v>
      </c>
      <c r="O194" s="99">
        <f>VLOOKUP(E194,Sheet4!F4:J589,5,0)</f>
        <v>236.4</v>
      </c>
      <c r="P194" s="58" t="s">
        <v>1188</v>
      </c>
      <c r="Q194" s="59" cm="1">
        <f t="array" ref="Q194">_xlfn.IFS($P194=$P$2,O194+$P$3*N194,$P194=$Q$2,O194+$Q$3*N194)</f>
        <v>427.65</v>
      </c>
      <c r="R194" s="101">
        <f t="shared" si="9"/>
        <v>21.3825</v>
      </c>
      <c r="S194" s="60">
        <f t="shared" si="10"/>
        <v>19.387500000000003</v>
      </c>
    </row>
    <row r="195" spans="2:19" ht="14.4">
      <c r="B195" s="55" t="s">
        <v>20</v>
      </c>
      <c r="C195" s="56" t="s">
        <v>575</v>
      </c>
      <c r="D195" s="56" t="str">
        <f>VLOOKUP(C195,DATA!B:C,2,0)</f>
        <v>GS C SOASPSTONE -14</v>
      </c>
      <c r="E195" s="56" t="s">
        <v>439</v>
      </c>
      <c r="F195" s="56" t="e">
        <f ca="1">Image("https://images-na.ssl-images-amazon.com/images/I/41Kf488QYHL.jpg;https://images-na.ssl-images-amazon.com/images/I/412osnW94qL.jpg;https://images-na.ssl-images-amazon.com/images/I/41szeYYs6CL.jpg;https://images-na.ssl-images-amazon.com/images/I/31+Xz-RtcgL"&amp;".jpg;https://images-na.ssl-images-amazon.com/images/I/21tNNHDftqL.jpg;https://images-na.ssl-images-amazon.com/images/I/21xrXz5FDyL.jpg")</f>
        <v>#NAME?</v>
      </c>
      <c r="G195" s="56" t="s">
        <v>577</v>
      </c>
      <c r="H195" s="83">
        <v>4</v>
      </c>
      <c r="I195" s="88">
        <v>48.93</v>
      </c>
      <c r="J195" s="83">
        <v>0</v>
      </c>
      <c r="K195" s="88">
        <v>0</v>
      </c>
      <c r="L195" s="84">
        <v>41.58</v>
      </c>
      <c r="M195" s="94">
        <f t="shared" si="11"/>
        <v>10.395</v>
      </c>
      <c r="N195" s="57">
        <f>(VLOOKUP(E195,Sheet4!F:G,2,0))/1000</f>
        <v>0.45</v>
      </c>
      <c r="O195" s="99">
        <f>VLOOKUP(E195,Sheet4!F5:J590,5,0)</f>
        <v>236.4</v>
      </c>
      <c r="P195" s="58" t="s">
        <v>1188</v>
      </c>
      <c r="Q195" s="59" cm="1">
        <f t="array" ref="Q195">_xlfn.IFS($P195=$P$2,O195+$P$3*N195,$P195=$Q$2,O195+$Q$3*N195)</f>
        <v>438.9</v>
      </c>
      <c r="R195" s="101">
        <f t="shared" si="9"/>
        <v>21.945</v>
      </c>
      <c r="S195" s="60">
        <f t="shared" si="10"/>
        <v>19.634999999999998</v>
      </c>
    </row>
    <row r="196" spans="2:19" ht="14.4">
      <c r="B196" s="55" t="s">
        <v>20</v>
      </c>
      <c r="C196" s="56" t="s">
        <v>845</v>
      </c>
      <c r="D196" s="56" t="str">
        <f>VLOOKUP(C196,DATA!B:C,2,0)</f>
        <v>ALU PANS -1</v>
      </c>
      <c r="E196" s="56" t="str">
        <f>VLOOKUP(C196,Sheet4!A:B,2,0)</f>
        <v>ALU PANS -1</v>
      </c>
      <c r="F196" s="56" t="e">
        <f ca="1">Image("https://images-na.ssl-images-amazon.com/images/I/31p4MRZAVVL.jpg;https://images-na.ssl-images-amazon.com/images/I/31MIcaGpYjL.jpg;https://images-na.ssl-images-amazon.com/images/I/31TcE7VonpL.jpg;https://images-na.ssl-images-amazon.com/images/I/2140EJVLhDL"&amp;".jpg;https://images-na.ssl-images-amazon.com/images/I/41s-Kjcqp0L.jpg;https://images-na.ssl-images-amazon.com/images/I/41T156Ka28L.jpg")</f>
        <v>#NAME?</v>
      </c>
      <c r="G196" s="56" t="s">
        <v>847</v>
      </c>
      <c r="H196" s="83">
        <v>6</v>
      </c>
      <c r="I196" s="88">
        <v>75.94</v>
      </c>
      <c r="J196" s="83">
        <v>1</v>
      </c>
      <c r="K196" s="88">
        <v>-13.19</v>
      </c>
      <c r="L196" s="84">
        <v>7.96</v>
      </c>
      <c r="M196" s="94">
        <f t="shared" si="11"/>
        <v>1.3266666666666667</v>
      </c>
      <c r="N196" s="57">
        <f>(VLOOKUP(E196,Sheet4!F:G,2,0))/1000</f>
        <v>0.2</v>
      </c>
      <c r="O196" s="99">
        <f>VLOOKUP(E196,Sheet4!F234:J819,5,0)</f>
        <v>139.19999999999999</v>
      </c>
      <c r="P196" s="58" t="s">
        <v>1188</v>
      </c>
      <c r="Q196" s="59" cm="1">
        <f t="array" ref="Q196">_xlfn.IFS($P196=$P$2,O196+$P$3*N196,$P196=$Q$2,O196+$Q$3*N196)</f>
        <v>229.2</v>
      </c>
      <c r="R196" s="101">
        <f t="shared" si="9"/>
        <v>17.189999999999998</v>
      </c>
      <c r="S196" s="60">
        <f t="shared" si="10"/>
        <v>-9.2299999999999969</v>
      </c>
    </row>
    <row r="197" spans="2:19" ht="14.4">
      <c r="B197" s="55" t="s">
        <v>20</v>
      </c>
      <c r="C197" s="56" t="s">
        <v>118</v>
      </c>
      <c r="D197" s="56" t="str">
        <f>VLOOKUP(C197,DATA!B:C,2,0)</f>
        <v>JD USA BROOM -3</v>
      </c>
      <c r="E197" s="56" t="str">
        <f>VLOOKUP(C197,Sheet4!A:B,2,0)</f>
        <v>BROOM -3</v>
      </c>
      <c r="F197" s="56" t="e">
        <f ca="1">Image("https://images-na.ssl-images-amazon.com/images/I/41y-G9NVZkL.jpg;https://images-na.ssl-images-amazon.com/images/I/31ZHUpZd3XL.jpg;https://images-na.ssl-images-amazon.com/images/I/31gZwW-zYPL.jpg;https://images-na.ssl-images-amazon.com/images/I/41Ohq1BKzHL"&amp;".jpg;https://images-na.ssl-images-amazon.com/images/I/31eH4IEysCL.jpg;https://images-na.ssl-images-amazon.com/images/I/51OKOeXMhWL.jpg")</f>
        <v>#NAME?</v>
      </c>
      <c r="G197" s="56" t="s">
        <v>120</v>
      </c>
      <c r="H197" s="83">
        <v>61</v>
      </c>
      <c r="I197" s="88">
        <v>2170.1999999999998</v>
      </c>
      <c r="J197" s="83">
        <v>3</v>
      </c>
      <c r="K197" s="88">
        <v>-92.94</v>
      </c>
      <c r="L197" s="84">
        <v>982.18</v>
      </c>
      <c r="M197" s="94">
        <f t="shared" si="11"/>
        <v>16.101311475409837</v>
      </c>
      <c r="N197" s="57">
        <f>(VLOOKUP(E197,Sheet4!F:G,2,0))/1000</f>
        <v>1.38</v>
      </c>
      <c r="O197" s="99">
        <f>VLOOKUP(E197,Sheet4!F235:J820,5,0)</f>
        <v>200.4</v>
      </c>
      <c r="P197" s="58" t="s">
        <v>1188</v>
      </c>
      <c r="Q197" s="59" cm="1">
        <f t="array" ref="Q197">_xlfn.IFS($P197=$P$2,O197+$P$3*N197,$P197=$Q$2,O197+$Q$3*N197)</f>
        <v>821.4</v>
      </c>
      <c r="R197" s="101">
        <f t="shared" si="9"/>
        <v>626.3175</v>
      </c>
      <c r="S197" s="60">
        <f t="shared" si="10"/>
        <v>355.86249999999995</v>
      </c>
    </row>
    <row r="198" spans="2:19" ht="14.4">
      <c r="B198" s="55" t="s">
        <v>20</v>
      </c>
      <c r="C198" s="56" t="s">
        <v>31</v>
      </c>
      <c r="D198" s="56" t="str">
        <f>VLOOKUP(C198,DATA!B:C,2,0)</f>
        <v>MU-YSOO-U56G</v>
      </c>
      <c r="E198" s="56" t="str">
        <f>VLOOKUP(C198,Sheet4!A:B,2,0)</f>
        <v>TABLET -1</v>
      </c>
      <c r="F198" s="56" t="e">
        <f ca="1">Image("https://images-na.ssl-images-amazon.com/images/I/51hpfk8d-oL.jpg;https://images-na.ssl-images-amazon.com/images/I/51Xp1dzFxPL.jpg;https://images-na.ssl-images-amazon.com/images/I/51a1-EYbZOL.jpg;https://images-na.ssl-images-amazon.com/images/I/51Exg-ZkqoL"&amp;".jpg")</f>
        <v>#NAME?</v>
      </c>
      <c r="G198" s="56" t="s">
        <v>33</v>
      </c>
      <c r="H198" s="83">
        <v>979</v>
      </c>
      <c r="I198" s="88">
        <v>9472.19</v>
      </c>
      <c r="J198" s="83">
        <v>18</v>
      </c>
      <c r="K198" s="88">
        <v>-165.37</v>
      </c>
      <c r="L198" s="84">
        <v>4522.59</v>
      </c>
      <c r="M198" s="94">
        <f t="shared" si="11"/>
        <v>4.6196016343207358</v>
      </c>
      <c r="N198" s="57">
        <f>(VLOOKUP(E198,Sheet4!F:G,2,0))/1000</f>
        <v>0.44</v>
      </c>
      <c r="O198" s="99">
        <f>VLOOKUP(E198,Sheet4!F236:J821,5,0)</f>
        <v>127.2</v>
      </c>
      <c r="P198" s="58" t="s">
        <v>1188</v>
      </c>
      <c r="Q198" s="59" cm="1">
        <f t="array" ref="Q198">_xlfn.IFS($P198=$P$2,O198+$P$3*N198,$P198=$Q$2,O198+$Q$3*N198)</f>
        <v>325.2</v>
      </c>
      <c r="R198" s="101">
        <f t="shared" ref="R198:R261" si="12">Q198*H198/$R$2</f>
        <v>3979.6349999999998</v>
      </c>
      <c r="S198" s="60">
        <f t="shared" ref="S198:S261" si="13">L198-R198</f>
        <v>542.95500000000038</v>
      </c>
    </row>
    <row r="199" spans="2:19" ht="14.4">
      <c r="B199" s="55" t="s">
        <v>20</v>
      </c>
      <c r="C199" s="56" t="s">
        <v>1174</v>
      </c>
      <c r="D199" s="56" t="str">
        <f>VLOOKUP(C199,DATA!B:C,2,0)</f>
        <v>JD-COSYNEE-POLYFILL-FIBER-100G</v>
      </c>
      <c r="E199" s="56" t="str">
        <f>VLOOKUP(C199,Sheet4!A:B,2,0)</f>
        <v>POLYFILL -1</v>
      </c>
      <c r="F199" s="56" t="e">
        <f ca="1">Image("https://images-na.ssl-images-amazon.com/images/I/41Wwfal1GXL.jpg;https://images-na.ssl-images-amazon.com/images/I/51vxxj5HoaL.jpg;https://images-na.ssl-images-amazon.com/images/I/515bHFGU3GL.jpg;https://images-na.ssl-images-amazon.com/images/I/512Vzw6wI5L"&amp;".jpg;https://images-na.ssl-images-amazon.com/images/I/41nyUN5tmcL.jpg;https://images-na.ssl-images-amazon.com/images/I/61L-tXzuspL.jpg")</f>
        <v>#NAME?</v>
      </c>
      <c r="G199" s="56" t="s">
        <v>1176</v>
      </c>
      <c r="H199" s="83">
        <v>53</v>
      </c>
      <c r="I199" s="88">
        <v>440.45</v>
      </c>
      <c r="J199" s="83">
        <v>3</v>
      </c>
      <c r="K199" s="88">
        <v>-21.09</v>
      </c>
      <c r="L199" s="84">
        <v>-226.02</v>
      </c>
      <c r="M199" s="94">
        <f t="shared" si="11"/>
        <v>-4.2645283018867923</v>
      </c>
      <c r="N199" s="57">
        <f>(VLOOKUP(E199,Sheet4!F:G,2,0))/1000</f>
        <v>0.11</v>
      </c>
      <c r="O199" s="99">
        <f>VLOOKUP(E199,Sheet4!F237:J822,5,0)</f>
        <v>64.8</v>
      </c>
      <c r="P199" s="58" t="s">
        <v>1188</v>
      </c>
      <c r="Q199" s="59" cm="1">
        <f t="array" ref="Q199">_xlfn.IFS($P199=$P$2,O199+$P$3*N199,$P199=$Q$2,O199+$Q$3*N199)</f>
        <v>114.3</v>
      </c>
      <c r="R199" s="101">
        <f t="shared" si="12"/>
        <v>75.723749999999995</v>
      </c>
      <c r="S199" s="60">
        <f t="shared" si="13"/>
        <v>-301.74374999999998</v>
      </c>
    </row>
    <row r="200" spans="2:19" ht="14.4">
      <c r="B200" s="55" t="s">
        <v>20</v>
      </c>
      <c r="C200" s="56" t="s">
        <v>1142</v>
      </c>
      <c r="D200" s="56" t="str">
        <f>VLOOKUP(C200,DATA!B:C,2,0)</f>
        <v>COSYNEE-SILICA-GEL-PACK100-2GRAM</v>
      </c>
      <c r="E200" s="56" t="str">
        <f>VLOOKUP(C200,Sheet4!A:B,2,0)</f>
        <v>SLCA -1</v>
      </c>
      <c r="F200" s="56" t="e">
        <f ca="1">Image("https://images-na.ssl-images-amazon.com/images/I/51IGKmah+-L.jpg;https://images-na.ssl-images-amazon.com/images/I/514GeVhg0dL.jpg;https://images-na.ssl-images-amazon.com/images/I/51RMh22ArbL.jpg;https://images-na.ssl-images-amazon.com/images/I/41Y8hTzY4rL"&amp;".jpg;https://images-na.ssl-images-amazon.com/images/I/312Lq7p+kXL.jpg;https://images-na.ssl-images-amazon.com/images/I/51fmgbodi9L.jpg;https://images-na.ssl-images-amazon.com/images/I/51ZDQsER+cL.jpg")</f>
        <v>#NAME?</v>
      </c>
      <c r="G200" s="56" t="s">
        <v>1144</v>
      </c>
      <c r="H200" s="83">
        <v>4</v>
      </c>
      <c r="I200" s="88">
        <v>38.4</v>
      </c>
      <c r="J200" s="83">
        <v>0</v>
      </c>
      <c r="K200" s="88">
        <v>0</v>
      </c>
      <c r="L200" s="84">
        <v>-96.64</v>
      </c>
      <c r="M200" s="94">
        <f t="shared" si="11"/>
        <v>-24.16</v>
      </c>
      <c r="N200" s="57">
        <f>(VLOOKUP(E200,Sheet4!F:G,2,0))/1000</f>
        <v>0.21</v>
      </c>
      <c r="O200" s="99">
        <f>VLOOKUP(E200,Sheet4!F238:J823,5,0)</f>
        <v>124.8</v>
      </c>
      <c r="P200" s="58" t="s">
        <v>1188</v>
      </c>
      <c r="Q200" s="59" cm="1">
        <f t="array" ref="Q200">_xlfn.IFS($P200=$P$2,O200+$P$3*N200,$P200=$Q$2,O200+$Q$3*N200)</f>
        <v>219.3</v>
      </c>
      <c r="R200" s="101">
        <f t="shared" si="12"/>
        <v>10.965</v>
      </c>
      <c r="S200" s="60">
        <f t="shared" si="13"/>
        <v>-107.605</v>
      </c>
    </row>
    <row r="201" spans="2:19" ht="14.4">
      <c r="B201" s="55" t="s">
        <v>20</v>
      </c>
      <c r="C201" s="56" t="s">
        <v>800</v>
      </c>
      <c r="D201" s="56" t="str">
        <f>VLOOKUP(C201,DATA!B:C,2,0)</f>
        <v>JD-FRAKTA-BAG-PACK-4</v>
      </c>
      <c r="E201" s="56" t="str">
        <f>VLOOKUP(C201,Sheet4!A:B,2,0)</f>
        <v>POLYBAG -1</v>
      </c>
      <c r="F201" s="56" t="e">
        <f ca="1">Image("https://images-na.ssl-images-amazon.com/images/I/41l+0d9tt3L.jpg;https://images-na.ssl-images-amazon.com/images/I/41shRjrREpL.jpg;https://images-na.ssl-images-amazon.com/images/I/41fwxyX1hCL.jpg;https://images-na.ssl-images-amazon.com/images/I/41+HxQkIdhL"&amp;".jpg;https://images-na.ssl-images-amazon.com/images/I/51UHUwwcKAL.jpg;https://images-na.ssl-images-amazon.com/images/I/51-8L3zYDrL.jpg")</f>
        <v>#NAME?</v>
      </c>
      <c r="G201" s="56" t="s">
        <v>802</v>
      </c>
      <c r="H201" s="83">
        <v>2</v>
      </c>
      <c r="I201" s="88">
        <v>44.91</v>
      </c>
      <c r="J201" s="83">
        <v>0</v>
      </c>
      <c r="K201" s="88">
        <v>0</v>
      </c>
      <c r="L201" s="84">
        <v>11.02</v>
      </c>
      <c r="M201" s="94">
        <f t="shared" si="11"/>
        <v>5.51</v>
      </c>
      <c r="N201" s="57">
        <f>(VLOOKUP(E201,Sheet4!F:G,2,0))/1000</f>
        <v>0.4</v>
      </c>
      <c r="O201" s="99">
        <f>VLOOKUP(E201,Sheet4!F239:J824,5,0)</f>
        <v>300</v>
      </c>
      <c r="P201" s="58" t="s">
        <v>1188</v>
      </c>
      <c r="Q201" s="59" cm="1">
        <f t="array" ref="Q201">_xlfn.IFS($P201=$P$2,O201+$P$3*N201,$P201=$Q$2,O201+$Q$3*N201)</f>
        <v>480</v>
      </c>
      <c r="R201" s="101">
        <f t="shared" si="12"/>
        <v>12</v>
      </c>
      <c r="S201" s="60">
        <f t="shared" si="13"/>
        <v>-0.98000000000000043</v>
      </c>
    </row>
    <row r="202" spans="2:19" ht="14.4">
      <c r="B202" s="55" t="s">
        <v>20</v>
      </c>
      <c r="C202" s="56" t="s">
        <v>435</v>
      </c>
      <c r="D202" s="56" t="str">
        <f>VLOOKUP(C202,DATA!B:C,2,0)</f>
        <v>JD-BUCKWHEAT-PILLOW-BIG</v>
      </c>
      <c r="E202" s="56" t="str">
        <f>VLOOKUP(C202,Sheet4!A:B,2,0)</f>
        <v>BUCK -2</v>
      </c>
      <c r="F202" s="56" t="e">
        <f ca="1">Image("https://images-na.ssl-images-amazon.com/images/I/31DinjBV3hL.jpg;https://images-na.ssl-images-amazon.com/images/I/510-GPn9R9L.jpg;https://images-na.ssl-images-amazon.com/images/I/51UYRjk1KVL.jpg;https://images-na.ssl-images-amazon.com/images/I/51ADoc7xe4L"&amp;".jpg;https://images-na.ssl-images-amazon.com/images/I/411YVmiyj0L.jpg;https://images-na.ssl-images-amazon.com/images/I/51juEXUqQ6L.jpg")</f>
        <v>#NAME?</v>
      </c>
      <c r="G202" s="56" t="s">
        <v>437</v>
      </c>
      <c r="H202" s="83">
        <v>15</v>
      </c>
      <c r="I202" s="88">
        <v>333.86</v>
      </c>
      <c r="J202" s="83">
        <v>5</v>
      </c>
      <c r="K202" s="88">
        <v>-103.79</v>
      </c>
      <c r="L202" s="84">
        <v>97.58</v>
      </c>
      <c r="M202" s="94">
        <f t="shared" si="11"/>
        <v>6.5053333333333336</v>
      </c>
      <c r="N202" s="57">
        <f>(VLOOKUP(E202,Sheet4!F:G,2,0))/1000</f>
        <v>1.9</v>
      </c>
      <c r="O202" s="99">
        <f>VLOOKUP(E202,Sheet4!F240:J825,5,0)</f>
        <v>218.4</v>
      </c>
      <c r="P202" s="58" t="s">
        <v>1188</v>
      </c>
      <c r="Q202" s="59" cm="1">
        <f t="array" ref="Q202">_xlfn.IFS($P202=$P$2,O202+$P$3*N202,$P202=$Q$2,O202+$Q$3*N202)</f>
        <v>1073.4000000000001</v>
      </c>
      <c r="R202" s="101">
        <f t="shared" si="12"/>
        <v>201.26250000000002</v>
      </c>
      <c r="S202" s="60">
        <f t="shared" si="13"/>
        <v>-103.68250000000002</v>
      </c>
    </row>
    <row r="203" spans="2:19" ht="14.4">
      <c r="B203" s="55" t="s">
        <v>20</v>
      </c>
      <c r="C203" s="56" t="s">
        <v>542</v>
      </c>
      <c r="D203" s="56" t="str">
        <f>VLOOKUP(C203,DATA!B:C,2,0)</f>
        <v>E2-Y2BN-V7HK</v>
      </c>
      <c r="E203" s="56" t="str">
        <f>VLOOKUP(C203,Sheet4!A:B,2,0)</f>
        <v>WOODEN -14</v>
      </c>
      <c r="F203" s="56" t="e">
        <f ca="1">Image("https://images-na.ssl-images-amazon.com/images/I/41kilqpK8eL.jpg;https://images-na.ssl-images-amazon.com/images/I/51ETP+-btDL.jpg;https://images-na.ssl-images-amazon.com/images/I/51RJS48UBHL.jpg;https://images-na.ssl-images-amazon.com/images/I/51kJ9dk2trL"&amp;".jpg;https://images-na.ssl-images-amazon.com/images/I/51k6ezLp0bL.jpg;https://images-na.ssl-images-amazon.com/images/I/51vyz8l8q5L.jpg")</f>
        <v>#NAME?</v>
      </c>
      <c r="G203" s="56" t="s">
        <v>544</v>
      </c>
      <c r="H203" s="83">
        <v>20</v>
      </c>
      <c r="I203" s="88">
        <v>210.8</v>
      </c>
      <c r="J203" s="83">
        <v>0</v>
      </c>
      <c r="K203" s="88">
        <v>0</v>
      </c>
      <c r="L203" s="84">
        <v>48.04</v>
      </c>
      <c r="M203" s="94">
        <f t="shared" si="11"/>
        <v>2.4020000000000001</v>
      </c>
      <c r="N203" s="57">
        <f>(VLOOKUP(E203,Sheet4!F:G,2,0))/1000</f>
        <v>0.2</v>
      </c>
      <c r="O203" s="99">
        <f>VLOOKUP(E203,Sheet4!F241:J826,5,0)</f>
        <v>146.4</v>
      </c>
      <c r="P203" s="58" t="s">
        <v>1188</v>
      </c>
      <c r="Q203" s="59" cm="1">
        <f t="array" ref="Q203">_xlfn.IFS($P203=$P$2,O203+$P$3*N203,$P203=$Q$2,O203+$Q$3*N203)</f>
        <v>236.4</v>
      </c>
      <c r="R203" s="101">
        <f t="shared" si="12"/>
        <v>59.1</v>
      </c>
      <c r="S203" s="60">
        <f t="shared" si="13"/>
        <v>-11.060000000000002</v>
      </c>
    </row>
    <row r="204" spans="2:19" ht="14.4">
      <c r="B204" s="55" t="s">
        <v>20</v>
      </c>
      <c r="C204" s="56" t="s">
        <v>905</v>
      </c>
      <c r="D204" s="56" t="str">
        <f>VLOOKUP(C204,DATA!B:C,2,0)</f>
        <v>JD SHILAJIT400 -6</v>
      </c>
      <c r="E204" s="56" t="str">
        <f>VLOOKUP(C204,Sheet4!A:B,2,0)</f>
        <v>SHILA TAB -3</v>
      </c>
      <c r="F204" s="56" t="e">
        <f ca="1">Image("https://images-na.ssl-images-amazon.com/images/I/41XBF0scsTL.jpg;https://images-na.ssl-images-amazon.com/images/I/51znhX8CnvL.jpg;https://images-na.ssl-images-amazon.com/images/I/51eKbA18gQL.jpg;https://images-na.ssl-images-amazon.com/images/I/51nRLQ4Sw6L"&amp;".jpg;https://images-na.ssl-images-amazon.com/images/I/51+x9h819pL.jpg")</f>
        <v>#NAME?</v>
      </c>
      <c r="G204" s="56" t="s">
        <v>907</v>
      </c>
      <c r="H204" s="83">
        <v>1</v>
      </c>
      <c r="I204" s="88">
        <v>6.99</v>
      </c>
      <c r="J204" s="83">
        <v>0</v>
      </c>
      <c r="K204" s="88">
        <v>0</v>
      </c>
      <c r="L204" s="84">
        <v>3.42</v>
      </c>
      <c r="M204" s="94">
        <f t="shared" si="11"/>
        <v>3.42</v>
      </c>
      <c r="N204" s="57">
        <f>(VLOOKUP(E204,Sheet4!F:G,2,0))/1000</f>
        <v>0.05</v>
      </c>
      <c r="O204" s="99">
        <f>VLOOKUP(E204,Sheet4!F242:J827,5,0)</f>
        <v>36</v>
      </c>
      <c r="P204" s="58" t="s">
        <v>1188</v>
      </c>
      <c r="Q204" s="59" cm="1">
        <f t="array" ref="Q204">_xlfn.IFS($P204=$P$2,O204+$P$3*N204,$P204=$Q$2,O204+$Q$3*N204)</f>
        <v>58.5</v>
      </c>
      <c r="R204" s="101">
        <f t="shared" si="12"/>
        <v>0.73124999999999996</v>
      </c>
      <c r="S204" s="60">
        <f t="shared" si="13"/>
        <v>2.6887499999999998</v>
      </c>
    </row>
    <row r="205" spans="2:19" ht="14.4">
      <c r="B205" s="55" t="s">
        <v>507</v>
      </c>
      <c r="C205" s="56" t="s">
        <v>505</v>
      </c>
      <c r="D205" s="56" t="str">
        <f>VLOOKUP(C205,DATA!B:C,2,0)</f>
        <v>Raja Opalite Rune</v>
      </c>
      <c r="E205" s="56" t="str">
        <f>VLOOKUP(C205,Sheet4!A:B,2,0)</f>
        <v>RUNE -1</v>
      </c>
      <c r="F205" s="56" t="e">
        <f ca="1">Image("https://images-na.ssl-images-amazon.com/images/I/51l+8tQtjIL.jpg")</f>
        <v>#NAME?</v>
      </c>
      <c r="G205" s="56" t="s">
        <v>508</v>
      </c>
      <c r="H205" s="83">
        <v>9</v>
      </c>
      <c r="I205" s="88">
        <v>127.95</v>
      </c>
      <c r="J205" s="83">
        <v>0</v>
      </c>
      <c r="K205" s="88">
        <v>0</v>
      </c>
      <c r="L205" s="84">
        <v>67.31</v>
      </c>
      <c r="M205" s="94">
        <f t="shared" si="11"/>
        <v>7.4788888888888891</v>
      </c>
      <c r="N205" s="57">
        <f>(VLOOKUP(E205,Sheet4!F:G,2,0))/1000</f>
        <v>0.2</v>
      </c>
      <c r="O205" s="99">
        <f>VLOOKUP(E205,Sheet4!F245:J830,5,0)</f>
        <v>355.2</v>
      </c>
      <c r="P205" s="58" t="s">
        <v>1188</v>
      </c>
      <c r="Q205" s="59" cm="1">
        <f t="array" ref="Q205">_xlfn.IFS($P205=$P$2,O205+$P$3*N205,$P205=$Q$2,O205+$Q$3*N205)</f>
        <v>445.2</v>
      </c>
      <c r="R205" s="101">
        <f t="shared" si="12"/>
        <v>50.084999999999994</v>
      </c>
      <c r="S205" s="60">
        <f t="shared" si="13"/>
        <v>17.225000000000009</v>
      </c>
    </row>
    <row r="206" spans="2:19" ht="14.4">
      <c r="B206" s="55" t="s">
        <v>12</v>
      </c>
      <c r="C206" s="56" t="s">
        <v>10</v>
      </c>
      <c r="D206" s="56" t="str">
        <f>VLOOKUP(C206,DATA!B:C,2,0)</f>
        <v>MR CNDL -1</v>
      </c>
      <c r="E206" s="56" t="str">
        <f>VLOOKUP(C206,Sheet4!A:B,2,0)</f>
        <v>CNDL -1</v>
      </c>
      <c r="F206" s="56" t="e">
        <f ca="1">Image("https://images-na.ssl-images-amazon.com/images/I/41X+Cd3f7QL.jpg;https://images-na.ssl-images-amazon.com/images/I/316UmAiMAsL.jpg;https://images-na.ssl-images-amazon.com/images/I/31teahcaMhL.jpg;https://images-na.ssl-images-amazon.com/images/I/31b3ZDpPpIL"&amp;".jpg")</f>
        <v>#NAME?</v>
      </c>
      <c r="G206" s="56" t="s">
        <v>13</v>
      </c>
      <c r="H206" s="83">
        <v>17142</v>
      </c>
      <c r="I206" s="88">
        <v>155652.25</v>
      </c>
      <c r="J206" s="83">
        <v>386</v>
      </c>
      <c r="K206" s="88">
        <v>-3078.82</v>
      </c>
      <c r="L206" s="84">
        <v>61083.81</v>
      </c>
      <c r="M206" s="94">
        <f t="shared" si="11"/>
        <v>3.5634004200210008</v>
      </c>
      <c r="N206" s="57">
        <f>(VLOOKUP(E206,Sheet4!F:G,2,0))/1000</f>
        <v>0.4</v>
      </c>
      <c r="O206" s="99">
        <f>VLOOKUP(E206,Sheet4!F:N,9,0)</f>
        <v>150.4</v>
      </c>
      <c r="P206" s="58" t="s">
        <v>1187</v>
      </c>
      <c r="Q206" s="59" cm="1">
        <f t="array" ref="Q206">_xlfn.IFS($P206=$P$2,O206+$P$3*N206,$P206=$Q$2,O206+$Q$3*N206)</f>
        <v>198.4</v>
      </c>
      <c r="R206" s="101">
        <f t="shared" si="12"/>
        <v>42512.160000000003</v>
      </c>
      <c r="S206" s="60">
        <f t="shared" si="13"/>
        <v>18571.649999999994</v>
      </c>
    </row>
    <row r="207" spans="2:19" ht="14.4">
      <c r="B207" s="55" t="s">
        <v>12</v>
      </c>
      <c r="C207" s="56" t="s">
        <v>418</v>
      </c>
      <c r="D207" s="56" t="str">
        <f>VLOOKUP(C207,DATA!B:C,2,0)</f>
        <v>GS US CNDL -4</v>
      </c>
      <c r="E207" s="56" t="str">
        <f>VLOOKUP(C207,Sheet4!A:B,2,0)</f>
        <v>CNDL -4</v>
      </c>
      <c r="F207" s="56" t="e">
        <f ca="1">Image("https://images-na.ssl-images-amazon.com/images/I/31sAL+MNEEL.jpg")</f>
        <v>#NAME?</v>
      </c>
      <c r="G207" s="56" t="s">
        <v>420</v>
      </c>
      <c r="H207" s="83">
        <v>4</v>
      </c>
      <c r="I207" s="88">
        <v>121.96</v>
      </c>
      <c r="J207" s="83">
        <v>0</v>
      </c>
      <c r="K207" s="88">
        <v>0</v>
      </c>
      <c r="L207" s="84">
        <v>103.66</v>
      </c>
      <c r="M207" s="94">
        <f t="shared" si="11"/>
        <v>25.914999999999999</v>
      </c>
      <c r="N207" s="57">
        <f>(VLOOKUP(E207,Sheet4!F:G,2,0))/1000</f>
        <v>0.4</v>
      </c>
      <c r="O207" s="99">
        <f>VLOOKUP(E207,Sheet4!F250:J835,5,0)</f>
        <v>110.4</v>
      </c>
      <c r="P207" s="58" t="s">
        <v>1188</v>
      </c>
      <c r="Q207" s="59" cm="1">
        <f t="array" ref="Q207">_xlfn.IFS($P207=$P$2,O207+$P$3*N207,$P207=$Q$2,O207+$Q$3*N207)</f>
        <v>290.39999999999998</v>
      </c>
      <c r="R207" s="101">
        <f t="shared" si="12"/>
        <v>14.52</v>
      </c>
      <c r="S207" s="60">
        <f t="shared" si="13"/>
        <v>89.14</v>
      </c>
    </row>
    <row r="208" spans="2:19" ht="14.4">
      <c r="B208" s="55" t="s">
        <v>12</v>
      </c>
      <c r="C208" s="56" t="s">
        <v>25</v>
      </c>
      <c r="D208" s="56" t="str">
        <f>VLOOKUP(C208,DATA!B:C,2,0)</f>
        <v>Stamp CNDL -5</v>
      </c>
      <c r="E208" s="56" t="str">
        <f>VLOOKUP(C208,Sheet4!A:B,2,0)</f>
        <v>CNDL -5</v>
      </c>
      <c r="F208" s="56" t="e">
        <f ca="1">Image("https://images-na.ssl-images-amazon.com/images/I/41sUHVqpF-L.jpg;https://images-na.ssl-images-amazon.com/images/I/51FTRdPiG4L.jpg;https://images-na.ssl-images-amazon.com/images/I/51sg8npK3+L.jpg;https://images-na.ssl-images-amazon.com/images/I/51b+Fcjt19L"&amp;".jpg;https://images-na.ssl-images-amazon.com/images/I/61m+NIwIFzL.jpg;https://images-na.ssl-images-amazon.com/images/I/317+gBlW+yL.jpg")</f>
        <v>#NAME?</v>
      </c>
      <c r="G208" s="56" t="s">
        <v>27</v>
      </c>
      <c r="H208" s="83">
        <v>627</v>
      </c>
      <c r="I208" s="88">
        <v>11134.25</v>
      </c>
      <c r="J208" s="83">
        <v>28</v>
      </c>
      <c r="K208" s="88">
        <v>-441.74</v>
      </c>
      <c r="L208" s="84">
        <v>5575.82</v>
      </c>
      <c r="M208" s="94">
        <f t="shared" si="11"/>
        <v>8.8928548644338115</v>
      </c>
      <c r="N208" s="57">
        <f>(VLOOKUP(E208,Sheet4!F:G,2,0))/1000</f>
        <v>0.78</v>
      </c>
      <c r="O208" s="99">
        <f>VLOOKUP(E208,Sheet4!F:N,9,0)</f>
        <v>298.8</v>
      </c>
      <c r="P208" s="58" t="s">
        <v>1187</v>
      </c>
      <c r="Q208" s="59" cm="1">
        <f t="array" ref="Q208">_xlfn.IFS($P208=$P$2,O208+$P$3*N208,$P208=$Q$2,O208+$Q$3*N208)</f>
        <v>392.40000000000003</v>
      </c>
      <c r="R208" s="101">
        <f t="shared" si="12"/>
        <v>3075.4350000000004</v>
      </c>
      <c r="S208" s="60">
        <f t="shared" si="13"/>
        <v>2500.3849999999993</v>
      </c>
    </row>
    <row r="209" spans="2:19" ht="14.4">
      <c r="B209" s="55" t="s">
        <v>12</v>
      </c>
      <c r="C209" s="56" t="s">
        <v>22</v>
      </c>
      <c r="D209" s="56" t="str">
        <f>VLOOKUP(C209,DATA!B:C,2,0)</f>
        <v>CNDL -2</v>
      </c>
      <c r="E209" s="56" t="str">
        <f>VLOOKUP(C209,Sheet4!A:B,2,0)</f>
        <v>CNDL -2</v>
      </c>
      <c r="F209" s="56" t="e">
        <f ca="1">Image("https://images-na.ssl-images-amazon.com/images/I/51Ty4k4RvPL.jpg;https://images-na.ssl-images-amazon.com/images/I/51PrNjO7d-L.jpg;https://images-na.ssl-images-amazon.com/images/I/51sg8npK3+L.jpg;https://images-na.ssl-images-amazon.com/images/I/51b+Fcjt19L"&amp;".jpg;https://images-na.ssl-images-amazon.com/images/I/61m+NIwIFzL.jpg;https://images-na.ssl-images-amazon.com/images/I/317+gBlW+yL.jpg;https://images-na.ssl-images-amazon.com/images/I/51Ty4k4RvPL.jpg")</f>
        <v>#NAME?</v>
      </c>
      <c r="G209" s="56" t="s">
        <v>24</v>
      </c>
      <c r="H209" s="83">
        <v>613</v>
      </c>
      <c r="I209" s="88">
        <v>13436.49</v>
      </c>
      <c r="J209" s="83">
        <v>14</v>
      </c>
      <c r="K209" s="88">
        <v>-284.08999999999997</v>
      </c>
      <c r="L209" s="84">
        <v>6583.49</v>
      </c>
      <c r="M209" s="94">
        <f t="shared" si="11"/>
        <v>10.73978792822186</v>
      </c>
      <c r="N209" s="57">
        <f>(VLOOKUP(E209,Sheet4!F:G,2,0))/1000</f>
        <v>1.08</v>
      </c>
      <c r="O209" s="99">
        <f>VLOOKUP(E209,Sheet4!F244:N829,9,0)</f>
        <v>342</v>
      </c>
      <c r="P209" s="58" t="s">
        <v>1187</v>
      </c>
      <c r="Q209" s="59" cm="1">
        <f t="array" ref="Q209">_xlfn.IFS($P209=$P$2,O209+$P$3*N209,$P209=$Q$2,O209+$Q$3*N209)</f>
        <v>471.6</v>
      </c>
      <c r="R209" s="101">
        <f t="shared" si="12"/>
        <v>3613.6349999999998</v>
      </c>
      <c r="S209" s="60">
        <f t="shared" si="13"/>
        <v>2969.855</v>
      </c>
    </row>
    <row r="210" spans="2:19" ht="14.4">
      <c r="B210" s="55" t="s">
        <v>12</v>
      </c>
      <c r="C210" s="56" t="s">
        <v>160</v>
      </c>
      <c r="D210" s="56" t="str">
        <f>VLOOKUP(C210,DATA!B:C,2,0)</f>
        <v>100CANDLES-GS</v>
      </c>
      <c r="E210" s="56" t="str">
        <f>VLOOKUP(C210,Sheet4!A:B,2,0)</f>
        <v>CNDL -2</v>
      </c>
      <c r="F210" s="56" t="e">
        <f ca="1">Image("https://images-na.ssl-images-amazon.com/images/I/41V+0CpepLL.jpg")</f>
        <v>#NAME?</v>
      </c>
      <c r="G210" s="56" t="s">
        <v>24</v>
      </c>
      <c r="H210" s="83">
        <v>27</v>
      </c>
      <c r="I210" s="88">
        <v>1107.8599999999999</v>
      </c>
      <c r="J210" s="83">
        <v>2</v>
      </c>
      <c r="K210" s="88">
        <v>-72.14</v>
      </c>
      <c r="L210" s="84">
        <v>600.37</v>
      </c>
      <c r="M210" s="94">
        <f t="shared" si="11"/>
        <v>22.235925925925926</v>
      </c>
      <c r="N210" s="57">
        <f>(VLOOKUP(E210,Sheet4!F:G,2,0))/1000</f>
        <v>1.08</v>
      </c>
      <c r="O210" s="99">
        <f>VLOOKUP(E210,Sheet4!F245:N830,9,0)</f>
        <v>342</v>
      </c>
      <c r="P210" s="58" t="s">
        <v>1187</v>
      </c>
      <c r="Q210" s="59" cm="1">
        <f t="array" ref="Q210">_xlfn.IFS($P210=$P$2,O210+$P$3*N210,$P210=$Q$2,O210+$Q$3*N210)</f>
        <v>471.6</v>
      </c>
      <c r="R210" s="101">
        <f t="shared" si="12"/>
        <v>159.16500000000002</v>
      </c>
      <c r="S210" s="60">
        <f t="shared" si="13"/>
        <v>441.20499999999998</v>
      </c>
    </row>
    <row r="211" spans="2:19" ht="14.4">
      <c r="B211" s="55" t="s">
        <v>834</v>
      </c>
      <c r="C211" s="56" t="s">
        <v>832</v>
      </c>
      <c r="D211" s="56" t="str">
        <f>VLOOKUP(C211,DATA!B:C,2,0)</f>
        <v>STAMP0088-P20-RED</v>
      </c>
      <c r="E211" s="56" t="str">
        <f>VLOOKUP(C211,Sheet4!A:B,2,0)</f>
        <v>P-20</v>
      </c>
      <c r="F211" s="56" t="s">
        <v>834</v>
      </c>
      <c r="G211" s="56" t="s">
        <v>835</v>
      </c>
      <c r="H211" s="83">
        <v>1</v>
      </c>
      <c r="I211" s="88">
        <v>11.58</v>
      </c>
      <c r="J211" s="83">
        <v>0</v>
      </c>
      <c r="K211" s="88">
        <v>0</v>
      </c>
      <c r="L211" s="84">
        <v>9.85</v>
      </c>
      <c r="M211" s="94">
        <f t="shared" si="11"/>
        <v>9.85</v>
      </c>
      <c r="N211" s="57">
        <f>(VLOOKUP(E211,Sheet4!F:G,2,0))/1000</f>
        <v>0.09</v>
      </c>
      <c r="O211" s="99">
        <f>VLOOKUP(E211,Sheet4!F255:J840,5,0)</f>
        <v>264</v>
      </c>
      <c r="P211" s="58" t="s">
        <v>1188</v>
      </c>
      <c r="Q211" s="59" cm="1">
        <f t="array" ref="Q211">_xlfn.IFS($P211=$P$2,O211+$P$3*N211,$P211=$Q$2,O211+$Q$3*N211)</f>
        <v>304.5</v>
      </c>
      <c r="R211" s="101">
        <f t="shared" si="12"/>
        <v>3.8062499999999999</v>
      </c>
      <c r="S211" s="60">
        <f t="shared" si="13"/>
        <v>6.0437499999999993</v>
      </c>
    </row>
    <row r="212" spans="2:19" ht="14.4">
      <c r="B212" s="55" t="s">
        <v>16</v>
      </c>
      <c r="C212" s="56" t="s">
        <v>456</v>
      </c>
      <c r="D212" s="56" t="str">
        <f>VLOOKUP(C212,DATA!B:C,2,0)</f>
        <v>RADHA KRISHNA MURTI</v>
      </c>
      <c r="E212" s="56" t="str">
        <f>VLOOKUP(C212,Sheet4!A:B,2,0)</f>
        <v>MURTI -3</v>
      </c>
      <c r="F212" s="56" t="e">
        <f ca="1">Image("https://images-na.ssl-images-amazon.com/images/I/513NqFzVMPL.jpg;https://images-na.ssl-images-amazon.com/images/I/513NqFzVMPL.jpg;https://images-na.ssl-images-amazon.com/images/I/51tkxdsHfXL.jpg;https://images-na.ssl-images-amazon.com/images/I/51N1DfHF48L"&amp;".jpg;https://images-na.ssl-images-amazon.com/images/I/51xwCjsyQYL.jpg;https://images-na.ssl-images-amazon.com/images/I/51KZ9sJi7JL.jpg;https://images-na.ssl-images-amazon.com/images/I/51ZCKWVdtaL.jpg")</f>
        <v>#NAME?</v>
      </c>
      <c r="G212" s="56" t="s">
        <v>458</v>
      </c>
      <c r="H212" s="83">
        <v>2</v>
      </c>
      <c r="I212" s="88">
        <v>122.08</v>
      </c>
      <c r="J212" s="83">
        <v>0</v>
      </c>
      <c r="K212" s="88">
        <v>0</v>
      </c>
      <c r="L212" s="84">
        <v>88.65</v>
      </c>
      <c r="M212" s="94">
        <f t="shared" ref="M212:M269" si="14">L212/H212</f>
        <v>44.325000000000003</v>
      </c>
      <c r="N212" s="57">
        <f>(VLOOKUP(E212,Sheet4!F:G,2,0))/1000</f>
        <v>1</v>
      </c>
      <c r="O212" s="99">
        <f>VLOOKUP(E212,Sheet4!F264:J849,5,0)</f>
        <v>1892.4</v>
      </c>
      <c r="P212" s="58" t="s">
        <v>1188</v>
      </c>
      <c r="Q212" s="59" cm="1">
        <f t="array" ref="Q212">_xlfn.IFS($P212=$P$2,O212+$P$3*N212,$P212=$Q$2,O212+$Q$3*N212)</f>
        <v>2342.4</v>
      </c>
      <c r="R212" s="101">
        <f t="shared" si="12"/>
        <v>58.56</v>
      </c>
      <c r="S212" s="60">
        <f t="shared" si="13"/>
        <v>30.090000000000003</v>
      </c>
    </row>
    <row r="213" spans="2:19" ht="14.4">
      <c r="B213" s="55" t="s">
        <v>16</v>
      </c>
      <c r="C213" s="56" t="s">
        <v>862</v>
      </c>
      <c r="D213" s="56" t="str">
        <f>VLOOKUP(C213,DATA!B:C,2,0)</f>
        <v>JD FLUTES -1</v>
      </c>
      <c r="E213" s="56" t="str">
        <f>VLOOKUP(C213,Sheet4!A:B,2,0)</f>
        <v>FLUTES -1</v>
      </c>
      <c r="F213" s="56" t="e">
        <f ca="1">Image("https://images-na.ssl-images-amazon.com/images/I/41oZ4icodwL.jpg;https://images-na.ssl-images-amazon.com/images/I/41nAED5yAkL.jpg;https://images-na.ssl-images-amazon.com/images/I/41mcED6oqoL.jpg;https://images-na.ssl-images-amazon.com/images/I/31x+cejq7oL"&amp;".jpg;https://images-na.ssl-images-amazon.com/images/I/31IkNiqlN3L.jpg")</f>
        <v>#NAME?</v>
      </c>
      <c r="G213" s="56" t="s">
        <v>864</v>
      </c>
      <c r="H213" s="83">
        <v>1</v>
      </c>
      <c r="I213" s="88">
        <v>7.25</v>
      </c>
      <c r="J213" s="83">
        <v>0</v>
      </c>
      <c r="K213" s="88">
        <v>0</v>
      </c>
      <c r="L213" s="84">
        <v>6.16</v>
      </c>
      <c r="M213" s="94">
        <f t="shared" si="14"/>
        <v>6.16</v>
      </c>
      <c r="N213" s="57">
        <f>(VLOOKUP(E213,Sheet4!F:G,2,0))/1000</f>
        <v>0.2</v>
      </c>
      <c r="O213" s="99">
        <f>VLOOKUP(E213,Sheet4!F265:J850,5,0)</f>
        <v>144</v>
      </c>
      <c r="P213" s="58" t="s">
        <v>1188</v>
      </c>
      <c r="Q213" s="59" cm="1">
        <f t="array" ref="Q213">_xlfn.IFS($P213=$P$2,O213+$P$3*N213,$P213=$Q$2,O213+$Q$3*N213)</f>
        <v>234</v>
      </c>
      <c r="R213" s="101">
        <f t="shared" si="12"/>
        <v>2.9249999999999998</v>
      </c>
      <c r="S213" s="60">
        <f t="shared" si="13"/>
        <v>3.2350000000000003</v>
      </c>
    </row>
    <row r="214" spans="2:19" ht="14.4">
      <c r="B214" s="55" t="s">
        <v>16</v>
      </c>
      <c r="C214" s="56" t="s">
        <v>406</v>
      </c>
      <c r="D214" s="56" t="str">
        <f>VLOOKUP(C214,DATA!B:C,2,0)</f>
        <v>MURTI -1</v>
      </c>
      <c r="E214" s="56" t="str">
        <f>VLOOKUP(C214,Sheet4!A:B,2,0)</f>
        <v>MURTI -1</v>
      </c>
      <c r="F214" s="56" t="e">
        <f ca="1">Image("https://images-na.ssl-images-amazon.com/images/I/514HBBTdugL.jpg;https://images-na.ssl-images-amazon.com/images/I/61vSG4tVZpL.jpg;https://images-na.ssl-images-amazon.com/images/I/51rxRIzFmML.jpg;https://images-na.ssl-images-amazon.com/images/I/516PvsukVlL"&amp;".jpg;https://images-na.ssl-images-amazon.com/images/I/51b0zpqV5yL.jpg")</f>
        <v>#NAME?</v>
      </c>
      <c r="G214" s="56" t="s">
        <v>408</v>
      </c>
      <c r="H214" s="83">
        <v>4</v>
      </c>
      <c r="I214" s="88">
        <v>133.72</v>
      </c>
      <c r="J214" s="83">
        <v>0</v>
      </c>
      <c r="K214" s="88">
        <v>0</v>
      </c>
      <c r="L214" s="84">
        <v>113.66</v>
      </c>
      <c r="M214" s="94">
        <f t="shared" si="14"/>
        <v>28.414999999999999</v>
      </c>
      <c r="N214" s="57">
        <f>(VLOOKUP(E214,Sheet4!F:G,2,0))/1000</f>
        <v>0.9</v>
      </c>
      <c r="O214" s="99">
        <f>VLOOKUP(E214,Sheet4!F38:J623,5,0)</f>
        <v>972</v>
      </c>
      <c r="P214" s="58" t="s">
        <v>1188</v>
      </c>
      <c r="Q214" s="59" cm="1">
        <f t="array" ref="Q214">_xlfn.IFS($P214=$P$2,O214+$P$3*N214,$P214=$Q$2,O214+$Q$3*N214)</f>
        <v>1377</v>
      </c>
      <c r="R214" s="101">
        <f t="shared" si="12"/>
        <v>68.849999999999994</v>
      </c>
      <c r="S214" s="60">
        <f t="shared" si="13"/>
        <v>44.81</v>
      </c>
    </row>
    <row r="215" spans="2:19" ht="14.4">
      <c r="B215" s="55" t="s">
        <v>16</v>
      </c>
      <c r="C215" s="56" t="s">
        <v>286</v>
      </c>
      <c r="D215" s="56" t="str">
        <f>VLOOKUP(C215,DATA!B:C,2,0)</f>
        <v>GS USA WOODEN -55</v>
      </c>
      <c r="E215" s="56" t="str">
        <f>VLOOKUP(C215,Sheet4!A:B,2,0)</f>
        <v>WOODEN -55</v>
      </c>
      <c r="F215" s="56" t="e">
        <f ca="1">Image("https://images-na.ssl-images-amazon.com/images/I/41wmGLrrYxL.jpg;https://images-na.ssl-images-amazon.com/images/I/41eeXLDwWJL.jpg;https://images-na.ssl-images-amazon.com/images/I/51Jlw0bmluL.jpg")</f>
        <v>#NAME?</v>
      </c>
      <c r="G215" s="56" t="s">
        <v>288</v>
      </c>
      <c r="H215" s="83">
        <v>31</v>
      </c>
      <c r="I215" s="88">
        <v>614.69000000000005</v>
      </c>
      <c r="J215" s="83">
        <v>6</v>
      </c>
      <c r="K215" s="88">
        <v>-111.56</v>
      </c>
      <c r="L215" s="84">
        <v>236.37</v>
      </c>
      <c r="M215" s="94">
        <f t="shared" si="14"/>
        <v>7.6248387096774195</v>
      </c>
      <c r="N215" s="57">
        <f>(VLOOKUP(E215,Sheet4!F:G,2,0))/1000</f>
        <v>0.54</v>
      </c>
      <c r="O215" s="99">
        <f>VLOOKUP(E215,Sheet4!F39:J624,5,0)</f>
        <v>510</v>
      </c>
      <c r="P215" s="58" t="s">
        <v>1188</v>
      </c>
      <c r="Q215" s="59" cm="1">
        <f t="array" ref="Q215">_xlfn.IFS($P215=$P$2,O215+$P$3*N215,$P215=$Q$2,O215+$Q$3*N215)</f>
        <v>753</v>
      </c>
      <c r="R215" s="101">
        <f t="shared" si="12"/>
        <v>291.78750000000002</v>
      </c>
      <c r="S215" s="60">
        <f t="shared" si="13"/>
        <v>-55.417500000000018</v>
      </c>
    </row>
    <row r="216" spans="2:19" ht="14.4">
      <c r="B216" s="55" t="s">
        <v>16</v>
      </c>
      <c r="C216" s="56" t="s">
        <v>61</v>
      </c>
      <c r="D216" s="56" t="str">
        <f>VLOOKUP(C216,DATA!B:C,2,0)</f>
        <v>GS USA WOODEN -18</v>
      </c>
      <c r="E216" s="56" t="str">
        <f>VLOOKUP(C216,Sheet4!A:B,2,0)</f>
        <v>WOODEN -18</v>
      </c>
      <c r="F216" s="56" t="e">
        <f ca="1">Image("https://images-na.ssl-images-amazon.com/images/I/61-vY+vY6-L.jpg;https://images-na.ssl-images-amazon.com/images/I/61ZwFXFkBeL.jpg;https://images-na.ssl-images-amazon.com/images/I/51Pe8vz+BJL.jpg;https://images-na.ssl-images-amazon.com/images/I/51zKGvKninL"&amp;".jpg;https://images-na.ssl-images-amazon.com/images/I/51UHY7APveL.jpg")</f>
        <v>#NAME?</v>
      </c>
      <c r="G216" s="56" t="s">
        <v>63</v>
      </c>
      <c r="H216" s="83">
        <v>203</v>
      </c>
      <c r="I216" s="88">
        <v>3883.97</v>
      </c>
      <c r="J216" s="83">
        <v>15</v>
      </c>
      <c r="K216" s="88">
        <v>-259.02</v>
      </c>
      <c r="L216" s="84">
        <v>2017.29</v>
      </c>
      <c r="M216" s="94">
        <f t="shared" si="14"/>
        <v>9.9373891625615762</v>
      </c>
      <c r="N216" s="57">
        <f>(VLOOKUP(E216,Sheet4!F:G,2,0))/1000</f>
        <v>0.67</v>
      </c>
      <c r="O216" s="99">
        <f>VLOOKUP(E216,Sheet4!F:N,9,0)</f>
        <v>350.2</v>
      </c>
      <c r="P216" s="58" t="s">
        <v>1187</v>
      </c>
      <c r="Q216" s="59" cm="1">
        <f t="array" ref="Q216">_xlfn.IFS($P216=$P$2,O216+$P$3*N216,$P216=$Q$2,O216+$Q$3*N216)</f>
        <v>430.6</v>
      </c>
      <c r="R216" s="101">
        <f t="shared" si="12"/>
        <v>1092.6475</v>
      </c>
      <c r="S216" s="60">
        <f t="shared" si="13"/>
        <v>924.64249999999993</v>
      </c>
    </row>
    <row r="217" spans="2:19" ht="14.4">
      <c r="B217" s="55" t="s">
        <v>16</v>
      </c>
      <c r="C217" s="56" t="s">
        <v>536</v>
      </c>
      <c r="D217" s="56" t="str">
        <f>VLOOKUP(C217,DATA!B:C,2,0)</f>
        <v>GS US WOODEN -75</v>
      </c>
      <c r="E217" s="56" t="str">
        <f>VLOOKUP(C217,Sheet4!A:B,2,0)</f>
        <v>WOODEN -75</v>
      </c>
      <c r="F217" s="56" t="e">
        <f ca="1">Image("https://images-na.ssl-images-amazon.com/images/I/41ahpgxKRJL.jpg;https://images-na.ssl-images-amazon.com/images/I/41-scGl6iML.jpg;https://images-na.ssl-images-amazon.com/images/I/41JaW1F11nL.jpg;https://images-na.ssl-images-amazon.com/images/I/41M-ZM4SHrL"&amp;".jpg;https://images-na.ssl-images-amazon.com/images/I/41ZXvYtypjL.jpg;https://images-na.ssl-images-amazon.com/images/I/41wQzoUSQ+L.jpg")</f>
        <v>#NAME?</v>
      </c>
      <c r="G217" s="56" t="s">
        <v>538</v>
      </c>
      <c r="H217" s="83">
        <v>17</v>
      </c>
      <c r="I217" s="88">
        <v>158.99</v>
      </c>
      <c r="J217" s="83">
        <v>2</v>
      </c>
      <c r="K217" s="88">
        <v>-15.84</v>
      </c>
      <c r="L217" s="84">
        <v>50.84</v>
      </c>
      <c r="M217" s="94">
        <f t="shared" si="14"/>
        <v>2.9905882352941178</v>
      </c>
      <c r="N217" s="57">
        <f>(VLOOKUP(E217,Sheet4!F:G,2,0))/1000</f>
        <v>0.17</v>
      </c>
      <c r="O217" s="99">
        <f>VLOOKUP(E217,Sheet4!F269:J854,5,0)</f>
        <v>231.6</v>
      </c>
      <c r="P217" s="58" t="s">
        <v>1188</v>
      </c>
      <c r="Q217" s="59" cm="1">
        <f t="array" ref="Q217">_xlfn.IFS($P217=$P$2,O217+$P$3*N217,$P217=$Q$2,O217+$Q$3*N217)</f>
        <v>308.10000000000002</v>
      </c>
      <c r="R217" s="101">
        <f t="shared" si="12"/>
        <v>65.471250000000012</v>
      </c>
      <c r="S217" s="60">
        <f t="shared" si="13"/>
        <v>-14.631250000000009</v>
      </c>
    </row>
    <row r="218" spans="2:19" ht="14.4">
      <c r="B218" s="55" t="s">
        <v>16</v>
      </c>
      <c r="C218" s="56" t="s">
        <v>79</v>
      </c>
      <c r="D218" s="56" t="str">
        <f>VLOOKUP(C218,DATA!B:C,2,0)</f>
        <v>PK-WOODEN-6</v>
      </c>
      <c r="E218" s="56" t="str">
        <f>VLOOKUP(C218,Sheet4!A:B,2,0)</f>
        <v>WOODEN -6</v>
      </c>
      <c r="F218" s="56" t="e">
        <f ca="1">Image("https://images-na.ssl-images-amazon.com/images/I/41H7i2SOcVL.jpg;https://images-na.ssl-images-amazon.com/images/I/41Ao5HzmU1L.jpg;https://images-na.ssl-images-amazon.com/images/I/41RBTL+FAML.jpg;https://images-na.ssl-images-amazon.com/images/I/41H7i2SOcVL"&amp;".jpg")</f>
        <v>#NAME?</v>
      </c>
      <c r="G218" s="56" t="s">
        <v>81</v>
      </c>
      <c r="H218" s="83">
        <v>617</v>
      </c>
      <c r="I218" s="88">
        <v>4983.3500000000004</v>
      </c>
      <c r="J218" s="83">
        <v>23</v>
      </c>
      <c r="K218" s="88">
        <v>-163.66999999999999</v>
      </c>
      <c r="L218" s="84">
        <v>1875.43</v>
      </c>
      <c r="M218" s="94">
        <f t="shared" si="14"/>
        <v>3.0395948136142628</v>
      </c>
      <c r="N218" s="57">
        <f>(VLOOKUP(E218,Sheet4!F:G,2,0))/1000</f>
        <v>0.22</v>
      </c>
      <c r="O218" s="99">
        <f>VLOOKUP(E218,Sheet4!F262:N847,9,0)</f>
        <v>132.4</v>
      </c>
      <c r="P218" s="58" t="s">
        <v>1187</v>
      </c>
      <c r="Q218" s="59" cm="1">
        <f t="array" ref="Q218">_xlfn.IFS($P218=$P$2,O218+$P$3*N218,$P218=$Q$2,O218+$Q$3*N218)</f>
        <v>158.80000000000001</v>
      </c>
      <c r="R218" s="101">
        <f t="shared" si="12"/>
        <v>1224.7450000000001</v>
      </c>
      <c r="S218" s="60">
        <f t="shared" si="13"/>
        <v>650.68499999999995</v>
      </c>
    </row>
    <row r="219" spans="2:19" ht="14.4">
      <c r="B219" s="55" t="s">
        <v>16</v>
      </c>
      <c r="C219" s="56" t="s">
        <v>640</v>
      </c>
      <c r="D219" s="56" t="str">
        <f>VLOOKUP(C219,DATA!B:C,2,0)</f>
        <v>MURTI -2</v>
      </c>
      <c r="E219" s="56" t="str">
        <f>VLOOKUP(C219,Sheet4!A:B,2,0)</f>
        <v>MURTI -2</v>
      </c>
      <c r="F219" s="56" t="e">
        <f ca="1">Image("https://images-na.ssl-images-amazon.com/images/I/51N7jGabEyL.jpg;https://images-na.ssl-images-amazon.com/images/I/511+IqlWHWL.jpg;https://images-na.ssl-images-amazon.com/images/I/511vMNpmQeL.jpg;https://images-na.ssl-images-amazon.com/images/I/519rL0Ypn8L"&amp;".jpg;https://images-na.ssl-images-amazon.com/images/I/519xmepqbGL.jpg")</f>
        <v>#NAME?</v>
      </c>
      <c r="G219" s="56" t="s">
        <v>642</v>
      </c>
      <c r="H219" s="83">
        <v>1</v>
      </c>
      <c r="I219" s="88">
        <v>31.99</v>
      </c>
      <c r="J219" s="83">
        <v>0</v>
      </c>
      <c r="K219" s="88">
        <v>0</v>
      </c>
      <c r="L219" s="84">
        <v>27.19</v>
      </c>
      <c r="M219" s="94">
        <f t="shared" si="14"/>
        <v>27.19</v>
      </c>
      <c r="N219" s="57">
        <f>(VLOOKUP(E219,Sheet4!F:G,2,0))/1000</f>
        <v>0.9</v>
      </c>
      <c r="O219" s="99">
        <f>VLOOKUP(E219,Sheet4!F43:J628,5,0)</f>
        <v>972</v>
      </c>
      <c r="P219" s="58" t="s">
        <v>1188</v>
      </c>
      <c r="Q219" s="59" cm="1">
        <f t="array" ref="Q219">_xlfn.IFS($P219=$P$2,O219+$P$3*N219,$P219=$Q$2,O219+$Q$3*N219)</f>
        <v>1377</v>
      </c>
      <c r="R219" s="101">
        <f t="shared" si="12"/>
        <v>17.212499999999999</v>
      </c>
      <c r="S219" s="60">
        <f t="shared" si="13"/>
        <v>9.9775000000000027</v>
      </c>
    </row>
    <row r="220" spans="2:19" ht="14.4">
      <c r="B220" s="55" t="s">
        <v>16</v>
      </c>
      <c r="C220" s="56" t="s">
        <v>509</v>
      </c>
      <c r="D220" s="56" t="str">
        <f>VLOOKUP(C220,DATA!B:C,2,0)</f>
        <v>WOODEN -53</v>
      </c>
      <c r="E220" s="56" t="str">
        <f>VLOOKUP(C220,Sheet4!A:B,2,0)</f>
        <v>WOODEN -53</v>
      </c>
      <c r="F220" s="56" t="e">
        <f ca="1">Image("https://images-na.ssl-images-amazon.com/images/I/51IvLIgIvlL.jpg;https://images-na.ssl-images-amazon.com/images/I/51ScKbU54XL.jpg;https://images-na.ssl-images-amazon.com/images/I/51JUmJLuTUL.jpg;https://images-na.ssl-images-amazon.com/images/I/51pvv+t1YVL"&amp;".jpg")</f>
        <v>#NAME?</v>
      </c>
      <c r="G220" s="56" t="s">
        <v>511</v>
      </c>
      <c r="H220" s="83">
        <v>6</v>
      </c>
      <c r="I220" s="88">
        <v>118.94</v>
      </c>
      <c r="J220" s="83">
        <v>2</v>
      </c>
      <c r="K220" s="88">
        <v>-36.94</v>
      </c>
      <c r="L220" s="84">
        <v>64.150000000000006</v>
      </c>
      <c r="M220" s="94">
        <f t="shared" si="14"/>
        <v>10.691666666666668</v>
      </c>
      <c r="N220" s="57">
        <f>(VLOOKUP(E220,Sheet4!F:G,2,0))/1000</f>
        <v>0.25</v>
      </c>
      <c r="O220" s="99">
        <f>VLOOKUP(E220,Sheet4!F264:N849,9,0)</f>
        <v>289</v>
      </c>
      <c r="P220" s="58" t="s">
        <v>1187</v>
      </c>
      <c r="Q220" s="59" cm="1">
        <f t="array" ref="Q220">_xlfn.IFS($P220=$P$2,O220+$P$3*N220,$P220=$Q$2,O220+$Q$3*N220)</f>
        <v>319</v>
      </c>
      <c r="R220" s="101">
        <f t="shared" si="12"/>
        <v>23.925000000000001</v>
      </c>
      <c r="S220" s="60">
        <f t="shared" si="13"/>
        <v>40.225000000000009</v>
      </c>
    </row>
    <row r="221" spans="2:19" ht="14.4">
      <c r="B221" s="55" t="s">
        <v>16</v>
      </c>
      <c r="C221" s="56" t="s">
        <v>162</v>
      </c>
      <c r="D221" s="56" t="str">
        <f>VLOOKUP(C221,DATA!B:C,2,0)</f>
        <v>GS USA AIR SOAPSTONE -1</v>
      </c>
      <c r="E221" s="56" t="str">
        <f>VLOOKUP(C221,Sheet4!A:B,2,0)</f>
        <v>SOAPSTONE -1</v>
      </c>
      <c r="F221" s="56" t="e">
        <f ca="1">Image("https://images-na.ssl-images-amazon.com/images/I/51TA3mmUmJL.jpg;https://images-na.ssl-images-amazon.com/images/I/51TA3mmUmJL.jpg;https://images-na.ssl-images-amazon.com/images/I/41JhNSG9p0L.jpg;https://images-na.ssl-images-amazon.com/images/I/418LCldbhiL"&amp;".jpg;https://images-na.ssl-images-amazon.com/images/I/41WbzEPgdRL.jpg")</f>
        <v>#NAME?</v>
      </c>
      <c r="G221" s="56" t="s">
        <v>164</v>
      </c>
      <c r="H221" s="83">
        <v>130</v>
      </c>
      <c r="I221" s="88">
        <v>1469.81</v>
      </c>
      <c r="J221" s="83">
        <v>13</v>
      </c>
      <c r="K221" s="88">
        <v>-133.77000000000001</v>
      </c>
      <c r="L221" s="84">
        <v>593.80999999999995</v>
      </c>
      <c r="M221" s="94">
        <f t="shared" si="14"/>
        <v>4.5677692307692306</v>
      </c>
      <c r="N221" s="57">
        <f>(VLOOKUP(E221,Sheet4!F:G,2,0))/1000</f>
        <v>0.46</v>
      </c>
      <c r="O221" s="99">
        <f>VLOOKUP(E221,Sheet4!F:N,9,0)</f>
        <v>232</v>
      </c>
      <c r="P221" s="58" t="s">
        <v>1187</v>
      </c>
      <c r="Q221" s="59" cm="1">
        <f t="array" ref="Q221">_xlfn.IFS($P221=$P$2,O221+$P$3*N221,$P221=$Q$2,O221+$Q$3*N221)</f>
        <v>287.2</v>
      </c>
      <c r="R221" s="101">
        <f t="shared" si="12"/>
        <v>466.7</v>
      </c>
      <c r="S221" s="60">
        <f t="shared" si="13"/>
        <v>127.10999999999996</v>
      </c>
    </row>
    <row r="222" spans="2:19" ht="14.4">
      <c r="B222" s="55" t="s">
        <v>16</v>
      </c>
      <c r="C222" s="56" t="s">
        <v>585</v>
      </c>
      <c r="D222" s="56" t="str">
        <f>VLOOKUP(C222,DATA!B:C,2,0)</f>
        <v>Healing Through Vibration</v>
      </c>
      <c r="E222" s="56" t="str">
        <f>VLOOKUP(C222,Sheet4!A:B,2,0)</f>
        <v>BOWL -2</v>
      </c>
      <c r="F222" s="56" t="e">
        <f ca="1">Image("https://images-na.ssl-images-amazon.com/images/I/51Ee6K8aSML.jpg;https://images-na.ssl-images-amazon.com/images/I/41DRdTWp7pL.jpg;https://images-na.ssl-images-amazon.com/images/I/41MZeoFL0fL.jpg;https://images-na.ssl-images-amazon.com/images/I/41MOB2OVIfL"&amp;".jpg;https://images-na.ssl-images-amazon.com/images/I/51FbVmOiwNL.jpg")</f>
        <v>#NAME?</v>
      </c>
      <c r="G222" s="56" t="s">
        <v>587</v>
      </c>
      <c r="H222" s="83">
        <v>1</v>
      </c>
      <c r="I222" s="88">
        <v>44.99</v>
      </c>
      <c r="J222" s="83">
        <v>0</v>
      </c>
      <c r="K222" s="88">
        <v>0</v>
      </c>
      <c r="L222" s="84">
        <v>38.24</v>
      </c>
      <c r="M222" s="94">
        <f t="shared" si="14"/>
        <v>38.24</v>
      </c>
      <c r="N222" s="57">
        <f>(VLOOKUP(E222,Sheet4!F:G,2,0))/1000</f>
        <v>0.84</v>
      </c>
      <c r="O222" s="99">
        <f>VLOOKUP(E222,Sheet4!F46:J631,5,0)</f>
        <v>1694.4</v>
      </c>
      <c r="P222" s="58" t="s">
        <v>1188</v>
      </c>
      <c r="Q222" s="59" cm="1">
        <f t="array" ref="Q222">_xlfn.IFS($P222=$P$2,O222+$P$3*N222,$P222=$Q$2,O222+$Q$3*N222)</f>
        <v>2072.4</v>
      </c>
      <c r="R222" s="101">
        <f t="shared" si="12"/>
        <v>25.905000000000001</v>
      </c>
      <c r="S222" s="60">
        <f t="shared" si="13"/>
        <v>12.335000000000001</v>
      </c>
    </row>
    <row r="223" spans="2:19" ht="14.4">
      <c r="B223" s="55" t="s">
        <v>16</v>
      </c>
      <c r="C223" s="56" t="s">
        <v>494</v>
      </c>
      <c r="D223" s="56" t="str">
        <f>VLOOKUP(C223,DATA!B:C,2,0)</f>
        <v>Tic Tac Toe Two in One</v>
      </c>
      <c r="E223" s="56" t="str">
        <f>VLOOKUP(C223,Sheet4!A:B,2,0)</f>
        <v>WOODEN -65</v>
      </c>
      <c r="F223" s="56" t="e">
        <f ca="1">Image("https://images-na.ssl-images-amazon.com/images/I/51LaeT1yY8L.jpg;https://images-na.ssl-images-amazon.com/images/I/51Aol0zIEkL.jpg;https://images-na.ssl-images-amazon.com/images/I/41IJq1CQCPL.jpg;https://images-na.ssl-images-amazon.com/images/I/41nJZ5+j+PL"&amp;".jpg;https://images-na.ssl-images-amazon.com/images/I/51QCXzJY7rL.jpg;https://images-na.ssl-images-amazon.com/images/I/51oofA-fP2L.jpg")</f>
        <v>#NAME?</v>
      </c>
      <c r="G223" s="56" t="s">
        <v>496</v>
      </c>
      <c r="H223" s="83">
        <v>17</v>
      </c>
      <c r="I223" s="88">
        <v>244.85</v>
      </c>
      <c r="J223" s="83">
        <v>5</v>
      </c>
      <c r="K223" s="88">
        <v>-61.18</v>
      </c>
      <c r="L223" s="84">
        <v>70.87</v>
      </c>
      <c r="M223" s="94">
        <f t="shared" si="14"/>
        <v>4.1688235294117648</v>
      </c>
      <c r="N223" s="57">
        <f>(VLOOKUP(E223,Sheet4!F:G,2,0))/1000</f>
        <v>0.4</v>
      </c>
      <c r="O223" s="99">
        <f>VLOOKUP(E223,Sheet4!F:N,9,0)</f>
        <v>412</v>
      </c>
      <c r="P223" s="58" t="s">
        <v>1187</v>
      </c>
      <c r="Q223" s="59" cm="1">
        <f t="array" ref="Q223">_xlfn.IFS($P223=$P$2,O223+$P$3*N223,$P223=$Q$2,O223+$Q$3*N223)</f>
        <v>460</v>
      </c>
      <c r="R223" s="101">
        <f t="shared" si="12"/>
        <v>97.75</v>
      </c>
      <c r="S223" s="60">
        <f t="shared" si="13"/>
        <v>-26.879999999999995</v>
      </c>
    </row>
    <row r="224" spans="2:19" ht="14.4">
      <c r="B224" s="55" t="s">
        <v>16</v>
      </c>
      <c r="C224" s="56" t="s">
        <v>73</v>
      </c>
      <c r="D224" s="56" t="str">
        <f>VLOOKUP(C224,DATA!B:C,2,0)</f>
        <v>GS US WOODEN -17</v>
      </c>
      <c r="E224" s="56" t="str">
        <f>VLOOKUP(C224,Sheet4!A:B,2,0)</f>
        <v>WOODEN -17</v>
      </c>
      <c r="F224" s="56" t="e">
        <f ca="1">Image("https://images-na.ssl-images-amazon.com/images/I/41Riwv5rLIL.jpg;https://images-na.ssl-images-amazon.com/images/I/41am3P0IcdL.jpg;https://images-na.ssl-images-amazon.com/images/I/41jRuf03hTL.jpg;https://images-na.ssl-images-amazon.com/images/I/41sJxaJ4f0L"&amp;".jpg")</f>
        <v>#NAME?</v>
      </c>
      <c r="G224" s="56" t="s">
        <v>75</v>
      </c>
      <c r="H224" s="83">
        <v>512</v>
      </c>
      <c r="I224" s="88">
        <v>4569.7700000000004</v>
      </c>
      <c r="J224" s="83">
        <v>11</v>
      </c>
      <c r="K224" s="88">
        <v>-86.86</v>
      </c>
      <c r="L224" s="84">
        <v>1900.83</v>
      </c>
      <c r="M224" s="94">
        <f t="shared" si="14"/>
        <v>3.7125585937499999</v>
      </c>
      <c r="N224" s="57">
        <f>(VLOOKUP(E224,Sheet4!F:G,2,0))/1000</f>
        <v>0.1</v>
      </c>
      <c r="O224" s="99">
        <f>VLOOKUP(E224,Sheet4!F268:N853,9,0)</f>
        <v>142</v>
      </c>
      <c r="P224" s="58" t="s">
        <v>1187</v>
      </c>
      <c r="Q224" s="59" cm="1">
        <f t="array" ref="Q224">_xlfn.IFS($P224=$P$2,O224+$P$3*N224,$P224=$Q$2,O224+$Q$3*N224)</f>
        <v>154</v>
      </c>
      <c r="R224" s="101">
        <f t="shared" si="12"/>
        <v>985.6</v>
      </c>
      <c r="S224" s="60">
        <f t="shared" si="13"/>
        <v>915.2299999999999</v>
      </c>
    </row>
    <row r="225" spans="2:19" ht="14.4">
      <c r="B225" s="55" t="s">
        <v>16</v>
      </c>
      <c r="C225" s="56" t="s">
        <v>319</v>
      </c>
      <c r="D225" s="56" t="str">
        <f>VLOOKUP(C225,DATA!B:C,2,0)</f>
        <v>GS US WOODEN -77</v>
      </c>
      <c r="E225" s="56" t="str">
        <f>VLOOKUP(C225,Sheet4!A:B,2,0)</f>
        <v>WOODEN -77</v>
      </c>
      <c r="F225" s="56" t="e">
        <f ca="1">Image("https://images-na.ssl-images-amazon.com/images/I/41Q645xYH3L.jpg;https://images-na.ssl-images-amazon.com/images/I/41bafk2jsNL.jpg;https://images-na.ssl-images-amazon.com/images/I/41C1dWWYYOL.jpg;https://images-na.ssl-images-amazon.com/images/I/41DTI-ExAPL"&amp;".jpg;https://images-na.ssl-images-amazon.com/images/I/41107xhGFAL.jpg;https://images-na.ssl-images-amazon.com/images/I/41zu8GI7GrL.jpg")</f>
        <v>#NAME?</v>
      </c>
      <c r="G225" s="56" t="s">
        <v>321</v>
      </c>
      <c r="H225" s="83">
        <v>56</v>
      </c>
      <c r="I225" s="88">
        <v>1002.17</v>
      </c>
      <c r="J225" s="83">
        <v>2</v>
      </c>
      <c r="K225" s="88">
        <v>-28.34</v>
      </c>
      <c r="L225" s="84">
        <v>185.38</v>
      </c>
      <c r="M225" s="94">
        <f t="shared" si="14"/>
        <v>3.3103571428571428</v>
      </c>
      <c r="N225" s="57">
        <f>(VLOOKUP(E225,Sheet4!F:G,2,0))/1000</f>
        <v>0.42</v>
      </c>
      <c r="O225" s="99">
        <f>VLOOKUP(E225,Sheet4!F:N,9,0)</f>
        <v>453.6</v>
      </c>
      <c r="P225" s="58" t="s">
        <v>1187</v>
      </c>
      <c r="Q225" s="59" cm="1">
        <f t="array" ref="Q225">_xlfn.IFS($P225=$P$2,O225+$P$3*N225,$P225=$Q$2,O225+$Q$3*N225)</f>
        <v>504</v>
      </c>
      <c r="R225" s="101">
        <f t="shared" si="12"/>
        <v>352.8</v>
      </c>
      <c r="S225" s="60">
        <f t="shared" si="13"/>
        <v>-167.42000000000002</v>
      </c>
    </row>
    <row r="226" spans="2:19" ht="14.4">
      <c r="B226" s="55" t="s">
        <v>16</v>
      </c>
      <c r="C226" s="56" t="s">
        <v>97</v>
      </c>
      <c r="D226" s="56" t="str">
        <f>VLOOKUP(C226,DATA!B:C,2,0)</f>
        <v>GS US BOWL -18</v>
      </c>
      <c r="E226" s="56" t="str">
        <f>VLOOKUP(C226,Sheet4!A:B,2,0)</f>
        <v>BOWL -18</v>
      </c>
      <c r="F226" s="56" t="e">
        <f ca="1">Image("https://images-na.ssl-images-amazon.com/images/I/41efs2pFS2S.jpg;https://images-na.ssl-images-amazon.com/images/I/51U+Th7kKwS.jpg;https://images-na.ssl-images-amazon.com/images/I/51CMEnVrYcS.jpg;https://images-na.ssl-images-amazon.com/images/I/41qquD7NrcS"&amp;".jpg;https://images-na.ssl-images-amazon.com/images/I/41YjHQa3JgS.jpg;https://images-na.ssl-images-amazon.com/images/I/51cuTOz+a-S.jpg;https://images-na.ssl-images-amazon.com/images/I/61damUmO69S.jpg")</f>
        <v>#NAME?</v>
      </c>
      <c r="G226" s="56" t="s">
        <v>99</v>
      </c>
      <c r="H226" s="83">
        <v>85</v>
      </c>
      <c r="I226" s="88">
        <v>2544.44</v>
      </c>
      <c r="J226" s="83">
        <v>8</v>
      </c>
      <c r="K226" s="88">
        <v>-215.6</v>
      </c>
      <c r="L226" s="84">
        <v>1300.49</v>
      </c>
      <c r="M226" s="94">
        <f t="shared" si="14"/>
        <v>15.299882352941177</v>
      </c>
      <c r="N226" s="57">
        <f>(VLOOKUP(E226,Sheet4!F:G,2,0))/1000</f>
        <v>1</v>
      </c>
      <c r="O226" s="99">
        <f>VLOOKUP(E226,Sheet4!F:N,9,0)</f>
        <v>1043.2</v>
      </c>
      <c r="P226" s="58" t="s">
        <v>1187</v>
      </c>
      <c r="Q226" s="59" cm="1">
        <f t="array" ref="Q226">_xlfn.IFS($P226=$P$2,O226+$P$3*N226,$P226=$Q$2,O226+$Q$3*N226)</f>
        <v>1163.2</v>
      </c>
      <c r="R226" s="101">
        <f t="shared" si="12"/>
        <v>1235.9000000000001</v>
      </c>
      <c r="S226" s="60">
        <f t="shared" si="13"/>
        <v>64.589999999999918</v>
      </c>
    </row>
    <row r="227" spans="2:19" ht="14.4">
      <c r="B227" s="55" t="s">
        <v>16</v>
      </c>
      <c r="C227" s="56" t="s">
        <v>224</v>
      </c>
      <c r="D227" s="56" t="str">
        <f>VLOOKUP(C227,DATA!B:C,2,0)</f>
        <v>JD US BOWL -18</v>
      </c>
      <c r="E227" s="56" t="str">
        <f>VLOOKUP(C227,Sheet4!A:B,2,0)</f>
        <v>BOWL -18</v>
      </c>
      <c r="F227" s="56" t="e">
        <f ca="1">Image("https://images-na.ssl-images-amazon.com/images/I/41efs2pFS2S.jpg;https://images-na.ssl-images-amazon.com/images/I/51U+Th7kKwS.jpg;https://images-na.ssl-images-amazon.com/images/I/51CMEnVrYcS.jpg;https://images-na.ssl-images-amazon.com/images/I/41qquD7NrcS"&amp;".jpg;https://images-na.ssl-images-amazon.com/images/I/41YjHQa3JgS.jpg;https://images-na.ssl-images-amazon.com/images/I/51cuTOz+a-S.jpg;https://images-na.ssl-images-amazon.com/images/I/61damUmO69S.jpg")</f>
        <v>#NAME?</v>
      </c>
      <c r="G227" s="56" t="s">
        <v>226</v>
      </c>
      <c r="H227" s="83">
        <v>27</v>
      </c>
      <c r="I227" s="88">
        <v>786.2</v>
      </c>
      <c r="J227" s="83">
        <v>7</v>
      </c>
      <c r="K227" s="88">
        <v>-175.3</v>
      </c>
      <c r="L227" s="84">
        <v>343.56</v>
      </c>
      <c r="M227" s="94">
        <f t="shared" si="14"/>
        <v>12.724444444444444</v>
      </c>
      <c r="N227" s="57">
        <f>(VLOOKUP(E227,Sheet4!F:G,2,0))/1000</f>
        <v>1</v>
      </c>
      <c r="O227" s="99">
        <f>VLOOKUP(E227,Sheet4!F:N,9,0)</f>
        <v>1043.2</v>
      </c>
      <c r="P227" s="58" t="s">
        <v>1187</v>
      </c>
      <c r="Q227" s="59" cm="1">
        <f t="array" ref="Q227">_xlfn.IFS($P227=$P$2,O227+$P$3*N227,$P227=$Q$2,O227+$Q$3*N227)</f>
        <v>1163.2</v>
      </c>
      <c r="R227" s="101">
        <f t="shared" si="12"/>
        <v>392.58000000000004</v>
      </c>
      <c r="S227" s="60">
        <f t="shared" si="13"/>
        <v>-49.020000000000039</v>
      </c>
    </row>
    <row r="228" spans="2:19" ht="14.4">
      <c r="B228" s="55" t="s">
        <v>16</v>
      </c>
      <c r="C228" s="56" t="s">
        <v>710</v>
      </c>
      <c r="D228" s="56" t="str">
        <f>VLOOKUP(C228,DATA!B:C,2,0)</f>
        <v>GS US WOODEN -73</v>
      </c>
      <c r="E228" s="56" t="str">
        <f>VLOOKUP(C228,Sheet4!A:B,2,0)</f>
        <v>WOODEN -73</v>
      </c>
      <c r="F228" s="56" t="e">
        <f ca="1">Image("https://images-na.ssl-images-amazon.com/images/I/41NAnxO6KfL.jpg;https://images-na.ssl-images-amazon.com/images/I/419m6WPBq2L.jpg;https://images-na.ssl-images-amazon.com/images/I/41p+7FbXRnL.jpg;https://images-na.ssl-images-amazon.com/images/I/41grxsNCVgL"&amp;".jpg;https://images-na.ssl-images-amazon.com/images/I/410SBcIb39L.jpg;https://images-na.ssl-images-amazon.com/images/I/41v0905rGsL.jpg")</f>
        <v>#NAME?</v>
      </c>
      <c r="G228" s="56" t="s">
        <v>712</v>
      </c>
      <c r="H228" s="83">
        <v>14</v>
      </c>
      <c r="I228" s="88">
        <v>134.4</v>
      </c>
      <c r="J228" s="83">
        <v>1</v>
      </c>
      <c r="K228" s="88">
        <v>-8.98</v>
      </c>
      <c r="L228" s="84">
        <v>18.61</v>
      </c>
      <c r="M228" s="94">
        <f t="shared" si="14"/>
        <v>1.3292857142857142</v>
      </c>
      <c r="N228" s="57">
        <f>(VLOOKUP(E228,Sheet4!F:G,2,0))/1000</f>
        <v>0.2</v>
      </c>
      <c r="O228" s="99">
        <f>VLOOKUP(E228,Sheet4!F272:N857,9,0)</f>
        <v>263.60000000000002</v>
      </c>
      <c r="P228" s="58" t="s">
        <v>1187</v>
      </c>
      <c r="Q228" s="59" cm="1">
        <f t="array" ref="Q228">_xlfn.IFS($P228=$P$2,O228+$P$3*N228,$P228=$Q$2,O228+$Q$3*N228)</f>
        <v>287.60000000000002</v>
      </c>
      <c r="R228" s="101">
        <f t="shared" si="12"/>
        <v>50.330000000000005</v>
      </c>
      <c r="S228" s="60">
        <f t="shared" si="13"/>
        <v>-31.720000000000006</v>
      </c>
    </row>
    <row r="229" spans="2:19" ht="14.4">
      <c r="B229" s="55" t="s">
        <v>16</v>
      </c>
      <c r="C229" s="56" t="s">
        <v>64</v>
      </c>
      <c r="D229" s="56" t="str">
        <f>VLOOKUP(C229,DATA!B:C,2,0)</f>
        <v>Stamp SPOON -1</v>
      </c>
      <c r="E229" s="56" t="str">
        <f>VLOOKUP(C229,Sheet4!A:B,2,0)</f>
        <v>SPOON -1</v>
      </c>
      <c r="F229" s="56" t="e">
        <f ca="1">Image("https://images-na.ssl-images-amazon.com/images/I/41AOEKiwIhL.jpg;https://images-na.ssl-images-amazon.com/images/I/31exv-sLHFS.jpg;https://images-na.ssl-images-amazon.com/images/I/31wvL5ZhC-S.jpg;https://images-na.ssl-images-amazon.com/images/I/31Q5U5NIiXS"&amp;".jpg;https://images-na.ssl-images-amazon.com/images/I/31RGHfa+tWS.jpg;https://images-na.ssl-images-amazon.com/images/I/51zXI6J2ljS.jpg")</f>
        <v>#NAME?</v>
      </c>
      <c r="G229" s="56" t="s">
        <v>66</v>
      </c>
      <c r="H229" s="83">
        <v>335</v>
      </c>
      <c r="I229" s="88">
        <v>4093.4</v>
      </c>
      <c r="J229" s="83">
        <v>27</v>
      </c>
      <c r="K229" s="88">
        <v>-279.83999999999997</v>
      </c>
      <c r="L229" s="84">
        <v>1995.51</v>
      </c>
      <c r="M229" s="94">
        <f t="shared" si="14"/>
        <v>5.9567462686567163</v>
      </c>
      <c r="N229" s="57">
        <f>(VLOOKUP(E229,Sheet4!F:G,2,0))/1000</f>
        <v>0.16500000000000001</v>
      </c>
      <c r="O229" s="99">
        <f>VLOOKUP(E229,Sheet4!F281:J866,5,0)</f>
        <v>201.6</v>
      </c>
      <c r="P229" s="58" t="s">
        <v>1188</v>
      </c>
      <c r="Q229" s="59" cm="1">
        <f t="array" ref="Q229">_xlfn.IFS($P229=$P$2,O229+$P$3*N229,$P229=$Q$2,O229+$Q$3*N229)</f>
        <v>275.85000000000002</v>
      </c>
      <c r="R229" s="101">
        <f t="shared" si="12"/>
        <v>1155.1218750000003</v>
      </c>
      <c r="S229" s="60">
        <f t="shared" si="13"/>
        <v>840.38812499999972</v>
      </c>
    </row>
    <row r="230" spans="2:19" ht="14.4">
      <c r="B230" s="55" t="s">
        <v>16</v>
      </c>
      <c r="C230" s="56" t="s">
        <v>527</v>
      </c>
      <c r="D230" s="56" t="str">
        <f>VLOOKUP(C230,DATA!B:C,2,0)</f>
        <v>GS USA WOODEN -51</v>
      </c>
      <c r="E230" s="56" t="str">
        <f>VLOOKUP(C230,Sheet4!A:B,2,0)</f>
        <v>WOODEN -51</v>
      </c>
      <c r="F230" s="56" t="e">
        <f ca="1">Image("https://images-na.ssl-images-amazon.com/images/I/41OtfN89EHL.jpg;https://images-na.ssl-images-amazon.com/images/I/51RV2TbVADL.jpg;https://images-na.ssl-images-amazon.com/images/I/51M9misNY0L.jpg;https://images-na.ssl-images-amazon.com/images/I/51-0NrxGLdL"&amp;".jpg")</f>
        <v>#NAME?</v>
      </c>
      <c r="G230" s="56" t="s">
        <v>529</v>
      </c>
      <c r="H230" s="83">
        <v>7</v>
      </c>
      <c r="I230" s="88">
        <v>175</v>
      </c>
      <c r="J230" s="83">
        <v>1</v>
      </c>
      <c r="K230" s="88">
        <v>-22</v>
      </c>
      <c r="L230" s="84">
        <v>53.61</v>
      </c>
      <c r="M230" s="94">
        <f t="shared" si="14"/>
        <v>7.6585714285714284</v>
      </c>
      <c r="N230" s="57">
        <f>(VLOOKUP(E230,Sheet4!F:G,2,0))/1000</f>
        <v>0.41</v>
      </c>
      <c r="O230" s="99">
        <f>VLOOKUP(E230,Sheet4!F:N,9,0)</f>
        <v>551</v>
      </c>
      <c r="P230" s="58" t="s">
        <v>1187</v>
      </c>
      <c r="Q230" s="59" cm="1">
        <f t="array" ref="Q230">_xlfn.IFS($P230=$P$2,O230+$P$3*N230,$P230=$Q$2,O230+$Q$3*N230)</f>
        <v>600.20000000000005</v>
      </c>
      <c r="R230" s="101">
        <f t="shared" si="12"/>
        <v>52.517500000000005</v>
      </c>
      <c r="S230" s="60">
        <f t="shared" si="13"/>
        <v>1.092499999999994</v>
      </c>
    </row>
    <row r="231" spans="2:19" ht="14.4">
      <c r="B231" s="55" t="s">
        <v>16</v>
      </c>
      <c r="C231" s="56" t="s">
        <v>668</v>
      </c>
      <c r="D231" s="56" t="str">
        <f>VLOOKUP(C231,DATA!B:C,2,0)</f>
        <v>SOAPSTONE -12</v>
      </c>
      <c r="E231" s="56" t="str">
        <f>VLOOKUP(C231,Sheet4!A:B,2,0)</f>
        <v>SOAPSTONE -12</v>
      </c>
      <c r="F231" s="56" t="e">
        <f ca="1">Image("https://images-na.ssl-images-amazon.com/images/I/51UhqYVZIeL.jpg;https://images-na.ssl-images-amazon.com/images/I/51EHVqMHPKL.jpg;https://images-na.ssl-images-amazon.com/images/I/51+L-+VQAUL.jpg;https://images-na.ssl-images-amazon.com/images/I/41LAWY7azXL"&amp;".jpg")</f>
        <v>#NAME?</v>
      </c>
      <c r="G231" s="56" t="s">
        <v>670</v>
      </c>
      <c r="H231" s="83">
        <v>1</v>
      </c>
      <c r="I231" s="88">
        <v>28.99</v>
      </c>
      <c r="J231" s="83">
        <v>0</v>
      </c>
      <c r="K231" s="88">
        <v>0</v>
      </c>
      <c r="L231" s="84">
        <v>24.64</v>
      </c>
      <c r="M231" s="94">
        <f t="shared" si="14"/>
        <v>24.64</v>
      </c>
      <c r="N231" s="57">
        <f>(VLOOKUP(E231,Sheet4!F:G,2,0))/1000</f>
        <v>0.79</v>
      </c>
      <c r="O231" s="99">
        <f>VLOOKUP(E231,Sheet4!F55:J640,5,0)</f>
        <v>405.6</v>
      </c>
      <c r="P231" s="58" t="s">
        <v>1188</v>
      </c>
      <c r="Q231" s="59" cm="1">
        <f t="array" ref="Q231">_xlfn.IFS($P231=$P$2,O231+$P$3*N231,$P231=$Q$2,O231+$Q$3*N231)</f>
        <v>761.1</v>
      </c>
      <c r="R231" s="101">
        <f t="shared" si="12"/>
        <v>9.5137499999999999</v>
      </c>
      <c r="S231" s="60">
        <f t="shared" si="13"/>
        <v>15.126250000000001</v>
      </c>
    </row>
    <row r="232" spans="2:19" ht="14.4">
      <c r="B232" s="55" t="s">
        <v>16</v>
      </c>
      <c r="C232" s="56" t="s">
        <v>829</v>
      </c>
      <c r="D232" s="56" t="str">
        <f>VLOOKUP(C232,DATA!B:C,2,0)</f>
        <v>Percussion Instrument</v>
      </c>
      <c r="E232" s="56" t="str">
        <f>VLOOKUP(C232,Sheet4!A:B,2,0)</f>
        <v>HANDBELL -4</v>
      </c>
      <c r="F232" s="56" t="e">
        <f ca="1">Image("https://images-na.ssl-images-amazon.com/images/I/41FZz-Zn5jL.jpg;https://images-na.ssl-images-amazon.com/images/I/41SqjvmghOL.jpg;https://images-na.ssl-images-amazon.com/images/I/3177cZgjV1L.jpg")</f>
        <v>#NAME?</v>
      </c>
      <c r="G232" s="56" t="s">
        <v>831</v>
      </c>
      <c r="H232" s="83">
        <v>5</v>
      </c>
      <c r="I232" s="88">
        <v>67.45</v>
      </c>
      <c r="J232" s="83">
        <v>4</v>
      </c>
      <c r="K232" s="88">
        <v>-47.49</v>
      </c>
      <c r="L232" s="84">
        <v>9.86</v>
      </c>
      <c r="M232" s="94">
        <f t="shared" si="14"/>
        <v>1.972</v>
      </c>
      <c r="N232" s="57">
        <f>(VLOOKUP(E232,Sheet4!F:G,2,0))/1000</f>
        <v>0.23</v>
      </c>
      <c r="O232" s="99">
        <f>VLOOKUP(E232,Sheet4!F56:J641,5,0)</f>
        <v>306</v>
      </c>
      <c r="P232" s="58" t="s">
        <v>1188</v>
      </c>
      <c r="Q232" s="59" cm="1">
        <f t="array" ref="Q232">_xlfn.IFS($P232=$P$2,O232+$P$3*N232,$P232=$Q$2,O232+$Q$3*N232)</f>
        <v>409.5</v>
      </c>
      <c r="R232" s="101">
        <f t="shared" si="12"/>
        <v>25.59375</v>
      </c>
      <c r="S232" s="60">
        <f t="shared" si="13"/>
        <v>-15.733750000000001</v>
      </c>
    </row>
    <row r="233" spans="2:19" ht="14.4">
      <c r="B233" s="55" t="s">
        <v>16</v>
      </c>
      <c r="C233" s="56" t="s">
        <v>447</v>
      </c>
      <c r="D233" s="56" t="str">
        <f>VLOOKUP(C233,DATA!B:C,2,0)</f>
        <v>Percussion Instrument 1</v>
      </c>
      <c r="E233" s="56" t="str">
        <f>VLOOKUP(C233,Sheet4!A:B,2,0)</f>
        <v>HANDBELL -4</v>
      </c>
      <c r="F233" s="56" t="e">
        <f ca="1">Image("https://images-na.ssl-images-amazon.com/images/I/41N5B+fPtpL.jpg;https://images-na.ssl-images-amazon.com/images/I/41hnk-Qh8+L.jpg;https://images-na.ssl-images-amazon.com/images/I/41TMZ8YZInL.jpg")</f>
        <v>#NAME?</v>
      </c>
      <c r="G233" s="56" t="s">
        <v>449</v>
      </c>
      <c r="H233" s="83">
        <v>8</v>
      </c>
      <c r="I233" s="88">
        <v>151.91999999999999</v>
      </c>
      <c r="J233" s="83">
        <v>2</v>
      </c>
      <c r="K233" s="88">
        <v>-33.42</v>
      </c>
      <c r="L233" s="84">
        <v>95.7</v>
      </c>
      <c r="M233" s="94">
        <f t="shared" si="14"/>
        <v>11.9625</v>
      </c>
      <c r="N233" s="57">
        <f>(VLOOKUP(E233,Sheet4!F:G,2,0))/1000</f>
        <v>0.23</v>
      </c>
      <c r="O233" s="99">
        <f>VLOOKUP(E233,Sheet4!F57:J642,5,0)</f>
        <v>306</v>
      </c>
      <c r="P233" s="58" t="s">
        <v>1188</v>
      </c>
      <c r="Q233" s="59" cm="1">
        <f t="array" ref="Q233">_xlfn.IFS($P233=$P$2,O233+$P$3*N233,$P233=$Q$2,O233+$Q$3*N233)</f>
        <v>409.5</v>
      </c>
      <c r="R233" s="101">
        <f t="shared" si="12"/>
        <v>40.950000000000003</v>
      </c>
      <c r="S233" s="60">
        <f t="shared" si="13"/>
        <v>54.75</v>
      </c>
    </row>
    <row r="234" spans="2:19" ht="14.4">
      <c r="B234" s="55" t="s">
        <v>16</v>
      </c>
      <c r="C234" s="56" t="s">
        <v>283</v>
      </c>
      <c r="D234" s="56" t="str">
        <f>VLOOKUP(C234,DATA!B:C,2,0)</f>
        <v>GS USA WOODEN -56</v>
      </c>
      <c r="E234" s="56" t="str">
        <f>VLOOKUP(C234,Sheet4!A:B,2,0)</f>
        <v>WOODEN -56</v>
      </c>
      <c r="F234" s="56" t="e">
        <f ca="1">Image("https://images-na.ssl-images-amazon.com/images/I/41z3+yL45NL.jpg;https://images-na.ssl-images-amazon.com/images/I/41H0-+YIxrL.jpg;https://images-na.ssl-images-amazon.com/images/I/41d08-mon-L.jpg;https://images-na.ssl-images-amazon.com/images/I/41cFQgfUAgL"&amp;".jpg;https://images-na.ssl-images-amazon.com/images/I/417cKmWwskL.jpg;https://images-na.ssl-images-amazon.com/images/I/41LEkHVe6WL.jpg;https://images-na.ssl-images-amazon.com/images/I/41yo6IdWrjL.jpg")</f>
        <v>#NAME?</v>
      </c>
      <c r="G234" s="56" t="s">
        <v>285</v>
      </c>
      <c r="H234" s="83">
        <v>32</v>
      </c>
      <c r="I234" s="88">
        <v>512</v>
      </c>
      <c r="J234" s="83">
        <v>0</v>
      </c>
      <c r="K234" s="88">
        <v>0</v>
      </c>
      <c r="L234" s="84">
        <v>237.19</v>
      </c>
      <c r="M234" s="94">
        <f t="shared" si="14"/>
        <v>7.4121874999999999</v>
      </c>
      <c r="N234" s="57">
        <f>(VLOOKUP(E234,Sheet4!F:G,2,0))/1000</f>
        <v>0.5</v>
      </c>
      <c r="O234" s="99">
        <f>VLOOKUP(E234,Sheet4!F:N,9,0)</f>
        <v>461.6</v>
      </c>
      <c r="P234" s="58" t="s">
        <v>1187</v>
      </c>
      <c r="Q234" s="59" cm="1">
        <f t="array" ref="Q234">_xlfn.IFS($P234=$P$2,O234+$P$3*N234,$P234=$Q$2,O234+$Q$3*N234)</f>
        <v>521.6</v>
      </c>
      <c r="R234" s="101">
        <f t="shared" si="12"/>
        <v>208.64000000000001</v>
      </c>
      <c r="S234" s="60">
        <f t="shared" si="13"/>
        <v>28.549999999999983</v>
      </c>
    </row>
    <row r="235" spans="2:19" ht="14.4">
      <c r="B235" s="55" t="s">
        <v>16</v>
      </c>
      <c r="C235" s="56" t="s">
        <v>459</v>
      </c>
      <c r="D235" s="56" t="str">
        <f>VLOOKUP(C235,DATA!B:C,2,0)</f>
        <v>GS USA WOODEN -52</v>
      </c>
      <c r="E235" s="56" t="str">
        <f>VLOOKUP(C235,Sheet4!A:B,2,0)</f>
        <v>WOODEN -52</v>
      </c>
      <c r="F235" s="56" t="e">
        <f ca="1">Image("https://images-na.ssl-images-amazon.com/images/I/51LlffdIDiL.jpg;https://images-na.ssl-images-amazon.com/images/I/61NSOG6K67L.jpg;https://images-na.ssl-images-amazon.com/images/I/51X0FyBaNLL.jpg;https://images-na.ssl-images-amazon.com/images/I/51jfXxyjLVL"&amp;".jpg")</f>
        <v>#NAME?</v>
      </c>
      <c r="G235" s="56" t="s">
        <v>93</v>
      </c>
      <c r="H235" s="83">
        <v>12</v>
      </c>
      <c r="I235" s="88">
        <v>167</v>
      </c>
      <c r="J235" s="83">
        <v>0</v>
      </c>
      <c r="K235" s="88">
        <v>0</v>
      </c>
      <c r="L235" s="84">
        <v>87.27</v>
      </c>
      <c r="M235" s="94">
        <f t="shared" si="14"/>
        <v>7.2725</v>
      </c>
      <c r="N235" s="57">
        <f>(VLOOKUP(E235,Sheet4!F:G,2,0))/1000</f>
        <v>0.35</v>
      </c>
      <c r="O235" s="99">
        <f>VLOOKUP(E235,Sheet4!F:N,9,0)</f>
        <v>377</v>
      </c>
      <c r="P235" s="58" t="s">
        <v>1187</v>
      </c>
      <c r="Q235" s="59" cm="1">
        <f t="array" ref="Q235">_xlfn.IFS($P235=$P$2,O235+$P$3*N235,$P235=$Q$2,O235+$Q$3*N235)</f>
        <v>419</v>
      </c>
      <c r="R235" s="101">
        <f t="shared" si="12"/>
        <v>62.85</v>
      </c>
      <c r="S235" s="60">
        <f t="shared" si="13"/>
        <v>24.419999999999995</v>
      </c>
    </row>
    <row r="236" spans="2:19" ht="14.4">
      <c r="B236" s="55" t="s">
        <v>16</v>
      </c>
      <c r="C236" s="56" t="s">
        <v>316</v>
      </c>
      <c r="D236" s="56" t="str">
        <f>VLOOKUP(C236,DATA!B:C,2,0)</f>
        <v>GS US WOODEN -70</v>
      </c>
      <c r="E236" s="56" t="str">
        <f>VLOOKUP(C236,Sheet4!A:B,2,0)</f>
        <v>WOODEN -70</v>
      </c>
      <c r="F236" s="56" t="e">
        <f ca="1">Image("https://images-na.ssl-images-amazon.com/images/I/51WmIjJY0QL.jpg;https://images-na.ssl-images-amazon.com/images/I/51yqgALKETL.jpg;https://images-na.ssl-images-amazon.com/images/I/51STaAyzahL.jpg;https://images-na.ssl-images-amazon.com/images/I/5136O+AQ01L"&amp;".jpg;https://images-na.ssl-images-amazon.com/images/I/51Xfjgx+ZwL.jpg;https://images-na.ssl-images-amazon.com/images/I/51MjFbI-6WL.jpg;https://images-na.ssl-images-amazon.com/images/I/51bC6gkAYpL.jpg;https://images-na.ssl-images-amazon.com/images/I/51wBOX"&amp;"dYjzL.jpg")</f>
        <v>#NAME?</v>
      </c>
      <c r="G236" s="56" t="s">
        <v>318</v>
      </c>
      <c r="H236" s="83">
        <v>23</v>
      </c>
      <c r="I236" s="88">
        <v>350.8</v>
      </c>
      <c r="J236" s="83">
        <v>1</v>
      </c>
      <c r="K236" s="88">
        <v>-13.9</v>
      </c>
      <c r="L236" s="84">
        <v>186.93</v>
      </c>
      <c r="M236" s="94">
        <f t="shared" si="14"/>
        <v>8.1273913043478263</v>
      </c>
      <c r="N236" s="57">
        <f>(VLOOKUP(E236,Sheet4!F:G,2,0))/1000</f>
        <v>0.31</v>
      </c>
      <c r="O236" s="99">
        <f>VLOOKUP(E236,Sheet4!F:N,9,0)</f>
        <v>415</v>
      </c>
      <c r="P236" s="58" t="s">
        <v>1187</v>
      </c>
      <c r="Q236" s="59" cm="1">
        <f t="array" ref="Q236">_xlfn.IFS($P236=$P$2,O236+$P$3*N236,$P236=$Q$2,O236+$Q$3*N236)</f>
        <v>452.2</v>
      </c>
      <c r="R236" s="101">
        <f t="shared" si="12"/>
        <v>130.00749999999999</v>
      </c>
      <c r="S236" s="60">
        <f t="shared" si="13"/>
        <v>56.922500000000014</v>
      </c>
    </row>
    <row r="237" spans="2:19" ht="14.4">
      <c r="B237" s="55" t="s">
        <v>16</v>
      </c>
      <c r="C237" s="56" t="s">
        <v>142</v>
      </c>
      <c r="D237" s="56" t="str">
        <f>VLOOKUP(C237,DATA!B:C,2,0)</f>
        <v>GS USA SOAPSTONE -10</v>
      </c>
      <c r="E237" s="56" t="str">
        <f>VLOOKUP(C237,Sheet4!A:B,2,0)</f>
        <v>SOAPSTONE -10</v>
      </c>
      <c r="F237" s="56" t="e">
        <f ca="1">Image("https://images-na.ssl-images-amazon.com/images/I/51eH8U1xyNS.jpg;https://images-na.ssl-images-amazon.com/images/I/41rFiJt+kFS.jpg;https://images-na.ssl-images-amazon.com/images/I/51NTKTOi8BS.jpg;https://images-na.ssl-images-amazon.com/images/I/51WhGjWwBeS"&amp;".jpg;https://images-na.ssl-images-amazon.com/images/I/61YgG2pMjVS.jpg;https://images-na.ssl-images-amazon.com/images/I/51wgoIJRgwL.jpg;https://images-na.ssl-images-amazon.com/images/I/51gipCwoLjL.jpg")</f>
        <v>#NAME?</v>
      </c>
      <c r="G237" s="56" t="s">
        <v>144</v>
      </c>
      <c r="H237" s="83">
        <v>144</v>
      </c>
      <c r="I237" s="88">
        <v>2076.5100000000002</v>
      </c>
      <c r="J237" s="83">
        <v>8</v>
      </c>
      <c r="K237" s="88">
        <v>-107.25</v>
      </c>
      <c r="L237" s="84">
        <v>732.6</v>
      </c>
      <c r="M237" s="94">
        <f t="shared" si="14"/>
        <v>5.0875000000000004</v>
      </c>
      <c r="N237" s="57">
        <f>(VLOOKUP(E237,Sheet4!F:G,2,0))/1000</f>
        <v>0.4</v>
      </c>
      <c r="O237" s="99">
        <f>VLOOKUP(E237,Sheet4!F:N,9,0)</f>
        <v>280</v>
      </c>
      <c r="P237" s="58" t="s">
        <v>1187</v>
      </c>
      <c r="Q237" s="59" cm="1">
        <f t="array" ref="Q237">_xlfn.IFS($P237=$P$2,O237+$P$3*N237,$P237=$Q$2,O237+$Q$3*N237)</f>
        <v>328</v>
      </c>
      <c r="R237" s="101">
        <f t="shared" si="12"/>
        <v>590.4</v>
      </c>
      <c r="S237" s="60">
        <f t="shared" si="13"/>
        <v>142.20000000000005</v>
      </c>
    </row>
    <row r="238" spans="2:19" ht="14.4">
      <c r="B238" s="55" t="s">
        <v>16</v>
      </c>
      <c r="C238" s="56" t="s">
        <v>14</v>
      </c>
      <c r="D238" s="56" t="str">
        <f>VLOOKUP(C238,DATA!B:C,2,0)</f>
        <v>BOWL -1</v>
      </c>
      <c r="E238" s="56" t="str">
        <f>VLOOKUP(C238,Sheet4!A:B,2,0)</f>
        <v>BOWL -1</v>
      </c>
      <c r="F238" s="56" t="e">
        <f ca="1">Image("https://images-na.ssl-images-amazon.com/images/I/51wu2q-zKuL.jpg;https://images-na.ssl-images-amazon.com/images/I/517-DmWn7iL.jpg;https://images-na.ssl-images-amazon.com/images/I/41veFufhgBL.jpg;https://images-na.ssl-images-amazon.com/images/I/41BTUKYzcuL"&amp;".jpg;https://images-na.ssl-images-amazon.com/images/I/51mgfxVp3wL.jpg")</f>
        <v>#NAME?</v>
      </c>
      <c r="G238" s="56" t="s">
        <v>17</v>
      </c>
      <c r="H238" s="83">
        <v>265</v>
      </c>
      <c r="I238" s="88">
        <v>22208.46</v>
      </c>
      <c r="J238" s="83">
        <v>28</v>
      </c>
      <c r="K238" s="88">
        <v>-2062.79</v>
      </c>
      <c r="L238" s="84">
        <v>14817.54</v>
      </c>
      <c r="M238" s="94">
        <f t="shared" si="14"/>
        <v>55.915245283018869</v>
      </c>
      <c r="N238" s="57">
        <f>(VLOOKUP(E238,Sheet4!F:G,2,0))/1000</f>
        <v>1.6</v>
      </c>
      <c r="O238" s="99">
        <f>VLOOKUP(E238,Sheet4!F1:J586,5,0)</f>
        <v>2926.8</v>
      </c>
      <c r="P238" s="58" t="s">
        <v>1188</v>
      </c>
      <c r="Q238" s="59" cm="1">
        <f t="array" ref="Q238">_xlfn.IFS($P238=$P$2,O238+$P$3*N238,$P238=$Q$2,O238+$Q$3*N238)</f>
        <v>3646.8</v>
      </c>
      <c r="R238" s="101">
        <f t="shared" si="12"/>
        <v>12080.025</v>
      </c>
      <c r="S238" s="60">
        <f t="shared" si="13"/>
        <v>2737.5150000000012</v>
      </c>
    </row>
    <row r="239" spans="2:19" ht="14.4">
      <c r="B239" s="55" t="s">
        <v>16</v>
      </c>
      <c r="C239" s="56" t="s">
        <v>67</v>
      </c>
      <c r="D239" s="56" t="str">
        <f>VLOOKUP(C239,DATA!B:C,2,0)</f>
        <v>PK US SSF -4</v>
      </c>
      <c r="E239" s="56" t="str">
        <f>VLOOKUP(C239,Sheet4!A:B,2,0)</f>
        <v>SSF -1</v>
      </c>
      <c r="F239" s="56" t="e">
        <f ca="1">Image("https://images-na.ssl-images-amazon.com/images/I/51QqFxw8lHL.jpg;https://images-na.ssl-images-amazon.com/images/I/61A8tYoCoIL.jpg;https://images-na.ssl-images-amazon.com/images/I/51Zu6TkvbkL.jpg;https://images-na.ssl-images-amazon.com/images/I/51yI9L0VtZL"&amp;".jpg;https://images-na.ssl-images-amazon.com/images/I/51eK6dJ-9GL.jpg;https://images-na.ssl-images-amazon.com/images/I/516BOvXkzGL.jpg;https://images-na.ssl-images-amazon.com/images/I/51pUGIu1tVL.jpg;https://images-na.ssl-images-amazon.com/images/I/51RZ5g"&amp;"-rczL.jpg;https://images-na.ssl-images-amazon.com/images/I/51mRitk-o7L.jpg")</f>
        <v>#NAME?</v>
      </c>
      <c r="G239" s="56" t="s">
        <v>69</v>
      </c>
      <c r="H239" s="83">
        <v>134</v>
      </c>
      <c r="I239" s="88">
        <v>3546.66</v>
      </c>
      <c r="J239" s="83">
        <v>13</v>
      </c>
      <c r="K239" s="88">
        <v>-297.31</v>
      </c>
      <c r="L239" s="84">
        <v>1942.34</v>
      </c>
      <c r="M239" s="94">
        <f t="shared" si="14"/>
        <v>14.495074626865671</v>
      </c>
      <c r="N239" s="57">
        <f>(VLOOKUP(E239,Sheet4!F:G,2,0))/1000</f>
        <v>0.4</v>
      </c>
      <c r="O239" s="99">
        <f>VLOOKUP(E239,Sheet4!F63:J648,5,0)</f>
        <v>480</v>
      </c>
      <c r="P239" s="58" t="s">
        <v>1188</v>
      </c>
      <c r="Q239" s="59" cm="1">
        <f t="array" ref="Q239">_xlfn.IFS($P239=$P$2,O239+$P$3*N239,$P239=$Q$2,O239+$Q$3*N239)</f>
        <v>660</v>
      </c>
      <c r="R239" s="101">
        <f t="shared" si="12"/>
        <v>1105.5</v>
      </c>
      <c r="S239" s="60">
        <f t="shared" si="13"/>
        <v>836.83999999999992</v>
      </c>
    </row>
    <row r="240" spans="2:19" ht="14.4">
      <c r="B240" s="55" t="s">
        <v>16</v>
      </c>
      <c r="C240" s="56" t="s">
        <v>280</v>
      </c>
      <c r="D240" s="56" t="str">
        <f>VLOOKUP(C240,DATA!B:C,2,0)</f>
        <v>PK USA SSF -5</v>
      </c>
      <c r="E240" s="56" t="str">
        <f>VLOOKUP(C240,Sheet4!A:B,2,0)</f>
        <v>SSF -2</v>
      </c>
      <c r="F240" s="56" t="e">
        <f ca="1">Image("https://images-na.ssl-images-amazon.com/images/I/51bcd2Fo6LL.jpg;https://images-na.ssl-images-amazon.com/images/I/6118bDsS7lL.jpg;https://images-na.ssl-images-amazon.com/images/I/51O27y+98GL.jpg;https://images-na.ssl-images-amazon.com/images/I/51jlidsealL"&amp;".jpg;https://images-na.ssl-images-amazon.com/images/I/51OMPy+5KqL.jpg;https://images-na.ssl-images-amazon.com/images/I/51VdYNwm4rL.jpg;https://images-na.ssl-images-amazon.com/images/I/51Dc9xjitqL.jpg;https://images-na.ssl-images-amazon.com/images/I/51TUIH"&amp;"3eKwL.jpg;https://images-na.ssl-images-amazon.com/images/I/51mRitk-o7L.jpg")</f>
        <v>#NAME?</v>
      </c>
      <c r="G240" s="56" t="s">
        <v>282</v>
      </c>
      <c r="H240" s="83">
        <v>12</v>
      </c>
      <c r="I240" s="88">
        <v>363.9</v>
      </c>
      <c r="J240" s="83">
        <v>1</v>
      </c>
      <c r="K240" s="88">
        <v>-31.67</v>
      </c>
      <c r="L240" s="84">
        <v>237.62</v>
      </c>
      <c r="M240" s="94">
        <f t="shared" si="14"/>
        <v>19.801666666666666</v>
      </c>
      <c r="N240" s="57">
        <f>(VLOOKUP(E240,Sheet4!F:G,2,0))/1000</f>
        <v>0.4</v>
      </c>
      <c r="O240" s="99">
        <f>VLOOKUP(E240,Sheet4!F292:J877,5,0)</f>
        <v>476.4</v>
      </c>
      <c r="P240" s="58" t="s">
        <v>1188</v>
      </c>
      <c r="Q240" s="59" cm="1">
        <f t="array" ref="Q240">_xlfn.IFS($P240=$P$2,O240+$P$3*N240,$P240=$Q$2,O240+$Q$3*N240)</f>
        <v>656.4</v>
      </c>
      <c r="R240" s="101">
        <f t="shared" si="12"/>
        <v>98.46</v>
      </c>
      <c r="S240" s="60">
        <f t="shared" si="13"/>
        <v>139.16000000000003</v>
      </c>
    </row>
    <row r="241" spans="2:19" ht="14.4">
      <c r="B241" s="55" t="s">
        <v>16</v>
      </c>
      <c r="C241" s="56" t="s">
        <v>1180</v>
      </c>
      <c r="D241" s="56" t="str">
        <f>VLOOKUP(C241,DATA!B:C,2,0)</f>
        <v>GS US SOAPSTONE -2</v>
      </c>
      <c r="E241" s="56" t="str">
        <f>VLOOKUP(C241,Sheet4!A:B,2,0)</f>
        <v>SOAPSTONE -2</v>
      </c>
      <c r="F241" s="56" t="e">
        <f ca="1">Image("https://images-na.ssl-images-amazon.com/images/I/41BcaS8dGNL.jpg;https://images-na.ssl-images-amazon.com/images/I/41-xZwheKvL.jpg;https://images-na.ssl-images-amazon.com/images/I/31ookAhX8-L.jpg;https://images-na.ssl-images-amazon.com/images/I/41FYhvHbWXL"&amp;".jpg;https://images-na.ssl-images-amazon.com/images/I/41ZlgyvwMmL.jpg;https://images-na.ssl-images-amazon.com/images/I/419jyl9qUiL.jpg")</f>
        <v>#NAME?</v>
      </c>
      <c r="G241" s="56" t="s">
        <v>1182</v>
      </c>
      <c r="H241" s="83">
        <v>40</v>
      </c>
      <c r="I241" s="88">
        <v>633.5</v>
      </c>
      <c r="J241" s="83">
        <v>11</v>
      </c>
      <c r="K241" s="88">
        <v>-159.87</v>
      </c>
      <c r="L241" s="84">
        <v>-358.55</v>
      </c>
      <c r="M241" s="94">
        <f t="shared" si="14"/>
        <v>-8.963750000000001</v>
      </c>
      <c r="N241" s="57">
        <f>(VLOOKUP(E241,Sheet4!F:G,2,0))/1000</f>
        <v>0.62</v>
      </c>
      <c r="O241" s="99">
        <f>VLOOKUP(E241,Sheet4!F65:J650,5,0)</f>
        <v>247.2</v>
      </c>
      <c r="P241" s="58" t="s">
        <v>1188</v>
      </c>
      <c r="Q241" s="59" cm="1">
        <f t="array" ref="Q241">_xlfn.IFS($P241=$P$2,O241+$P$3*N241,$P241=$Q$2,O241+$Q$3*N241)</f>
        <v>526.20000000000005</v>
      </c>
      <c r="R241" s="101">
        <f t="shared" si="12"/>
        <v>263.10000000000002</v>
      </c>
      <c r="S241" s="60">
        <f t="shared" si="13"/>
        <v>-621.65000000000009</v>
      </c>
    </row>
    <row r="242" spans="2:19" ht="14.4">
      <c r="B242" s="55" t="s">
        <v>16</v>
      </c>
      <c r="C242" s="56" t="s">
        <v>221</v>
      </c>
      <c r="D242" s="56" t="str">
        <f>VLOOKUP(C242,DATA!B:C,2,0)</f>
        <v>GS US BOWL -6</v>
      </c>
      <c r="E242" s="56" t="str">
        <f>VLOOKUP(C242,Sheet4!A:B,2,0)</f>
        <v>BOWL -6</v>
      </c>
      <c r="F242" s="56" t="e">
        <f ca="1">Image("https://images-na.ssl-images-amazon.com/images/I/51GCGmrmyrL.jpg;https://images-na.ssl-images-amazon.com/images/I/61DIzNMPGpL.jpg;https://images-na.ssl-images-amazon.com/images/I/51Rh7IvxPvL.jpg;https://images-na.ssl-images-amazon.com/images/I/714pzWV0t2L"&amp;".jpg;https://images-na.ssl-images-amazon.com/images/I/41t0qw1nB-L.jpg")</f>
        <v>#NAME?</v>
      </c>
      <c r="G242" s="56" t="s">
        <v>223</v>
      </c>
      <c r="H242" s="83">
        <v>32</v>
      </c>
      <c r="I242" s="88">
        <v>659.3</v>
      </c>
      <c r="J242" s="83">
        <v>4</v>
      </c>
      <c r="K242" s="88">
        <v>-88</v>
      </c>
      <c r="L242" s="84">
        <v>345.21</v>
      </c>
      <c r="M242" s="94">
        <f t="shared" si="14"/>
        <v>10.787812499999999</v>
      </c>
      <c r="N242" s="57">
        <f>(VLOOKUP(E242,Sheet4!F:G,2,0))/1000</f>
        <v>0.75</v>
      </c>
      <c r="O242" s="99">
        <f>VLOOKUP(E242,Sheet4!F5:J590,5,0)</f>
        <v>723.6</v>
      </c>
      <c r="P242" s="58" t="s">
        <v>1188</v>
      </c>
      <c r="Q242" s="59" cm="1">
        <f t="array" ref="Q242">_xlfn.IFS($P242=$P$2,O242+$P$3*N242,$P242=$Q$2,O242+$Q$3*N242)</f>
        <v>1061.0999999999999</v>
      </c>
      <c r="R242" s="101">
        <f t="shared" si="12"/>
        <v>424.43999999999994</v>
      </c>
      <c r="S242" s="60">
        <f t="shared" si="13"/>
        <v>-79.229999999999961</v>
      </c>
    </row>
    <row r="243" spans="2:19" ht="14.4">
      <c r="B243" s="55" t="s">
        <v>16</v>
      </c>
      <c r="C243" s="56" t="s">
        <v>608</v>
      </c>
      <c r="D243" s="56" t="str">
        <f>VLOOKUP(C243,DATA!B:C,2,0)</f>
        <v>BOWL -27</v>
      </c>
      <c r="E243" s="56" t="str">
        <f>VLOOKUP(C243,Sheet4!A:B,2,0)</f>
        <v>BOWL -27</v>
      </c>
      <c r="F243" s="56" t="e">
        <f ca="1">Image("https://images-na.ssl-images-amazon.com/images/I/51m10-X-XmL.jpg;https://images-na.ssl-images-amazon.com/images/I/51j3r5GpWOL.jpg;https://images-na.ssl-images-amazon.com/images/I/51jfQEC7edL.jpg;https://images-na.ssl-images-amazon.com/images/I/611ixP6mocL"&amp;".jpg;https://images-na.ssl-images-amazon.com/images/I/41t0qw1nB-L.jpg")</f>
        <v>#NAME?</v>
      </c>
      <c r="G243" s="56" t="s">
        <v>610</v>
      </c>
      <c r="H243" s="83">
        <v>1</v>
      </c>
      <c r="I243" s="88">
        <v>38.75</v>
      </c>
      <c r="J243" s="83">
        <v>0</v>
      </c>
      <c r="K243" s="88">
        <v>0</v>
      </c>
      <c r="L243" s="84">
        <v>32.94</v>
      </c>
      <c r="M243" s="94">
        <f t="shared" si="14"/>
        <v>32.94</v>
      </c>
      <c r="N243" s="57">
        <f>(VLOOKUP(E243,Sheet4!F:G,2,0))/1000</f>
        <v>1.05</v>
      </c>
      <c r="O243" s="99">
        <f>VLOOKUP(E243,Sheet4!F6:J591,5,0)</f>
        <v>1269.5999999999999</v>
      </c>
      <c r="P243" s="58" t="s">
        <v>1188</v>
      </c>
      <c r="Q243" s="59" cm="1">
        <f t="array" ref="Q243">_xlfn.IFS($P243=$P$2,O243+$P$3*N243,$P243=$Q$2,O243+$Q$3*N243)</f>
        <v>1742.1</v>
      </c>
      <c r="R243" s="101">
        <f t="shared" si="12"/>
        <v>21.776249999999997</v>
      </c>
      <c r="S243" s="60">
        <f t="shared" si="13"/>
        <v>11.16375</v>
      </c>
    </row>
    <row r="244" spans="2:19" ht="14.4">
      <c r="B244" s="55" t="s">
        <v>16</v>
      </c>
      <c r="C244" s="56" t="s">
        <v>1157</v>
      </c>
      <c r="D244" s="56" t="str">
        <f>VLOOKUP(C244,DATA!B:C,2,0)</f>
        <v>GS USA BOWL -19</v>
      </c>
      <c r="E244" s="56" t="str">
        <f>VLOOKUP(C244,Sheet4!A:B,2,0)</f>
        <v>BOWL -19</v>
      </c>
      <c r="F244" s="56" t="e">
        <f ca="1">Image("https://images-na.ssl-images-amazon.com/images/I/51O+wbWkDYL.jpg;https://images-na.ssl-images-amazon.com/images/I/51ei+mwp2BL.jpg;https://images-na.ssl-images-amazon.com/images/I/510KJz6sP0L.jpg;https://images-na.ssl-images-amazon.com/images/I/61k4Q18Q7uL"&amp;".jpg;https://images-na.ssl-images-amazon.com/images/I/41t0qw1nB-L.jpg")</f>
        <v>#NAME?</v>
      </c>
      <c r="G244" s="56" t="s">
        <v>1159</v>
      </c>
      <c r="H244" s="83">
        <v>9</v>
      </c>
      <c r="I244" s="88">
        <v>178.47</v>
      </c>
      <c r="J244" s="83">
        <v>0</v>
      </c>
      <c r="K244" s="88">
        <v>0</v>
      </c>
      <c r="L244" s="84">
        <v>-106.49</v>
      </c>
      <c r="M244" s="94">
        <f t="shared" si="14"/>
        <v>-11.832222222222221</v>
      </c>
      <c r="N244" s="57">
        <f>(VLOOKUP(E244,Sheet4!F:G,2,0))/1000</f>
        <v>0.75</v>
      </c>
      <c r="O244" s="99">
        <f>VLOOKUP(E244,Sheet4!F7:J592,5,0)</f>
        <v>723.6</v>
      </c>
      <c r="P244" s="58" t="s">
        <v>1188</v>
      </c>
      <c r="Q244" s="59" cm="1">
        <f t="array" ref="Q244">_xlfn.IFS($P244=$P$2,O244+$P$3*N244,$P244=$Q$2,O244+$Q$3*N244)</f>
        <v>1061.0999999999999</v>
      </c>
      <c r="R244" s="101">
        <f t="shared" si="12"/>
        <v>119.37375</v>
      </c>
      <c r="S244" s="60">
        <f t="shared" si="13"/>
        <v>-225.86374999999998</v>
      </c>
    </row>
    <row r="245" spans="2:19" ht="14.4">
      <c r="B245" s="55" t="s">
        <v>16</v>
      </c>
      <c r="C245" s="56" t="s">
        <v>1136</v>
      </c>
      <c r="D245" s="56" t="str">
        <f>VLOOKUP(C245,DATA!B:C,2,0)</f>
        <v>GS US BOWL -31</v>
      </c>
      <c r="E245" s="56" t="str">
        <f>VLOOKUP(C245,Sheet4!A:B,2,0)</f>
        <v>BOWL -31</v>
      </c>
      <c r="F245" s="56" t="e">
        <f ca="1">Image("https://images-na.ssl-images-amazon.com/images/I/51SkR-ma4cL.jpg;https://images-na.ssl-images-amazon.com/images/I/61Oe-RFa94L.jpg;https://images-na.ssl-images-amazon.com/images/I/51g3sIVixrL.jpg;https://images-na.ssl-images-amazon.com/images/I/61MUZwc+2FL"&amp;".jpg;https://images-na.ssl-images-amazon.com/images/I/41t0qw1nB-L.jpg")</f>
        <v>#NAME?</v>
      </c>
      <c r="G245" s="56" t="s">
        <v>1138</v>
      </c>
      <c r="H245" s="83">
        <v>1</v>
      </c>
      <c r="I245" s="88">
        <v>28.99</v>
      </c>
      <c r="J245" s="83">
        <v>0</v>
      </c>
      <c r="K245" s="88">
        <v>0</v>
      </c>
      <c r="L245" s="84">
        <v>-76.59</v>
      </c>
      <c r="M245" s="94">
        <f t="shared" si="14"/>
        <v>-76.59</v>
      </c>
      <c r="N245" s="57">
        <f>(VLOOKUP(E245,Sheet4!F:G,2,0))/1000</f>
        <v>1.05</v>
      </c>
      <c r="O245" s="99">
        <f>VLOOKUP(E245,Sheet4!F8:J593,5,0)</f>
        <v>1269.5999999999999</v>
      </c>
      <c r="P245" s="58" t="s">
        <v>1188</v>
      </c>
      <c r="Q245" s="59" cm="1">
        <f t="array" ref="Q245">_xlfn.IFS($P245=$P$2,O245+$P$3*N245,$P245=$Q$2,O245+$Q$3*N245)</f>
        <v>1742.1</v>
      </c>
      <c r="R245" s="101">
        <f t="shared" si="12"/>
        <v>21.776249999999997</v>
      </c>
      <c r="S245" s="60">
        <f t="shared" si="13"/>
        <v>-98.366250000000008</v>
      </c>
    </row>
    <row r="246" spans="2:19" ht="14.4">
      <c r="B246" s="55" t="s">
        <v>16</v>
      </c>
      <c r="C246" s="56" t="s">
        <v>248</v>
      </c>
      <c r="D246" s="56" t="str">
        <f>VLOOKUP(C246,DATA!B:C,2,0)</f>
        <v>GS USA BOWL -16</v>
      </c>
      <c r="E246" s="56" t="str">
        <f>VLOOKUP(C246,Sheet4!A:B,2,0)</f>
        <v>BOWL -16</v>
      </c>
      <c r="F246" s="56" t="e">
        <f ca="1">Image("https://images-na.ssl-images-amazon.com/images/I/61a5R3XJaeL.jpg;https://images-na.ssl-images-amazon.com/images/I/618NzOn9zeL.jpg;https://images-na.ssl-images-amazon.com/images/I/51z-vv9B4OL.jpg;https://images-na.ssl-images-amazon.com/images/I/61jSs7MjlzL"&amp;".jpg;https://images-na.ssl-images-amazon.com/images/I/41t0qw1nB-L.jpg")</f>
        <v>#NAME?</v>
      </c>
      <c r="G246" s="56" t="s">
        <v>250</v>
      </c>
      <c r="H246" s="83">
        <v>22</v>
      </c>
      <c r="I246" s="88">
        <v>540.20000000000005</v>
      </c>
      <c r="J246" s="83">
        <v>2</v>
      </c>
      <c r="K246" s="88">
        <v>-40.479999999999997</v>
      </c>
      <c r="L246" s="84">
        <v>278.95</v>
      </c>
      <c r="M246" s="94">
        <f t="shared" si="14"/>
        <v>12.679545454545455</v>
      </c>
      <c r="N246" s="57">
        <f>(VLOOKUP(E246,Sheet4!F:G,2,0))/1000</f>
        <v>0.625</v>
      </c>
      <c r="O246" s="99">
        <f>VLOOKUP(E246,Sheet4!F70:J655,5,0)</f>
        <v>716.4</v>
      </c>
      <c r="P246" s="58" t="s">
        <v>1188</v>
      </c>
      <c r="Q246" s="59" cm="1">
        <f t="array" ref="Q246">_xlfn.IFS($P246=$P$2,O246+$P$3*N246,$P246=$Q$2,O246+$Q$3*N246)</f>
        <v>997.65</v>
      </c>
      <c r="R246" s="101">
        <f t="shared" si="12"/>
        <v>274.35374999999999</v>
      </c>
      <c r="S246" s="60">
        <f t="shared" si="13"/>
        <v>4.5962499999999977</v>
      </c>
    </row>
    <row r="247" spans="2:19" ht="14.4">
      <c r="B247" s="55" t="s">
        <v>16</v>
      </c>
      <c r="C247" s="56" t="s">
        <v>375</v>
      </c>
      <c r="D247" s="56" t="str">
        <f>VLOOKUP(C247,DATA!B:C,2,0)</f>
        <v>GS US BOWL -7</v>
      </c>
      <c r="E247" s="56" t="str">
        <f>VLOOKUP(C247,Sheet4!A:B,2,0)</f>
        <v>BOWL -7</v>
      </c>
      <c r="F247" s="56" t="e">
        <f ca="1">Image("https://images-na.ssl-images-amazon.com/images/I/51hCIM-4GwL.jpg;https://images-na.ssl-images-amazon.com/images/I/51EnomcgZqL.jpg;https://images-na.ssl-images-amazon.com/images/I/51XqkGWkmnL.jpg;https://images-na.ssl-images-amazon.com/images/I/61hgD2dKeEL"&amp;".jpg;https://images-na.ssl-images-amazon.com/images/I/41t0qw1nB-L.jpg")</f>
        <v>#NAME?</v>
      </c>
      <c r="G247" s="56" t="s">
        <v>377</v>
      </c>
      <c r="H247" s="83">
        <v>12</v>
      </c>
      <c r="I247" s="88">
        <v>292.89999999999998</v>
      </c>
      <c r="J247" s="83">
        <v>0</v>
      </c>
      <c r="K247" s="88">
        <v>0</v>
      </c>
      <c r="L247" s="84">
        <v>133.47</v>
      </c>
      <c r="M247" s="94">
        <f t="shared" si="14"/>
        <v>11.1225</v>
      </c>
      <c r="N247" s="57">
        <f>(VLOOKUP(E247,Sheet4!F:G,2,0))/1000</f>
        <v>0.75</v>
      </c>
      <c r="O247" s="99">
        <f>VLOOKUP(E247,Sheet4!F10:J595,5,0)</f>
        <v>723.6</v>
      </c>
      <c r="P247" s="58" t="s">
        <v>1188</v>
      </c>
      <c r="Q247" s="59" cm="1">
        <f t="array" ref="Q247">_xlfn.IFS($P247=$P$2,O247+$P$3*N247,$P247=$Q$2,O247+$Q$3*N247)</f>
        <v>1061.0999999999999</v>
      </c>
      <c r="R247" s="101">
        <f t="shared" si="12"/>
        <v>159.16499999999999</v>
      </c>
      <c r="S247" s="60">
        <f t="shared" si="13"/>
        <v>-25.694999999999993</v>
      </c>
    </row>
    <row r="248" spans="2:19" ht="14.4">
      <c r="B248" s="55" t="s">
        <v>16</v>
      </c>
      <c r="C248" s="56" t="s">
        <v>530</v>
      </c>
      <c r="D248" s="56" t="str">
        <f>VLOOKUP(C248,DATA!B:C,2,0)</f>
        <v>GS US BOWL -28</v>
      </c>
      <c r="E248" s="56" t="str">
        <f>VLOOKUP(C248,Sheet4!A:B,2,0)</f>
        <v>BOWL -28</v>
      </c>
      <c r="F248" s="56" t="e">
        <f ca="1">Image("https://images-na.ssl-images-amazon.com/images/I/51f1huhKIkL.jpg;https://images-na.ssl-images-amazon.com/images/I/61OIh7jia0L.jpg;https://images-na.ssl-images-amazon.com/images/I/51eX9UiNTlL.jpg;https://images-na.ssl-images-amazon.com/images/I/61h4HUZF6tL"&amp;".jpg;https://images-na.ssl-images-amazon.com/images/I/41t0qw1nB-L.jpg")</f>
        <v>#NAME?</v>
      </c>
      <c r="G248" s="56" t="s">
        <v>532</v>
      </c>
      <c r="H248" s="83">
        <v>8</v>
      </c>
      <c r="I248" s="88">
        <v>192</v>
      </c>
      <c r="J248" s="83">
        <v>0</v>
      </c>
      <c r="K248" s="88">
        <v>0</v>
      </c>
      <c r="L248" s="84">
        <v>51.98</v>
      </c>
      <c r="M248" s="94">
        <f t="shared" si="14"/>
        <v>6.4974999999999996</v>
      </c>
      <c r="N248" s="57">
        <f>(VLOOKUP(E248,Sheet4!F:G,2,0))/1000</f>
        <v>1.05</v>
      </c>
      <c r="O248" s="99">
        <f>VLOOKUP(E248,Sheet4!F11:J596,5,0)</f>
        <v>1269.5999999999999</v>
      </c>
      <c r="P248" s="58" t="s">
        <v>1188</v>
      </c>
      <c r="Q248" s="59" cm="1">
        <f t="array" ref="Q248">_xlfn.IFS($P248=$P$2,O248+$P$3*N248,$P248=$Q$2,O248+$Q$3*N248)</f>
        <v>1742.1</v>
      </c>
      <c r="R248" s="101">
        <f t="shared" si="12"/>
        <v>174.20999999999998</v>
      </c>
      <c r="S248" s="60">
        <f t="shared" si="13"/>
        <v>-122.22999999999999</v>
      </c>
    </row>
    <row r="249" spans="2:19" ht="14.4">
      <c r="B249" s="55" t="s">
        <v>16</v>
      </c>
      <c r="C249" s="56" t="s">
        <v>631</v>
      </c>
      <c r="D249" s="56" t="str">
        <f>VLOOKUP(C249,DATA!B:C,2,0)</f>
        <v>SET OF 6 RED NAPKIN RINGS</v>
      </c>
      <c r="E249" s="56" t="str">
        <f>VLOOKUP(C249,Sheet4!A:B,2,0)</f>
        <v>NPKN -19</v>
      </c>
      <c r="F249" s="56" t="e">
        <f ca="1">Image("https://images-na.ssl-images-amazon.com/images/I/51jnsyDvNsL.jpg;https://images-na.ssl-images-amazon.com/images/I/61eX9MRBRcL.jpg;https://images-na.ssl-images-amazon.com/images/I/61Yzjv+eedL.jpg;https://images-na.ssl-images-amazon.com/images/I/41dbg9Ng-7L"&amp;".jpg")</f>
        <v>#NAME?</v>
      </c>
      <c r="G249" s="56" t="s">
        <v>633</v>
      </c>
      <c r="H249" s="83">
        <v>3</v>
      </c>
      <c r="I249" s="88">
        <v>35.97</v>
      </c>
      <c r="J249" s="83">
        <v>0</v>
      </c>
      <c r="K249" s="88">
        <v>0</v>
      </c>
      <c r="L249" s="84">
        <v>30.57</v>
      </c>
      <c r="M249" s="94">
        <f t="shared" si="14"/>
        <v>10.19</v>
      </c>
      <c r="N249" s="57">
        <f>(VLOOKUP(E249,Sheet4!F:G,2,0))/1000</f>
        <v>0.22</v>
      </c>
      <c r="O249" s="99">
        <f>VLOOKUP(E249,Sheet4!F73:J658,5,0)</f>
        <v>116.4</v>
      </c>
      <c r="P249" s="58" t="s">
        <v>1188</v>
      </c>
      <c r="Q249" s="59" cm="1">
        <f t="array" ref="Q249">_xlfn.IFS($P249=$P$2,O249+$P$3*N249,$P249=$Q$2,O249+$Q$3*N249)</f>
        <v>215.4</v>
      </c>
      <c r="R249" s="101">
        <f t="shared" si="12"/>
        <v>8.0775000000000006</v>
      </c>
      <c r="S249" s="60">
        <f t="shared" si="13"/>
        <v>22.4925</v>
      </c>
    </row>
    <row r="250" spans="2:19" ht="14.4">
      <c r="B250" s="55" t="s">
        <v>16</v>
      </c>
      <c r="C250" s="56" t="s">
        <v>103</v>
      </c>
      <c r="D250" s="56" t="str">
        <f>VLOOKUP(C250,DATA!B:C,2,0)</f>
        <v>Stamp NPKN -7</v>
      </c>
      <c r="E250" s="56" t="str">
        <f>VLOOKUP(C250,Sheet4!A:B,2,0)</f>
        <v>NPKN -7</v>
      </c>
      <c r="F250" s="56" t="e">
        <f ca="1">Image("https://images-na.ssl-images-amazon.com/images/I/51i+SfRFHdL.jpg;https://images-na.ssl-images-amazon.com/images/I/71+KsOmS3BL.jpg;https://images-na.ssl-images-amazon.com/images/I/61pV-HlDrTL.jpg;https://images-na.ssl-images-amazon.com/images/I/411fU-c6aZL"&amp;".jpg;https://images-na.ssl-images-amazon.com/images/I/41cS4Y02AbL.jpg")</f>
        <v>#NAME?</v>
      </c>
      <c r="G250" s="56" t="s">
        <v>105</v>
      </c>
      <c r="H250" s="83">
        <v>524</v>
      </c>
      <c r="I250" s="88">
        <v>4656.84</v>
      </c>
      <c r="J250" s="83">
        <v>42</v>
      </c>
      <c r="K250" s="88">
        <v>-302.23</v>
      </c>
      <c r="L250" s="84">
        <v>1207.75</v>
      </c>
      <c r="M250" s="94">
        <f t="shared" si="14"/>
        <v>2.3048664122137406</v>
      </c>
      <c r="N250" s="57">
        <f>(VLOOKUP(E250,Sheet4!F:G,2,0))/1000</f>
        <v>0.218</v>
      </c>
      <c r="O250" s="99">
        <f>VLOOKUP(E250,Sheet4!F74:J659,5,0)</f>
        <v>102</v>
      </c>
      <c r="P250" s="58" t="s">
        <v>1188</v>
      </c>
      <c r="Q250" s="59" cm="1">
        <f t="array" ref="Q250">_xlfn.IFS($P250=$P$2,O250+$P$3*N250,$P250=$Q$2,O250+$Q$3*N250)</f>
        <v>200.1</v>
      </c>
      <c r="R250" s="101">
        <f t="shared" si="12"/>
        <v>1310.655</v>
      </c>
      <c r="S250" s="60">
        <f t="shared" si="13"/>
        <v>-102.90499999999997</v>
      </c>
    </row>
    <row r="251" spans="2:19" ht="14.4">
      <c r="B251" s="55" t="s">
        <v>16</v>
      </c>
      <c r="C251" s="56" t="s">
        <v>148</v>
      </c>
      <c r="D251" s="56" t="str">
        <f>VLOOKUP(C251,DATA!B:C,2,0)</f>
        <v>STAMP NPKN -2</v>
      </c>
      <c r="E251" s="56" t="str">
        <f>VLOOKUP(C251,Sheet4!A:B,2,0)</f>
        <v>NPKN -2</v>
      </c>
      <c r="F251" s="56" t="e">
        <f ca="1">Image("https://images-na.ssl-images-amazon.com/images/I/51lJ6C7xETL.jpg;https://images-na.ssl-images-amazon.com/images/I/619-4yd5huL.jpg;https://images-na.ssl-images-amazon.com/images/I/51g24DSmvwL.jpg;https://images-na.ssl-images-amazon.com/images/I/41ZV3p4+usL"&amp;".jpg;https://images-na.ssl-images-amazon.com/images/I/41SRZzSBCPL.jpg")</f>
        <v>#NAME?</v>
      </c>
      <c r="G251" s="56" t="s">
        <v>150</v>
      </c>
      <c r="H251" s="83">
        <v>226</v>
      </c>
      <c r="I251" s="88">
        <v>2171.5100000000002</v>
      </c>
      <c r="J251" s="83">
        <v>13</v>
      </c>
      <c r="K251" s="88">
        <v>-101.02</v>
      </c>
      <c r="L251" s="84">
        <v>717.84</v>
      </c>
      <c r="M251" s="94">
        <f t="shared" si="14"/>
        <v>3.1762831858407079</v>
      </c>
      <c r="N251" s="57">
        <f>(VLOOKUP(E251,Sheet4!F:G,2,0))/1000</f>
        <v>0.218</v>
      </c>
      <c r="O251" s="99">
        <f>VLOOKUP(E251,Sheet4!F75:J660,5,0)</f>
        <v>116.4</v>
      </c>
      <c r="P251" s="58" t="s">
        <v>1188</v>
      </c>
      <c r="Q251" s="59" cm="1">
        <f t="array" ref="Q251">_xlfn.IFS($P251=$P$2,O251+$P$3*N251,$P251=$Q$2,O251+$Q$3*N251)</f>
        <v>214.5</v>
      </c>
      <c r="R251" s="101">
        <f t="shared" si="12"/>
        <v>605.96249999999998</v>
      </c>
      <c r="S251" s="60">
        <f t="shared" si="13"/>
        <v>111.87750000000005</v>
      </c>
    </row>
    <row r="252" spans="2:19" ht="14.4">
      <c r="B252" s="55" t="s">
        <v>16</v>
      </c>
      <c r="C252" s="56" t="s">
        <v>764</v>
      </c>
      <c r="D252" s="56" t="str">
        <f>VLOOKUP(C252,DATA!B:C,2,0)</f>
        <v>Tibetan Cymbal Bell</v>
      </c>
      <c r="E252" s="56" t="str">
        <f>VLOOKUP(C252,Sheet4!A:B,2,0)</f>
        <v>HANDBELL -1</v>
      </c>
      <c r="F252" s="56" t="e">
        <f ca="1">Image("https://images-na.ssl-images-amazon.com/images/I/51HJiHThdhL.jpg;https://images-na.ssl-images-amazon.com/images/I/51Ypv+X1b2L.jpg;https://images-na.ssl-images-amazon.com/images/I/51nhYbtHMbL.jpg;https://images-na.ssl-images-amazon.com/images/I/51FkFR4zHqL"&amp;".jpg")</f>
        <v>#NAME?</v>
      </c>
      <c r="G252" s="56" t="s">
        <v>766</v>
      </c>
      <c r="H252" s="83">
        <v>1</v>
      </c>
      <c r="I252" s="88">
        <v>16.989999999999998</v>
      </c>
      <c r="J252" s="83">
        <v>0</v>
      </c>
      <c r="K252" s="88">
        <v>0</v>
      </c>
      <c r="L252" s="84">
        <v>14.44</v>
      </c>
      <c r="M252" s="94">
        <f t="shared" si="14"/>
        <v>14.44</v>
      </c>
      <c r="N252" s="57">
        <f>(VLOOKUP(E252,Sheet4!F:G,2,0))/1000</f>
        <v>0.36</v>
      </c>
      <c r="O252" s="99">
        <f>VLOOKUP(E252,Sheet4!F76:J661,5,0)</f>
        <v>354</v>
      </c>
      <c r="P252" s="58" t="s">
        <v>1188</v>
      </c>
      <c r="Q252" s="59" cm="1">
        <f t="array" ref="Q252">_xlfn.IFS($P252=$P$2,O252+$P$3*N252,$P252=$Q$2,O252+$Q$3*N252)</f>
        <v>516</v>
      </c>
      <c r="R252" s="101">
        <f t="shared" si="12"/>
        <v>6.45</v>
      </c>
      <c r="S252" s="60">
        <f t="shared" si="13"/>
        <v>7.9899999999999993</v>
      </c>
    </row>
    <row r="253" spans="2:19" ht="14.4">
      <c r="B253" s="55" t="s">
        <v>16</v>
      </c>
      <c r="C253" s="56" t="s">
        <v>421</v>
      </c>
      <c r="D253" s="56" t="str">
        <f>VLOOKUP(C253,DATA!B:C,2,0)</f>
        <v>GS USA WOODEN -57</v>
      </c>
      <c r="E253" s="56" t="str">
        <f>VLOOKUP(C253,Sheet4!A:B,2,0)</f>
        <v>WOODEN -57</v>
      </c>
      <c r="F253" s="56" t="e">
        <f ca="1">Image("https://images-na.ssl-images-amazon.com/images/I/51+rHvUhTPL.jpg;https://images-na.ssl-images-amazon.com/images/I/51XCxYfI9TL.jpg;https://images-na.ssl-images-amazon.com/images/I/51ZgzaJxdPL.jpg;https://images-na.ssl-images-amazon.com/images/I/51i3vtyW80L"&amp;".jpg;https://images-na.ssl-images-amazon.com/images/I/41ZlytaBmDL.jpg;https://images-na.ssl-images-amazon.com/images/I/41JqlPIVwUL.jpg;https://images-na.ssl-images-amazon.com/images/I/51Uz5XHI04L.jpg")</f>
        <v>#NAME?</v>
      </c>
      <c r="G253" s="56" t="s">
        <v>423</v>
      </c>
      <c r="H253" s="83">
        <v>40</v>
      </c>
      <c r="I253" s="88">
        <v>678.95</v>
      </c>
      <c r="J253" s="83">
        <v>3</v>
      </c>
      <c r="K253" s="88">
        <v>-48.45</v>
      </c>
      <c r="L253" s="84">
        <v>103.45</v>
      </c>
      <c r="M253" s="94">
        <f t="shared" si="14"/>
        <v>2.5862500000000002</v>
      </c>
      <c r="N253" s="57">
        <f>(VLOOKUP(E253,Sheet4!F:G,2,0))/1000</f>
        <v>0.7</v>
      </c>
      <c r="O253" s="99">
        <f>VLOOKUP(E253,Sheet4!F:N,9,0)</f>
        <v>552.4</v>
      </c>
      <c r="P253" s="58" t="s">
        <v>1187</v>
      </c>
      <c r="Q253" s="59" cm="1">
        <f t="array" ref="Q253">_xlfn.IFS($P253=$P$2,O253+$P$3*N253,$P253=$Q$2,O253+$Q$3*N253)</f>
        <v>636.4</v>
      </c>
      <c r="R253" s="101">
        <f t="shared" si="12"/>
        <v>318.2</v>
      </c>
      <c r="S253" s="60">
        <f t="shared" si="13"/>
        <v>-214.75</v>
      </c>
    </row>
    <row r="254" spans="2:19" ht="14.4">
      <c r="B254" s="55" t="s">
        <v>16</v>
      </c>
      <c r="C254" s="56" t="s">
        <v>384</v>
      </c>
      <c r="D254" s="56" t="str">
        <f>VLOOKUP(C254,DATA!B:C,2,0)</f>
        <v>GS US WOODEN -64</v>
      </c>
      <c r="E254" s="56" t="str">
        <f>VLOOKUP(C254,Sheet4!A:B,2,0)</f>
        <v>WOODEN -64</v>
      </c>
      <c r="F254" s="56" t="e">
        <f ca="1">Image("https://images-na.ssl-images-amazon.com/images/I/41kCsdgCDnL.jpg;https://images-na.ssl-images-amazon.com/images/I/41hZA8q-9fL.jpg;https://images-na.ssl-images-amazon.com/images/I/41VQfe+1BSL.jpg;https://images-na.ssl-images-amazon.com/images/I/51fY4XeOHmL"&amp;".jpg;https://images-na.ssl-images-amazon.com/images/I/41CBWdtyzBL.jpg;https://images-na.ssl-images-amazon.com/images/I/41rXJnxH-PL.jpg;https://images-na.ssl-images-amazon.com/images/I/413VMAUqkDL.jpg")</f>
        <v>#NAME?</v>
      </c>
      <c r="G254" s="56" t="s">
        <v>386</v>
      </c>
      <c r="H254" s="83">
        <v>19</v>
      </c>
      <c r="I254" s="88">
        <v>273.39999999999998</v>
      </c>
      <c r="J254" s="83">
        <v>2</v>
      </c>
      <c r="K254" s="88">
        <v>-31.59</v>
      </c>
      <c r="L254" s="84">
        <v>127.97</v>
      </c>
      <c r="M254" s="94">
        <f t="shared" si="14"/>
        <v>6.7352631578947371</v>
      </c>
      <c r="N254" s="57">
        <f>(VLOOKUP(E254,Sheet4!F:G,2,0))/1000</f>
        <v>0.6</v>
      </c>
      <c r="O254" s="99">
        <f>VLOOKUP(E254,Sheet4!F:N,9,0)</f>
        <v>471.6</v>
      </c>
      <c r="P254" s="58" t="s">
        <v>1187</v>
      </c>
      <c r="Q254" s="59" cm="1">
        <f t="array" ref="Q254">_xlfn.IFS($P254=$P$2,O254+$P$3*N254,$P254=$Q$2,O254+$Q$3*N254)</f>
        <v>543.6</v>
      </c>
      <c r="R254" s="101">
        <f t="shared" si="12"/>
        <v>129.10499999999999</v>
      </c>
      <c r="S254" s="60">
        <f t="shared" si="13"/>
        <v>-1.1349999999999909</v>
      </c>
    </row>
    <row r="255" spans="2:19" ht="14.4">
      <c r="B255" s="55" t="s">
        <v>16</v>
      </c>
      <c r="C255" s="56" t="s">
        <v>70</v>
      </c>
      <c r="D255" s="56" t="str">
        <f>VLOOKUP(C255,DATA!B:C,2,0)</f>
        <v>JD US WOODEN -14</v>
      </c>
      <c r="E255" s="56" t="str">
        <f>VLOOKUP(C255,Sheet4!A:B,2,0)</f>
        <v>WOODEN -14</v>
      </c>
      <c r="F255" s="56" t="e">
        <f ca="1">Image("https://images-na.ssl-images-amazon.com/images/I/413l3NMhAQL.jpg;https://images-na.ssl-images-amazon.com/images/I/51YJHQ4ILFL.jpg;https://images-na.ssl-images-amazon.com/images/I/51L1CnfS72L.jpg;https://images-na.ssl-images-amazon.com/images/I/41+r-n9QY0L"&amp;".jpg;https://images-na.ssl-images-amazon.com/images/I/51eyrJ4lM5L.jpg;https://images-na.ssl-images-amazon.com/images/I/51Jm2JId33L.jpg;https://images-na.ssl-images-amazon.com/images/I/41h-4X0e4iL.jpg;https://images-na.ssl-images-amazon.com/images/I/41ay8C"&amp;"KQtBL.jpg")</f>
        <v>#NAME?</v>
      </c>
      <c r="G255" s="56" t="s">
        <v>72</v>
      </c>
      <c r="H255" s="83">
        <v>463</v>
      </c>
      <c r="I255" s="88">
        <v>4893.99</v>
      </c>
      <c r="J255" s="83">
        <v>36</v>
      </c>
      <c r="K255" s="88">
        <v>-328.82</v>
      </c>
      <c r="L255" s="84">
        <v>1903.85</v>
      </c>
      <c r="M255" s="94">
        <f t="shared" si="14"/>
        <v>4.1119870410367172</v>
      </c>
      <c r="N255" s="57">
        <f>(VLOOKUP(E255,Sheet4!F:G,2,0))/1000</f>
        <v>0.2</v>
      </c>
      <c r="O255" s="99">
        <f>VLOOKUP(E255,Sheet4!F79:J664,5,0)</f>
        <v>146.4</v>
      </c>
      <c r="P255" s="58" t="s">
        <v>1188</v>
      </c>
      <c r="Q255" s="59" cm="1">
        <f t="array" ref="Q255">_xlfn.IFS($P255=$P$2,O255+$P$3*N255,$P255=$Q$2,O255+$Q$3*N255)</f>
        <v>236.4</v>
      </c>
      <c r="R255" s="101">
        <f t="shared" si="12"/>
        <v>1368.165</v>
      </c>
      <c r="S255" s="60">
        <f t="shared" si="13"/>
        <v>535.68499999999995</v>
      </c>
    </row>
    <row r="256" spans="2:19" ht="14.4">
      <c r="B256" s="55" t="s">
        <v>16</v>
      </c>
      <c r="C256" s="56" t="s">
        <v>453</v>
      </c>
      <c r="D256" s="56" t="str">
        <f>VLOOKUP(C256,DATA!B:C,2,0)</f>
        <v>Indian Red Beaded Tea Coasters</v>
      </c>
      <c r="E256" s="56" t="str">
        <f>VLOOKUP(C256,Sheet4!A:B,2,0)</f>
        <v>CSTR -3</v>
      </c>
      <c r="F256" s="56" t="e">
        <f ca="1">Image("https://images-na.ssl-images-amazon.com/images/I/51c-ZnewzrL.jpg;https://images-na.ssl-images-amazon.com/images/I/51T+D5xCxaL.jpg;https://images-na.ssl-images-amazon.com/images/I/41JUeLUoI4L.jpg;https://images-na.ssl-images-amazon.com/images/I/51jKllj0ndL"&amp;".jpg;https://images-na.ssl-images-amazon.com/images/I/516rH+inV7L.jpg")</f>
        <v>#NAME?</v>
      </c>
      <c r="G256" s="56" t="s">
        <v>455</v>
      </c>
      <c r="H256" s="83">
        <v>11</v>
      </c>
      <c r="I256" s="88">
        <v>120.89</v>
      </c>
      <c r="J256" s="83">
        <v>1</v>
      </c>
      <c r="K256" s="88">
        <v>-9.67</v>
      </c>
      <c r="L256" s="84">
        <v>93.07</v>
      </c>
      <c r="M256" s="94">
        <f t="shared" si="14"/>
        <v>8.4609090909090909</v>
      </c>
      <c r="N256" s="57">
        <f>(VLOOKUP(E256,Sheet4!F:G,2,0))/1000</f>
        <v>0.12</v>
      </c>
      <c r="O256" s="99">
        <f>VLOOKUP(E256,Sheet4!F308:J893,5,0)</f>
        <v>98.4</v>
      </c>
      <c r="P256" s="58" t="s">
        <v>1188</v>
      </c>
      <c r="Q256" s="59" cm="1">
        <f t="array" ref="Q256">_xlfn.IFS($P256=$P$2,O256+$P$3*N256,$P256=$Q$2,O256+$Q$3*N256)</f>
        <v>152.4</v>
      </c>
      <c r="R256" s="101">
        <f t="shared" si="12"/>
        <v>20.955000000000002</v>
      </c>
      <c r="S256" s="60">
        <f t="shared" si="13"/>
        <v>72.114999999999995</v>
      </c>
    </row>
    <row r="257" spans="2:19" ht="14.4">
      <c r="B257" s="55" t="s">
        <v>16</v>
      </c>
      <c r="C257" s="56" t="s">
        <v>659</v>
      </c>
      <c r="D257" s="56" t="str">
        <f>VLOOKUP(C257,DATA!B:C,2,0)</f>
        <v>GS US SOAPSTONE -11</v>
      </c>
      <c r="E257" s="56" t="str">
        <f>VLOOKUP(C257,Sheet4!A:B,2,0)</f>
        <v>SOAPSTONE -11</v>
      </c>
      <c r="F257" s="56" t="e">
        <f ca="1">Image("https://images-na.ssl-images-amazon.com/images/I/412GThpktiL.jpg;https://images-na.ssl-images-amazon.com/images/I/510fGODNkCL.jpg;https://images-na.ssl-images-amazon.com/images/I/41L8pJ1HVcL.jpg;https://images-na.ssl-images-amazon.com/images/I/517883uYAEL"&amp;".jpg;https://images-na.ssl-images-amazon.com/images/I/41ERHWk5B1L.jpg;https://images-na.ssl-images-amazon.com/images/I/51+nrLMS5ML.jpg")</f>
        <v>#NAME?</v>
      </c>
      <c r="G257" s="56" t="s">
        <v>661</v>
      </c>
      <c r="H257" s="83">
        <v>3</v>
      </c>
      <c r="I257" s="88">
        <v>44.94</v>
      </c>
      <c r="J257" s="83">
        <v>1</v>
      </c>
      <c r="K257" s="88">
        <v>-13.18</v>
      </c>
      <c r="L257" s="84">
        <v>25.01</v>
      </c>
      <c r="M257" s="94">
        <f t="shared" si="14"/>
        <v>8.3366666666666678</v>
      </c>
      <c r="N257" s="57">
        <f>(VLOOKUP(E257,Sheet4!F:G,2,0))/1000</f>
        <v>0.39</v>
      </c>
      <c r="O257" s="99">
        <f>VLOOKUP(E257,Sheet4!F81:J666,5,0)</f>
        <v>362.4</v>
      </c>
      <c r="P257" s="58" t="s">
        <v>1188</v>
      </c>
      <c r="Q257" s="59" cm="1">
        <f t="array" ref="Q257">_xlfn.IFS($P257=$P$2,O257+$P$3*N257,$P257=$Q$2,O257+$Q$3*N257)</f>
        <v>537.9</v>
      </c>
      <c r="R257" s="101">
        <f t="shared" si="12"/>
        <v>20.171249999999997</v>
      </c>
      <c r="S257" s="60">
        <f t="shared" si="13"/>
        <v>4.8387500000000045</v>
      </c>
    </row>
    <row r="258" spans="2:19" ht="14.4">
      <c r="B258" s="55" t="s">
        <v>16</v>
      </c>
      <c r="C258" s="56" t="s">
        <v>91</v>
      </c>
      <c r="D258" s="56" t="str">
        <f>VLOOKUP(C258,DATA!B:C,2,0)</f>
        <v>GS USA WOODEN -31</v>
      </c>
      <c r="E258" s="56" t="str">
        <f>VLOOKUP(C258,Sheet4!A:B,2,0)</f>
        <v>WOODEN -31</v>
      </c>
      <c r="F258" s="56" t="e">
        <f ca="1">Image("https://images-na.ssl-images-amazon.com/images/I/51SfzncLCrL.jpg;https://images-na.ssl-images-amazon.com/images/I/51ArNUbwoyL.jpg;https://images-na.ssl-images-amazon.com/images/I/51QsWzifNgL.jpg;https://images-na.ssl-images-amazon.com/images/I/4166ErZC6nL"&amp;".jpg")</f>
        <v>#NAME?</v>
      </c>
      <c r="G258" s="56" t="s">
        <v>93</v>
      </c>
      <c r="H258" s="83">
        <v>174</v>
      </c>
      <c r="I258" s="88">
        <v>2799.16</v>
      </c>
      <c r="J258" s="83">
        <v>13</v>
      </c>
      <c r="K258" s="88">
        <v>-202.6</v>
      </c>
      <c r="L258" s="84">
        <v>1477.97</v>
      </c>
      <c r="M258" s="94">
        <f t="shared" si="14"/>
        <v>8.4940804597701156</v>
      </c>
      <c r="N258" s="57">
        <f>(VLOOKUP(E258,Sheet4!F:G,2,0))/1000</f>
        <v>0.312</v>
      </c>
      <c r="O258" s="99">
        <f>VLOOKUP(E258,Sheet4!F:N,9,0)</f>
        <v>238.79999999999998</v>
      </c>
      <c r="P258" s="58" t="s">
        <v>1187</v>
      </c>
      <c r="Q258" s="59" cm="1">
        <f t="array" ref="Q258">_xlfn.IFS($P258=$P$2,O258+$P$3*N258,$P258=$Q$2,O258+$Q$3*N258)</f>
        <v>276.24</v>
      </c>
      <c r="R258" s="101">
        <f t="shared" si="12"/>
        <v>600.822</v>
      </c>
      <c r="S258" s="60">
        <f t="shared" si="13"/>
        <v>877.14800000000002</v>
      </c>
    </row>
    <row r="259" spans="2:19" ht="14.4">
      <c r="B259" s="55" t="s">
        <v>16</v>
      </c>
      <c r="C259" s="56" t="s">
        <v>40</v>
      </c>
      <c r="D259" s="56" t="str">
        <f>VLOOKUP(C259,DATA!B:C,2,0)</f>
        <v>GS US BOWL -2</v>
      </c>
      <c r="E259" s="56" t="str">
        <f>VLOOKUP(C259,Sheet4!A:B,2,0)</f>
        <v>BOWL -2</v>
      </c>
      <c r="F259" s="56" t="e">
        <f ca="1">Image("https://images-na.ssl-images-amazon.com/images/I/418XkK501gL.jpg;https://images-na.ssl-images-amazon.com/images/I/31F3m78sHOL.jpg;https://images-na.ssl-images-amazon.com/images/I/41hyQHOM+6L.jpg;https://images-na.ssl-images-amazon.com/images/I/31Fzjoqa-mL"&amp;".jpg")</f>
        <v>#NAME?</v>
      </c>
      <c r="G259" s="56" t="s">
        <v>42</v>
      </c>
      <c r="H259" s="83">
        <v>115</v>
      </c>
      <c r="I259" s="88">
        <v>4773.09</v>
      </c>
      <c r="J259" s="83">
        <v>13</v>
      </c>
      <c r="K259" s="88">
        <v>-458.86</v>
      </c>
      <c r="L259" s="84">
        <v>2906.55</v>
      </c>
      <c r="M259" s="94">
        <f t="shared" si="14"/>
        <v>25.274347826086959</v>
      </c>
      <c r="N259" s="57">
        <f>(VLOOKUP(E259,Sheet4!F:G,2,0))/1000</f>
        <v>0.84</v>
      </c>
      <c r="O259" s="99">
        <f>VLOOKUP(E259,Sheet4!F22:J607,5,0)</f>
        <v>1694.4</v>
      </c>
      <c r="P259" s="58" t="s">
        <v>1188</v>
      </c>
      <c r="Q259" s="59" cm="1">
        <f t="array" ref="Q259">_xlfn.IFS($P259=$P$2,O259+$P$3*N259,$P259=$Q$2,O259+$Q$3*N259)</f>
        <v>2072.4</v>
      </c>
      <c r="R259" s="101">
        <f t="shared" si="12"/>
        <v>2979.0749999999998</v>
      </c>
      <c r="S259" s="60">
        <f t="shared" si="13"/>
        <v>-72.524999999999636</v>
      </c>
    </row>
    <row r="260" spans="2:19" ht="14.4">
      <c r="B260" s="55" t="s">
        <v>16</v>
      </c>
      <c r="C260" s="56" t="s">
        <v>28</v>
      </c>
      <c r="D260" s="56" t="str">
        <f>VLOOKUP(C260,DATA!B:C,2,0)</f>
        <v>GS US WOODEN -76</v>
      </c>
      <c r="E260" s="56" t="str">
        <f>VLOOKUP(C260,Sheet4!A:B,2,0)</f>
        <v>WOODEN -76</v>
      </c>
      <c r="F260" s="56" t="e">
        <f ca="1">Image("https://images-na.ssl-images-amazon.com/images/I/414t+kaygYL.jpg;https://images-na.ssl-images-amazon.com/images/I/41a3E3q1+NL.jpg;https://images-na.ssl-images-amazon.com/images/I/41I4eWokYLL.jpg;https://images-na.ssl-images-amazon.com/images/I/41UFL7QUoCL"&amp;".jpg;https://images-na.ssl-images-amazon.com/images/I/41EwXDv1d2L.jpg;https://images-na.ssl-images-amazon.com/images/I/4107BtP3uCL.jpg;https://images-na.ssl-images-amazon.com/images/I/51I4fuQktAL.jpg")</f>
        <v>#NAME?</v>
      </c>
      <c r="G260" s="56" t="s">
        <v>30</v>
      </c>
      <c r="H260" s="83">
        <v>673</v>
      </c>
      <c r="I260" s="88">
        <v>9869.7900000000009</v>
      </c>
      <c r="J260" s="83">
        <v>30</v>
      </c>
      <c r="K260" s="88">
        <v>-360.47</v>
      </c>
      <c r="L260" s="84">
        <v>4994.0600000000004</v>
      </c>
      <c r="M260" s="94">
        <f t="shared" si="14"/>
        <v>7.4205943536404169</v>
      </c>
      <c r="N260" s="57">
        <f>(VLOOKUP(E260,Sheet4!F:G,2,0))/1000</f>
        <v>0.31</v>
      </c>
      <c r="O260" s="99">
        <f>VLOOKUP(E260,Sheet4!F:N,9,0)</f>
        <v>365.8</v>
      </c>
      <c r="P260" s="58" t="s">
        <v>1187</v>
      </c>
      <c r="Q260" s="59" cm="1">
        <f t="array" ref="Q260">_xlfn.IFS($P260=$P$2,O260+$P$3*N260,$P260=$Q$2,O260+$Q$3*N260)</f>
        <v>403</v>
      </c>
      <c r="R260" s="101">
        <f t="shared" si="12"/>
        <v>3390.2375000000002</v>
      </c>
      <c r="S260" s="60">
        <f t="shared" si="13"/>
        <v>1603.8225000000002</v>
      </c>
    </row>
    <row r="261" spans="2:19" ht="14.4">
      <c r="B261" s="55" t="s">
        <v>16</v>
      </c>
      <c r="C261" s="56" t="s">
        <v>112</v>
      </c>
      <c r="D261" s="56" t="str">
        <f>VLOOKUP(C261,DATA!B:C,2,0)</f>
        <v>GS US SOAPSTONE -1A</v>
      </c>
      <c r="E261" s="56" t="str">
        <f>VLOOKUP(C261,Sheet4!A:B,2,0)</f>
        <v>SOAPSTONE -1 A</v>
      </c>
      <c r="F261" s="56" t="e">
        <f ca="1">Image("https://images-na.ssl-images-amazon.com/images/I/51GS85U8mIL.jpg;https://images-na.ssl-images-amazon.com/images/I/61hllX89pOL.jpg;https://images-na.ssl-images-amazon.com/images/I/518uvPo7gJL.jpg;https://images-na.ssl-images-amazon.com/images/I/41IHpEjv6BL"&amp;".jpg")</f>
        <v>#NAME?</v>
      </c>
      <c r="G261" s="56" t="s">
        <v>114</v>
      </c>
      <c r="H261" s="83">
        <v>201</v>
      </c>
      <c r="I261" s="88">
        <v>2220.52</v>
      </c>
      <c r="J261" s="83">
        <v>13</v>
      </c>
      <c r="K261" s="88">
        <v>-121.13</v>
      </c>
      <c r="L261" s="84">
        <v>1054.6099999999999</v>
      </c>
      <c r="M261" s="94">
        <f t="shared" si="14"/>
        <v>5.2468159203980091</v>
      </c>
      <c r="N261" s="57">
        <f>(VLOOKUP(E261,Sheet4!F:G,2,0))/1000</f>
        <v>0.46</v>
      </c>
      <c r="O261" s="99">
        <f>VLOOKUP(E261,Sheet4!F:N,9,0)</f>
        <v>187.6</v>
      </c>
      <c r="P261" s="58" t="s">
        <v>1187</v>
      </c>
      <c r="Q261" s="59" cm="1">
        <f t="array" ref="Q261">_xlfn.IFS($P261=$P$2,O261+$P$3*N261,$P261=$Q$2,O261+$Q$3*N261)</f>
        <v>242.8</v>
      </c>
      <c r="R261" s="101">
        <f t="shared" si="12"/>
        <v>610.03500000000008</v>
      </c>
      <c r="S261" s="60">
        <f t="shared" si="13"/>
        <v>444.57499999999982</v>
      </c>
    </row>
    <row r="262" spans="2:19" ht="14.4">
      <c r="B262" s="55" t="s">
        <v>16</v>
      </c>
      <c r="C262" s="56" t="s">
        <v>464</v>
      </c>
      <c r="D262" s="56" t="str">
        <f>VLOOKUP(C262,DATA!B:C,2,0)</f>
        <v>GS US BOWL -22</v>
      </c>
      <c r="E262" s="56" t="str">
        <f>VLOOKUP(C262,Sheet4!A:B,2,0)</f>
        <v>BOWL -22</v>
      </c>
      <c r="F262" s="56" t="e">
        <f ca="1">Image("https://images-na.ssl-images-amazon.com/images/I/51G3d8z6d3L.jpg;https://images-na.ssl-images-amazon.com/images/I/51n-CEBXgKL.jpg;https://images-na.ssl-images-amazon.com/images/I/41fpi6qYQRL.jpg;https://images-na.ssl-images-amazon.com/images/I/61lsVlrc3XL"&amp;".jpg;https://images-na.ssl-images-amazon.com/images/I/51QdR5mhrdL.jpg")</f>
        <v>#NAME?</v>
      </c>
      <c r="G262" s="56" t="s">
        <v>466</v>
      </c>
      <c r="H262" s="83">
        <v>7</v>
      </c>
      <c r="I262" s="88">
        <v>185.95</v>
      </c>
      <c r="J262" s="83">
        <v>0</v>
      </c>
      <c r="K262" s="88">
        <v>0</v>
      </c>
      <c r="L262" s="84">
        <v>84.54</v>
      </c>
      <c r="M262" s="94">
        <f t="shared" si="14"/>
        <v>12.077142857142858</v>
      </c>
      <c r="N262" s="57">
        <f>(VLOOKUP(E262,Sheet4!F:G,2,0))/1000</f>
        <v>0.75</v>
      </c>
      <c r="O262" s="99">
        <f>VLOOKUP(E262,Sheet4!F25:J610,5,0)</f>
        <v>723.6</v>
      </c>
      <c r="P262" s="58" t="s">
        <v>1188</v>
      </c>
      <c r="Q262" s="59" cm="1">
        <f t="array" ref="Q262">_xlfn.IFS($P262=$P$2,O262+$P$3*N262,$P262=$Q$2,O262+$Q$3*N262)</f>
        <v>1061.0999999999999</v>
      </c>
      <c r="R262" s="101">
        <f t="shared" ref="R262:R325" si="15">Q262*H262/$R$2</f>
        <v>92.846249999999984</v>
      </c>
      <c r="S262" s="60">
        <f t="shared" ref="S262:S325" si="16">L262-R262</f>
        <v>-8.3062499999999773</v>
      </c>
    </row>
    <row r="263" spans="2:19" ht="14.4">
      <c r="B263" s="55" t="s">
        <v>16</v>
      </c>
      <c r="C263" s="56" t="s">
        <v>106</v>
      </c>
      <c r="D263" s="56" t="str">
        <f>VLOOKUP(C263,DATA!B:C,2,0)</f>
        <v>JD UD BOWL -21</v>
      </c>
      <c r="E263" s="56" t="str">
        <f>VLOOKUP(C263,Sheet4!A:B,2,0)</f>
        <v>BOWL -21</v>
      </c>
      <c r="F263" s="56" t="e">
        <f ca="1">Image("https://images-na.ssl-images-amazon.com/images/I/51QPxP+AtNL.jpg;https://images-na.ssl-images-amazon.com/images/I/615xk-+7bPL.jpg;https://images-na.ssl-images-amazon.com/images/I/51uEMzjTWmL.jpg;https://images-na.ssl-images-amazon.com/images/I/41cBJbItpFL"&amp;".jpg")</f>
        <v>#NAME?</v>
      </c>
      <c r="G263" s="56" t="s">
        <v>108</v>
      </c>
      <c r="H263" s="83">
        <v>53</v>
      </c>
      <c r="I263" s="88">
        <v>1709.36</v>
      </c>
      <c r="J263" s="83">
        <v>3</v>
      </c>
      <c r="K263" s="88">
        <v>-82.44</v>
      </c>
      <c r="L263" s="84">
        <v>1109.1199999999999</v>
      </c>
      <c r="M263" s="94">
        <f t="shared" si="14"/>
        <v>20.926792452830188</v>
      </c>
      <c r="N263" s="57">
        <f>(VLOOKUP(E263,Sheet4!F:G,2,0))/1000</f>
        <v>1.25</v>
      </c>
      <c r="O263" s="99">
        <v>1255.2</v>
      </c>
      <c r="P263" s="58" t="s">
        <v>1188</v>
      </c>
      <c r="Q263" s="59" cm="1">
        <f t="array" ref="Q263">_xlfn.IFS($P263=$P$2,O263+$P$3*N263,$P263=$Q$2,O263+$Q$3*N263)</f>
        <v>1817.7</v>
      </c>
      <c r="R263" s="101">
        <f t="shared" si="15"/>
        <v>1204.2262500000002</v>
      </c>
      <c r="S263" s="60">
        <f t="shared" si="16"/>
        <v>-95.106250000000273</v>
      </c>
    </row>
    <row r="264" spans="2:19" ht="14.4">
      <c r="B264" s="55" t="s">
        <v>16</v>
      </c>
      <c r="C264" s="56" t="s">
        <v>438</v>
      </c>
      <c r="D264" s="56" t="str">
        <f>VLOOKUP(C264,DATA!B:C,2,0)</f>
        <v>SOAPSTONE -14</v>
      </c>
      <c r="E264" s="56" t="str">
        <f>VLOOKUP(C264,Sheet4!A:B,2,0)</f>
        <v>SOAPSTONE -14</v>
      </c>
      <c r="F264" s="56" t="e">
        <f ca="1">Image("https://images-na.ssl-images-amazon.com/images/I/51qOpCVI36L.jpg;https://images-na.ssl-images-amazon.com/images/I/51X7IpabZXL.jpg;https://images-na.ssl-images-amazon.com/images/I/51ZvX3mQQVL.jpg;https://images-na.ssl-images-amazon.com/images/I/41unlAhZpuL"&amp;".jpg;https://images-na.ssl-images-amazon.com/images/I/41W-esr3+mL.jpg;https://images-na.ssl-images-amazon.com/images/I/41SeF5aA9EL.jpg;https://images-na.ssl-images-amazon.com/images/I/31q50yMFM2L.jpg;https://images-na.ssl-images-amazon.com/images/I/31khp3"&amp;"6rORL.jpg")</f>
        <v>#NAME?</v>
      </c>
      <c r="G264" s="56" t="s">
        <v>440</v>
      </c>
      <c r="H264" s="83">
        <v>10</v>
      </c>
      <c r="I264" s="88">
        <v>130.96</v>
      </c>
      <c r="J264" s="83">
        <v>1</v>
      </c>
      <c r="K264" s="88">
        <v>-13.86</v>
      </c>
      <c r="L264" s="84">
        <v>97.45</v>
      </c>
      <c r="M264" s="94">
        <f t="shared" si="14"/>
        <v>9.745000000000001</v>
      </c>
      <c r="N264" s="57">
        <f>(VLOOKUP(E264,Sheet4!F:G,2,0))/1000</f>
        <v>0.45</v>
      </c>
      <c r="O264" s="99">
        <f>VLOOKUP(E264,Sheet4!F88:J673,5,0)</f>
        <v>236.4</v>
      </c>
      <c r="P264" s="58" t="s">
        <v>1188</v>
      </c>
      <c r="Q264" s="59" cm="1">
        <f t="array" ref="Q264">_xlfn.IFS($P264=$P$2,O264+$P$3*N264,$P264=$Q$2,O264+$Q$3*N264)</f>
        <v>438.9</v>
      </c>
      <c r="R264" s="101">
        <f t="shared" si="15"/>
        <v>54.862499999999997</v>
      </c>
      <c r="S264" s="60">
        <f t="shared" si="16"/>
        <v>42.587500000000006</v>
      </c>
    </row>
    <row r="265" spans="2:19" ht="14.4">
      <c r="B265" s="55" t="s">
        <v>16</v>
      </c>
      <c r="C265" s="56" t="s">
        <v>265</v>
      </c>
      <c r="D265" s="56" t="str">
        <f>VLOOKUP(C265,DATA!B:C,2,0)</f>
        <v>Raja NPKN -1</v>
      </c>
      <c r="E265" s="56" t="str">
        <f>VLOOKUP(C265,Sheet4!A:B,2,0)</f>
        <v>NPKN -1</v>
      </c>
      <c r="F265" s="56" t="e">
        <f ca="1">Image("https://images-na.ssl-images-amazon.com/images/I/51ZWxg4RY0L.jpg;https://images-na.ssl-images-amazon.com/images/I/61NzgyhJIyL.jpg;https://images-na.ssl-images-amazon.com/images/I/51BosQbvjML.jpg;https://images-na.ssl-images-amazon.com/images/I/51oHl-hkKIL"&amp;".jpg;https://images-na.ssl-images-amazon.com/images/I/41SRZzSBCPL.jpg")</f>
        <v>#NAME?</v>
      </c>
      <c r="G265" s="56" t="s">
        <v>267</v>
      </c>
      <c r="H265" s="83">
        <v>101</v>
      </c>
      <c r="I265" s="88">
        <v>700.92</v>
      </c>
      <c r="J265" s="83">
        <v>4</v>
      </c>
      <c r="K265" s="88">
        <v>-24.62</v>
      </c>
      <c r="L265" s="84">
        <v>259.02999999999997</v>
      </c>
      <c r="M265" s="94">
        <f t="shared" si="14"/>
        <v>2.5646534653465345</v>
      </c>
      <c r="N265" s="57">
        <f>(VLOOKUP(E265,Sheet4!F:G,2,0))/1000</f>
        <v>0.152</v>
      </c>
      <c r="O265" s="99">
        <f>VLOOKUP(E265,Sheet4!F309:N894,9,0)</f>
        <v>86</v>
      </c>
      <c r="P265" s="58" t="s">
        <v>1187</v>
      </c>
      <c r="Q265" s="59" cm="1">
        <f t="array" ref="Q265">_xlfn.IFS($P265=$P$2,O265+$P$3*N265,$P265=$Q$2,O265+$Q$3*N265)</f>
        <v>104.24</v>
      </c>
      <c r="R265" s="101">
        <f t="shared" si="15"/>
        <v>131.60300000000001</v>
      </c>
      <c r="S265" s="60">
        <f t="shared" si="16"/>
        <v>127.42699999999996</v>
      </c>
    </row>
    <row r="266" spans="2:19" ht="14.4">
      <c r="B266" s="55" t="s">
        <v>16</v>
      </c>
      <c r="C266" s="56" t="s">
        <v>194</v>
      </c>
      <c r="D266" s="56" t="str">
        <f>VLOOKUP(C266,DATA!B:C,2,0)</f>
        <v>Raja Silver 8 napkin</v>
      </c>
      <c r="E266" s="56" t="str">
        <f>VLOOKUP(C266,Sheet4!A:B,2,0)</f>
        <v>NPKN -3</v>
      </c>
      <c r="F266" s="56" t="e">
        <f ca="1">Image("https://images-na.ssl-images-amazon.com/images/I/51KcXSkthiL.jpg;https://images-na.ssl-images-amazon.com/images/I/61Sh8gi670L.jpg;https://images-na.ssl-images-amazon.com/images/I/51D6FCv9tNL.jpg;https://images-na.ssl-images-amazon.com/images/I/51LLLgzA3NL"&amp;".jpg;https://images-na.ssl-images-amazon.com/images/I/51oHl-hkKIL.jpg;https://images-na.ssl-images-amazon.com/images/I/41SRZzSBCPL.jpg")</f>
        <v>#NAME?</v>
      </c>
      <c r="G266" s="56" t="s">
        <v>196</v>
      </c>
      <c r="H266" s="83">
        <v>116</v>
      </c>
      <c r="I266" s="88">
        <v>1120.7</v>
      </c>
      <c r="J266" s="83">
        <v>18</v>
      </c>
      <c r="K266" s="88">
        <v>-152.13</v>
      </c>
      <c r="L266" s="84">
        <v>432.1</v>
      </c>
      <c r="M266" s="94">
        <f t="shared" si="14"/>
        <v>3.7250000000000001</v>
      </c>
      <c r="N266" s="57">
        <f>(VLOOKUP(E266,Sheet4!F:G,2,0))/1000</f>
        <v>0.28399999999999997</v>
      </c>
      <c r="O266" s="99">
        <f>VLOOKUP(E266,Sheet4!F:N,9,0)</f>
        <v>158</v>
      </c>
      <c r="P266" s="58" t="s">
        <v>1187</v>
      </c>
      <c r="Q266" s="59" cm="1">
        <f t="array" ref="Q266">_xlfn.IFS($P266=$P$2,O266+$P$3*N266,$P266=$Q$2,O266+$Q$3*N266)</f>
        <v>192.07999999999998</v>
      </c>
      <c r="R266" s="101">
        <f t="shared" si="15"/>
        <v>278.51599999999996</v>
      </c>
      <c r="S266" s="60">
        <f t="shared" si="16"/>
        <v>153.58400000000006</v>
      </c>
    </row>
    <row r="267" spans="2:19" ht="14.4">
      <c r="B267" s="55" t="s">
        <v>16</v>
      </c>
      <c r="C267" s="56" t="s">
        <v>174</v>
      </c>
      <c r="D267" s="56" t="str">
        <f>VLOOKUP(C267,DATA!B:C,2,0)</f>
        <v>Raja 12 silver napkin rings</v>
      </c>
      <c r="E267" s="56" t="str">
        <f>VLOOKUP(C267,Sheet4!A:B,2,0)</f>
        <v>NPKN -4</v>
      </c>
      <c r="F267" s="56" t="e">
        <f ca="1">Image("https://images-na.ssl-images-amazon.com/images/I/41m0mV03IgL.jpg;https://images-na.ssl-images-amazon.com/images/I/61-maqKvXEL.jpg;https://images-na.ssl-images-amazon.com/images/I/51K9oYhqfPL.jpg;https://images-na.ssl-images-amazon.com/images/I/51Vjwwji4JL"&amp;".jpg;https://images-na.ssl-images-amazon.com/images/I/51oHl-hkKIL.jpg;https://images-na.ssl-images-amazon.com/images/I/41SRZzSBCPL.jpg")</f>
        <v>#NAME?</v>
      </c>
      <c r="G267" s="56" t="s">
        <v>176</v>
      </c>
      <c r="H267" s="83">
        <v>114</v>
      </c>
      <c r="I267" s="88">
        <v>1436.95</v>
      </c>
      <c r="J267" s="83">
        <v>13</v>
      </c>
      <c r="K267" s="88">
        <v>-141.21</v>
      </c>
      <c r="L267" s="84">
        <v>523.92999999999995</v>
      </c>
      <c r="M267" s="94">
        <f t="shared" si="14"/>
        <v>4.5958771929824556</v>
      </c>
      <c r="N267" s="57">
        <f>(VLOOKUP(E267,Sheet4!F:G,2,0))/1000</f>
        <v>0.41599999999999998</v>
      </c>
      <c r="O267" s="99">
        <f>VLOOKUP(E267,Sheet4!F:N,9,0)</f>
        <v>191.6</v>
      </c>
      <c r="P267" s="58" t="s">
        <v>1187</v>
      </c>
      <c r="Q267" s="59" cm="1">
        <f t="array" ref="Q267">_xlfn.IFS($P267=$P$2,O267+$P$3*N267,$P267=$Q$2,O267+$Q$3*N267)</f>
        <v>241.51999999999998</v>
      </c>
      <c r="R267" s="101">
        <f t="shared" si="15"/>
        <v>344.166</v>
      </c>
      <c r="S267" s="60">
        <f t="shared" si="16"/>
        <v>179.76399999999995</v>
      </c>
    </row>
    <row r="268" spans="2:19" ht="14.4">
      <c r="B268" s="55" t="s">
        <v>16</v>
      </c>
      <c r="C268" s="56" t="s">
        <v>254</v>
      </c>
      <c r="D268" s="56" t="str">
        <f>VLOOKUP(C268,DATA!B:C,2,0)</f>
        <v>Raja gold 8 napkin rings</v>
      </c>
      <c r="E268" s="56" t="str">
        <f>VLOOKUP(C268,Sheet4!A:B,2,0)</f>
        <v>NPKN -8</v>
      </c>
      <c r="F268" s="56" t="e">
        <f ca="1">Image("https://images-na.ssl-images-amazon.com/images/I/51JrPfM0MJL.jpg;https://images-na.ssl-images-amazon.com/images/I/71ThQhKriML.jpg;https://images-na.ssl-images-amazon.com/images/I/614SUtaHiUL.jpg;https://images-na.ssl-images-amazon.com/images/I/519YIxITq6L"&amp;".jpg;https://images-na.ssl-images-amazon.com/images/I/61ER4-lZ5mL.jpg;https://images-na.ssl-images-amazon.com/images/I/41cS4Y02AbL.jpg")</f>
        <v>#NAME?</v>
      </c>
      <c r="G268" s="56" t="s">
        <v>256</v>
      </c>
      <c r="H268" s="83">
        <v>77</v>
      </c>
      <c r="I268" s="88">
        <v>680.49</v>
      </c>
      <c r="J268" s="83">
        <v>5</v>
      </c>
      <c r="K268" s="88">
        <v>-39.35</v>
      </c>
      <c r="L268" s="84">
        <v>277.39999999999998</v>
      </c>
      <c r="M268" s="94">
        <f t="shared" si="14"/>
        <v>3.6025974025974024</v>
      </c>
      <c r="N268" s="57">
        <f>(VLOOKUP(E268,Sheet4!F:G,2,0))/1000</f>
        <v>0.28399999999999997</v>
      </c>
      <c r="O268" s="99">
        <f>VLOOKUP(E268,Sheet4!F:N,9,0)</f>
        <v>192.8</v>
      </c>
      <c r="P268" s="58" t="s">
        <v>1187</v>
      </c>
      <c r="Q268" s="59" cm="1">
        <f t="array" ref="Q268">_xlfn.IFS($P268=$P$2,O268+$P$3*N268,$P268=$Q$2,O268+$Q$3*N268)</f>
        <v>226.88</v>
      </c>
      <c r="R268" s="101">
        <f t="shared" si="15"/>
        <v>218.37199999999999</v>
      </c>
      <c r="S268" s="60">
        <f t="shared" si="16"/>
        <v>59.027999999999992</v>
      </c>
    </row>
    <row r="269" spans="2:19" ht="14.4">
      <c r="B269" s="55" t="s">
        <v>16</v>
      </c>
      <c r="C269" s="56" t="s">
        <v>301</v>
      </c>
      <c r="D269" s="56" t="str">
        <f>VLOOKUP(C269,DATA!B:C,2,0)</f>
        <v>Raja NPKN -9</v>
      </c>
      <c r="E269" s="56" t="str">
        <f>VLOOKUP(C269,Sheet4!A:B,2,0)</f>
        <v>NPKN -9</v>
      </c>
      <c r="F269" s="56" t="e">
        <f ca="1">Image("https://images-na.ssl-images-amazon.com/images/I/51nf1p3N2cL.jpg;https://images-na.ssl-images-amazon.com/images/I/61-Li3UXBvL.jpg;https://images-na.ssl-images-amazon.com/images/I/61AzMecisYL.jpg;https://images-na.ssl-images-amazon.com/images/I/617WX-FE6PL"&amp;".jpg;https://images-na.ssl-images-amazon.com/images/I/61ER4-lZ5mL.jpg;https://images-na.ssl-images-amazon.com/images/I/41cS4Y02AbL.jpg")</f>
        <v>#NAME?</v>
      </c>
      <c r="G269" s="56" t="s">
        <v>303</v>
      </c>
      <c r="H269" s="83">
        <v>79</v>
      </c>
      <c r="I269" s="88">
        <v>890.48</v>
      </c>
      <c r="J269" s="83">
        <v>6</v>
      </c>
      <c r="K269" s="88">
        <v>-59.13</v>
      </c>
      <c r="L269" s="84">
        <v>214.97</v>
      </c>
      <c r="M269" s="94">
        <f t="shared" si="14"/>
        <v>2.721139240506329</v>
      </c>
      <c r="N269" s="57">
        <f>(VLOOKUP(E269,Sheet4!F:G,2,0))/1000</f>
        <v>0.41599999999999998</v>
      </c>
      <c r="O269" s="99">
        <f>VLOOKUP(E269,Sheet4!F:N,9,0)</f>
        <v>262.40000000000003</v>
      </c>
      <c r="P269" s="58" t="s">
        <v>1187</v>
      </c>
      <c r="Q269" s="59" cm="1">
        <f t="array" ref="Q269">_xlfn.IFS($P269=$P$2,O269+$P$3*N269,$P269=$Q$2,O269+$Q$3*N269)</f>
        <v>312.32000000000005</v>
      </c>
      <c r="R269" s="101">
        <f t="shared" si="15"/>
        <v>308.41600000000005</v>
      </c>
      <c r="S269" s="60">
        <f t="shared" si="16"/>
        <v>-93.446000000000055</v>
      </c>
    </row>
    <row r="270" spans="2:19" ht="14.4">
      <c r="B270" s="55" t="s">
        <v>16</v>
      </c>
      <c r="C270" s="56" t="s">
        <v>1160</v>
      </c>
      <c r="D270" s="56" t="str">
        <f>VLOOKUP(C270,DATA!B:C,2,0)</f>
        <v>Raja 4 Gold Napkin</v>
      </c>
      <c r="E270" s="56" t="str">
        <f>VLOOKUP(C270,Sheet4!A:B,2,0)</f>
        <v>NPKN -6</v>
      </c>
      <c r="F270" s="56" t="e">
        <f ca="1">Image("https://images-na.ssl-images-amazon.com/images/I/51+896ws5bL.jpg;https://images-na.ssl-images-amazon.com/images/I/61NfGFiZtwL.jpg;https://images-na.ssl-images-amazon.com/images/I/510eDUtPGJL.jpg;https://images-na.ssl-images-amazon.com/images/I/61ER4-lZ5mL"&amp;".jpg;https://images-na.ssl-images-amazon.com/images/I/41cS4Y02AbL.jpg")</f>
        <v>#NAME?</v>
      </c>
      <c r="G270" s="56" t="s">
        <v>1162</v>
      </c>
      <c r="H270" s="83">
        <v>39</v>
      </c>
      <c r="I270" s="88">
        <v>256.33</v>
      </c>
      <c r="J270" s="83">
        <v>3</v>
      </c>
      <c r="K270" s="88">
        <v>-20.21</v>
      </c>
      <c r="L270" s="84">
        <v>-111.85</v>
      </c>
      <c r="M270" s="94">
        <f t="shared" ref="M270:M329" si="17">L270/H270</f>
        <v>-2.867948717948718</v>
      </c>
      <c r="N270" s="57">
        <f>(VLOOKUP(E270,Sheet4!F:G,2,0))/1000</f>
        <v>0.152</v>
      </c>
      <c r="O270" s="99">
        <f>VLOOKUP(E270,Sheet4!F314:N899,9,0)</f>
        <v>114.8</v>
      </c>
      <c r="P270" s="58" t="s">
        <v>1187</v>
      </c>
      <c r="Q270" s="59" cm="1">
        <f t="array" ref="Q270">_xlfn.IFS($P270=$P$2,O270+$P$3*N270,$P270=$Q$2,O270+$Q$3*N270)</f>
        <v>133.04</v>
      </c>
      <c r="R270" s="101">
        <f t="shared" si="15"/>
        <v>64.856999999999999</v>
      </c>
      <c r="S270" s="60">
        <f t="shared" si="16"/>
        <v>-176.70699999999999</v>
      </c>
    </row>
    <row r="271" spans="2:19" ht="14.4">
      <c r="B271" s="55" t="s">
        <v>16</v>
      </c>
      <c r="C271" s="56" t="s">
        <v>467</v>
      </c>
      <c r="D271" s="56" t="str">
        <f>VLOOKUP(C271,DATA!B:C,2,0)</f>
        <v>Red Beaded Napkin</v>
      </c>
      <c r="E271" s="56" t="str">
        <f>VLOOKUP(C271,Sheet4!A:B,2,0)</f>
        <v>NPKN -19</v>
      </c>
      <c r="F271" s="56" t="e">
        <f ca="1">Image("https://images-na.ssl-images-amazon.com/images/I/51MjbX3qn6L.jpg;https://images-na.ssl-images-amazon.com/images/I/614jKEOEcBL.jpg;https://images-na.ssl-images-amazon.com/images/I/51+qXz0DwzL.jpg;https://images-na.ssl-images-amazon.com/images/I/51VZlj5rB9L"&amp;".jpg;https://images-na.ssl-images-amazon.com/images/I/51MjbX3qn6L.jpg")</f>
        <v>#NAME?</v>
      </c>
      <c r="G271" s="56" t="s">
        <v>469</v>
      </c>
      <c r="H271" s="83">
        <v>7</v>
      </c>
      <c r="I271" s="88">
        <v>97.93</v>
      </c>
      <c r="J271" s="83">
        <v>0</v>
      </c>
      <c r="K271" s="88">
        <v>0</v>
      </c>
      <c r="L271" s="84">
        <v>83.23</v>
      </c>
      <c r="M271" s="94">
        <f t="shared" si="17"/>
        <v>11.89</v>
      </c>
      <c r="N271" s="57">
        <f>(VLOOKUP(E271,Sheet4!F:G,2,0))/1000</f>
        <v>0.22</v>
      </c>
      <c r="O271" s="99">
        <f>VLOOKUP(E271,Sheet4!F95:J680,5,0)</f>
        <v>116.4</v>
      </c>
      <c r="P271" s="58" t="s">
        <v>1188</v>
      </c>
      <c r="Q271" s="59" cm="1">
        <f t="array" ref="Q271">_xlfn.IFS($P271=$P$2,O271+$P$3*N271,$P271=$Q$2,O271+$Q$3*N271)</f>
        <v>215.4</v>
      </c>
      <c r="R271" s="101">
        <f t="shared" si="15"/>
        <v>18.8475</v>
      </c>
      <c r="S271" s="60">
        <f t="shared" si="16"/>
        <v>64.382500000000007</v>
      </c>
    </row>
    <row r="272" spans="2:19" ht="14.4">
      <c r="B272" s="55" t="s">
        <v>16</v>
      </c>
      <c r="C272" s="56" t="s">
        <v>836</v>
      </c>
      <c r="D272" s="56" t="str">
        <f>VLOOKUP(C272,DATA!B:C,2,0)</f>
        <v>SET OF 4 BLACK NAPKIN RINGS</v>
      </c>
      <c r="E272" s="56" t="str">
        <f>VLOOKUP(C272,Sheet4!A:B,2,0)</f>
        <v>NPKN -31</v>
      </c>
      <c r="F272" s="56" t="e">
        <f ca="1">Image("https://images-na.ssl-images-amazon.com/images/I/51ec1Iuki+L.jpg;https://images-na.ssl-images-amazon.com/images/I/61vKYN79s0L.jpg;https://images-na.ssl-images-amazon.com/images/I/51lS4awY6BL.jpg;https://images-na.ssl-images-amazon.com/images/I/51kvbB4WJ8L"&amp;".jpg")</f>
        <v>#NAME?</v>
      </c>
      <c r="G272" s="56" t="s">
        <v>838</v>
      </c>
      <c r="H272" s="83">
        <v>1</v>
      </c>
      <c r="I272" s="88">
        <v>10.99</v>
      </c>
      <c r="J272" s="83">
        <v>0</v>
      </c>
      <c r="K272" s="88">
        <v>0</v>
      </c>
      <c r="L272" s="84">
        <v>9.34</v>
      </c>
      <c r="M272" s="94">
        <f t="shared" si="17"/>
        <v>9.34</v>
      </c>
      <c r="N272" s="57">
        <f>(VLOOKUP(E272,Sheet4!F:G,2,0))/1000</f>
        <v>0.218</v>
      </c>
      <c r="O272" s="99">
        <f>VLOOKUP(E272,Sheet4!F324:J909,5,0)</f>
        <v>116.4</v>
      </c>
      <c r="P272" s="58" t="s">
        <v>1188</v>
      </c>
      <c r="Q272" s="59" cm="1">
        <f t="array" ref="Q272">_xlfn.IFS($P272=$P$2,O272+$P$3*N272,$P272=$Q$2,O272+$Q$3*N272)</f>
        <v>214.5</v>
      </c>
      <c r="R272" s="101">
        <f t="shared" si="15"/>
        <v>2.6812499999999999</v>
      </c>
      <c r="S272" s="60">
        <f t="shared" si="16"/>
        <v>6.6587499999999995</v>
      </c>
    </row>
    <row r="273" spans="2:19" ht="14.4">
      <c r="B273" s="55" t="s">
        <v>16</v>
      </c>
      <c r="C273" s="56" t="s">
        <v>628</v>
      </c>
      <c r="D273" s="56" t="str">
        <f>VLOOKUP(C273,DATA!B:C,2,0)</f>
        <v>NPKN -31</v>
      </c>
      <c r="E273" s="56" t="str">
        <f>VLOOKUP(C273,Sheet4!A:B,2,0)</f>
        <v>NPKN -31</v>
      </c>
      <c r="F273" s="56" t="e">
        <f ca="1">Image("https://images-na.ssl-images-amazon.com/images/I/51fP+WcbfiL.jpg;https://images-na.ssl-images-amazon.com/images/I/61HXG6n9jxL.jpg;https://images-na.ssl-images-amazon.com/images/I/518rk0UCJLL.jpg;https://images-na.ssl-images-amazon.com/images/I/614oHeWcHDL"&amp;".jpg;https://images-na.ssl-images-amazon.com/images/I/518Qz8oOWyL.jpg")</f>
        <v>#NAME?</v>
      </c>
      <c r="G273" s="56" t="s">
        <v>630</v>
      </c>
      <c r="H273" s="83">
        <v>2</v>
      </c>
      <c r="I273" s="88">
        <v>35.979999999999997</v>
      </c>
      <c r="J273" s="83">
        <v>0</v>
      </c>
      <c r="K273" s="88">
        <v>0</v>
      </c>
      <c r="L273" s="84">
        <v>30.58</v>
      </c>
      <c r="M273" s="94">
        <f t="shared" si="17"/>
        <v>15.29</v>
      </c>
      <c r="N273" s="57">
        <f>(VLOOKUP(E273,Sheet4!F:G,2,0))/1000</f>
        <v>0.218</v>
      </c>
      <c r="O273" s="99">
        <f>VLOOKUP(E273,Sheet4!F325:J910,5,0)</f>
        <v>116.4</v>
      </c>
      <c r="P273" s="58" t="s">
        <v>1188</v>
      </c>
      <c r="Q273" s="59" cm="1">
        <f t="array" ref="Q273">_xlfn.IFS($P273=$P$2,O273+$P$3*N273,$P273=$Q$2,O273+$Q$3*N273)</f>
        <v>214.5</v>
      </c>
      <c r="R273" s="101">
        <f t="shared" si="15"/>
        <v>5.3624999999999998</v>
      </c>
      <c r="S273" s="60">
        <f t="shared" si="16"/>
        <v>25.217499999999998</v>
      </c>
    </row>
    <row r="274" spans="2:19" ht="14.4">
      <c r="B274" s="55" t="s">
        <v>16</v>
      </c>
      <c r="C274" s="56" t="s">
        <v>560</v>
      </c>
      <c r="D274" s="56" t="str">
        <f>VLOOKUP(C274,DATA!B:C,2,0)</f>
        <v>NPKN -17</v>
      </c>
      <c r="E274" s="56" t="str">
        <f>VLOOKUP(C274,Sheet4!A:B,2,0)</f>
        <v>NPKN -13</v>
      </c>
      <c r="F274" s="56" t="e">
        <f ca="1">Image("https://images-na.ssl-images-amazon.com/images/I/411kEgan53L.jpg;https://images-na.ssl-images-amazon.com/images/I/41w4ROC6D1L.jpg;https://images-na.ssl-images-amazon.com/images/I/313BUOgA2gL.jpg;https://images-na.ssl-images-amazon.com/images/I/51UZrtSSLfL"&amp;".jpg")</f>
        <v>#NAME?</v>
      </c>
      <c r="G274" s="56" t="s">
        <v>562</v>
      </c>
      <c r="H274" s="83">
        <v>32</v>
      </c>
      <c r="I274" s="88">
        <v>312.24</v>
      </c>
      <c r="J274" s="83">
        <v>26</v>
      </c>
      <c r="K274" s="88">
        <v>-223.27</v>
      </c>
      <c r="L274" s="84">
        <v>42.21</v>
      </c>
      <c r="M274" s="94">
        <f t="shared" si="17"/>
        <v>1.3190625</v>
      </c>
      <c r="N274" s="57">
        <f>(VLOOKUP(E274,Sheet4!F:G,2,0))/1000</f>
        <v>0.22</v>
      </c>
      <c r="O274" s="99">
        <f>VLOOKUP(E274,Sheet4!F98:J683,5,0)</f>
        <v>116.4</v>
      </c>
      <c r="P274" s="58" t="s">
        <v>1188</v>
      </c>
      <c r="Q274" s="59" cm="1">
        <f t="array" ref="Q274">_xlfn.IFS($P274=$P$2,O274+$P$3*N274,$P274=$Q$2,O274+$Q$3*N274)</f>
        <v>215.4</v>
      </c>
      <c r="R274" s="101">
        <f t="shared" si="15"/>
        <v>86.16</v>
      </c>
      <c r="S274" s="60">
        <f t="shared" si="16"/>
        <v>-43.949999999999996</v>
      </c>
    </row>
    <row r="275" spans="2:19" ht="14.4">
      <c r="B275" s="55" t="s">
        <v>16</v>
      </c>
      <c r="C275" s="56" t="s">
        <v>677</v>
      </c>
      <c r="D275" s="56" t="str">
        <f>VLOOKUP(C275,DATA!B:C,2,0)</f>
        <v>NPKN -11</v>
      </c>
      <c r="E275" s="56" t="str">
        <f>VLOOKUP(C275,Sheet4!A:B,2,0)</f>
        <v>NPKN -11</v>
      </c>
      <c r="F275" s="56" t="e">
        <f ca="1">Image("https://images-na.ssl-images-amazon.com/images/I/414XRwFTRiL.jpg;https://images-na.ssl-images-amazon.com/images/I/519GqIzMNTL.jpg;https://images-na.ssl-images-amazon.com/images/I/315beR7OspL.jpg;https://images-na.ssl-images-amazon.com/images/I/51-FV7uMggL"&amp;".jpg")</f>
        <v>#NAME?</v>
      </c>
      <c r="G275" s="56" t="s">
        <v>679</v>
      </c>
      <c r="H275" s="83">
        <v>5</v>
      </c>
      <c r="I275" s="88">
        <v>49.23</v>
      </c>
      <c r="J275" s="83">
        <v>2</v>
      </c>
      <c r="K275" s="88">
        <v>-17.579999999999998</v>
      </c>
      <c r="L275" s="84">
        <v>24.27</v>
      </c>
      <c r="M275" s="94">
        <f t="shared" si="17"/>
        <v>4.8540000000000001</v>
      </c>
      <c r="N275" s="57">
        <f>(VLOOKUP(E275,Sheet4!F:G,2,0))/1000</f>
        <v>0.22</v>
      </c>
      <c r="O275" s="99">
        <f>VLOOKUP(E275,Sheet4!F99:J684,5,0)</f>
        <v>116.4</v>
      </c>
      <c r="P275" s="58" t="s">
        <v>1188</v>
      </c>
      <c r="Q275" s="59" cm="1">
        <f t="array" ref="Q275">_xlfn.IFS($P275=$P$2,O275+$P$3*N275,$P275=$Q$2,O275+$Q$3*N275)</f>
        <v>215.4</v>
      </c>
      <c r="R275" s="101">
        <f t="shared" si="15"/>
        <v>13.4625</v>
      </c>
      <c r="S275" s="60">
        <f t="shared" si="16"/>
        <v>10.807499999999999</v>
      </c>
    </row>
    <row r="276" spans="2:19" ht="14.4">
      <c r="B276" s="55" t="s">
        <v>16</v>
      </c>
      <c r="C276" s="56" t="s">
        <v>689</v>
      </c>
      <c r="D276" s="56" t="str">
        <f>VLOOKUP(C276,DATA!B:C,2,0)</f>
        <v>NPKN -12</v>
      </c>
      <c r="E276" s="56" t="str">
        <f>VLOOKUP(C276,Sheet4!A:B,2,0)</f>
        <v>NPKN -12</v>
      </c>
      <c r="F276" s="56" t="e">
        <f ca="1">Image("https://images-na.ssl-images-amazon.com/images/I/41AlgCi0-oL.jpg;https://images-na.ssl-images-amazon.com/images/I/51NeJOaQ6pL.jpg;https://images-na.ssl-images-amazon.com/images/I/31Jv67s3zEL.jpg;https://images-na.ssl-images-amazon.com/images/I/51W209x18EL"&amp;".jpg")</f>
        <v>#NAME?</v>
      </c>
      <c r="G276" s="56" t="s">
        <v>691</v>
      </c>
      <c r="H276" s="83">
        <v>4</v>
      </c>
      <c r="I276" s="88">
        <v>35.479999999999997</v>
      </c>
      <c r="J276" s="83">
        <v>1</v>
      </c>
      <c r="K276" s="88">
        <v>-7.7</v>
      </c>
      <c r="L276" s="84">
        <v>22.46</v>
      </c>
      <c r="M276" s="94">
        <f t="shared" si="17"/>
        <v>5.6150000000000002</v>
      </c>
      <c r="N276" s="57">
        <f>(VLOOKUP(E276,Sheet4!F:G,2,0))/1000</f>
        <v>0.22</v>
      </c>
      <c r="O276" s="99">
        <f>VLOOKUP(E276,Sheet4!F100:J685,5,0)</f>
        <v>116.4</v>
      </c>
      <c r="P276" s="58" t="s">
        <v>1188</v>
      </c>
      <c r="Q276" s="59" cm="1">
        <f t="array" ref="Q276">_xlfn.IFS($P276=$P$2,O276+$P$3*N276,$P276=$Q$2,O276+$Q$3*N276)</f>
        <v>215.4</v>
      </c>
      <c r="R276" s="101">
        <f t="shared" si="15"/>
        <v>10.77</v>
      </c>
      <c r="S276" s="60">
        <f t="shared" si="16"/>
        <v>11.690000000000001</v>
      </c>
    </row>
    <row r="277" spans="2:19" ht="14.4">
      <c r="B277" s="55" t="s">
        <v>16</v>
      </c>
      <c r="C277" s="56" t="s">
        <v>340</v>
      </c>
      <c r="D277" s="56" t="str">
        <f>VLOOKUP(C277,DATA!B:C,2,0)</f>
        <v>JD US WOODEN -37</v>
      </c>
      <c r="E277" s="56" t="str">
        <f>VLOOKUP(C277,Sheet4!A:B,2,0)</f>
        <v>WOODEN -37</v>
      </c>
      <c r="F277" s="56" t="e">
        <f ca="1">Image("https://images-na.ssl-images-amazon.com/images/I/41j84QtYRvL.jpg;https://images-na.ssl-images-amazon.com/images/I/41H71gYb39L.jpg;https://images-na.ssl-images-amazon.com/images/I/31GBhoj1EdL.jpg")</f>
        <v>#NAME?</v>
      </c>
      <c r="G277" s="56" t="s">
        <v>342</v>
      </c>
      <c r="H277" s="83">
        <v>53</v>
      </c>
      <c r="I277" s="88">
        <v>449.67</v>
      </c>
      <c r="J277" s="83">
        <v>5</v>
      </c>
      <c r="K277" s="88">
        <v>-34.56</v>
      </c>
      <c r="L277" s="84">
        <v>167.84</v>
      </c>
      <c r="M277" s="94">
        <f t="shared" si="17"/>
        <v>3.166792452830189</v>
      </c>
      <c r="N277" s="57">
        <f>(VLOOKUP(E277,Sheet4!F:G,2,0))/1000</f>
        <v>0.115</v>
      </c>
      <c r="O277" s="99">
        <f>VLOOKUP(E277,Sheet4!F322:N907,9,0)</f>
        <v>114.7</v>
      </c>
      <c r="P277" s="58" t="s">
        <v>1187</v>
      </c>
      <c r="Q277" s="59" cm="1">
        <f t="array" ref="Q277">_xlfn.IFS($P277=$P$2,O277+$P$3*N277,$P277=$Q$2,O277+$Q$3*N277)</f>
        <v>128.5</v>
      </c>
      <c r="R277" s="101">
        <f t="shared" si="15"/>
        <v>85.131249999999994</v>
      </c>
      <c r="S277" s="60">
        <f t="shared" si="16"/>
        <v>82.708750000000009</v>
      </c>
    </row>
    <row r="278" spans="2:19" ht="14.4">
      <c r="B278" s="55" t="s">
        <v>16</v>
      </c>
      <c r="C278" s="56" t="s">
        <v>271</v>
      </c>
      <c r="D278" s="56" t="str">
        <f>VLOOKUP(C278,DATA!B:C,2,0)</f>
        <v>GS USA WOODEN -38</v>
      </c>
      <c r="E278" s="56" t="str">
        <f>VLOOKUP(C278,Sheet4!A:B,2,0)</f>
        <v>WOODEN -38</v>
      </c>
      <c r="F278" s="56" t="e">
        <f ca="1">Image("https://images-na.ssl-images-amazon.com/images/I/41ia68IkwAL.jpg;https://images-na.ssl-images-amazon.com/images/I/41H71gYb39L.jpg;https://images-na.ssl-images-amazon.com/images/I/31wllfkDPGL.jpg")</f>
        <v>#NAME?</v>
      </c>
      <c r="G278" s="56" t="s">
        <v>273</v>
      </c>
      <c r="H278" s="83">
        <v>104</v>
      </c>
      <c r="I278" s="88">
        <v>907.1</v>
      </c>
      <c r="J278" s="83">
        <v>14</v>
      </c>
      <c r="K278" s="88">
        <v>-103.47</v>
      </c>
      <c r="L278" s="84">
        <v>254.19</v>
      </c>
      <c r="M278" s="94">
        <f t="shared" si="17"/>
        <v>2.4441346153846153</v>
      </c>
      <c r="N278" s="57">
        <f>(VLOOKUP(E278,Sheet4!F:G,2,0))/1000</f>
        <v>0.16</v>
      </c>
      <c r="O278" s="99">
        <f>VLOOKUP(E278,Sheet4!F323:N908,9,0)</f>
        <v>186.4</v>
      </c>
      <c r="P278" s="58" t="s">
        <v>1187</v>
      </c>
      <c r="Q278" s="59" cm="1">
        <f t="array" ref="Q278">_xlfn.IFS($P278=$P$2,O278+$P$3*N278,$P278=$Q$2,O278+$Q$3*N278)</f>
        <v>205.6</v>
      </c>
      <c r="R278" s="101">
        <f t="shared" si="15"/>
        <v>267.27999999999997</v>
      </c>
      <c r="S278" s="60">
        <f t="shared" si="16"/>
        <v>-13.089999999999975</v>
      </c>
    </row>
    <row r="279" spans="2:19" ht="14.4">
      <c r="B279" s="55" t="s">
        <v>16</v>
      </c>
      <c r="C279" s="56" t="s">
        <v>212</v>
      </c>
      <c r="D279" s="56" t="str">
        <f>VLOOKUP(C279,DATA!B:C,2,0)</f>
        <v>GS US WOODEN -21</v>
      </c>
      <c r="E279" s="56" t="str">
        <f>VLOOKUP(C279,Sheet4!A:B,2,0)</f>
        <v>WOODEN -21</v>
      </c>
      <c r="F279" s="56" t="e">
        <f ca="1">Image("https://images-na.ssl-images-amazon.com/images/I/31ro7SZzScL.jpg;https://images-na.ssl-images-amazon.com/images/I/41rDv4ZdyWL.jpg;https://images-na.ssl-images-amazon.com/images/I/21nDHD-DMTL.jpg")</f>
        <v>#NAME?</v>
      </c>
      <c r="G279" s="56" t="s">
        <v>214</v>
      </c>
      <c r="H279" s="83">
        <v>88</v>
      </c>
      <c r="I279" s="88">
        <v>811.05</v>
      </c>
      <c r="J279" s="83">
        <v>5</v>
      </c>
      <c r="K279" s="88">
        <v>-37.11</v>
      </c>
      <c r="L279" s="84">
        <v>382.53</v>
      </c>
      <c r="M279" s="94">
        <f t="shared" si="17"/>
        <v>4.346931818181818</v>
      </c>
      <c r="N279" s="57">
        <f>(VLOOKUP(E279,Sheet4!F:G,2,0))/1000</f>
        <v>9.5000000000000001E-2</v>
      </c>
      <c r="O279" s="99">
        <f>VLOOKUP(E279,Sheet4!F324:N909,9,0)</f>
        <v>98.3</v>
      </c>
      <c r="P279" s="58" t="s">
        <v>1187</v>
      </c>
      <c r="Q279" s="59" cm="1">
        <f t="array" ref="Q279">_xlfn.IFS($P279=$P$2,O279+$P$3*N279,$P279=$Q$2,O279+$Q$3*N279)</f>
        <v>109.7</v>
      </c>
      <c r="R279" s="101">
        <f t="shared" si="15"/>
        <v>120.67</v>
      </c>
      <c r="S279" s="60">
        <f t="shared" si="16"/>
        <v>261.85999999999996</v>
      </c>
    </row>
    <row r="280" spans="2:19" ht="14.4">
      <c r="B280" s="55" t="s">
        <v>16</v>
      </c>
      <c r="C280" s="56" t="s">
        <v>337</v>
      </c>
      <c r="D280" s="56" t="str">
        <f>VLOOKUP(C280,DATA!B:C,2,0)</f>
        <v>JD US WOODEN -39</v>
      </c>
      <c r="E280" s="56" t="str">
        <f>VLOOKUP(C280,Sheet4!A:B,2,0)</f>
        <v>WOODEN -39</v>
      </c>
      <c r="F280" s="56" t="e">
        <f ca="1">Image("https://images-na.ssl-images-amazon.com/images/I/41ZmkL51wSL.jpg;https://images-na.ssl-images-amazon.com/images/I/418X7RSxP6L.jpg;https://images-na.ssl-images-amazon.com/images/I/31DQPBMF9EL.jpg")</f>
        <v>#NAME?</v>
      </c>
      <c r="G280" s="56" t="s">
        <v>339</v>
      </c>
      <c r="H280" s="83">
        <v>65</v>
      </c>
      <c r="I280" s="88">
        <v>505.19</v>
      </c>
      <c r="J280" s="83">
        <v>3</v>
      </c>
      <c r="K280" s="88">
        <v>-20.2</v>
      </c>
      <c r="L280" s="84">
        <v>170.5</v>
      </c>
      <c r="M280" s="94">
        <f t="shared" si="17"/>
        <v>2.6230769230769231</v>
      </c>
      <c r="N280" s="57">
        <f>(VLOOKUP(E280,Sheet4!F:G,2,0))/1000</f>
        <v>0.21</v>
      </c>
      <c r="O280" s="99">
        <f>VLOOKUP(E280,Sheet4!F:N,9,0)</f>
        <v>233.4</v>
      </c>
      <c r="P280" s="58" t="s">
        <v>1187</v>
      </c>
      <c r="Q280" s="59" cm="1">
        <f t="array" ref="Q280">_xlfn.IFS($P280=$P$2,O280+$P$3*N280,$P280=$Q$2,O280+$Q$3*N280)</f>
        <v>258.60000000000002</v>
      </c>
      <c r="R280" s="101">
        <f t="shared" si="15"/>
        <v>210.11250000000001</v>
      </c>
      <c r="S280" s="60">
        <f t="shared" si="16"/>
        <v>-39.612500000000011</v>
      </c>
    </row>
    <row r="281" spans="2:19" ht="14.4">
      <c r="B281" s="55" t="s">
        <v>16</v>
      </c>
      <c r="C281" s="56" t="s">
        <v>124</v>
      </c>
      <c r="D281" s="56" t="str">
        <f>VLOOKUP(C281,DATA!B:C,2,0)</f>
        <v>GS US WOODEN -13</v>
      </c>
      <c r="E281" s="56" t="str">
        <f>VLOOKUP(C281,Sheet4!A:B,2,0)</f>
        <v>WOODEN -13</v>
      </c>
      <c r="F281" s="56" t="e">
        <f ca="1">Image("https://images-na.ssl-images-amazon.com/images/I/41WXH4eXCPL.jpg;https://images-na.ssl-images-amazon.com/images/I/41hiBGIN59L.jpg;https://images-na.ssl-images-amazon.com/images/I/41pLcIqYpFL.jpg;https://images-na.ssl-images-amazon.com/images/I/41xohT54HIL"&amp;".jpg;https://images-na.ssl-images-amazon.com/images/I/518nEUk7pCL.jpg;https://images-na.ssl-images-amazon.com/images/I/41AaYUClzHL.jpg")</f>
        <v>#NAME?</v>
      </c>
      <c r="G281" s="56" t="s">
        <v>126</v>
      </c>
      <c r="H281" s="83">
        <v>367</v>
      </c>
      <c r="I281" s="88">
        <v>2992.56</v>
      </c>
      <c r="J281" s="83">
        <v>23</v>
      </c>
      <c r="K281" s="88">
        <v>-169.85</v>
      </c>
      <c r="L281" s="84">
        <v>952.13</v>
      </c>
      <c r="M281" s="94">
        <f t="shared" si="17"/>
        <v>2.5943596730245231</v>
      </c>
      <c r="N281" s="57">
        <f>(VLOOKUP(E281,Sheet4!F:G,2,0))/1000</f>
        <v>0.128</v>
      </c>
      <c r="O281" s="99">
        <f>VLOOKUP(E281,Sheet4!F326:N911,9,0)</f>
        <v>132.80000000000001</v>
      </c>
      <c r="P281" s="58" t="s">
        <v>1187</v>
      </c>
      <c r="Q281" s="59" cm="1">
        <f t="array" ref="Q281">_xlfn.IFS($P281=$P$2,O281+$P$3*N281,$P281=$Q$2,O281+$Q$3*N281)</f>
        <v>148.16000000000003</v>
      </c>
      <c r="R281" s="101">
        <f t="shared" si="15"/>
        <v>679.68400000000008</v>
      </c>
      <c r="S281" s="60">
        <f t="shared" si="16"/>
        <v>272.44599999999991</v>
      </c>
    </row>
    <row r="282" spans="2:19" ht="14.4">
      <c r="B282" s="55" t="s">
        <v>16</v>
      </c>
      <c r="C282" s="56" t="s">
        <v>245</v>
      </c>
      <c r="D282" s="56" t="str">
        <f>VLOOKUP(C282,DATA!B:C,2,0)</f>
        <v>WOODEN -40</v>
      </c>
      <c r="E282" s="56" t="str">
        <f>VLOOKUP(C282,Sheet4!A:B,2,0)</f>
        <v>WOODEN -40</v>
      </c>
      <c r="F282" s="56" t="e">
        <f ca="1">Image("https://images-na.ssl-images-amazon.com/images/I/41QgQruwukL.jpg;https://images-na.ssl-images-amazon.com/images/I/41H71gYb39L.jpg;https://images-na.ssl-images-amazon.com/images/I/319CQVMgHCL.jpg")</f>
        <v>#NAME?</v>
      </c>
      <c r="G282" s="56" t="s">
        <v>247</v>
      </c>
      <c r="H282" s="83">
        <v>25</v>
      </c>
      <c r="I282" s="88">
        <v>364.89</v>
      </c>
      <c r="J282" s="83">
        <v>0</v>
      </c>
      <c r="K282" s="88">
        <v>0</v>
      </c>
      <c r="L282" s="84">
        <v>283.17</v>
      </c>
      <c r="M282" s="94">
        <f t="shared" si="17"/>
        <v>11.3268</v>
      </c>
      <c r="N282" s="57">
        <f>(VLOOKUP(E282,Sheet4!F:G,2,0))/1000</f>
        <v>0.32</v>
      </c>
      <c r="O282" s="99">
        <f>VLOOKUP(E282,Sheet4!F:N,9,0)</f>
        <v>338</v>
      </c>
      <c r="P282" s="58" t="s">
        <v>1187</v>
      </c>
      <c r="Q282" s="59" cm="1">
        <f t="array" ref="Q282">_xlfn.IFS($P282=$P$2,O282+$P$3*N282,$P282=$Q$2,O282+$Q$3*N282)</f>
        <v>376.4</v>
      </c>
      <c r="R282" s="101">
        <f t="shared" si="15"/>
        <v>117.625</v>
      </c>
      <c r="S282" s="60">
        <f t="shared" si="16"/>
        <v>165.54500000000002</v>
      </c>
    </row>
    <row r="283" spans="2:19" ht="14.4">
      <c r="B283" s="55" t="s">
        <v>16</v>
      </c>
      <c r="C283" s="56" t="s">
        <v>151</v>
      </c>
      <c r="D283" s="56" t="str">
        <f>VLOOKUP(C283,DATA!B:C,2,0)</f>
        <v>GS US WOODEN -20</v>
      </c>
      <c r="E283" s="56" t="str">
        <f>VLOOKUP(C283,Sheet4!A:B,2,0)</f>
        <v>WOODEN -20</v>
      </c>
      <c r="F283" s="56" t="e">
        <f ca="1">Image("https://images-na.ssl-images-amazon.com/images/I/416XiYEDXBL.jpg;https://images-na.ssl-images-amazon.com/images/I/41jESC25lUL.jpg;https://images-na.ssl-images-amazon.com/images/I/41CE38l2ZEL.jpg;https://images-na.ssl-images-amazon.com/images/I/41A77LWHqvL"&amp;".jpg;https://images-na.ssl-images-amazon.com/images/I/51P+Os+9qXL.jpg;https://images-na.ssl-images-amazon.com/images/I/51tVNVw8qSL.jpg;https://images-na.ssl-images-amazon.com/images/I/51QQtkNC4fL.jpg")</f>
        <v>#NAME?</v>
      </c>
      <c r="G283" s="56" t="s">
        <v>153</v>
      </c>
      <c r="H283" s="83">
        <v>152</v>
      </c>
      <c r="I283" s="88">
        <v>1694.3</v>
      </c>
      <c r="J283" s="83">
        <v>4</v>
      </c>
      <c r="K283" s="88">
        <v>-37.39</v>
      </c>
      <c r="L283" s="84">
        <v>657.68</v>
      </c>
      <c r="M283" s="94">
        <f t="shared" si="17"/>
        <v>4.3268421052631574</v>
      </c>
      <c r="N283" s="57">
        <f>(VLOOKUP(E283,Sheet4!F:G,2,0))/1000</f>
        <v>0.17</v>
      </c>
      <c r="O283" s="99">
        <f>VLOOKUP(E283,Sheet4!F328:N913,9,0)</f>
        <v>170.6</v>
      </c>
      <c r="P283" s="58" t="s">
        <v>1187</v>
      </c>
      <c r="Q283" s="59" cm="1">
        <f t="array" ref="Q283">_xlfn.IFS($P283=$P$2,O283+$P$3*N283,$P283=$Q$2,O283+$Q$3*N283)</f>
        <v>191</v>
      </c>
      <c r="R283" s="101">
        <f t="shared" si="15"/>
        <v>362.9</v>
      </c>
      <c r="S283" s="60">
        <f t="shared" si="16"/>
        <v>294.77999999999997</v>
      </c>
    </row>
    <row r="284" spans="2:19" ht="14.4">
      <c r="B284" s="55" t="s">
        <v>16</v>
      </c>
      <c r="C284" s="56" t="s">
        <v>34</v>
      </c>
      <c r="D284" s="56" t="str">
        <f>VLOOKUP(C284,DATA!B:C,2,0)</f>
        <v>GS US WOODEN -19</v>
      </c>
      <c r="E284" s="56" t="str">
        <f>VLOOKUP(C284,Sheet4!A:B,2,0)</f>
        <v>WOODEN -19</v>
      </c>
      <c r="F284" s="56" t="e">
        <f ca="1">Image("https://images-na.ssl-images-amazon.com/images/I/41nu0L5qUvL.jpg;https://images-na.ssl-images-amazon.com/images/I/419kHqW8ZbL.jpg;https://images-na.ssl-images-amazon.com/images/I/21JW5zRTLvL.jpg")</f>
        <v>#NAME?</v>
      </c>
      <c r="G284" s="56" t="s">
        <v>36</v>
      </c>
      <c r="H284" s="83">
        <v>1001</v>
      </c>
      <c r="I284" s="88">
        <v>10966.84</v>
      </c>
      <c r="J284" s="83">
        <v>41</v>
      </c>
      <c r="K284" s="88">
        <v>-403.96</v>
      </c>
      <c r="L284" s="84">
        <v>4228.07</v>
      </c>
      <c r="M284" s="94">
        <f t="shared" si="17"/>
        <v>4.2238461538461536</v>
      </c>
      <c r="N284" s="57">
        <f>(VLOOKUP(E284,Sheet4!F:G,2,0))/1000</f>
        <v>0.24</v>
      </c>
      <c r="O284" s="99">
        <f>VLOOKUP(E284,Sheet4!F:N,9,0)</f>
        <v>247.2</v>
      </c>
      <c r="P284" s="58" t="s">
        <v>1187</v>
      </c>
      <c r="Q284" s="59" cm="1">
        <f t="array" ref="Q284">_xlfn.IFS($P284=$P$2,O284+$P$3*N284,$P284=$Q$2,O284+$Q$3*N284)</f>
        <v>276</v>
      </c>
      <c r="R284" s="101">
        <f t="shared" si="15"/>
        <v>3453.45</v>
      </c>
      <c r="S284" s="60">
        <f t="shared" si="16"/>
        <v>774.61999999999989</v>
      </c>
    </row>
    <row r="285" spans="2:19" ht="14.4">
      <c r="B285" s="55" t="s">
        <v>16</v>
      </c>
      <c r="C285" s="56" t="s">
        <v>665</v>
      </c>
      <c r="D285" s="56" t="str">
        <f>VLOOKUP(C285,DATA!B:C,2,0)</f>
        <v>GS US WOODEN -34</v>
      </c>
      <c r="E285" s="56" t="str">
        <f>VLOOKUP(C285,Sheet4!A:B,2,0)</f>
        <v>WOODEN -34</v>
      </c>
      <c r="F285" s="56" t="e">
        <f ca="1">Image("https://images-na.ssl-images-amazon.com/images/I/41WNxI6wCkL.jpg;https://images-na.ssl-images-amazon.com/images/I/419-487mUQL.jpg;https://images-na.ssl-images-amazon.com/images/I/21a3VETzW8L.jpg;https://images-na.ssl-images-amazon.com/images/I/41pcRbTAszL"&amp;".jpg;https://images-na.ssl-images-amazon.com/images/I/419v2yA3TdL.jpg")</f>
        <v>#NAME?</v>
      </c>
      <c r="G285" s="56" t="s">
        <v>667</v>
      </c>
      <c r="H285" s="83">
        <v>9</v>
      </c>
      <c r="I285" s="88">
        <v>81</v>
      </c>
      <c r="J285" s="83">
        <v>1</v>
      </c>
      <c r="K285" s="88">
        <v>-7.92</v>
      </c>
      <c r="L285" s="84">
        <v>24.78</v>
      </c>
      <c r="M285" s="94">
        <f t="shared" si="17"/>
        <v>2.7533333333333334</v>
      </c>
      <c r="N285" s="57">
        <f>(VLOOKUP(E285,Sheet4!F:G,2,0))/1000</f>
        <v>9.6000000000000002E-2</v>
      </c>
      <c r="O285" s="99">
        <f>VLOOKUP(E285,Sheet4!F330:N915,9,0)</f>
        <v>168</v>
      </c>
      <c r="P285" s="58" t="s">
        <v>1187</v>
      </c>
      <c r="Q285" s="59" cm="1">
        <f t="array" ref="Q285">_xlfn.IFS($P285=$P$2,O285+$P$3*N285,$P285=$Q$2,O285+$Q$3*N285)</f>
        <v>179.52</v>
      </c>
      <c r="R285" s="101">
        <f t="shared" si="15"/>
        <v>20.196000000000002</v>
      </c>
      <c r="S285" s="60">
        <f t="shared" si="16"/>
        <v>4.5839999999999996</v>
      </c>
    </row>
    <row r="286" spans="2:19" ht="14.4">
      <c r="B286" s="55" t="s">
        <v>16</v>
      </c>
      <c r="C286" s="56" t="s">
        <v>583</v>
      </c>
      <c r="D286" s="56" t="str">
        <f>VLOOKUP(C286,DATA!B:C,2,0)</f>
        <v>WOODEN -33</v>
      </c>
      <c r="E286" s="56" t="str">
        <f>VLOOKUP(C286,Sheet4!A:B,2,0)</f>
        <v>WOODEN -33</v>
      </c>
      <c r="F286" s="56" t="e">
        <f ca="1">Image("https://images-na.ssl-images-amazon.com/images/I/31OsGoWy2cL.jpg;https://images-na.ssl-images-amazon.com/images/I/41L2yeoahDL.jpg;https://images-na.ssl-images-amazon.com/images/I/41+aTR5HyCL.jpg;https://images-na.ssl-images-amazon.com/images/I/41zqW+BqNOL"&amp;".jpg;https://images-na.ssl-images-amazon.com/images/I/51JWe3vOpnL.jpg;https://images-na.ssl-images-amazon.com/images/I/41ay+0Vwc7L.jpg")</f>
        <v>#NAME?</v>
      </c>
      <c r="G286" s="56" t="s">
        <v>369</v>
      </c>
      <c r="H286" s="83">
        <v>6</v>
      </c>
      <c r="I286" s="88">
        <v>46.98</v>
      </c>
      <c r="J286" s="83">
        <v>0</v>
      </c>
      <c r="K286" s="88">
        <v>0</v>
      </c>
      <c r="L286" s="84">
        <v>39.94</v>
      </c>
      <c r="M286" s="94">
        <f t="shared" si="17"/>
        <v>6.6566666666666663</v>
      </c>
      <c r="N286" s="57">
        <f>(VLOOKUP(E286,Sheet4!F:G,2,0))/1000</f>
        <v>0.11600000000000001</v>
      </c>
      <c r="O286" s="99">
        <f>VLOOKUP(E286,Sheet4!F331:N916,9,0)</f>
        <v>224</v>
      </c>
      <c r="P286" s="58" t="s">
        <v>1187</v>
      </c>
      <c r="Q286" s="59" cm="1">
        <f t="array" ref="Q286">_xlfn.IFS($P286=$P$2,O286+$P$3*N286,$P286=$Q$2,O286+$Q$3*N286)</f>
        <v>237.92</v>
      </c>
      <c r="R286" s="101">
        <f t="shared" si="15"/>
        <v>17.844000000000001</v>
      </c>
      <c r="S286" s="60">
        <f t="shared" si="16"/>
        <v>22.095999999999997</v>
      </c>
    </row>
    <row r="287" spans="2:19" ht="14.4">
      <c r="B287" s="55" t="s">
        <v>16</v>
      </c>
      <c r="C287" s="56" t="s">
        <v>479</v>
      </c>
      <c r="D287" s="56" t="str">
        <f>VLOOKUP(C287,DATA!B:C,2,0)</f>
        <v>GS US WOODEN -32</v>
      </c>
      <c r="E287" s="56" t="str">
        <f>VLOOKUP(C287,Sheet4!A:B,2,0)</f>
        <v>WOODEN -32</v>
      </c>
      <c r="F287" s="56" t="e">
        <f ca="1">Image("https://images-na.ssl-images-amazon.com/images/I/412A9j4CdiL.jpg;https://images-na.ssl-images-amazon.com/images/I/31crTxK0jML.jpg;https://images-na.ssl-images-amazon.com/images/I/21VghECfFgL.jpg;https://images-na.ssl-images-amazon.com/images/I/41pcRbTAszL"&amp;".jpg;https://images-na.ssl-images-amazon.com/images/I/419v2yA3TdL.jpg")</f>
        <v>#NAME?</v>
      </c>
      <c r="G287" s="56" t="s">
        <v>481</v>
      </c>
      <c r="H287" s="83">
        <v>19</v>
      </c>
      <c r="I287" s="88">
        <v>190</v>
      </c>
      <c r="J287" s="83">
        <v>1</v>
      </c>
      <c r="K287" s="88">
        <v>-8.8000000000000007</v>
      </c>
      <c r="L287" s="84">
        <v>79.56</v>
      </c>
      <c r="M287" s="94">
        <f t="shared" si="17"/>
        <v>4.1873684210526321</v>
      </c>
      <c r="N287" s="57">
        <f>(VLOOKUP(E287,Sheet4!F:G,2,0))/1000</f>
        <v>0.16400000000000001</v>
      </c>
      <c r="O287" s="99">
        <f>VLOOKUP(E287,Sheet4!F332:N917,9,0)</f>
        <v>314</v>
      </c>
      <c r="P287" s="58" t="s">
        <v>1187</v>
      </c>
      <c r="Q287" s="59" cm="1">
        <f t="array" ref="Q287">_xlfn.IFS($P287=$P$2,O287+$P$3*N287,$P287=$Q$2,O287+$Q$3*N287)</f>
        <v>333.68</v>
      </c>
      <c r="R287" s="101">
        <f t="shared" si="15"/>
        <v>79.248999999999995</v>
      </c>
      <c r="S287" s="60">
        <f t="shared" si="16"/>
        <v>0.31100000000000705</v>
      </c>
    </row>
    <row r="288" spans="2:19" ht="14.4">
      <c r="B288" s="55" t="s">
        <v>16</v>
      </c>
      <c r="C288" s="56" t="s">
        <v>637</v>
      </c>
      <c r="D288" s="56" t="str">
        <f>VLOOKUP(C288,DATA!B:C,2,0)</f>
        <v>WOODEN -42</v>
      </c>
      <c r="E288" s="56" t="str">
        <f>VLOOKUP(C288,Sheet4!A:B,2,0)</f>
        <v>WOODEN -42</v>
      </c>
      <c r="F288" s="56" t="e">
        <f ca="1">Image("https://images-na.ssl-images-amazon.com/images/I/41tDpRcfY8L.jpg;https://images-na.ssl-images-amazon.com/images/I/41WNgtrwHYL.jpg;https://images-na.ssl-images-amazon.com/images/I/31Q4jldFuFL.jpg;https://images-na.ssl-images-amazon.com/images/I/41yqwsPgCAL"&amp;".jpg")</f>
        <v>#NAME?</v>
      </c>
      <c r="G288" s="56" t="s">
        <v>639</v>
      </c>
      <c r="H288" s="83">
        <v>4</v>
      </c>
      <c r="I288" s="88">
        <v>42.73</v>
      </c>
      <c r="J288" s="83">
        <v>1</v>
      </c>
      <c r="K288" s="88">
        <v>-8.7899999999999991</v>
      </c>
      <c r="L288" s="84">
        <v>27.53</v>
      </c>
      <c r="M288" s="94">
        <f t="shared" si="17"/>
        <v>6.8825000000000003</v>
      </c>
      <c r="N288" s="57">
        <f>(VLOOKUP(E288,Sheet4!F:G,2,0))/1000</f>
        <v>9.1999999999999998E-2</v>
      </c>
      <c r="O288" s="99">
        <f>VLOOKUP(E288,Sheet4!F333:N918,9,0)</f>
        <v>124.4</v>
      </c>
      <c r="P288" s="58" t="s">
        <v>1187</v>
      </c>
      <c r="Q288" s="59" cm="1">
        <f t="array" ref="Q288">_xlfn.IFS($P288=$P$2,O288+$P$3*N288,$P288=$Q$2,O288+$Q$3*N288)</f>
        <v>135.44</v>
      </c>
      <c r="R288" s="101">
        <f t="shared" si="15"/>
        <v>6.7720000000000002</v>
      </c>
      <c r="S288" s="60">
        <f t="shared" si="16"/>
        <v>20.758000000000003</v>
      </c>
    </row>
    <row r="289" spans="2:19" ht="14.4">
      <c r="B289" s="55" t="s">
        <v>16</v>
      </c>
      <c r="C289" s="56" t="s">
        <v>569</v>
      </c>
      <c r="D289" s="56" t="str">
        <f>VLOOKUP(C289,DATA!B:C,2,0)</f>
        <v>WOODEN -44</v>
      </c>
      <c r="E289" s="56" t="str">
        <f>VLOOKUP(C289,Sheet4!A:B,2,0)</f>
        <v>WOODEN -44</v>
      </c>
      <c r="F289" s="56" t="e">
        <f ca="1">Image("https://images-na.ssl-images-amazon.com/images/I/41ZVaXJ1UQL.jpg;https://images-na.ssl-images-amazon.com/images/I/416WTLax7RL.jpg;https://images-na.ssl-images-amazon.com/images/I/31otxfAdYcL.jpg;https://images-na.ssl-images-amazon.com/images/I/41yqwsPgCAL"&amp;".jpg")</f>
        <v>#NAME?</v>
      </c>
      <c r="G289" s="56" t="s">
        <v>571</v>
      </c>
      <c r="H289" s="83">
        <v>4</v>
      </c>
      <c r="I289" s="88">
        <v>49.24</v>
      </c>
      <c r="J289" s="83">
        <v>0</v>
      </c>
      <c r="K289" s="88">
        <v>0</v>
      </c>
      <c r="L289" s="84">
        <v>41.86</v>
      </c>
      <c r="M289" s="94">
        <f t="shared" si="17"/>
        <v>10.465</v>
      </c>
      <c r="N289" s="57">
        <f>(VLOOKUP(E289,Sheet4!F:G,2,0))/1000</f>
        <v>0.24</v>
      </c>
      <c r="O289" s="99">
        <f>VLOOKUP(E289,Sheet4!F:N,9,0)</f>
        <v>330</v>
      </c>
      <c r="P289" s="58" t="s">
        <v>1187</v>
      </c>
      <c r="Q289" s="59" cm="1">
        <f t="array" ref="Q289">_xlfn.IFS($P289=$P$2,O289+$P$3*N289,$P289=$Q$2,O289+$Q$3*N289)</f>
        <v>358.8</v>
      </c>
      <c r="R289" s="101">
        <f t="shared" si="15"/>
        <v>17.940000000000001</v>
      </c>
      <c r="S289" s="60">
        <f t="shared" si="16"/>
        <v>23.919999999999998</v>
      </c>
    </row>
    <row r="290" spans="2:19" ht="14.4">
      <c r="B290" s="55" t="s">
        <v>16</v>
      </c>
      <c r="C290" s="56" t="s">
        <v>761</v>
      </c>
      <c r="D290" s="56" t="str">
        <f>VLOOKUP(C290,DATA!B:C,2,0)</f>
        <v>WOODEN -60</v>
      </c>
      <c r="E290" s="56" t="str">
        <f>VLOOKUP(C290,Sheet4!A:B,2,0)</f>
        <v>WOODEN -60</v>
      </c>
      <c r="F290" s="56" t="e">
        <f ca="1">Image("https://images-na.ssl-images-amazon.com/images/I/41OGigczFcL.jpg;https://images-na.ssl-images-amazon.com/images/I/41AMqsC9s2L.jpg;https://images-na.ssl-images-amazon.com/images/I/21fPkluSDUL.jpg")</f>
        <v>#NAME?</v>
      </c>
      <c r="G290" s="56" t="s">
        <v>763</v>
      </c>
      <c r="H290" s="83">
        <v>3</v>
      </c>
      <c r="I290" s="88">
        <v>17.28</v>
      </c>
      <c r="J290" s="83">
        <v>0</v>
      </c>
      <c r="K290" s="88">
        <v>0</v>
      </c>
      <c r="L290" s="84">
        <v>14.7</v>
      </c>
      <c r="M290" s="94">
        <f t="shared" si="17"/>
        <v>4.8999999999999995</v>
      </c>
      <c r="N290" s="57">
        <f>(VLOOKUP(E290,Sheet4!F:G,2,0))/1000</f>
        <v>0.08</v>
      </c>
      <c r="O290" s="99">
        <f>VLOOKUP(E290,Sheet4!F335:N920,9,0)</f>
        <v>123.2</v>
      </c>
      <c r="P290" s="58" t="s">
        <v>1187</v>
      </c>
      <c r="Q290" s="59" cm="1">
        <f t="array" ref="Q290">_xlfn.IFS($P290=$P$2,O290+$P$3*N290,$P290=$Q$2,O290+$Q$3*N290)</f>
        <v>132.80000000000001</v>
      </c>
      <c r="R290" s="101">
        <f t="shared" si="15"/>
        <v>4.9800000000000004</v>
      </c>
      <c r="S290" s="60">
        <f t="shared" si="16"/>
        <v>9.7199999999999989</v>
      </c>
    </row>
    <row r="291" spans="2:19" ht="14.4">
      <c r="B291" s="55" t="s">
        <v>16</v>
      </c>
      <c r="C291" s="56" t="s">
        <v>289</v>
      </c>
      <c r="D291" s="56" t="str">
        <f>VLOOKUP(C291,DATA!B:C,2,0)</f>
        <v>GS USA WOODEN -61</v>
      </c>
      <c r="E291" s="56" t="str">
        <f>VLOOKUP(C291,Sheet4!A:B,2,0)</f>
        <v>WOODEN -61</v>
      </c>
      <c r="F291" s="56" t="e">
        <f ca="1">Image("https://images-na.ssl-images-amazon.com/images/I/41iZLaruS5L.jpg;https://images-na.ssl-images-amazon.com/images/I/41x55bzF7XL.jpg;https://images-na.ssl-images-amazon.com/images/I/416-9zqgTML.jpg;https://images-na.ssl-images-amazon.com/images/I/51ypuYlthYL"&amp;".jpg;https://images-na.ssl-images-amazon.com/images/I/51nZndGmkBL.jpg")</f>
        <v>#NAME?</v>
      </c>
      <c r="G291" s="56" t="s">
        <v>291</v>
      </c>
      <c r="H291" s="83">
        <v>55</v>
      </c>
      <c r="I291" s="88">
        <v>497.19</v>
      </c>
      <c r="J291" s="83">
        <v>1</v>
      </c>
      <c r="K291" s="88">
        <v>-6.82</v>
      </c>
      <c r="L291" s="84">
        <v>232.48</v>
      </c>
      <c r="M291" s="94">
        <f t="shared" si="17"/>
        <v>4.2269090909090909</v>
      </c>
      <c r="N291" s="57">
        <f>(VLOOKUP(E291,Sheet4!F:G,2,0))/1000</f>
        <v>0.105</v>
      </c>
      <c r="O291" s="99">
        <f>VLOOKUP(E291,Sheet4!F336:N921,9,0)</f>
        <v>168.9</v>
      </c>
      <c r="P291" s="58" t="s">
        <v>1187</v>
      </c>
      <c r="Q291" s="59" cm="1">
        <f t="array" ref="Q291">_xlfn.IFS($P291=$P$2,O291+$P$3*N291,$P291=$Q$2,O291+$Q$3*N291)</f>
        <v>181.5</v>
      </c>
      <c r="R291" s="101">
        <f t="shared" si="15"/>
        <v>124.78125</v>
      </c>
      <c r="S291" s="60">
        <f t="shared" si="16"/>
        <v>107.69874999999999</v>
      </c>
    </row>
    <row r="292" spans="2:19" ht="14.4">
      <c r="B292" s="55" t="s">
        <v>16</v>
      </c>
      <c r="C292" s="56" t="s">
        <v>361</v>
      </c>
      <c r="D292" s="56" t="str">
        <f>VLOOKUP(C292,DATA!B:C,2,0)</f>
        <v>GS USA WOODEN -63</v>
      </c>
      <c r="E292" s="56" t="str">
        <f>VLOOKUP(C292,Sheet4!A:B,2,0)</f>
        <v>WOODEN -63</v>
      </c>
      <c r="F292" s="56" t="e">
        <f ca="1">Image("https://images-na.ssl-images-amazon.com/images/I/4194Mgbqi8L.jpg;https://images-na.ssl-images-amazon.com/images/I/41EfBGiKHsL.jpg;https://images-na.ssl-images-amazon.com/images/I/21dWq0BcqiL.jpg")</f>
        <v>#NAME?</v>
      </c>
      <c r="G292" s="56" t="s">
        <v>363</v>
      </c>
      <c r="H292" s="83">
        <v>38</v>
      </c>
      <c r="I292" s="88">
        <v>429.2</v>
      </c>
      <c r="J292" s="83">
        <v>12</v>
      </c>
      <c r="K292" s="88">
        <v>-121.37</v>
      </c>
      <c r="L292" s="84">
        <v>151.12</v>
      </c>
      <c r="M292" s="94">
        <f t="shared" si="17"/>
        <v>3.9768421052631582</v>
      </c>
      <c r="N292" s="57">
        <f>(VLOOKUP(E292,Sheet4!F:G,2,0))/1000</f>
        <v>0.12</v>
      </c>
      <c r="O292" s="99">
        <f>VLOOKUP(E292,Sheet4!F337:N922,9,0)</f>
        <v>258</v>
      </c>
      <c r="P292" s="58" t="s">
        <v>1187</v>
      </c>
      <c r="Q292" s="59" cm="1">
        <f t="array" ref="Q292">_xlfn.IFS($P292=$P$2,O292+$P$3*N292,$P292=$Q$2,O292+$Q$3*N292)</f>
        <v>272.39999999999998</v>
      </c>
      <c r="R292" s="101">
        <f t="shared" si="15"/>
        <v>129.38999999999999</v>
      </c>
      <c r="S292" s="60">
        <f t="shared" si="16"/>
        <v>21.730000000000018</v>
      </c>
    </row>
    <row r="293" spans="2:19" ht="14.4">
      <c r="B293" s="55" t="s">
        <v>16</v>
      </c>
      <c r="C293" s="56" t="s">
        <v>919</v>
      </c>
      <c r="D293" s="56" t="str">
        <f>VLOOKUP(C293,DATA!B:C,2,0)</f>
        <v>GS USA WOODEN -46</v>
      </c>
      <c r="E293" s="56" t="str">
        <f>VLOOKUP(C293,Sheet4!A:B,2,0)</f>
        <v>WOODEN -46</v>
      </c>
      <c r="F293" s="56" t="e">
        <f ca="1">Image("https://images-na.ssl-images-amazon.com/images/I/41FFZM5bdVL.jpg;https://images-na.ssl-images-amazon.com/images/I/410HWdcuWML.jpg;https://images-na.ssl-images-amazon.com/images/I/319iVcaQU2L.jpg")</f>
        <v>#NAME?</v>
      </c>
      <c r="G293" s="56" t="s">
        <v>921</v>
      </c>
      <c r="H293" s="83">
        <v>12</v>
      </c>
      <c r="I293" s="88">
        <v>84</v>
      </c>
      <c r="J293" s="83">
        <v>1</v>
      </c>
      <c r="K293" s="88">
        <v>-6.16</v>
      </c>
      <c r="L293" s="84">
        <v>0.97</v>
      </c>
      <c r="M293" s="94">
        <f t="shared" si="17"/>
        <v>8.0833333333333326E-2</v>
      </c>
      <c r="N293" s="57">
        <f>(VLOOKUP(E293,Sheet4!F:G,2,0))/1000</f>
        <v>0.115</v>
      </c>
      <c r="O293" s="99">
        <f>VLOOKUP(E293,Sheet4!F338:N923,9,0)</f>
        <v>138.69999999999999</v>
      </c>
      <c r="P293" s="58" t="s">
        <v>1187</v>
      </c>
      <c r="Q293" s="59" cm="1">
        <f t="array" ref="Q293">_xlfn.IFS($P293=$P$2,O293+$P$3*N293,$P293=$Q$2,O293+$Q$3*N293)</f>
        <v>152.5</v>
      </c>
      <c r="R293" s="101">
        <f t="shared" si="15"/>
        <v>22.875</v>
      </c>
      <c r="S293" s="60">
        <f t="shared" si="16"/>
        <v>-21.905000000000001</v>
      </c>
    </row>
    <row r="294" spans="2:19" ht="14.4">
      <c r="B294" s="55" t="s">
        <v>16</v>
      </c>
      <c r="C294" s="56" t="s">
        <v>740</v>
      </c>
      <c r="D294" s="56" t="str">
        <f>VLOOKUP(C294,DATA!B:C,2,0)</f>
        <v>GS US WOODEN -47</v>
      </c>
      <c r="E294" s="56" t="str">
        <f>VLOOKUP(C294,Sheet4!A:B,2,0)</f>
        <v>WOODEN -47</v>
      </c>
      <c r="F294" s="56" t="e">
        <f ca="1">Image("https://images-na.ssl-images-amazon.com/images/I/41SWQ6YoovL.jpg;https://images-na.ssl-images-amazon.com/images/I/41Ywbyzf4dL.jpg;https://images-na.ssl-images-amazon.com/images/I/31dQn+3uftL.jpg")</f>
        <v>#NAME?</v>
      </c>
      <c r="G294" s="56" t="s">
        <v>742</v>
      </c>
      <c r="H294" s="83">
        <v>5</v>
      </c>
      <c r="I294" s="88">
        <v>35</v>
      </c>
      <c r="J294" s="83">
        <v>0</v>
      </c>
      <c r="K294" s="88">
        <v>0</v>
      </c>
      <c r="L294" s="84">
        <v>15.98</v>
      </c>
      <c r="M294" s="94">
        <f t="shared" si="17"/>
        <v>3.1960000000000002</v>
      </c>
      <c r="N294" s="57">
        <f>(VLOOKUP(E294,Sheet4!F:G,2,0))/1000</f>
        <v>0.13</v>
      </c>
      <c r="O294" s="99">
        <f>VLOOKUP(E294,Sheet4!F339:N924,9,0)</f>
        <v>183.4</v>
      </c>
      <c r="P294" s="58" t="s">
        <v>1187</v>
      </c>
      <c r="Q294" s="59" cm="1">
        <f t="array" ref="Q294">_xlfn.IFS($P294=$P$2,O294+$P$3*N294,$P294=$Q$2,O294+$Q$3*N294)</f>
        <v>199</v>
      </c>
      <c r="R294" s="101">
        <f t="shared" si="15"/>
        <v>12.4375</v>
      </c>
      <c r="S294" s="60">
        <f t="shared" si="16"/>
        <v>3.5425000000000004</v>
      </c>
    </row>
    <row r="295" spans="2:19" ht="14.4">
      <c r="B295" s="55" t="s">
        <v>16</v>
      </c>
      <c r="C295" s="56" t="s">
        <v>367</v>
      </c>
      <c r="D295" s="56" t="str">
        <f>VLOOKUP(C295,DATA!B:C,2,0)</f>
        <v>GS US WOODEN -48</v>
      </c>
      <c r="E295" s="56" t="str">
        <f>VLOOKUP(C295,Sheet4!A:B,2,0)</f>
        <v>WOODEN -48</v>
      </c>
      <c r="F295" s="56" t="e">
        <f ca="1">Image("https://images-na.ssl-images-amazon.com/images/I/41XFnT5Ji9L.jpg;https://images-na.ssl-images-amazon.com/images/I/41zCirGbXDL.jpg;https://images-na.ssl-images-amazon.com/images/I/31S08UU4dcL.jpg")</f>
        <v>#NAME?</v>
      </c>
      <c r="G295" s="56" t="s">
        <v>369</v>
      </c>
      <c r="H295" s="83">
        <v>29</v>
      </c>
      <c r="I295" s="88">
        <v>310.01</v>
      </c>
      <c r="J295" s="83">
        <v>1</v>
      </c>
      <c r="K295" s="88">
        <v>-9.41</v>
      </c>
      <c r="L295" s="84">
        <v>136.77000000000001</v>
      </c>
      <c r="M295" s="94">
        <f t="shared" si="17"/>
        <v>4.7162068965517241</v>
      </c>
      <c r="N295" s="57">
        <f>(VLOOKUP(E295,Sheet4!F:G,2,0))/1000</f>
        <v>0.17</v>
      </c>
      <c r="O295" s="99">
        <f>VLOOKUP(E295,Sheet4!F:N,9,0)</f>
        <v>229.4</v>
      </c>
      <c r="P295" s="58" t="s">
        <v>1187</v>
      </c>
      <c r="Q295" s="59" cm="1">
        <f t="array" ref="Q295">_xlfn.IFS($P295=$P$2,O295+$P$3*N295,$P295=$Q$2,O295+$Q$3*N295)</f>
        <v>249.8</v>
      </c>
      <c r="R295" s="101">
        <f t="shared" si="15"/>
        <v>90.552500000000009</v>
      </c>
      <c r="S295" s="60">
        <f t="shared" si="16"/>
        <v>46.217500000000001</v>
      </c>
    </row>
    <row r="296" spans="2:19" ht="14.4">
      <c r="B296" s="55" t="s">
        <v>16</v>
      </c>
      <c r="C296" s="56" t="s">
        <v>500</v>
      </c>
      <c r="D296" s="56" t="str">
        <f>VLOOKUP(C296,DATA!B:C,2,0)</f>
        <v>GS US WOODEN -49</v>
      </c>
      <c r="E296" s="56" t="str">
        <f>VLOOKUP(C296,Sheet4!A:B,2,0)</f>
        <v>WOODEN -49</v>
      </c>
      <c r="F296" s="56" t="e">
        <f ca="1">Image("https://images-na.ssl-images-amazon.com/images/I/41ihCi6Z4rL.jpg;https://images-na.ssl-images-amazon.com/images/I/41xqdP+NGQL.jpg;https://images-na.ssl-images-amazon.com/images/I/31VL-9MWbDL.jpg")</f>
        <v>#NAME?</v>
      </c>
      <c r="G296" s="56" t="s">
        <v>502</v>
      </c>
      <c r="H296" s="83">
        <v>11</v>
      </c>
      <c r="I296" s="88">
        <v>143</v>
      </c>
      <c r="J296" s="83">
        <v>0</v>
      </c>
      <c r="K296" s="88">
        <v>0</v>
      </c>
      <c r="L296" s="84">
        <v>68.34</v>
      </c>
      <c r="M296" s="94">
        <f t="shared" si="17"/>
        <v>6.2127272727272729</v>
      </c>
      <c r="N296" s="57">
        <f>(VLOOKUP(E296,Sheet4!F:G,2,0))/1000</f>
        <v>0.26</v>
      </c>
      <c r="O296" s="99">
        <f>VLOOKUP(E296,Sheet4!F:N,9,0)</f>
        <v>332</v>
      </c>
      <c r="P296" s="58" t="s">
        <v>1187</v>
      </c>
      <c r="Q296" s="59" cm="1">
        <f t="array" ref="Q296">_xlfn.IFS($P296=$P$2,O296+$P$3*N296,$P296=$Q$2,O296+$Q$3*N296)</f>
        <v>363.2</v>
      </c>
      <c r="R296" s="101">
        <f t="shared" si="15"/>
        <v>49.94</v>
      </c>
      <c r="S296" s="60">
        <f t="shared" si="16"/>
        <v>18.400000000000006</v>
      </c>
    </row>
    <row r="297" spans="2:19" ht="14.4">
      <c r="B297" s="55" t="s">
        <v>16</v>
      </c>
      <c r="C297" s="56" t="s">
        <v>257</v>
      </c>
      <c r="D297" s="56" t="str">
        <f>VLOOKUP(C297,DATA!B:C,2,0)</f>
        <v>GS US WOODEN -36</v>
      </c>
      <c r="E297" s="56" t="str">
        <f>VLOOKUP(C297,Sheet4!A:B,2,0)</f>
        <v>WOODEN -36</v>
      </c>
      <c r="F297" s="56" t="e">
        <f ca="1">Image("https://images-na.ssl-images-amazon.com/images/I/414uy19KyuL.jpg;https://images-na.ssl-images-amazon.com/images/I/51VgTgrqkBL.jpg;https://images-na.ssl-images-amazon.com/images/I/217R6QtYohL.jpg")</f>
        <v>#NAME?</v>
      </c>
      <c r="G297" s="56" t="s">
        <v>259</v>
      </c>
      <c r="H297" s="83">
        <v>106</v>
      </c>
      <c r="I297" s="88">
        <v>693.1</v>
      </c>
      <c r="J297" s="83">
        <v>11</v>
      </c>
      <c r="K297" s="88">
        <v>-62.33</v>
      </c>
      <c r="L297" s="84">
        <v>265.70999999999998</v>
      </c>
      <c r="M297" s="94">
        <f t="shared" si="17"/>
        <v>2.506698113207547</v>
      </c>
      <c r="N297" s="57">
        <f>(VLOOKUP(E297,Sheet4!F:G,2,0))/1000</f>
        <v>0.115</v>
      </c>
      <c r="O297" s="99">
        <f>VLOOKUP(E297,Sheet4!F342:N927,9,0)</f>
        <v>108.7</v>
      </c>
      <c r="P297" s="58" t="s">
        <v>1187</v>
      </c>
      <c r="Q297" s="59" cm="1">
        <f t="array" ref="Q297">_xlfn.IFS($P297=$P$2,O297+$P$3*N297,$P297=$Q$2,O297+$Q$3*N297)</f>
        <v>122.5</v>
      </c>
      <c r="R297" s="101">
        <f t="shared" si="15"/>
        <v>162.3125</v>
      </c>
      <c r="S297" s="60">
        <f t="shared" si="16"/>
        <v>103.39749999999998</v>
      </c>
    </row>
    <row r="298" spans="2:19" ht="14.4">
      <c r="B298" s="55" t="s">
        <v>16</v>
      </c>
      <c r="C298" s="56" t="s">
        <v>482</v>
      </c>
      <c r="D298" s="56" t="str">
        <f>VLOOKUP(C298,DATA!B:C,2,0)</f>
        <v>GS US WOODEN -45</v>
      </c>
      <c r="E298" s="56" t="str">
        <f>VLOOKUP(C298,Sheet4!A:B,2,0)</f>
        <v>WOODEN -45</v>
      </c>
      <c r="F298" s="56" t="e">
        <f ca="1">Image("https://images-na.ssl-images-amazon.com/images/I/41iHJ38k61L.jpg;https://images-na.ssl-images-amazon.com/images/I/41D7Ob7WA7L.jpg;https://images-na.ssl-images-amazon.com/images/I/41afjj8PxdL.jpg;https://images-na.ssl-images-amazon.com/images/I/515Gj1IxW3L"&amp;".jpg;https://images-na.ssl-images-amazon.com/images/I/51rhdLSHn4L.jpg;https://images-na.ssl-images-amazon.com/images/I/41AiekfLTEL.jpg")</f>
        <v>#NAME?</v>
      </c>
      <c r="G298" s="56" t="s">
        <v>484</v>
      </c>
      <c r="H298" s="83">
        <v>79</v>
      </c>
      <c r="I298" s="88">
        <v>925.45</v>
      </c>
      <c r="J298" s="83">
        <v>11</v>
      </c>
      <c r="K298" s="88">
        <v>-118.78</v>
      </c>
      <c r="L298" s="84">
        <v>78.22</v>
      </c>
      <c r="M298" s="94">
        <f t="shared" si="17"/>
        <v>0.99012658227848105</v>
      </c>
      <c r="N298" s="57">
        <f>(VLOOKUP(E298,Sheet4!F:G,2,0))/1000</f>
        <v>0.152</v>
      </c>
      <c r="O298" s="99">
        <f>VLOOKUP(E298,Sheet4!F343:N928,9,0)</f>
        <v>154.39999999999998</v>
      </c>
      <c r="P298" s="58" t="s">
        <v>1187</v>
      </c>
      <c r="Q298" s="59" cm="1">
        <f t="array" ref="Q298">_xlfn.IFS($P298=$P$2,O298+$P$3*N298,$P298=$Q$2,O298+$Q$3*N298)</f>
        <v>172.64</v>
      </c>
      <c r="R298" s="101">
        <f t="shared" si="15"/>
        <v>170.482</v>
      </c>
      <c r="S298" s="60">
        <f t="shared" si="16"/>
        <v>-92.262</v>
      </c>
    </row>
    <row r="299" spans="2:19" ht="14.4">
      <c r="B299" s="55" t="s">
        <v>16</v>
      </c>
      <c r="C299" s="56" t="s">
        <v>785</v>
      </c>
      <c r="D299" s="56" t="str">
        <f>VLOOKUP(C299,DATA!B:C,2,0)</f>
        <v>GS US WOODEN -35</v>
      </c>
      <c r="E299" s="56" t="str">
        <f>VLOOKUP(C299,Sheet4!A:B,2,0)</f>
        <v>WOODEN -35</v>
      </c>
      <c r="F299" s="56" t="e">
        <f ca="1">Image("https://images-na.ssl-images-amazon.com/images/I/41ET9+SuUeL.jpg;https://images-na.ssl-images-amazon.com/images/I/51q0ACS7hBL.jpg")</f>
        <v>#NAME?</v>
      </c>
      <c r="G299" s="56" t="s">
        <v>787</v>
      </c>
      <c r="H299" s="83">
        <v>1</v>
      </c>
      <c r="I299" s="88">
        <v>13</v>
      </c>
      <c r="J299" s="83">
        <v>0</v>
      </c>
      <c r="K299" s="88">
        <v>0</v>
      </c>
      <c r="L299" s="84">
        <v>11.57</v>
      </c>
      <c r="M299" s="94">
        <f t="shared" si="17"/>
        <v>11.57</v>
      </c>
      <c r="N299" s="57">
        <f>(VLOOKUP(E299,Sheet4!F:G,2,0))/1000</f>
        <v>0.21</v>
      </c>
      <c r="O299" s="99">
        <f>VLOOKUP(E299,Sheet4!F:N,9,0)</f>
        <v>233.4</v>
      </c>
      <c r="P299" s="58" t="s">
        <v>1187</v>
      </c>
      <c r="Q299" s="59" cm="1">
        <f t="array" ref="Q299">_xlfn.IFS($P299=$P$2,O299+$P$3*N299,$P299=$Q$2,O299+$Q$3*N299)</f>
        <v>258.60000000000002</v>
      </c>
      <c r="R299" s="101">
        <f t="shared" si="15"/>
        <v>3.2325000000000004</v>
      </c>
      <c r="S299" s="60">
        <f t="shared" si="16"/>
        <v>8.3375000000000004</v>
      </c>
    </row>
    <row r="300" spans="2:19" ht="14.4">
      <c r="B300" s="55" t="s">
        <v>16</v>
      </c>
      <c r="C300" s="56" t="s">
        <v>121</v>
      </c>
      <c r="D300" s="56" t="str">
        <f>VLOOKUP(C300,DATA!B:C,2,0)</f>
        <v>4-in-One Wooden Puzzle Games</v>
      </c>
      <c r="E300" s="56" t="str">
        <f>VLOOKUP(C300,Sheet4!A:B,2,0)</f>
        <v>WOODEN -66</v>
      </c>
      <c r="F300" s="56" t="e">
        <f ca="1">Image("https://images-na.ssl-images-amazon.com/images/I/51hR1oa-eeL.jpg;https://images-na.ssl-images-amazon.com/images/I/51mV7gfc+wL.jpg;https://images-na.ssl-images-amazon.com/images/I/518tk2oalpL.jpg;https://images-na.ssl-images-amazon.com/images/I/411sLFpTzpL"&amp;".jpg;https://images-na.ssl-images-amazon.com/images/I/417MCp82FgL.jpg;https://images-na.ssl-images-amazon.com/images/I/51ZoF6mOtyL.jpg")</f>
        <v>#NAME?</v>
      </c>
      <c r="G300" s="56" t="s">
        <v>123</v>
      </c>
      <c r="H300" s="83">
        <v>92</v>
      </c>
      <c r="I300" s="88">
        <v>1788.7</v>
      </c>
      <c r="J300" s="83">
        <v>2</v>
      </c>
      <c r="K300" s="88">
        <v>-32.020000000000003</v>
      </c>
      <c r="L300" s="84">
        <v>958.78</v>
      </c>
      <c r="M300" s="94">
        <f t="shared" si="17"/>
        <v>10.421521739130435</v>
      </c>
      <c r="N300" s="57">
        <f>(VLOOKUP(E300,Sheet4!F:G,2,0))/1000</f>
        <v>0.7</v>
      </c>
      <c r="O300" s="99">
        <f>VLOOKUP(E300,Sheet4!F:N,9,0)</f>
        <v>481.6</v>
      </c>
      <c r="P300" s="58" t="s">
        <v>1187</v>
      </c>
      <c r="Q300" s="59" cm="1">
        <f t="array" ref="Q300">_xlfn.IFS($P300=$P$2,O300+$P$3*N300,$P300=$Q$2,O300+$Q$3*N300)</f>
        <v>565.6</v>
      </c>
      <c r="R300" s="101">
        <f t="shared" si="15"/>
        <v>650.44000000000005</v>
      </c>
      <c r="S300" s="60">
        <f t="shared" si="16"/>
        <v>308.33999999999992</v>
      </c>
    </row>
    <row r="301" spans="2:19" ht="14.4">
      <c r="B301" s="55" t="s">
        <v>16</v>
      </c>
      <c r="C301" s="56" t="s">
        <v>85</v>
      </c>
      <c r="D301" s="56" t="str">
        <f>VLOOKUP(C301,DATA!B:C,2,0)</f>
        <v>GS US SPOON -2</v>
      </c>
      <c r="E301" s="56" t="str">
        <f>VLOOKUP(C301,Sheet4!A:B,2,0)</f>
        <v>SPOON -2</v>
      </c>
      <c r="F301" s="56" t="e">
        <f ca="1">Image("https://images-na.ssl-images-amazon.com/images/I/41GJWRVNJML.jpg;https://images-na.ssl-images-amazon.com/images/I/41GJWRVNJML.jpg")</f>
        <v>#NAME?</v>
      </c>
      <c r="G301" s="56" t="s">
        <v>87</v>
      </c>
      <c r="H301" s="83">
        <v>190</v>
      </c>
      <c r="I301" s="88">
        <v>3041.26</v>
      </c>
      <c r="J301" s="83">
        <v>17</v>
      </c>
      <c r="K301" s="88">
        <v>-231.72</v>
      </c>
      <c r="L301" s="84">
        <v>1684.97</v>
      </c>
      <c r="M301" s="94">
        <f t="shared" si="17"/>
        <v>8.8682631578947362</v>
      </c>
      <c r="N301" s="57">
        <f>(VLOOKUP(E301,Sheet4!F:G,2,0))/1000</f>
        <v>0.27</v>
      </c>
      <c r="O301" s="99">
        <f>VLOOKUP(E301,Sheet4!F126:J711,5,0)</f>
        <v>420</v>
      </c>
      <c r="P301" s="58" t="s">
        <v>1188</v>
      </c>
      <c r="Q301" s="59" cm="1">
        <f t="array" ref="Q301">_xlfn.IFS($P301=$P$2,O301+$P$3*N301,$P301=$Q$2,O301+$Q$3*N301)</f>
        <v>541.5</v>
      </c>
      <c r="R301" s="101">
        <f t="shared" si="15"/>
        <v>1286.0625</v>
      </c>
      <c r="S301" s="60">
        <f t="shared" si="16"/>
        <v>398.90750000000003</v>
      </c>
    </row>
    <row r="302" spans="2:19" ht="14.4">
      <c r="B302" s="55" t="s">
        <v>16</v>
      </c>
      <c r="C302" s="56" t="s">
        <v>593</v>
      </c>
      <c r="D302" s="56" t="str">
        <f>VLOOKUP(C302,DATA!B:C,2,0)</f>
        <v>GS US BOWL -13</v>
      </c>
      <c r="E302" s="56" t="str">
        <f>VLOOKUP(C302,Sheet4!A:B,2,0)</f>
        <v>BOWL -13</v>
      </c>
      <c r="F302" s="56" t="e">
        <f ca="1">Image("https://images-na.ssl-images-amazon.com/images/I/514t6cG+uEL.jpg;https://images-na.ssl-images-amazon.com/images/I/5171GXg8k1L.jpg;https://images-na.ssl-images-amazon.com/images/I/51gwNiXYJKL.jpg;https://images-na.ssl-images-amazon.com/images/I/41Za8Txea7L"&amp;".jpg;https://images-na.ssl-images-amazon.com/images/I/41aAwEgvFcL.jpg")</f>
        <v>#NAME?</v>
      </c>
      <c r="G302" s="56" t="s">
        <v>595</v>
      </c>
      <c r="H302" s="83">
        <v>1</v>
      </c>
      <c r="I302" s="88">
        <v>44.99</v>
      </c>
      <c r="J302" s="83">
        <v>0</v>
      </c>
      <c r="K302" s="88">
        <v>0</v>
      </c>
      <c r="L302" s="84">
        <v>37.44</v>
      </c>
      <c r="M302" s="94">
        <f t="shared" si="17"/>
        <v>37.44</v>
      </c>
      <c r="N302" s="57">
        <f>(VLOOKUP(E302,Sheet4!F:G,2,0))/1000</f>
        <v>0.95</v>
      </c>
      <c r="O302" s="99">
        <v>1116</v>
      </c>
      <c r="P302" s="58" t="s">
        <v>1188</v>
      </c>
      <c r="Q302" s="59" cm="1">
        <f t="array" ref="Q302">_xlfn.IFS($P302=$P$2,O302+$P$3*N302,$P302=$Q$2,O302+$Q$3*N302)</f>
        <v>1543.5</v>
      </c>
      <c r="R302" s="101">
        <f t="shared" si="15"/>
        <v>19.293749999999999</v>
      </c>
      <c r="S302" s="60">
        <f t="shared" si="16"/>
        <v>18.146249999999998</v>
      </c>
    </row>
    <row r="303" spans="2:19" ht="14.4">
      <c r="B303" s="55" t="s">
        <v>16</v>
      </c>
      <c r="C303" s="56" t="s">
        <v>364</v>
      </c>
      <c r="D303" s="56" t="str">
        <f>VLOOKUP(C303,DATA!B:C,2,0)</f>
        <v>GS USA BOWL -12</v>
      </c>
      <c r="E303" s="56" t="str">
        <f>VLOOKUP(C303,Sheet4!A:B,2,0)</f>
        <v>BOWL -12</v>
      </c>
      <c r="F303" s="56" t="e">
        <f ca="1">Image("https://images-na.ssl-images-amazon.com/images/I/51kYqN8VecL.jpg;https://images-na.ssl-images-amazon.com/images/I/51NjPwGo5PL.jpg;https://images-na.ssl-images-amazon.com/images/I/51VSOBRpXmL.jpg;https://images-na.ssl-images-amazon.com/images/I/51kYqN8VecL"&amp;".jpg;https://images-na.ssl-images-amazon.com/images/I/41sElGdth8L.jpg;https://images-na.ssl-images-amazon.com/images/I/51XLFzObTLL.jpg")</f>
        <v>#NAME?</v>
      </c>
      <c r="G303" s="56" t="s">
        <v>366</v>
      </c>
      <c r="H303" s="83">
        <v>12</v>
      </c>
      <c r="I303" s="88">
        <v>300</v>
      </c>
      <c r="J303" s="83">
        <v>2</v>
      </c>
      <c r="K303" s="88">
        <v>-44</v>
      </c>
      <c r="L303" s="84">
        <v>143.34</v>
      </c>
      <c r="M303" s="94">
        <f t="shared" si="17"/>
        <v>11.945</v>
      </c>
      <c r="N303" s="57">
        <f>(VLOOKUP(E303,Sheet4!F:G,2,0))/1000</f>
        <v>0.95</v>
      </c>
      <c r="O303" s="99">
        <v>1116</v>
      </c>
      <c r="P303" s="58" t="s">
        <v>1188</v>
      </c>
      <c r="Q303" s="59" cm="1">
        <f t="array" ref="Q303">_xlfn.IFS($P303=$P$2,O303+$P$3*N303,$P303=$Q$2,O303+$Q$3*N303)</f>
        <v>1543.5</v>
      </c>
      <c r="R303" s="101">
        <f t="shared" si="15"/>
        <v>231.52500000000001</v>
      </c>
      <c r="S303" s="60">
        <f t="shared" si="16"/>
        <v>-88.185000000000002</v>
      </c>
    </row>
    <row r="304" spans="2:19" ht="14.4">
      <c r="B304" s="55" t="s">
        <v>16</v>
      </c>
      <c r="C304" s="56" t="s">
        <v>1128</v>
      </c>
      <c r="D304" s="56" t="str">
        <f>VLOOKUP(C304,DATA!B:C,2,0)</f>
        <v>BOWL -20</v>
      </c>
      <c r="E304" s="56" t="str">
        <f>VLOOKUP(C304,Sheet4!A:B,2,0)</f>
        <v>BOWL -20</v>
      </c>
      <c r="F304" s="56" t="e">
        <f ca="1">Image("https://images-na.ssl-images-amazon.com/images/I/51f2Q7Le+kL.jpg;https://images-na.ssl-images-amazon.com/images/I/516RHvBUo2L.jpg;https://images-na.ssl-images-amazon.com/images/I/411zTd0YqSL.jpg;https://images-na.ssl-images-amazon.com/images/I/41Fs8hSUqUL"&amp;".jpg;https://images-na.ssl-images-amazon.com/images/I/41ssZ0uTeDL.jpg;https://images-na.ssl-images-amazon.com/images/I/51NsRxyEzqL.jpg")</f>
        <v>#NAME?</v>
      </c>
      <c r="G304" s="56" t="s">
        <v>360</v>
      </c>
      <c r="H304" s="83">
        <v>6</v>
      </c>
      <c r="I304" s="88">
        <v>164.95</v>
      </c>
      <c r="J304" s="83">
        <v>1</v>
      </c>
      <c r="K304" s="88">
        <v>-25.52</v>
      </c>
      <c r="L304" s="84">
        <v>-48.95</v>
      </c>
      <c r="M304" s="94">
        <f t="shared" si="17"/>
        <v>-8.1583333333333332</v>
      </c>
      <c r="N304" s="57">
        <f>(VLOOKUP(E304,Sheet4!F:G,2,0))/1000</f>
        <v>0.95</v>
      </c>
      <c r="O304" s="99">
        <v>1116</v>
      </c>
      <c r="P304" s="58" t="s">
        <v>1188</v>
      </c>
      <c r="Q304" s="59" cm="1">
        <f t="array" ref="Q304">_xlfn.IFS($P304=$P$2,O304+$P$3*N304,$P304=$Q$2,O304+$Q$3*N304)</f>
        <v>1543.5</v>
      </c>
      <c r="R304" s="101">
        <f t="shared" si="15"/>
        <v>115.7625</v>
      </c>
      <c r="S304" s="60">
        <f t="shared" si="16"/>
        <v>-164.71250000000001</v>
      </c>
    </row>
    <row r="305" spans="2:19" ht="14.4">
      <c r="B305" s="55" t="s">
        <v>16</v>
      </c>
      <c r="C305" s="56" t="s">
        <v>588</v>
      </c>
      <c r="D305" s="56" t="str">
        <f>VLOOKUP(C305,DATA!B:C,2,0)</f>
        <v>GS US BOWL -14</v>
      </c>
      <c r="E305" s="56" t="str">
        <f>VLOOKUP(C305,Sheet4!A:B,2,0)</f>
        <v>BOWL -14</v>
      </c>
      <c r="F305" s="56" t="e">
        <f ca="1">Image("https://images-na.ssl-images-amazon.com/images/I/51Zrxssed5L.jpg;https://images-na.ssl-images-amazon.com/images/I/51tQCD01BWL.jpg;https://images-na.ssl-images-amazon.com/images/I/510dipRDMkL.jpg;https://images-na.ssl-images-amazon.com/images/I/41lUC0VbbEL"&amp;".jpg;https://images-na.ssl-images-amazon.com/images/I/41jjSE1vfLL.jpg;https://images-na.ssl-images-amazon.com/images/I/61jIp12XfOL.jpg")</f>
        <v>#NAME?</v>
      </c>
      <c r="G305" s="56" t="s">
        <v>360</v>
      </c>
      <c r="H305" s="83">
        <v>1</v>
      </c>
      <c r="I305" s="88">
        <v>44.99</v>
      </c>
      <c r="J305" s="83">
        <v>0</v>
      </c>
      <c r="K305" s="88">
        <v>0</v>
      </c>
      <c r="L305" s="84">
        <v>38.24</v>
      </c>
      <c r="M305" s="94">
        <f t="shared" si="17"/>
        <v>38.24</v>
      </c>
      <c r="N305" s="57">
        <f>(VLOOKUP(E305,Sheet4!F:G,2,0))/1000</f>
        <v>0.95</v>
      </c>
      <c r="O305" s="99">
        <v>1116</v>
      </c>
      <c r="P305" s="58" t="s">
        <v>1188</v>
      </c>
      <c r="Q305" s="59" cm="1">
        <f t="array" ref="Q305">_xlfn.IFS($P305=$P$2,O305+$P$3*N305,$P305=$Q$2,O305+$Q$3*N305)</f>
        <v>1543.5</v>
      </c>
      <c r="R305" s="101">
        <f t="shared" si="15"/>
        <v>19.293749999999999</v>
      </c>
      <c r="S305" s="60">
        <f t="shared" si="16"/>
        <v>18.946250000000003</v>
      </c>
    </row>
    <row r="306" spans="2:19" ht="14.4">
      <c r="B306" s="55" t="s">
        <v>16</v>
      </c>
      <c r="C306" s="56" t="s">
        <v>274</v>
      </c>
      <c r="D306" s="56" t="str">
        <f>VLOOKUP(C306,DATA!B:C,2,0)</f>
        <v>GS USA BOWL -11</v>
      </c>
      <c r="E306" s="56" t="str">
        <f>VLOOKUP(C306,Sheet4!A:B,2,0)</f>
        <v>BOWL -11</v>
      </c>
      <c r="F306" s="56" t="e">
        <f ca="1">Image("https://images-na.ssl-images-amazon.com/images/I/51Oo4BAms1L.jpg;https://images-na.ssl-images-amazon.com/images/I/51qUjDHX7bL.jpg;https://images-na.ssl-images-amazon.com/images/I/41DgkjwPr-L.jpg;https://images-na.ssl-images-amazon.com/images/I/41wBFfQgLGL"&amp;".jpg;https://images-na.ssl-images-amazon.com/images/I/416Wmo-izaL.jpg;https://images-na.ssl-images-amazon.com/images/I/511Ta-1a0EL.jpg")</f>
        <v>#NAME?</v>
      </c>
      <c r="G306" s="56" t="s">
        <v>276</v>
      </c>
      <c r="H306" s="83">
        <v>14</v>
      </c>
      <c r="I306" s="88">
        <v>437.43</v>
      </c>
      <c r="J306" s="83">
        <v>1</v>
      </c>
      <c r="K306" s="88">
        <v>-22</v>
      </c>
      <c r="L306" s="84">
        <v>251.8</v>
      </c>
      <c r="M306" s="94">
        <f t="shared" si="17"/>
        <v>17.985714285714288</v>
      </c>
      <c r="N306" s="57">
        <f>(VLOOKUP(E306,Sheet4!F:G,2,0))/1000</f>
        <v>0.95</v>
      </c>
      <c r="O306" s="99">
        <v>1116</v>
      </c>
      <c r="P306" s="58" t="s">
        <v>1188</v>
      </c>
      <c r="Q306" s="59" cm="1">
        <f t="array" ref="Q306">_xlfn.IFS($P306=$P$2,O306+$P$3*N306,$P306=$Q$2,O306+$Q$3*N306)</f>
        <v>1543.5</v>
      </c>
      <c r="R306" s="101">
        <f t="shared" si="15"/>
        <v>270.11250000000001</v>
      </c>
      <c r="S306" s="60">
        <f t="shared" si="16"/>
        <v>-18.3125</v>
      </c>
    </row>
    <row r="307" spans="2:19" ht="14.4">
      <c r="B307" s="55" t="s">
        <v>16</v>
      </c>
      <c r="C307" s="56" t="s">
        <v>358</v>
      </c>
      <c r="D307" s="56" t="str">
        <f>VLOOKUP(C307,DATA!B:C,2,0)</f>
        <v>JD US BOWL -15</v>
      </c>
      <c r="E307" s="56" t="str">
        <f>VLOOKUP(C307,Sheet4!A:B,2,0)</f>
        <v>BOWL -15</v>
      </c>
      <c r="F307" s="56" t="e">
        <f ca="1">Image("https://images-na.ssl-images-amazon.com/images/I/51aXb1Hwp7L.jpg;https://images-na.ssl-images-amazon.com/images/I/515xt-CqgAL.jpg;https://images-na.ssl-images-amazon.com/images/I/51k8zNqpANL.jpg;https://images-na.ssl-images-amazon.com/images/I/41hNYhOiX4L"&amp;".jpg;https://images-na.ssl-images-amazon.com/images/I/41ssZ0uTeDL.jpg;https://images-na.ssl-images-amazon.com/images/I/615z2hWIeUL.jpg")</f>
        <v>#NAME?</v>
      </c>
      <c r="G307" s="56" t="s">
        <v>360</v>
      </c>
      <c r="H307" s="83">
        <v>10</v>
      </c>
      <c r="I307" s="88">
        <v>320</v>
      </c>
      <c r="J307" s="83">
        <v>2</v>
      </c>
      <c r="K307" s="88">
        <v>-67.540000000000006</v>
      </c>
      <c r="L307" s="84">
        <v>156.91999999999999</v>
      </c>
      <c r="M307" s="94">
        <f t="shared" si="17"/>
        <v>15.691999999999998</v>
      </c>
      <c r="N307" s="57">
        <f>(VLOOKUP(E307,Sheet4!F:G,2,0))/1000</f>
        <v>0.95</v>
      </c>
      <c r="O307" s="99">
        <v>1116</v>
      </c>
      <c r="P307" s="58" t="s">
        <v>1188</v>
      </c>
      <c r="Q307" s="59" cm="1">
        <f t="array" ref="Q307">_xlfn.IFS($P307=$P$2,O307+$P$3*N307,$P307=$Q$2,O307+$Q$3*N307)</f>
        <v>1543.5</v>
      </c>
      <c r="R307" s="101">
        <f t="shared" si="15"/>
        <v>192.9375</v>
      </c>
      <c r="S307" s="60">
        <f t="shared" si="16"/>
        <v>-36.017500000000013</v>
      </c>
    </row>
    <row r="308" spans="2:19" ht="14.4">
      <c r="B308" s="55" t="s">
        <v>16</v>
      </c>
      <c r="C308" s="56" t="s">
        <v>842</v>
      </c>
      <c r="D308" s="56" t="str">
        <f>VLOOKUP(C308,DATA!B:C,2,0)</f>
        <v>NPKN -19</v>
      </c>
      <c r="E308" s="56" t="str">
        <f>VLOOKUP(C308,Sheet4!A:B,2,0)</f>
        <v>NPKN -19</v>
      </c>
      <c r="F308" s="56" t="e">
        <f ca="1">Image("https://images-na.ssl-images-amazon.com/images/I/51wnwmFd0EL.jpg;https://images-na.ssl-images-amazon.com/images/I/61hXdYfE5FL.jpg;https://images-na.ssl-images-amazon.com/images/I/51-WHtOVutL.jpg;https://images-na.ssl-images-amazon.com/images/I/51VZlj5rB9L"&amp;".jpg")</f>
        <v>#NAME?</v>
      </c>
      <c r="G308" s="56" t="s">
        <v>844</v>
      </c>
      <c r="H308" s="83">
        <v>1</v>
      </c>
      <c r="I308" s="88">
        <v>9.75</v>
      </c>
      <c r="J308" s="83">
        <v>0</v>
      </c>
      <c r="K308" s="88">
        <v>0</v>
      </c>
      <c r="L308" s="84">
        <v>8.2899999999999991</v>
      </c>
      <c r="M308" s="94">
        <f t="shared" si="17"/>
        <v>8.2899999999999991</v>
      </c>
      <c r="N308" s="57">
        <f>(VLOOKUP(E308,Sheet4!F:G,2,0))/1000</f>
        <v>0.22</v>
      </c>
      <c r="O308" s="99">
        <f>VLOOKUP(E308,Sheet4!F133:J718,5,0)</f>
        <v>116.4</v>
      </c>
      <c r="P308" s="58" t="s">
        <v>1188</v>
      </c>
      <c r="Q308" s="59" cm="1">
        <f t="array" ref="Q308">_xlfn.IFS($P308=$P$2,O308+$P$3*N308,$P308=$Q$2,O308+$Q$3*N308)</f>
        <v>215.4</v>
      </c>
      <c r="R308" s="101">
        <f t="shared" si="15"/>
        <v>2.6924999999999999</v>
      </c>
      <c r="S308" s="60">
        <f t="shared" si="16"/>
        <v>5.5974999999999993</v>
      </c>
    </row>
    <row r="309" spans="2:19" ht="14.4">
      <c r="B309" s="55" t="s">
        <v>16</v>
      </c>
      <c r="C309" s="56" t="s">
        <v>874</v>
      </c>
      <c r="D309" s="56" t="str">
        <f>VLOOKUP(C309,DATA!B:C,2,0)</f>
        <v>GS US WOODEN -3</v>
      </c>
      <c r="E309" s="56" t="str">
        <f>VLOOKUP(C309,Sheet4!A:B,2,0)</f>
        <v>WOODEN -3</v>
      </c>
      <c r="F309" s="56" t="e">
        <f ca="1">Image("https://images-na.ssl-images-amazon.com/images/I/41nYvexZSQL.jpg;https://images-na.ssl-images-amazon.com/images/I/416aYJ9iF-L.jpg;https://images-na.ssl-images-amazon.com/images/I/41Ia1HD8+kL.jpg;https://images-na.ssl-images-amazon.com/images/I/4152veTioOL"&amp;".jpg;https://images-na.ssl-images-amazon.com/images/I/515xqNw3z-L.jpg;https://images-na.ssl-images-amazon.com/images/I/51Md0fEyNaL.jpg")</f>
        <v>#NAME?</v>
      </c>
      <c r="G309" s="56" t="s">
        <v>876</v>
      </c>
      <c r="H309" s="83">
        <v>1</v>
      </c>
      <c r="I309" s="88">
        <v>6.49</v>
      </c>
      <c r="J309" s="83">
        <v>0</v>
      </c>
      <c r="K309" s="88">
        <v>0</v>
      </c>
      <c r="L309" s="84">
        <v>5.52</v>
      </c>
      <c r="M309" s="94">
        <f t="shared" si="17"/>
        <v>5.52</v>
      </c>
      <c r="N309" s="57">
        <f>(VLOOKUP(E309,Sheet4!F:G,2,0))/1000</f>
        <v>0.13</v>
      </c>
      <c r="O309" s="99">
        <f>VLOOKUP(E309,Sheet4!F363:J948,5,0)</f>
        <v>114</v>
      </c>
      <c r="P309" s="58" t="s">
        <v>1188</v>
      </c>
      <c r="Q309" s="59" cm="1">
        <f t="array" ref="Q309">_xlfn.IFS($P309=$P$2,O309+$P$3*N309,$P309=$Q$2,O309+$Q$3*N309)</f>
        <v>172.5</v>
      </c>
      <c r="R309" s="101">
        <f t="shared" si="15"/>
        <v>2.15625</v>
      </c>
      <c r="S309" s="60">
        <f t="shared" si="16"/>
        <v>3.3637499999999996</v>
      </c>
    </row>
    <row r="310" spans="2:19" ht="14.4">
      <c r="B310" s="55" t="s">
        <v>16</v>
      </c>
      <c r="C310" s="56" t="s">
        <v>646</v>
      </c>
      <c r="D310" s="56" t="str">
        <f>VLOOKUP(C310,DATA!B:C,2,0)</f>
        <v>GS USA SOAPSTONE -14</v>
      </c>
      <c r="E310" s="56" t="str">
        <f>VLOOKUP(C310,Sheet4!A:B,2,0)</f>
        <v>SOAPSTONE -14</v>
      </c>
      <c r="F310" s="56" t="e">
        <f ca="1">Image("https://images-na.ssl-images-amazon.com/images/I/41M+BnRmcyL.jpg;https://images-na.ssl-images-amazon.com/images/I/41qZLOjP3NL.jpg;https://images-na.ssl-images-amazon.com/images/I/51F5c+bp78L.jpg")</f>
        <v>#NAME?</v>
      </c>
      <c r="G310" s="56" t="s">
        <v>648</v>
      </c>
      <c r="H310" s="83">
        <v>3</v>
      </c>
      <c r="I310" s="88">
        <v>50.96</v>
      </c>
      <c r="J310" s="83">
        <v>1</v>
      </c>
      <c r="K310" s="88">
        <v>-16.7</v>
      </c>
      <c r="L310" s="84">
        <v>26.61</v>
      </c>
      <c r="M310" s="94">
        <f t="shared" si="17"/>
        <v>8.8699999999999992</v>
      </c>
      <c r="N310" s="57">
        <f>(VLOOKUP(E310,Sheet4!F:G,2,0))/1000</f>
        <v>0.45</v>
      </c>
      <c r="O310" s="99">
        <f>VLOOKUP(E310,Sheet4!F:N,9,0)</f>
        <v>281.39999999999998</v>
      </c>
      <c r="P310" s="58" t="s">
        <v>1187</v>
      </c>
      <c r="Q310" s="59" cm="1">
        <f t="array" ref="Q310">_xlfn.IFS($P310=$P$2,O310+$P$3*N310,$P310=$Q$2,O310+$Q$3*N310)</f>
        <v>335.4</v>
      </c>
      <c r="R310" s="101">
        <f t="shared" si="15"/>
        <v>12.577499999999999</v>
      </c>
      <c r="S310" s="60">
        <f t="shared" si="16"/>
        <v>14.032500000000001</v>
      </c>
    </row>
    <row r="311" spans="2:19" ht="14.4">
      <c r="B311" s="55" t="s">
        <v>16</v>
      </c>
      <c r="C311" s="56" t="s">
        <v>491</v>
      </c>
      <c r="D311" s="56" t="str">
        <f>VLOOKUP(C311,DATA!B:C,2,0)</f>
        <v>GS SOAPSTONE -10</v>
      </c>
      <c r="E311" s="56" t="str">
        <f>VLOOKUP(C311,Sheet4!A:B,2,0)</f>
        <v>SOAPSTONE -10</v>
      </c>
      <c r="F311" s="56" t="e">
        <f ca="1">Image("https://images-na.ssl-images-amazon.com/images/I/41M+BnRmcyL.jpg;https://images-na.ssl-images-amazon.com/images/I/41qZLOjP3NL.jpg;https://images-na.ssl-images-amazon.com/images/I/51F5c+bp78L.jpg")</f>
        <v>#NAME?</v>
      </c>
      <c r="G311" s="56" t="s">
        <v>493</v>
      </c>
      <c r="H311" s="83">
        <v>4</v>
      </c>
      <c r="I311" s="88">
        <v>62.97</v>
      </c>
      <c r="J311" s="83">
        <v>0</v>
      </c>
      <c r="K311" s="88">
        <v>0</v>
      </c>
      <c r="L311" s="84">
        <v>71.010000000000005</v>
      </c>
      <c r="M311" s="94">
        <f t="shared" si="17"/>
        <v>17.752500000000001</v>
      </c>
      <c r="N311" s="57">
        <f>(VLOOKUP(E311,Sheet4!F:G,2,0))/1000</f>
        <v>0.4</v>
      </c>
      <c r="O311" s="99">
        <f>VLOOKUP(E311,Sheet4!F:N,9,0)</f>
        <v>280</v>
      </c>
      <c r="P311" s="58" t="s">
        <v>1187</v>
      </c>
      <c r="Q311" s="59" cm="1">
        <f t="array" ref="Q311">_xlfn.IFS($P311=$P$2,O311+$P$3*N311,$P311=$Q$2,O311+$Q$3*N311)</f>
        <v>328</v>
      </c>
      <c r="R311" s="101">
        <f t="shared" si="15"/>
        <v>16.399999999999999</v>
      </c>
      <c r="S311" s="60">
        <f t="shared" si="16"/>
        <v>54.610000000000007</v>
      </c>
    </row>
    <row r="312" spans="2:19" ht="14.4">
      <c r="B312" s="55" t="s">
        <v>398</v>
      </c>
      <c r="C312" s="56" t="s">
        <v>521</v>
      </c>
      <c r="D312" s="56" t="str">
        <f>VLOOKUP(C312,DATA!B:C,2,0)</f>
        <v>Sales Stamp Faxed Red Ink</v>
      </c>
      <c r="E312" s="56" t="str">
        <f>VLOOKUP(C312,Sheet4!A:B,2,0)</f>
        <v>S-303</v>
      </c>
      <c r="F312" s="56" t="e">
        <f ca="1">Image("https://images-na.ssl-images-amazon.com/images/I/41lrbL94IZL.jpg")</f>
        <v>#NAME?</v>
      </c>
      <c r="G312" s="56" t="s">
        <v>523</v>
      </c>
      <c r="H312" s="83">
        <v>16</v>
      </c>
      <c r="I312" s="88">
        <v>143.88999999999999</v>
      </c>
      <c r="J312" s="83">
        <v>0</v>
      </c>
      <c r="K312" s="88">
        <v>0</v>
      </c>
      <c r="L312" s="84">
        <v>58.48</v>
      </c>
      <c r="M312" s="94">
        <f t="shared" si="17"/>
        <v>3.6549999999999998</v>
      </c>
      <c r="N312" s="57">
        <f>(VLOOKUP(E312,Sheet4!F:G,2,0))/1000</f>
        <v>0.09</v>
      </c>
      <c r="O312" s="99">
        <f>VLOOKUP(E312,Sheet4!F367:J952,5,0)</f>
        <v>261.60000000000002</v>
      </c>
      <c r="P312" s="58" t="s">
        <v>1188</v>
      </c>
      <c r="Q312" s="59" cm="1">
        <f t="array" ref="Q312">_xlfn.IFS($P312=$P$2,O312+$P$3*N312,$P312=$Q$2,O312+$Q$3*N312)</f>
        <v>302.10000000000002</v>
      </c>
      <c r="R312" s="101">
        <f t="shared" si="15"/>
        <v>60.42</v>
      </c>
      <c r="S312" s="60">
        <f t="shared" si="16"/>
        <v>-1.9400000000000048</v>
      </c>
    </row>
    <row r="313" spans="2:19" ht="14.4">
      <c r="B313" s="55" t="s">
        <v>398</v>
      </c>
      <c r="C313" s="56" t="s">
        <v>396</v>
      </c>
      <c r="D313" s="56" t="str">
        <f>VLOOKUP(C313,DATA!B:C,2,0)</f>
        <v>Sales Stamp Date Paid Red Ink</v>
      </c>
      <c r="E313" s="56" t="str">
        <f>VLOOKUP(C313,Sheet4!A:B,2,0)</f>
        <v>S-303</v>
      </c>
      <c r="F313" s="56" t="e">
        <f ca="1">Image("https://images-na.ssl-images-amazon.com/images/I/519wTG9762L.jpg")</f>
        <v>#NAME?</v>
      </c>
      <c r="G313" s="56" t="s">
        <v>399</v>
      </c>
      <c r="H313" s="83">
        <v>41</v>
      </c>
      <c r="I313" s="88">
        <v>338.7</v>
      </c>
      <c r="J313" s="83">
        <v>3</v>
      </c>
      <c r="K313" s="88">
        <v>-23.49</v>
      </c>
      <c r="L313" s="84">
        <v>121.66</v>
      </c>
      <c r="M313" s="94">
        <f t="shared" si="17"/>
        <v>2.9673170731707317</v>
      </c>
      <c r="N313" s="57">
        <f>(VLOOKUP(E313,Sheet4!F:G,2,0))/1000</f>
        <v>0.09</v>
      </c>
      <c r="O313" s="99">
        <f>VLOOKUP(E313,Sheet4!F368:J953,5,0)</f>
        <v>261.60000000000002</v>
      </c>
      <c r="P313" s="58" t="s">
        <v>1188</v>
      </c>
      <c r="Q313" s="59" cm="1">
        <f t="array" ref="Q313">_xlfn.IFS($P313=$P$2,O313+$P$3*N313,$P313=$Q$2,O313+$Q$3*N313)</f>
        <v>302.10000000000002</v>
      </c>
      <c r="R313" s="101">
        <f t="shared" si="15"/>
        <v>154.82625000000002</v>
      </c>
      <c r="S313" s="60">
        <f t="shared" si="16"/>
        <v>-33.166250000000019</v>
      </c>
    </row>
    <row r="314" spans="2:19" ht="14.4">
      <c r="B314" s="55" t="s">
        <v>299</v>
      </c>
      <c r="C314" s="56" t="s">
        <v>794</v>
      </c>
      <c r="D314" s="56" t="str">
        <f>VLOOKUP(C314,DATA!B:C,2,0)</f>
        <v>STAMP0011-P20-BLACK</v>
      </c>
      <c r="E314" s="56" t="str">
        <f>VLOOKUP(C314,Sheet4!A:B,2,0)</f>
        <v>P-20</v>
      </c>
      <c r="F314" s="56" t="e">
        <f ca="1">Image("https://images-na.ssl-images-amazon.com/images/I/41D+GKe77DL.jpg;https://images-na.ssl-images-amazon.com/images/I/41EDVNJjN+L.jpg")</f>
        <v>#NAME?</v>
      </c>
      <c r="G314" s="56" t="s">
        <v>796</v>
      </c>
      <c r="H314" s="83">
        <v>1</v>
      </c>
      <c r="I314" s="88">
        <v>12.99</v>
      </c>
      <c r="J314" s="83">
        <v>0</v>
      </c>
      <c r="K314" s="88">
        <v>0</v>
      </c>
      <c r="L314" s="84">
        <v>11.04</v>
      </c>
      <c r="M314" s="94">
        <f t="shared" si="17"/>
        <v>11.04</v>
      </c>
      <c r="N314" s="57">
        <f>(VLOOKUP(E314,Sheet4!F:G,2,0))/1000</f>
        <v>0.09</v>
      </c>
      <c r="O314" s="99">
        <f>VLOOKUP(E314,Sheet4!F370:J955,5,0)</f>
        <v>264</v>
      </c>
      <c r="P314" s="58" t="s">
        <v>1188</v>
      </c>
      <c r="Q314" s="59" cm="1">
        <f t="array" ref="Q314">_xlfn.IFS($P314=$P$2,O314+$P$3*N314,$P314=$Q$2,O314+$Q$3*N314)</f>
        <v>304.5</v>
      </c>
      <c r="R314" s="101">
        <f t="shared" si="15"/>
        <v>3.8062499999999999</v>
      </c>
      <c r="S314" s="60">
        <f t="shared" si="16"/>
        <v>7.2337499999999988</v>
      </c>
    </row>
    <row r="315" spans="2:19" ht="14.4">
      <c r="B315" s="55" t="s">
        <v>299</v>
      </c>
      <c r="C315" s="56" t="s">
        <v>698</v>
      </c>
      <c r="D315" s="56" t="str">
        <f>VLOOKUP(C315,DATA!B:C,2,0)</f>
        <v>STAMP0011-P50-BLACK</v>
      </c>
      <c r="E315" s="56" t="str">
        <f>VLOOKUP(C315,Sheet4!A:B,2,0)</f>
        <v>P-50</v>
      </c>
      <c r="F315" s="56" t="e">
        <f ca="1">Image("https://images-na.ssl-images-amazon.com/images/I/4137oA5W65L.jpg;https://images-na.ssl-images-amazon.com/images/I/41EDVNJjN+L.jpg")</f>
        <v>#NAME?</v>
      </c>
      <c r="G315" s="56" t="s">
        <v>700</v>
      </c>
      <c r="H315" s="83">
        <v>1</v>
      </c>
      <c r="I315" s="88">
        <v>25</v>
      </c>
      <c r="J315" s="83">
        <v>0</v>
      </c>
      <c r="K315" s="88">
        <v>0</v>
      </c>
      <c r="L315" s="84">
        <v>21.25</v>
      </c>
      <c r="M315" s="94">
        <f t="shared" si="17"/>
        <v>21.25</v>
      </c>
      <c r="N315" s="57">
        <f>(VLOOKUP(E315,Sheet4!F:G,2,0))/1000</f>
        <v>0.4</v>
      </c>
      <c r="O315" s="99">
        <f>VLOOKUP(E315,Sheet4!F143:J728,5,0)</f>
        <v>384</v>
      </c>
      <c r="P315" s="58" t="s">
        <v>1188</v>
      </c>
      <c r="Q315" s="59" cm="1">
        <f t="array" ref="Q315">_xlfn.IFS($P315=$P$2,O315+$P$3*N315,$P315=$Q$2,O315+$Q$3*N315)</f>
        <v>564</v>
      </c>
      <c r="R315" s="101">
        <f t="shared" si="15"/>
        <v>7.05</v>
      </c>
      <c r="S315" s="60">
        <f t="shared" si="16"/>
        <v>14.2</v>
      </c>
    </row>
    <row r="316" spans="2:19" ht="14.4">
      <c r="B316" s="55" t="s">
        <v>299</v>
      </c>
      <c r="C316" s="56" t="s">
        <v>572</v>
      </c>
      <c r="D316" s="56" t="str">
        <f>VLOOKUP(C316,DATA!B:C,2,0)</f>
        <v>STAMP0011-P50-RED</v>
      </c>
      <c r="E316" s="56" t="str">
        <f>VLOOKUP(C316,Sheet4!A:B,2,0)</f>
        <v>P-50</v>
      </c>
      <c r="F316" s="56" t="e">
        <f ca="1">Image("https://images-na.ssl-images-amazon.com/images/I/41r1PEy27pL.jpg;https://images-na.ssl-images-amazon.com/images/I/41EDVNJjN+L.jpg")</f>
        <v>#NAME?</v>
      </c>
      <c r="G316" s="56" t="s">
        <v>574</v>
      </c>
      <c r="H316" s="83">
        <v>2</v>
      </c>
      <c r="I316" s="88">
        <v>49</v>
      </c>
      <c r="J316" s="83">
        <v>0</v>
      </c>
      <c r="K316" s="88">
        <v>0</v>
      </c>
      <c r="L316" s="84">
        <v>41.64</v>
      </c>
      <c r="M316" s="94">
        <f t="shared" si="17"/>
        <v>20.82</v>
      </c>
      <c r="N316" s="57">
        <f>(VLOOKUP(E316,Sheet4!F:G,2,0))/1000</f>
        <v>0.4</v>
      </c>
      <c r="O316" s="99">
        <f>VLOOKUP(E316,Sheet4!F144:J729,5,0)</f>
        <v>384</v>
      </c>
      <c r="P316" s="58" t="s">
        <v>1188</v>
      </c>
      <c r="Q316" s="59" cm="1">
        <f t="array" ref="Q316">_xlfn.IFS($P316=$P$2,O316+$P$3*N316,$P316=$Q$2,O316+$Q$3*N316)</f>
        <v>564</v>
      </c>
      <c r="R316" s="101">
        <f t="shared" si="15"/>
        <v>14.1</v>
      </c>
      <c r="S316" s="60">
        <f t="shared" si="16"/>
        <v>27.54</v>
      </c>
    </row>
    <row r="317" spans="2:19" ht="14.4">
      <c r="B317" s="55" t="s">
        <v>299</v>
      </c>
      <c r="C317" s="56" t="s">
        <v>797</v>
      </c>
      <c r="D317" s="56" t="str">
        <f>VLOOKUP(C317,DATA!B:C,2,0)</f>
        <v>STAMP0011-P20-BLUE</v>
      </c>
      <c r="E317" s="56" t="str">
        <f>VLOOKUP(C317,Sheet4!A:B,2,0)</f>
        <v>P-20</v>
      </c>
      <c r="F317" s="56" t="e">
        <f ca="1">Image("https://images-na.ssl-images-amazon.com/images/I/41lWQk6CUKL.jpg;https://images-na.ssl-images-amazon.com/images/I/41EDVNJjN+L.jpg")</f>
        <v>#NAME?</v>
      </c>
      <c r="G317" s="56" t="s">
        <v>799</v>
      </c>
      <c r="H317" s="83">
        <v>1</v>
      </c>
      <c r="I317" s="88">
        <v>12.99</v>
      </c>
      <c r="J317" s="83">
        <v>0</v>
      </c>
      <c r="K317" s="88">
        <v>0</v>
      </c>
      <c r="L317" s="84">
        <v>11.04</v>
      </c>
      <c r="M317" s="94">
        <f t="shared" si="17"/>
        <v>11.04</v>
      </c>
      <c r="N317" s="57">
        <f>(VLOOKUP(E317,Sheet4!F:G,2,0))/1000</f>
        <v>0.09</v>
      </c>
      <c r="O317" s="99">
        <f>VLOOKUP(E317,Sheet4!F373:J958,5,0)</f>
        <v>264</v>
      </c>
      <c r="P317" s="58" t="s">
        <v>1188</v>
      </c>
      <c r="Q317" s="59" cm="1">
        <f t="array" ref="Q317">_xlfn.IFS($P317=$P$2,O317+$P$3*N317,$P317=$Q$2,O317+$Q$3*N317)</f>
        <v>304.5</v>
      </c>
      <c r="R317" s="101">
        <f t="shared" si="15"/>
        <v>3.8062499999999999</v>
      </c>
      <c r="S317" s="60">
        <f t="shared" si="16"/>
        <v>7.2337499999999988</v>
      </c>
    </row>
    <row r="318" spans="2:19" ht="14.4">
      <c r="B318" s="55" t="s">
        <v>299</v>
      </c>
      <c r="C318" s="56" t="s">
        <v>718</v>
      </c>
      <c r="D318" s="56" t="str">
        <f>VLOOKUP(C318,DATA!B:C,2,0)</f>
        <v>STAMP0011-P50-BLUE</v>
      </c>
      <c r="E318" s="56" t="str">
        <f>VLOOKUP(C318,Sheet4!A:B,2,0)</f>
        <v>P-50</v>
      </c>
      <c r="F318" s="56" t="e">
        <f ca="1">Image("https://images-na.ssl-images-amazon.com/images/I/41cjCAw9kPL.jpg;https://images-na.ssl-images-amazon.com/images/I/41EDVNJjN+L.jpg")</f>
        <v>#NAME?</v>
      </c>
      <c r="G318" s="56" t="s">
        <v>720</v>
      </c>
      <c r="H318" s="83">
        <v>1</v>
      </c>
      <c r="I318" s="88">
        <v>19.989999999999998</v>
      </c>
      <c r="J318" s="83">
        <v>0</v>
      </c>
      <c r="K318" s="88">
        <v>0</v>
      </c>
      <c r="L318" s="84">
        <v>16.989999999999998</v>
      </c>
      <c r="M318" s="94">
        <f t="shared" si="17"/>
        <v>16.989999999999998</v>
      </c>
      <c r="N318" s="57">
        <f>(VLOOKUP(E318,Sheet4!F:G,2,0))/1000</f>
        <v>0.4</v>
      </c>
      <c r="O318" s="99">
        <f>VLOOKUP(E318,Sheet4!F146:J731,5,0)</f>
        <v>384</v>
      </c>
      <c r="P318" s="58" t="s">
        <v>1188</v>
      </c>
      <c r="Q318" s="59" cm="1">
        <f t="array" ref="Q318">_xlfn.IFS($P318=$P$2,O318+$P$3*N318,$P318=$Q$2,O318+$Q$3*N318)</f>
        <v>564</v>
      </c>
      <c r="R318" s="101">
        <f t="shared" si="15"/>
        <v>7.05</v>
      </c>
      <c r="S318" s="60">
        <f t="shared" si="16"/>
        <v>9.9399999999999977</v>
      </c>
    </row>
    <row r="319" spans="2:19" ht="14.4">
      <c r="B319" s="55" t="s">
        <v>299</v>
      </c>
      <c r="C319" s="56" t="s">
        <v>671</v>
      </c>
      <c r="D319" s="56" t="str">
        <f>VLOOKUP(C319,DATA!B:C,2,0)</f>
        <v>STAMP0011-P30-RED</v>
      </c>
      <c r="E319" s="56" t="str">
        <f>VLOOKUP(C319,Sheet4!A:B,2,0)</f>
        <v>P-30</v>
      </c>
      <c r="F319" s="56" t="e">
        <f ca="1">Image("https://images-na.ssl-images-amazon.com/images/I/41v5vQ5JByL.jpg;https://images-na.ssl-images-amazon.com/images/I/41EDVNJjN+L.jpg")</f>
        <v>#NAME?</v>
      </c>
      <c r="G319" s="56" t="s">
        <v>673</v>
      </c>
      <c r="H319" s="83">
        <v>1</v>
      </c>
      <c r="I319" s="88">
        <v>28.99</v>
      </c>
      <c r="J319" s="83">
        <v>0</v>
      </c>
      <c r="K319" s="88">
        <v>0</v>
      </c>
      <c r="L319" s="84">
        <v>24.64</v>
      </c>
      <c r="M319" s="94">
        <f t="shared" si="17"/>
        <v>24.64</v>
      </c>
      <c r="N319" s="57">
        <f>(VLOOKUP(E319,Sheet4!F:G,2,0))/1000</f>
        <v>0.09</v>
      </c>
      <c r="O319" s="99">
        <f>VLOOKUP(E319,Sheet4!F375:J960,5,0)</f>
        <v>300</v>
      </c>
      <c r="P319" s="58" t="s">
        <v>1188</v>
      </c>
      <c r="Q319" s="59" cm="1">
        <f t="array" ref="Q319">_xlfn.IFS($P319=$P$2,O319+$P$3*N319,$P319=$Q$2,O319+$Q$3*N319)</f>
        <v>340.5</v>
      </c>
      <c r="R319" s="101">
        <f t="shared" si="15"/>
        <v>4.2562499999999996</v>
      </c>
      <c r="S319" s="60">
        <f t="shared" si="16"/>
        <v>20.383749999999999</v>
      </c>
    </row>
    <row r="320" spans="2:19" ht="14.4">
      <c r="B320" s="55" t="s">
        <v>299</v>
      </c>
      <c r="C320" s="56" t="s">
        <v>634</v>
      </c>
      <c r="D320" s="56" t="str">
        <f>VLOOKUP(C320,DATA!B:C,2,0)</f>
        <v>STAMP0021-P50-RED</v>
      </c>
      <c r="E320" s="56" t="str">
        <f>VLOOKUP(C320,Sheet4!A:B,2,0)</f>
        <v>P-50</v>
      </c>
      <c r="F320" s="56" t="e">
        <f ca="1">Image("https://images-na.ssl-images-amazon.com/images/I/41kK8Q599yL.jpg;https://images-na.ssl-images-amazon.com/images/I/41EDVNJjN+L.jpg")</f>
        <v>#NAME?</v>
      </c>
      <c r="G320" s="56" t="s">
        <v>636</v>
      </c>
      <c r="H320" s="83">
        <v>1</v>
      </c>
      <c r="I320" s="88">
        <v>32.99</v>
      </c>
      <c r="J320" s="83">
        <v>0</v>
      </c>
      <c r="K320" s="88">
        <v>0</v>
      </c>
      <c r="L320" s="84">
        <v>28.04</v>
      </c>
      <c r="M320" s="94">
        <f t="shared" si="17"/>
        <v>28.04</v>
      </c>
      <c r="N320" s="57">
        <f>(VLOOKUP(E320,Sheet4!F:G,2,0))/1000</f>
        <v>0.4</v>
      </c>
      <c r="O320" s="99">
        <f>VLOOKUP(E320,Sheet4!F148:J733,5,0)</f>
        <v>384</v>
      </c>
      <c r="P320" s="58" t="s">
        <v>1188</v>
      </c>
      <c r="Q320" s="59" cm="1">
        <f t="array" ref="Q320">_xlfn.IFS($P320=$P$2,O320+$P$3*N320,$P320=$Q$2,O320+$Q$3*N320)</f>
        <v>564</v>
      </c>
      <c r="R320" s="101">
        <f t="shared" si="15"/>
        <v>7.05</v>
      </c>
      <c r="S320" s="60">
        <f t="shared" si="16"/>
        <v>20.99</v>
      </c>
    </row>
    <row r="321" spans="2:19" ht="14.4">
      <c r="B321" s="55" t="s">
        <v>299</v>
      </c>
      <c r="C321" s="56" t="s">
        <v>806</v>
      </c>
      <c r="D321" s="56" t="str">
        <f>VLOOKUP(C321,DATA!B:C,2,0)</f>
        <v>STAMP0028-P20-RED</v>
      </c>
      <c r="E321" s="56" t="str">
        <f>VLOOKUP(C321,Sheet4!A:B,2,0)</f>
        <v>P-20</v>
      </c>
      <c r="F321" s="56" t="e">
        <f ca="1">Image("https://images-na.ssl-images-amazon.com/images/I/41uVodHlbiL.jpg;https://images-na.ssl-images-amazon.com/images/I/41zAWuf85IL.jpg;https://images-na.ssl-images-amazon.com/images/I/41EDVNJjN+L.jpg")</f>
        <v>#NAME?</v>
      </c>
      <c r="G321" s="56" t="s">
        <v>808</v>
      </c>
      <c r="H321" s="83">
        <v>1</v>
      </c>
      <c r="I321" s="88">
        <v>12.26</v>
      </c>
      <c r="J321" s="83">
        <v>0</v>
      </c>
      <c r="K321" s="88">
        <v>0</v>
      </c>
      <c r="L321" s="84">
        <v>10.43</v>
      </c>
      <c r="M321" s="94">
        <f t="shared" si="17"/>
        <v>10.43</v>
      </c>
      <c r="N321" s="57">
        <f>(VLOOKUP(E321,Sheet4!F:G,2,0))/1000</f>
        <v>0.09</v>
      </c>
      <c r="O321" s="99">
        <f>VLOOKUP(E321,Sheet4!F377:J962,5,0)</f>
        <v>264</v>
      </c>
      <c r="P321" s="58" t="s">
        <v>1188</v>
      </c>
      <c r="Q321" s="59" cm="1">
        <f t="array" ref="Q321">_xlfn.IFS($P321=$P$2,O321+$P$3*N321,$P321=$Q$2,O321+$Q$3*N321)</f>
        <v>304.5</v>
      </c>
      <c r="R321" s="101">
        <f t="shared" si="15"/>
        <v>3.8062499999999999</v>
      </c>
      <c r="S321" s="60">
        <f t="shared" si="16"/>
        <v>6.6237499999999994</v>
      </c>
    </row>
    <row r="322" spans="2:19" ht="14.4">
      <c r="B322" s="55" t="s">
        <v>299</v>
      </c>
      <c r="C322" s="56" t="s">
        <v>733</v>
      </c>
      <c r="D322" s="56" t="str">
        <f>VLOOKUP(C322,DATA!B:C,2,0)</f>
        <v>STAMP0040-P20-RED</v>
      </c>
      <c r="E322" s="56" t="str">
        <f>VLOOKUP(C322,Sheet4!A:B,2,0)</f>
        <v>P-20</v>
      </c>
      <c r="F322" s="56" t="e">
        <f ca="1">Image("https://images-na.ssl-images-amazon.com/images/I/41sRVeEzIQL.jpg;https://images-na.ssl-images-amazon.com/images/I/41zAWuf85IL.jpg;https://images-na.ssl-images-amazon.com/images/I/41EDVNJjN+L.jpg")</f>
        <v>#NAME?</v>
      </c>
      <c r="G322" s="56" t="s">
        <v>735</v>
      </c>
      <c r="H322" s="83">
        <v>1</v>
      </c>
      <c r="I322" s="88">
        <v>18.989999999999998</v>
      </c>
      <c r="J322" s="83">
        <v>0</v>
      </c>
      <c r="K322" s="88">
        <v>0</v>
      </c>
      <c r="L322" s="84">
        <v>16.14</v>
      </c>
      <c r="M322" s="94">
        <f t="shared" si="17"/>
        <v>16.14</v>
      </c>
      <c r="N322" s="57">
        <f>(VLOOKUP(E322,Sheet4!F:G,2,0))/1000</f>
        <v>0.09</v>
      </c>
      <c r="O322" s="99">
        <f>VLOOKUP(E322,Sheet4!F378:J963,5,0)</f>
        <v>264</v>
      </c>
      <c r="P322" s="58" t="s">
        <v>1188</v>
      </c>
      <c r="Q322" s="59" cm="1">
        <f t="array" ref="Q322">_xlfn.IFS($P322=$P$2,O322+$P$3*N322,$P322=$Q$2,O322+$Q$3*N322)</f>
        <v>304.5</v>
      </c>
      <c r="R322" s="101">
        <f t="shared" si="15"/>
        <v>3.8062499999999999</v>
      </c>
      <c r="S322" s="60">
        <f t="shared" si="16"/>
        <v>12.33375</v>
      </c>
    </row>
    <row r="323" spans="2:19" ht="14.4">
      <c r="B323" s="55" t="s">
        <v>299</v>
      </c>
      <c r="C323" s="56" t="s">
        <v>812</v>
      </c>
      <c r="D323" s="56" t="str">
        <f>VLOOKUP(C323,DATA!B:C,2,0)</f>
        <v>STAMP0027-P20-RED</v>
      </c>
      <c r="E323" s="56" t="str">
        <f>VLOOKUP(C323,Sheet4!A:B,2,0)</f>
        <v>P-20</v>
      </c>
      <c r="F323" s="56" t="e">
        <f ca="1">Image("https://images-na.ssl-images-amazon.com/images/I/415hGsvKVML.jpg;https://images-na.ssl-images-amazon.com/images/I/41zAWuf85IL.jpg;https://images-na.ssl-images-amazon.com/images/I/41EDVNJjN+L.jpg")</f>
        <v>#NAME?</v>
      </c>
      <c r="G323" s="56" t="s">
        <v>814</v>
      </c>
      <c r="H323" s="83">
        <v>1</v>
      </c>
      <c r="I323" s="88">
        <v>12.24</v>
      </c>
      <c r="J323" s="83">
        <v>0</v>
      </c>
      <c r="K323" s="88">
        <v>0</v>
      </c>
      <c r="L323" s="84">
        <v>10.42</v>
      </c>
      <c r="M323" s="94">
        <f t="shared" si="17"/>
        <v>10.42</v>
      </c>
      <c r="N323" s="57">
        <f>(VLOOKUP(E323,Sheet4!F:G,2,0))/1000</f>
        <v>0.09</v>
      </c>
      <c r="O323" s="99">
        <f>VLOOKUP(E323,Sheet4!F379:J964,5,0)</f>
        <v>264</v>
      </c>
      <c r="P323" s="58" t="s">
        <v>1188</v>
      </c>
      <c r="Q323" s="59" cm="1">
        <f t="array" ref="Q323">_xlfn.IFS($P323=$P$2,O323+$P$3*N323,$P323=$Q$2,O323+$Q$3*N323)</f>
        <v>304.5</v>
      </c>
      <c r="R323" s="101">
        <f t="shared" si="15"/>
        <v>3.8062499999999999</v>
      </c>
      <c r="S323" s="60">
        <f t="shared" si="16"/>
        <v>6.6137499999999996</v>
      </c>
    </row>
    <row r="324" spans="2:19" ht="14.4">
      <c r="B324" s="55" t="s">
        <v>299</v>
      </c>
      <c r="C324" s="56" t="s">
        <v>809</v>
      </c>
      <c r="D324" s="56" t="str">
        <f>VLOOKUP(C324,DATA!B:C,2,0)</f>
        <v>STAMP0046-P20-RED</v>
      </c>
      <c r="E324" s="56" t="str">
        <f>VLOOKUP(C324,Sheet4!A:B,2,0)</f>
        <v>P-20</v>
      </c>
      <c r="F324" s="56" t="e">
        <f ca="1">Image("https://images-na.ssl-images-amazon.com/images/I/41hLXxX+yWL.jpg;https://images-na.ssl-images-amazon.com/images/I/41zAWuf85IL.jpg;https://images-na.ssl-images-amazon.com/images/I/41EDVNJjN+L.jpg")</f>
        <v>#NAME?</v>
      </c>
      <c r="G324" s="56" t="s">
        <v>811</v>
      </c>
      <c r="H324" s="83">
        <v>1</v>
      </c>
      <c r="I324" s="88">
        <v>12.26</v>
      </c>
      <c r="J324" s="83">
        <v>0</v>
      </c>
      <c r="K324" s="88">
        <v>0</v>
      </c>
      <c r="L324" s="84">
        <v>10.43</v>
      </c>
      <c r="M324" s="94">
        <f t="shared" si="17"/>
        <v>10.43</v>
      </c>
      <c r="N324" s="57">
        <f>(VLOOKUP(E324,Sheet4!F:G,2,0))/1000</f>
        <v>0.09</v>
      </c>
      <c r="O324" s="99">
        <f>VLOOKUP(E324,Sheet4!F380:J965,5,0)</f>
        <v>264</v>
      </c>
      <c r="P324" s="58" t="s">
        <v>1188</v>
      </c>
      <c r="Q324" s="59" cm="1">
        <f t="array" ref="Q324">_xlfn.IFS($P324=$P$2,O324+$P$3*N324,$P324=$Q$2,O324+$Q$3*N324)</f>
        <v>304.5</v>
      </c>
      <c r="R324" s="101">
        <f t="shared" si="15"/>
        <v>3.8062499999999999</v>
      </c>
      <c r="S324" s="60">
        <f t="shared" si="16"/>
        <v>6.6237499999999994</v>
      </c>
    </row>
    <row r="325" spans="2:19" ht="14.4">
      <c r="B325" s="55" t="s">
        <v>299</v>
      </c>
      <c r="C325" s="56" t="s">
        <v>950</v>
      </c>
      <c r="D325" s="56" t="str">
        <f>VLOOKUP(C325,DATA!B:C,2,0)</f>
        <v>STAMP0112-P20-RED</v>
      </c>
      <c r="E325" s="56" t="str">
        <f>VLOOKUP(C325,Sheet4!A:B,2,0)</f>
        <v>P-20</v>
      </c>
      <c r="F325" s="56" t="e">
        <f ca="1">Image("https://images-na.ssl-images-amazon.com/images/I/41KlD4R0FFL.jpg;https://images-na.ssl-images-amazon.com/images/I/41EDVNJjN+L.jpg")</f>
        <v>#NAME?</v>
      </c>
      <c r="G325" s="56" t="s">
        <v>952</v>
      </c>
      <c r="H325" s="83">
        <v>1</v>
      </c>
      <c r="I325" s="88">
        <v>18.989999999999998</v>
      </c>
      <c r="J325" s="83">
        <v>1</v>
      </c>
      <c r="K325" s="88">
        <v>-16.71</v>
      </c>
      <c r="L325" s="84">
        <v>-0.56999999999999995</v>
      </c>
      <c r="M325" s="94">
        <f t="shared" si="17"/>
        <v>-0.56999999999999995</v>
      </c>
      <c r="N325" s="57">
        <f>(VLOOKUP(E325,Sheet4!F:G,2,0))/1000</f>
        <v>0.09</v>
      </c>
      <c r="O325" s="99">
        <f>VLOOKUP(E325,Sheet4!F381:J966,5,0)</f>
        <v>264</v>
      </c>
      <c r="P325" s="58" t="s">
        <v>1188</v>
      </c>
      <c r="Q325" s="59" cm="1">
        <f t="array" ref="Q325">_xlfn.IFS($P325=$P$2,O325+$P$3*N325,$P325=$Q$2,O325+$Q$3*N325)</f>
        <v>304.5</v>
      </c>
      <c r="R325" s="101">
        <f t="shared" si="15"/>
        <v>3.8062499999999999</v>
      </c>
      <c r="S325" s="60">
        <f t="shared" si="16"/>
        <v>-4.3762499999999998</v>
      </c>
    </row>
    <row r="326" spans="2:19" ht="14.4">
      <c r="B326" s="55" t="s">
        <v>299</v>
      </c>
      <c r="C326" s="56" t="s">
        <v>596</v>
      </c>
      <c r="D326" s="56" t="str">
        <f>VLOOKUP(C326,DATA!B:C,2,0)</f>
        <v>STAMP0100-P20-RED</v>
      </c>
      <c r="E326" s="56" t="str">
        <f>VLOOKUP(C326,Sheet4!A:B,2,0)</f>
        <v>P-20</v>
      </c>
      <c r="F326" s="56" t="e">
        <f ca="1">Image("https://images-na.ssl-images-amazon.com/images/I/41zGppSPJWL.jpg;https://images-na.ssl-images-amazon.com/images/I/41EDVNJjN+L.jpg")</f>
        <v>#NAME?</v>
      </c>
      <c r="G326" s="56" t="s">
        <v>598</v>
      </c>
      <c r="H326" s="83">
        <v>3</v>
      </c>
      <c r="I326" s="88">
        <v>43.98</v>
      </c>
      <c r="J326" s="83">
        <v>0</v>
      </c>
      <c r="K326" s="88">
        <v>0</v>
      </c>
      <c r="L326" s="84">
        <v>37.380000000000003</v>
      </c>
      <c r="M326" s="94">
        <f t="shared" si="17"/>
        <v>12.46</v>
      </c>
      <c r="N326" s="57">
        <f>(VLOOKUP(E326,Sheet4!F:G,2,0))/1000</f>
        <v>0.09</v>
      </c>
      <c r="O326" s="99">
        <f>VLOOKUP(E326,Sheet4!F382:J967,5,0)</f>
        <v>264</v>
      </c>
      <c r="P326" s="58" t="s">
        <v>1188</v>
      </c>
      <c r="Q326" s="59" cm="1">
        <f t="array" ref="Q326">_xlfn.IFS($P326=$P$2,O326+$P$3*N326,$P326=$Q$2,O326+$Q$3*N326)</f>
        <v>304.5</v>
      </c>
      <c r="R326" s="101">
        <f t="shared" ref="R326:R344" si="18">Q326*H326/$R$2</f>
        <v>11.418749999999999</v>
      </c>
      <c r="S326" s="60">
        <f t="shared" ref="S326:S344" si="19">L326-R326</f>
        <v>25.961250000000003</v>
      </c>
    </row>
    <row r="327" spans="2:19" ht="14.4">
      <c r="B327" s="55" t="s">
        <v>299</v>
      </c>
      <c r="C327" s="56" t="s">
        <v>524</v>
      </c>
      <c r="D327" s="56" t="str">
        <f>VLOOKUP(C327,DATA!B:C,2,0)</f>
        <v>STAMP0090-P20-RED</v>
      </c>
      <c r="E327" s="56" t="str">
        <f>VLOOKUP(C327,Sheet4!A:B,2,0)</f>
        <v>P-20</v>
      </c>
      <c r="F327" s="56" t="e">
        <f ca="1">Image("https://images-na.ssl-images-amazon.com/images/I/41cmUSOaQYL.jpg;https://images-na.ssl-images-amazon.com/images/I/41EDVNJjN+L.jpg")</f>
        <v>#NAME?</v>
      </c>
      <c r="G327" s="56" t="s">
        <v>526</v>
      </c>
      <c r="H327" s="83">
        <v>6</v>
      </c>
      <c r="I327" s="88">
        <v>82.98</v>
      </c>
      <c r="J327" s="83">
        <v>1</v>
      </c>
      <c r="K327" s="88">
        <v>-15.84</v>
      </c>
      <c r="L327" s="84">
        <v>54.7</v>
      </c>
      <c r="M327" s="94">
        <f t="shared" si="17"/>
        <v>9.1166666666666671</v>
      </c>
      <c r="N327" s="57">
        <f>(VLOOKUP(E327,Sheet4!F:G,2,0))/1000</f>
        <v>0.09</v>
      </c>
      <c r="O327" s="99">
        <f>VLOOKUP(E327,Sheet4!F383:J968,5,0)</f>
        <v>264</v>
      </c>
      <c r="P327" s="58" t="s">
        <v>1188</v>
      </c>
      <c r="Q327" s="59" cm="1">
        <f t="array" ref="Q327">_xlfn.IFS($P327=$P$2,O327+$P$3*N327,$P327=$Q$2,O327+$Q$3*N327)</f>
        <v>304.5</v>
      </c>
      <c r="R327" s="101">
        <f t="shared" si="18"/>
        <v>22.837499999999999</v>
      </c>
      <c r="S327" s="60">
        <f t="shared" si="19"/>
        <v>31.862500000000004</v>
      </c>
    </row>
    <row r="328" spans="2:19" ht="14.4">
      <c r="B328" s="55" t="s">
        <v>299</v>
      </c>
      <c r="C328" s="56" t="s">
        <v>412</v>
      </c>
      <c r="D328" s="56" t="str">
        <f>VLOOKUP(C328,DATA!B:C,2,0)</f>
        <v>STAMP0092-P20-BLUE</v>
      </c>
      <c r="E328" s="56" t="str">
        <f>VLOOKUP(C328,Sheet4!A:B,2,0)</f>
        <v>P-20</v>
      </c>
      <c r="F328" s="56" t="e">
        <f ca="1">Image("https://images-na.ssl-images-amazon.com/images/I/41QK3SL9q3L.jpg;https://images-na.ssl-images-amazon.com/images/I/41EDVNJjN+L.jpg")</f>
        <v>#NAME?</v>
      </c>
      <c r="G328" s="56" t="s">
        <v>414</v>
      </c>
      <c r="H328" s="83">
        <v>9</v>
      </c>
      <c r="I328" s="88">
        <v>133.35</v>
      </c>
      <c r="J328" s="83">
        <v>0</v>
      </c>
      <c r="K328" s="88">
        <v>0</v>
      </c>
      <c r="L328" s="84">
        <v>113.35</v>
      </c>
      <c r="M328" s="94">
        <f t="shared" si="17"/>
        <v>12.594444444444443</v>
      </c>
      <c r="N328" s="57">
        <f>(VLOOKUP(E328,Sheet4!F:G,2,0))/1000</f>
        <v>0.09</v>
      </c>
      <c r="O328" s="99">
        <f>VLOOKUP(E328,Sheet4!F384:J969,5,0)</f>
        <v>264</v>
      </c>
      <c r="P328" s="58" t="s">
        <v>1188</v>
      </c>
      <c r="Q328" s="59" cm="1">
        <f t="array" ref="Q328">_xlfn.IFS($P328=$P$2,O328+$P$3*N328,$P328=$Q$2,O328+$Q$3*N328)</f>
        <v>304.5</v>
      </c>
      <c r="R328" s="101">
        <f t="shared" si="18"/>
        <v>34.256250000000001</v>
      </c>
      <c r="S328" s="60">
        <f t="shared" si="19"/>
        <v>79.09375</v>
      </c>
    </row>
    <row r="329" spans="2:19" ht="14.4">
      <c r="B329" s="55" t="s">
        <v>299</v>
      </c>
      <c r="C329" s="56" t="s">
        <v>557</v>
      </c>
      <c r="D329" s="56" t="str">
        <f>VLOOKUP(C329,DATA!B:C,2,0)</f>
        <v>STAMP0116-P20-RED</v>
      </c>
      <c r="E329" s="56" t="str">
        <f>VLOOKUP(C329,Sheet4!A:B,2,0)</f>
        <v>P-20</v>
      </c>
      <c r="F329" s="56" t="e">
        <f ca="1">Image("https://images-na.ssl-images-amazon.com/images/I/41AUiodrs2L.jpg;https://images-na.ssl-images-amazon.com/images/I/41EDVNJjN+L.jpg")</f>
        <v>#NAME?</v>
      </c>
      <c r="G329" s="56" t="s">
        <v>559</v>
      </c>
      <c r="H329" s="83">
        <v>4</v>
      </c>
      <c r="I329" s="88">
        <v>49.83</v>
      </c>
      <c r="J329" s="83">
        <v>0</v>
      </c>
      <c r="K329" s="88">
        <v>0</v>
      </c>
      <c r="L329" s="84">
        <v>42.38</v>
      </c>
      <c r="M329" s="94">
        <f t="shared" si="17"/>
        <v>10.595000000000001</v>
      </c>
      <c r="N329" s="57">
        <f>(VLOOKUP(E329,Sheet4!F:G,2,0))/1000</f>
        <v>0.09</v>
      </c>
      <c r="O329" s="99">
        <f>VLOOKUP(E329,Sheet4!F385:J970,5,0)</f>
        <v>264</v>
      </c>
      <c r="P329" s="58" t="s">
        <v>1188</v>
      </c>
      <c r="Q329" s="59" cm="1">
        <f t="array" ref="Q329">_xlfn.IFS($P329=$P$2,O329+$P$3*N329,$P329=$Q$2,O329+$Q$3*N329)</f>
        <v>304.5</v>
      </c>
      <c r="R329" s="101">
        <f t="shared" si="18"/>
        <v>15.225</v>
      </c>
      <c r="S329" s="60">
        <f t="shared" si="19"/>
        <v>27.155000000000001</v>
      </c>
    </row>
    <row r="330" spans="2:19" ht="14.4">
      <c r="B330" s="55" t="s">
        <v>299</v>
      </c>
      <c r="C330" s="56" t="s">
        <v>616</v>
      </c>
      <c r="D330" s="56" t="str">
        <f>VLOOKUP(C330,DATA!B:C,2,0)</f>
        <v>STAMP0133-P30-RED</v>
      </c>
      <c r="E330" s="56" t="str">
        <f>VLOOKUP(C330,Sheet4!A:B,2,0)</f>
        <v>P-30</v>
      </c>
      <c r="F330" s="56" t="e">
        <f ca="1">Image("https://images-na.ssl-images-amazon.com/images/I/41nyvSQ6n4L.jpg;https://images-na.ssl-images-amazon.com/images/I/41EDVNJjN+L.jpg")</f>
        <v>#NAME?</v>
      </c>
      <c r="G330" s="56" t="s">
        <v>618</v>
      </c>
      <c r="H330" s="83">
        <v>2</v>
      </c>
      <c r="I330" s="88">
        <v>37.979999999999997</v>
      </c>
      <c r="J330" s="83">
        <v>0</v>
      </c>
      <c r="K330" s="88">
        <v>0</v>
      </c>
      <c r="L330" s="84">
        <v>32.28</v>
      </c>
      <c r="M330" s="94">
        <f t="shared" ref="M330:M344" si="20">L330/H330</f>
        <v>16.14</v>
      </c>
      <c r="N330" s="57">
        <f>(VLOOKUP(E330,Sheet4!F:G,2,0))/1000</f>
        <v>0.09</v>
      </c>
      <c r="O330" s="99">
        <f>VLOOKUP(E330,Sheet4!F386:J971,5,0)</f>
        <v>300</v>
      </c>
      <c r="P330" s="58" t="s">
        <v>1188</v>
      </c>
      <c r="Q330" s="59" cm="1">
        <f t="array" ref="Q330">_xlfn.IFS($P330=$P$2,O330+$P$3*N330,$P330=$Q$2,O330+$Q$3*N330)</f>
        <v>340.5</v>
      </c>
      <c r="R330" s="101">
        <f t="shared" si="18"/>
        <v>8.5124999999999993</v>
      </c>
      <c r="S330" s="60">
        <f t="shared" si="19"/>
        <v>23.767500000000002</v>
      </c>
    </row>
    <row r="331" spans="2:19" ht="14.4">
      <c r="B331" s="55" t="s">
        <v>299</v>
      </c>
      <c r="C331" s="56" t="s">
        <v>297</v>
      </c>
      <c r="D331" s="56" t="str">
        <f>VLOOKUP(C331,DATA!B:C,2,0)</f>
        <v>STAMP0030-P20-RED</v>
      </c>
      <c r="E331" s="56" t="str">
        <f>VLOOKUP(C331,Sheet4!A:B,2,0)</f>
        <v>P-20</v>
      </c>
      <c r="F331" s="56" t="e">
        <f ca="1">Image("https://images-na.ssl-images-amazon.com/images/I/41giMMsjOOL.jpg;https://images-na.ssl-images-amazon.com/images/I/41zAWuf85IL.jpg;https://images-na.ssl-images-amazon.com/images/I/41EDVNJjN+L.jpg")</f>
        <v>#NAME?</v>
      </c>
      <c r="G331" s="56" t="s">
        <v>300</v>
      </c>
      <c r="H331" s="83">
        <v>17</v>
      </c>
      <c r="I331" s="88">
        <v>255.54</v>
      </c>
      <c r="J331" s="83">
        <v>0</v>
      </c>
      <c r="K331" s="88">
        <v>0</v>
      </c>
      <c r="L331" s="84">
        <v>217.19</v>
      </c>
      <c r="M331" s="94">
        <f t="shared" si="20"/>
        <v>12.775882352941176</v>
      </c>
      <c r="N331" s="57">
        <f>(VLOOKUP(E331,Sheet4!F:G,2,0))/1000</f>
        <v>0.09</v>
      </c>
      <c r="O331" s="99">
        <f>VLOOKUP(E331,Sheet4!F387:J972,5,0)</f>
        <v>264</v>
      </c>
      <c r="P331" s="58" t="s">
        <v>1188</v>
      </c>
      <c r="Q331" s="59" cm="1">
        <f t="array" ref="Q331">_xlfn.IFS($P331=$P$2,O331+$P$3*N331,$P331=$Q$2,O331+$Q$3*N331)</f>
        <v>304.5</v>
      </c>
      <c r="R331" s="101">
        <f t="shared" si="18"/>
        <v>64.706249999999997</v>
      </c>
      <c r="S331" s="60">
        <f t="shared" si="19"/>
        <v>152.48374999999999</v>
      </c>
    </row>
    <row r="332" spans="2:19" ht="14.4">
      <c r="B332" s="55" t="s">
        <v>299</v>
      </c>
      <c r="C332" s="56" t="s">
        <v>475</v>
      </c>
      <c r="D332" s="56" t="str">
        <f>VLOOKUP(C332,DATA!B:C,2,0)</f>
        <v>STAMP0061-P20-RED</v>
      </c>
      <c r="E332" s="56" t="str">
        <f>VLOOKUP(C332,Sheet4!A:B,2,0)</f>
        <v>P-20</v>
      </c>
      <c r="F332" s="56" t="e">
        <f ca="1">Image("https://images-na.ssl-images-amazon.com/images/I/4109Y77ZB9L.jpg;https://images-na.ssl-images-amazon.com/images/I/41zAWuf85IL.jpg;https://images-na.ssl-images-amazon.com/images/I/41EDVNJjN+L.jpg")</f>
        <v>#NAME?</v>
      </c>
      <c r="G332" s="56" t="s">
        <v>478</v>
      </c>
      <c r="H332" s="83">
        <v>5</v>
      </c>
      <c r="I332" s="88">
        <v>94.95</v>
      </c>
      <c r="J332" s="83">
        <v>0</v>
      </c>
      <c r="K332" s="88">
        <v>0</v>
      </c>
      <c r="L332" s="84">
        <v>80.7</v>
      </c>
      <c r="M332" s="94">
        <f t="shared" si="20"/>
        <v>16.14</v>
      </c>
      <c r="N332" s="57">
        <f>(VLOOKUP(E332,Sheet4!F:G,2,0))/1000</f>
        <v>0.09</v>
      </c>
      <c r="O332" s="99">
        <f>VLOOKUP(E332,Sheet4!F388:J973,5,0)</f>
        <v>264</v>
      </c>
      <c r="P332" s="58" t="s">
        <v>1188</v>
      </c>
      <c r="Q332" s="59" cm="1">
        <f t="array" ref="Q332">_xlfn.IFS($P332=$P$2,O332+$P$3*N332,$P332=$Q$2,O332+$Q$3*N332)</f>
        <v>304.5</v>
      </c>
      <c r="R332" s="101">
        <f t="shared" si="18"/>
        <v>19.03125</v>
      </c>
      <c r="S332" s="60">
        <f t="shared" si="19"/>
        <v>61.668750000000003</v>
      </c>
    </row>
    <row r="333" spans="2:19" ht="14.4">
      <c r="B333" s="55" t="s">
        <v>299</v>
      </c>
      <c r="C333" s="56" t="s">
        <v>497</v>
      </c>
      <c r="D333" s="56" t="str">
        <f>VLOOKUP(C333,DATA!B:C,2,0)</f>
        <v>STAMP0124-P20-RED</v>
      </c>
      <c r="E333" s="56" t="str">
        <f>VLOOKUP(C333,Sheet4!A:B,2,0)</f>
        <v>P-20</v>
      </c>
      <c r="F333" s="56" t="e">
        <f ca="1">Image("https://images-na.ssl-images-amazon.com/images/I/41mwnbxymdL.jpg;https://images-na.ssl-images-amazon.com/images/I/41EDVNJjN+L.jpg")</f>
        <v>#NAME?</v>
      </c>
      <c r="G333" s="56" t="s">
        <v>499</v>
      </c>
      <c r="H333" s="83">
        <v>6</v>
      </c>
      <c r="I333" s="88">
        <v>82.98</v>
      </c>
      <c r="J333" s="83">
        <v>0</v>
      </c>
      <c r="K333" s="88">
        <v>0</v>
      </c>
      <c r="L333" s="84">
        <v>70.540000000000006</v>
      </c>
      <c r="M333" s="94">
        <f t="shared" si="20"/>
        <v>11.756666666666668</v>
      </c>
      <c r="N333" s="57">
        <f>(VLOOKUP(E333,Sheet4!F:G,2,0))/1000</f>
        <v>0.09</v>
      </c>
      <c r="O333" s="99">
        <f>VLOOKUP(E333,Sheet4!F389:J974,5,0)</f>
        <v>264</v>
      </c>
      <c r="P333" s="58" t="s">
        <v>1188</v>
      </c>
      <c r="Q333" s="59" cm="1">
        <f t="array" ref="Q333">_xlfn.IFS($P333=$P$2,O333+$P$3*N333,$P333=$Q$2,O333+$Q$3*N333)</f>
        <v>304.5</v>
      </c>
      <c r="R333" s="101">
        <f t="shared" si="18"/>
        <v>22.837499999999999</v>
      </c>
      <c r="S333" s="60">
        <f t="shared" si="19"/>
        <v>47.702500000000008</v>
      </c>
    </row>
    <row r="334" spans="2:19" ht="14.4">
      <c r="B334" s="55" t="s">
        <v>299</v>
      </c>
      <c r="C334" s="56" t="s">
        <v>721</v>
      </c>
      <c r="D334" s="56" t="str">
        <f>VLOOKUP(C334,DATA!B:C,2,0)</f>
        <v>STAMP0166-S-852-VIOLET</v>
      </c>
      <c r="E334" s="56" t="str">
        <f>VLOOKUP(C334,Sheet4!A:B,2,0)</f>
        <v>S-852</v>
      </c>
      <c r="F334" s="56" t="e">
        <f ca="1">Image("https://images-na.ssl-images-amazon.com/images/I/41jiF0R6ViL.jpg;https://images-na.ssl-images-amazon.com/images/I/41EDVNJjN+L.jpg")</f>
        <v>#NAME?</v>
      </c>
      <c r="G334" s="56" t="s">
        <v>723</v>
      </c>
      <c r="H334" s="83">
        <v>1</v>
      </c>
      <c r="I334" s="88">
        <v>19.98</v>
      </c>
      <c r="J334" s="83">
        <v>0</v>
      </c>
      <c r="K334" s="88">
        <v>0</v>
      </c>
      <c r="L334" s="84">
        <v>16.98</v>
      </c>
      <c r="M334" s="94">
        <f t="shared" si="20"/>
        <v>16.98</v>
      </c>
      <c r="N334" s="57">
        <f>(VLOOKUP(E334,Sheet4!F:G,2,0))/1000</f>
        <v>0.12</v>
      </c>
      <c r="O334" s="99">
        <f>VLOOKUP(E334,Sheet4!F390:J975,5,0)</f>
        <v>244.56</v>
      </c>
      <c r="P334" s="58" t="s">
        <v>1188</v>
      </c>
      <c r="Q334" s="59" cm="1">
        <f t="array" ref="Q334">_xlfn.IFS($P334=$P$2,O334+$P$3*N334,$P334=$Q$2,O334+$Q$3*N334)</f>
        <v>298.56</v>
      </c>
      <c r="R334" s="101">
        <f t="shared" si="18"/>
        <v>3.7320000000000002</v>
      </c>
      <c r="S334" s="60">
        <f t="shared" si="19"/>
        <v>13.248000000000001</v>
      </c>
    </row>
    <row r="335" spans="2:19" ht="14.4">
      <c r="B335" s="55" t="s">
        <v>299</v>
      </c>
      <c r="C335" s="56" t="s">
        <v>818</v>
      </c>
      <c r="D335" s="56" t="str">
        <f>VLOOKUP(C335,DATA!B:C,2,0)</f>
        <v>STAMP0172-S120-BLACK</v>
      </c>
      <c r="E335" s="56" t="s">
        <v>1218</v>
      </c>
      <c r="F335" s="56" t="e">
        <f ca="1">Image("https://images-na.ssl-images-amazon.com/images/I/41W-72YnUyL.jpg;https://images-na.ssl-images-amazon.com/images/I/419hlNvH5sL.jpg")</f>
        <v>#NAME?</v>
      </c>
      <c r="G335" s="56" t="s">
        <v>820</v>
      </c>
      <c r="H335" s="83">
        <v>1</v>
      </c>
      <c r="I335" s="88">
        <v>12.04</v>
      </c>
      <c r="J335" s="83">
        <v>0</v>
      </c>
      <c r="K335" s="88">
        <v>0</v>
      </c>
      <c r="L335" s="84">
        <v>10.24</v>
      </c>
      <c r="M335" s="94">
        <f t="shared" si="20"/>
        <v>10.24</v>
      </c>
      <c r="N335" s="57">
        <f>(VLOOKUP(E335,Sheet4!F:G,2,0))/1000</f>
        <v>0.09</v>
      </c>
      <c r="O335" s="99">
        <f>VLOOKUP(E335,Sheet4!F391:J976,5,0)</f>
        <v>430.8</v>
      </c>
      <c r="P335" s="58" t="s">
        <v>1188</v>
      </c>
      <c r="Q335" s="59" cm="1">
        <f t="array" ref="Q335">_xlfn.IFS($P335=$P$2,O335+$P$3*N335,$P335=$Q$2,O335+$Q$3*N335)</f>
        <v>471.3</v>
      </c>
      <c r="R335" s="101">
        <f t="shared" si="18"/>
        <v>5.8912500000000003</v>
      </c>
      <c r="S335" s="60">
        <f t="shared" si="19"/>
        <v>4.3487499999999999</v>
      </c>
    </row>
    <row r="336" spans="2:19" ht="14.4">
      <c r="B336" s="55" t="s">
        <v>299</v>
      </c>
      <c r="C336" s="56" t="s">
        <v>815</v>
      </c>
      <c r="D336" s="56" t="str">
        <f>VLOOKUP(C336,DATA!B:C,2,0)</f>
        <v>STAMP0171-S120-RED</v>
      </c>
      <c r="E336" s="56" t="str">
        <f>VLOOKUP(C336,Sheet4!A:B,2,0)</f>
        <v>S-120/13</v>
      </c>
      <c r="F336" s="56" t="e">
        <f ca="1">Image("https://images-na.ssl-images-amazon.com/images/I/41ljClfYvWL.jpg;https://images-na.ssl-images-amazon.com/images/I/419hlNvH5sL.jpg")</f>
        <v>#NAME?</v>
      </c>
      <c r="G336" s="56" t="s">
        <v>817</v>
      </c>
      <c r="H336" s="83">
        <v>1</v>
      </c>
      <c r="I336" s="88">
        <v>12.09</v>
      </c>
      <c r="J336" s="83">
        <v>0</v>
      </c>
      <c r="K336" s="88">
        <v>0</v>
      </c>
      <c r="L336" s="84">
        <v>10.27</v>
      </c>
      <c r="M336" s="94">
        <f t="shared" si="20"/>
        <v>10.27</v>
      </c>
      <c r="N336" s="57">
        <f>(VLOOKUP(E336,Sheet4!F:G,2,0))/1000</f>
        <v>0.09</v>
      </c>
      <c r="O336" s="99">
        <f>VLOOKUP(E336,Sheet4!F392:J977,5,0)</f>
        <v>430.8</v>
      </c>
      <c r="P336" s="58" t="s">
        <v>1188</v>
      </c>
      <c r="Q336" s="59" cm="1">
        <f t="array" ref="Q336">_xlfn.IFS($P336=$P$2,O336+$P$3*N336,$P336=$Q$2,O336+$Q$3*N336)</f>
        <v>471.3</v>
      </c>
      <c r="R336" s="101">
        <f t="shared" si="18"/>
        <v>5.8912500000000003</v>
      </c>
      <c r="S336" s="60">
        <f t="shared" si="19"/>
        <v>4.3787499999999993</v>
      </c>
    </row>
    <row r="337" spans="2:19" ht="14.4">
      <c r="B337" s="55" t="s">
        <v>299</v>
      </c>
      <c r="C337" s="56" t="s">
        <v>674</v>
      </c>
      <c r="D337" s="56" t="str">
        <f>VLOOKUP(C337,DATA!B:C,2,0)</f>
        <v>STAMP0172-S120-BLUE</v>
      </c>
      <c r="E337" s="56" t="s">
        <v>1218</v>
      </c>
      <c r="F337" s="56" t="e">
        <f ca="1">Image("https://images-na.ssl-images-amazon.com/images/I/41YAuQGC6xL.jpg;https://images-na.ssl-images-amazon.com/images/I/419hlNvH5sL.jpg")</f>
        <v>#NAME?</v>
      </c>
      <c r="G337" s="56" t="s">
        <v>676</v>
      </c>
      <c r="H337" s="83">
        <v>2</v>
      </c>
      <c r="I337" s="88">
        <v>29</v>
      </c>
      <c r="J337" s="83">
        <v>0</v>
      </c>
      <c r="K337" s="88">
        <v>0</v>
      </c>
      <c r="L337" s="84">
        <v>24.64</v>
      </c>
      <c r="M337" s="94">
        <f t="shared" si="20"/>
        <v>12.32</v>
      </c>
      <c r="N337" s="57">
        <f>(VLOOKUP(E337,Sheet4!F:G,2,0))/1000</f>
        <v>0.09</v>
      </c>
      <c r="O337" s="99">
        <f>VLOOKUP(E337,Sheet4!F393:J978,5,0)</f>
        <v>430.8</v>
      </c>
      <c r="P337" s="58" t="s">
        <v>1188</v>
      </c>
      <c r="Q337" s="59" cm="1">
        <f t="array" ref="Q337">_xlfn.IFS($P337=$P$2,O337+$P$3*N337,$P337=$Q$2,O337+$Q$3*N337)</f>
        <v>471.3</v>
      </c>
      <c r="R337" s="101">
        <f t="shared" si="18"/>
        <v>11.782500000000001</v>
      </c>
      <c r="S337" s="60">
        <f t="shared" si="19"/>
        <v>12.8575</v>
      </c>
    </row>
    <row r="338" spans="2:19" ht="14.4">
      <c r="B338" s="55" t="s">
        <v>299</v>
      </c>
      <c r="C338" s="56" t="s">
        <v>821</v>
      </c>
      <c r="D338" s="56" t="str">
        <f>VLOOKUP(C338,DATA!B:C,2,0)</f>
        <v>STAMP0171-S120-BLACK</v>
      </c>
      <c r="E338" s="56" t="str">
        <f>VLOOKUP(C338,Sheet4!A:B,2,0)</f>
        <v>S-120/13</v>
      </c>
      <c r="F338" s="56" t="e">
        <f ca="1">Image("https://images-na.ssl-images-amazon.com/images/I/41hHUPJNpnL.jpg;https://images-na.ssl-images-amazon.com/images/I/419hlNvH5sL.jpg")</f>
        <v>#NAME?</v>
      </c>
      <c r="G338" s="56" t="s">
        <v>823</v>
      </c>
      <c r="H338" s="83">
        <v>1</v>
      </c>
      <c r="I338" s="88">
        <v>12.04</v>
      </c>
      <c r="J338" s="83">
        <v>0</v>
      </c>
      <c r="K338" s="88">
        <v>0</v>
      </c>
      <c r="L338" s="84">
        <v>10.24</v>
      </c>
      <c r="M338" s="94">
        <f t="shared" si="20"/>
        <v>10.24</v>
      </c>
      <c r="N338" s="57">
        <f>(VLOOKUP(E338,Sheet4!F:G,2,0))/1000</f>
        <v>0.09</v>
      </c>
      <c r="O338" s="99">
        <f>VLOOKUP(E338,Sheet4!F394:J979,5,0)</f>
        <v>430.8</v>
      </c>
      <c r="P338" s="58" t="s">
        <v>1188</v>
      </c>
      <c r="Q338" s="59" cm="1">
        <f t="array" ref="Q338">_xlfn.IFS($P338=$P$2,O338+$P$3*N338,$P338=$Q$2,O338+$Q$3*N338)</f>
        <v>471.3</v>
      </c>
      <c r="R338" s="101">
        <f t="shared" si="18"/>
        <v>5.8912500000000003</v>
      </c>
      <c r="S338" s="60">
        <f t="shared" si="19"/>
        <v>4.3487499999999999</v>
      </c>
    </row>
    <row r="339" spans="2:19" ht="14.4">
      <c r="B339" s="55" t="s">
        <v>299</v>
      </c>
      <c r="C339" s="56" t="s">
        <v>1070</v>
      </c>
      <c r="D339" s="56" t="str">
        <f>VLOOKUP(C339,DATA!B:C,2,0)</f>
        <v>CATO-001</v>
      </c>
      <c r="E339" s="56" t="str">
        <f>VLOOKUP(C339,Sheet4!A:B,2,0)</f>
        <v>CATO-023-SILVER</v>
      </c>
      <c r="F339" s="56" t="e">
        <f ca="1">Image("https://images-na.ssl-images-amazon.com/images/I/51eW8J2-RvL.jpg;https://images-na.ssl-images-amazon.com/images/I/51utxW0OEYL.jpg;https://images-na.ssl-images-amazon.com/images/I/51+bDHuGTpL.jpg;https://images-na.ssl-images-amazon.com/images/I/51H79mOUVlL"&amp;".jpg;https://images-na.ssl-images-amazon.com/images/I/61ExgM1ky4L.jpg;https://images-na.ssl-images-amazon.com/images/I/514xVFnu8uL.jpg;https://images-na.ssl-images-amazon.com/images/I/51osLqNQPkL.jpg")</f>
        <v>#NAME?</v>
      </c>
      <c r="G339" s="56" t="s">
        <v>1072</v>
      </c>
      <c r="H339" s="83">
        <v>1</v>
      </c>
      <c r="I339" s="88">
        <v>5.99</v>
      </c>
      <c r="J339" s="83">
        <v>0</v>
      </c>
      <c r="K339" s="88">
        <v>0</v>
      </c>
      <c r="L339" s="84">
        <v>-14.46</v>
      </c>
      <c r="M339" s="94">
        <f t="shared" si="20"/>
        <v>-14.46</v>
      </c>
      <c r="N339" s="57">
        <f>(VLOOKUP(E339,Sheet4!F:G,2,0))/1000</f>
        <v>0.17</v>
      </c>
      <c r="O339" s="99">
        <v>108</v>
      </c>
      <c r="P339" s="58" t="s">
        <v>1188</v>
      </c>
      <c r="Q339" s="59" cm="1">
        <f t="array" ref="Q339">_xlfn.IFS($P339=$P$2,O339+$P$3*N339,$P339=$Q$2,O339+$Q$3*N339)</f>
        <v>184.5</v>
      </c>
      <c r="R339" s="101">
        <f t="shared" si="18"/>
        <v>2.3062499999999999</v>
      </c>
      <c r="S339" s="60">
        <f t="shared" si="19"/>
        <v>-16.766249999999999</v>
      </c>
    </row>
    <row r="340" spans="2:19" ht="14.4">
      <c r="B340" s="55" t="s">
        <v>299</v>
      </c>
      <c r="C340" s="56" t="s">
        <v>1120</v>
      </c>
      <c r="D340" s="56" t="str">
        <f>VLOOKUP(C340,DATA!B:C,2,0)</f>
        <v>CATO-004</v>
      </c>
      <c r="E340" s="56" t="str">
        <f>VLOOKUP(C340,Sheet4!A:B,2,0)</f>
        <v>CATO-023-SILVER</v>
      </c>
      <c r="F340" s="56" t="e">
        <f ca="1">Image("https://images-na.ssl-images-amazon.com/images/I/51rVrVAhl7L.jpg;https://images-na.ssl-images-amazon.com/images/I/51ZIpZB1wLL.jpg;https://images-na.ssl-images-amazon.com/images/I/51nrD5dDwmL.jpg;https://images-na.ssl-images-amazon.com/images/I/51Cbx4ujeYL"&amp;".jpg;https://images-na.ssl-images-amazon.com/images/I/61Rf-+9806L.jpg;https://images-na.ssl-images-amazon.com/images/I/51LJJbEJfJL.jpg;https://images-na.ssl-images-amazon.com/images/I/514PHl8Bx9L.jpg")</f>
        <v>#NAME?</v>
      </c>
      <c r="G340" s="56" t="s">
        <v>1072</v>
      </c>
      <c r="H340" s="83">
        <v>1</v>
      </c>
      <c r="I340" s="88">
        <v>5.99</v>
      </c>
      <c r="J340" s="83">
        <v>0</v>
      </c>
      <c r="K340" s="88">
        <v>0</v>
      </c>
      <c r="L340" s="84">
        <v>-34</v>
      </c>
      <c r="M340" s="94">
        <f t="shared" si="20"/>
        <v>-34</v>
      </c>
      <c r="N340" s="57">
        <f>(VLOOKUP(E340,Sheet4!F:G,2,0))/1000</f>
        <v>0.17</v>
      </c>
      <c r="O340" s="99">
        <v>108</v>
      </c>
      <c r="P340" s="58" t="s">
        <v>1188</v>
      </c>
      <c r="Q340" s="59" cm="1">
        <f t="array" ref="Q340">_xlfn.IFS($P340=$P$2,O340+$P$3*N340,$P340=$Q$2,O340+$Q$3*N340)</f>
        <v>184.5</v>
      </c>
      <c r="R340" s="101">
        <f t="shared" si="18"/>
        <v>2.3062499999999999</v>
      </c>
      <c r="S340" s="60">
        <f t="shared" si="19"/>
        <v>-36.306249999999999</v>
      </c>
    </row>
    <row r="341" spans="2:19" ht="14.4">
      <c r="B341" s="55" t="s">
        <v>299</v>
      </c>
      <c r="C341" s="56" t="s">
        <v>941</v>
      </c>
      <c r="D341" s="56" t="str">
        <f>VLOOKUP(C341,DATA!B:C,2,0)</f>
        <v>CATO-026-SILVER</v>
      </c>
      <c r="E341" s="56" t="str">
        <f>VLOOKUP(C341,Sheet4!A:B,2,0)</f>
        <v>CATO-023-SILVER</v>
      </c>
      <c r="F341" s="56" t="e">
        <f ca="1">Image("https://images-na.ssl-images-amazon.com/images/I/51pBDSvxsXL.jpg;https://images-na.ssl-images-amazon.com/images/I/41bdAdw0-tL.jpg;https://images-na.ssl-images-amazon.com/images/I/518CsZ07LvL.jpg")</f>
        <v>#NAME?</v>
      </c>
      <c r="G341" s="56" t="s">
        <v>943</v>
      </c>
      <c r="H341" s="83">
        <v>1</v>
      </c>
      <c r="I341" s="88">
        <v>5.49</v>
      </c>
      <c r="J341" s="83">
        <v>0</v>
      </c>
      <c r="K341" s="88">
        <v>0</v>
      </c>
      <c r="L341" s="84">
        <v>-0.25</v>
      </c>
      <c r="M341" s="94">
        <f t="shared" si="20"/>
        <v>-0.25</v>
      </c>
      <c r="N341" s="57">
        <f>(VLOOKUP(E341,Sheet4!F:G,2,0))/1000</f>
        <v>0.17</v>
      </c>
      <c r="O341" s="99">
        <v>108</v>
      </c>
      <c r="P341" s="58" t="s">
        <v>1188</v>
      </c>
      <c r="Q341" s="59" cm="1">
        <f t="array" ref="Q341">_xlfn.IFS($P341=$P$2,O341+$P$3*N341,$P341=$Q$2,O341+$Q$3*N341)</f>
        <v>184.5</v>
      </c>
      <c r="R341" s="101">
        <f t="shared" si="18"/>
        <v>2.3062499999999999</v>
      </c>
      <c r="S341" s="60">
        <f t="shared" si="19"/>
        <v>-2.5562499999999999</v>
      </c>
    </row>
    <row r="342" spans="2:19" ht="14.4">
      <c r="B342" s="55" t="s">
        <v>299</v>
      </c>
      <c r="C342" s="56" t="s">
        <v>965</v>
      </c>
      <c r="D342" s="56" t="str">
        <f>VLOOKUP(C342,DATA!B:C,2,0)</f>
        <v>CATO-024-SILVER</v>
      </c>
      <c r="E342" s="56" t="str">
        <f>VLOOKUP(C342,Sheet4!A:B,2,0)</f>
        <v>CATO-023-SILVER</v>
      </c>
      <c r="F342" s="56" t="e">
        <f ca="1">Image("https://images-na.ssl-images-amazon.com/images/I/51tq0P3rqqL.jpg;https://images-na.ssl-images-amazon.com/images/I/41ZxX8my00L.jpg;https://images-na.ssl-images-amazon.com/images/I/51AMyRcUVeL.jpg")</f>
        <v>#NAME?</v>
      </c>
      <c r="G342" s="56" t="s">
        <v>967</v>
      </c>
      <c r="H342" s="83">
        <v>3</v>
      </c>
      <c r="I342" s="88">
        <v>21.97</v>
      </c>
      <c r="J342" s="83">
        <v>0</v>
      </c>
      <c r="K342" s="88">
        <v>0</v>
      </c>
      <c r="L342" s="84">
        <v>-0.94</v>
      </c>
      <c r="M342" s="94">
        <f t="shared" si="20"/>
        <v>-0.3133333333333333</v>
      </c>
      <c r="N342" s="57">
        <f>(VLOOKUP(E342,Sheet4!F:G,2,0))/1000</f>
        <v>0.17</v>
      </c>
      <c r="O342" s="99">
        <v>108</v>
      </c>
      <c r="P342" s="58" t="s">
        <v>1188</v>
      </c>
      <c r="Q342" s="59" cm="1">
        <f t="array" ref="Q342">_xlfn.IFS($P342=$P$2,O342+$P$3*N342,$P342=$Q$2,O342+$Q$3*N342)</f>
        <v>184.5</v>
      </c>
      <c r="R342" s="101">
        <f t="shared" si="18"/>
        <v>6.9187500000000002</v>
      </c>
      <c r="S342" s="60">
        <f t="shared" si="19"/>
        <v>-7.8587500000000006</v>
      </c>
    </row>
    <row r="343" spans="2:19" ht="14.4">
      <c r="B343" s="55" t="s">
        <v>299</v>
      </c>
      <c r="C343" s="56" t="s">
        <v>886</v>
      </c>
      <c r="D343" s="56" t="str">
        <f>VLOOKUP(C343,DATA!B:C,2,0)</f>
        <v>CATO-015-GOLD</v>
      </c>
      <c r="E343" s="56" t="str">
        <f>VLOOKUP(C343,Sheet4!A:B,2,0)</f>
        <v>CATO-023-SILVER</v>
      </c>
      <c r="F343" s="56" t="e">
        <f ca="1">Image("https://images-na.ssl-images-amazon.com/images/I/51wPCdmZqzL.jpg;https://images-na.ssl-images-amazon.com/images/I/51bzdICiIwL.jpg;https://images-na.ssl-images-amazon.com/images/I/41ZH63DnlGL.jpg;https://images-na.ssl-images-amazon.com/images/I/51tfAfZqe-L"&amp;".jpg;https://images-na.ssl-images-amazon.com/images/I/41pHwtuj1eL.jpg")</f>
        <v>#NAME?</v>
      </c>
      <c r="G343" s="56" t="s">
        <v>888</v>
      </c>
      <c r="H343" s="83">
        <v>12</v>
      </c>
      <c r="I343" s="88">
        <v>85.88</v>
      </c>
      <c r="J343" s="83">
        <v>1</v>
      </c>
      <c r="K343" s="88">
        <v>-7.03</v>
      </c>
      <c r="L343" s="84">
        <v>4.83</v>
      </c>
      <c r="M343" s="94">
        <f t="shared" si="20"/>
        <v>0.40250000000000002</v>
      </c>
      <c r="N343" s="57">
        <f>(VLOOKUP(E343,Sheet4!F:G,2,0))/1000</f>
        <v>0.17</v>
      </c>
      <c r="O343" s="99">
        <v>108</v>
      </c>
      <c r="P343" s="58" t="s">
        <v>1188</v>
      </c>
      <c r="Q343" s="59" cm="1">
        <f t="array" ref="Q343">_xlfn.IFS($P343=$P$2,O343+$P$3*N343,$P343=$Q$2,O343+$Q$3*N343)</f>
        <v>184.5</v>
      </c>
      <c r="R343" s="101">
        <f t="shared" si="18"/>
        <v>27.675000000000001</v>
      </c>
      <c r="S343" s="60">
        <f t="shared" si="19"/>
        <v>-22.844999999999999</v>
      </c>
    </row>
    <row r="344" spans="2:19" ht="14.4">
      <c r="B344" s="55" t="s">
        <v>738</v>
      </c>
      <c r="C344" s="56" t="s">
        <v>736</v>
      </c>
      <c r="D344" s="56" t="str">
        <f>VLOOKUP(C344,DATA!B:C,2,0)</f>
        <v>GS USA Tea light Holder</v>
      </c>
      <c r="E344" s="56" t="str">
        <f>VLOOKUP(C344,Sheet4!A:B,2,0)</f>
        <v>SOAPSTONE -9</v>
      </c>
      <c r="F344" s="56" t="e">
        <f ca="1">Image("https://images-na.ssl-images-amazon.com/images/I/41UCr2xbMcL.jpg;https://images-na.ssl-images-amazon.com/images/I/41h538p8YkL.jpg;https://images-na.ssl-images-amazon.com/images/I/41UnU4gJb9L.jpg;https://images-na.ssl-images-amazon.com/images/I/41TRCGszp9L"&amp;".jpg")</f>
        <v>#NAME?</v>
      </c>
      <c r="G344" s="56" t="s">
        <v>739</v>
      </c>
      <c r="H344" s="83">
        <v>1</v>
      </c>
      <c r="I344" s="88">
        <v>18.98</v>
      </c>
      <c r="J344" s="83">
        <v>0</v>
      </c>
      <c r="K344" s="88">
        <v>0</v>
      </c>
      <c r="L344" s="84">
        <v>16.13</v>
      </c>
      <c r="M344" s="94">
        <f t="shared" si="20"/>
        <v>16.13</v>
      </c>
      <c r="N344" s="57">
        <f>(VLOOKUP(E344,Sheet4!F:G,2,0))/1000</f>
        <v>0.42499999999999999</v>
      </c>
      <c r="O344" s="99">
        <v>236.4</v>
      </c>
      <c r="P344" s="58" t="s">
        <v>1188</v>
      </c>
      <c r="Q344" s="59" cm="1">
        <f t="array" ref="Q344">_xlfn.IFS($P344=$P$2,O344+$P$3*N344,$P344=$Q$2,O344+$Q$3*N344)</f>
        <v>427.65</v>
      </c>
      <c r="R344" s="101">
        <f t="shared" si="18"/>
        <v>5.3456250000000001</v>
      </c>
      <c r="S344" s="60">
        <f t="shared" si="19"/>
        <v>10.784374999999999</v>
      </c>
    </row>
    <row r="345" spans="2:19" ht="14.4">
      <c r="B345" s="64"/>
      <c r="C345" s="65" t="s">
        <v>1217</v>
      </c>
      <c r="D345" s="65" t="s">
        <v>1217</v>
      </c>
      <c r="E345" s="65" t="s">
        <v>1217</v>
      </c>
      <c r="F345" s="65" t="s">
        <v>1217</v>
      </c>
      <c r="G345" s="65" t="s">
        <v>1217</v>
      </c>
      <c r="H345" s="85">
        <v>40451</v>
      </c>
      <c r="I345" s="89">
        <v>479174.88</v>
      </c>
      <c r="J345" s="85">
        <v>1874</v>
      </c>
      <c r="K345" s="89">
        <v>-23073.1</v>
      </c>
      <c r="L345" s="86">
        <v>201423.11</v>
      </c>
      <c r="M345" s="95"/>
      <c r="N345" s="57" t="e">
        <f>(VLOOKUP(E345,Sheet4!F:G,2,0))/1000</f>
        <v>#N/A</v>
      </c>
      <c r="O345" s="100" t="s">
        <v>1217</v>
      </c>
      <c r="P345" s="67" t="s">
        <v>1217</v>
      </c>
      <c r="Q345" s="59">
        <f>SUM(Q5:Q344)</f>
        <v>161682.95199999996</v>
      </c>
      <c r="R345" s="101"/>
      <c r="S345" s="68" t="s">
        <v>1217</v>
      </c>
    </row>
    <row r="346" spans="2:19" ht="13.2">
      <c r="N346" s="52"/>
      <c r="O346" s="97"/>
      <c r="P346" s="52"/>
      <c r="Q346" s="52"/>
      <c r="R346" s="54"/>
      <c r="S346" s="54"/>
    </row>
    <row r="347" spans="2:19" ht="13.2">
      <c r="N347" s="52"/>
      <c r="O347" s="97"/>
      <c r="P347" s="52"/>
      <c r="Q347" s="52"/>
      <c r="R347" s="54"/>
      <c r="S347" s="54"/>
    </row>
    <row r="348" spans="2:19" ht="13.2">
      <c r="N348" s="52"/>
      <c r="O348" s="97"/>
      <c r="P348" s="52"/>
      <c r="Q348" s="52"/>
      <c r="R348" s="54"/>
      <c r="S348" s="54"/>
    </row>
    <row r="349" spans="2:19" ht="13.2">
      <c r="N349" s="52"/>
      <c r="O349" s="97"/>
      <c r="P349" s="52"/>
      <c r="Q349" s="52"/>
      <c r="R349" s="54"/>
      <c r="S349" s="54"/>
    </row>
    <row r="350" spans="2:19" ht="13.2">
      <c r="N350" s="52"/>
      <c r="O350" s="97"/>
      <c r="P350" s="52"/>
      <c r="Q350" s="52"/>
      <c r="R350" s="54"/>
      <c r="S350" s="54"/>
    </row>
    <row r="351" spans="2:19" ht="13.2">
      <c r="N351" s="52"/>
      <c r="O351" s="97"/>
      <c r="P351" s="52"/>
      <c r="Q351" s="52"/>
      <c r="R351" s="54"/>
      <c r="S351" s="54"/>
    </row>
    <row r="352" spans="2:19" ht="13.2">
      <c r="N352" s="52"/>
      <c r="O352" s="97"/>
      <c r="P352" s="52"/>
      <c r="Q352" s="52"/>
      <c r="R352" s="54"/>
      <c r="S352" s="54"/>
    </row>
    <row r="353" spans="14:19" ht="13.2">
      <c r="N353" s="52"/>
      <c r="O353" s="97"/>
      <c r="P353" s="52"/>
      <c r="Q353" s="52"/>
      <c r="R353" s="54"/>
      <c r="S353" s="54"/>
    </row>
    <row r="354" spans="14:19" ht="13.2">
      <c r="N354" s="52"/>
      <c r="O354" s="97"/>
      <c r="P354" s="52"/>
      <c r="Q354" s="52"/>
      <c r="R354" s="54"/>
      <c r="S354" s="54"/>
    </row>
    <row r="355" spans="14:19" ht="13.2">
      <c r="N355" s="52"/>
      <c r="O355" s="97"/>
      <c r="P355" s="52"/>
      <c r="Q355" s="52"/>
      <c r="R355" s="54"/>
      <c r="S355" s="54"/>
    </row>
    <row r="356" spans="14:19" ht="13.2">
      <c r="N356" s="52"/>
      <c r="O356" s="97"/>
      <c r="P356" s="52"/>
      <c r="Q356" s="52"/>
      <c r="R356" s="54"/>
      <c r="S356" s="54"/>
    </row>
    <row r="357" spans="14:19" ht="13.2">
      <c r="N357" s="52"/>
      <c r="O357" s="97"/>
      <c r="P357" s="52"/>
      <c r="Q357" s="52"/>
      <c r="R357" s="54"/>
      <c r="S357" s="54"/>
    </row>
    <row r="358" spans="14:19" ht="13.2">
      <c r="N358" s="52"/>
      <c r="O358" s="97"/>
      <c r="P358" s="52"/>
      <c r="Q358" s="52"/>
      <c r="R358" s="54"/>
      <c r="S358" s="54"/>
    </row>
    <row r="359" spans="14:19" ht="13.2">
      <c r="N359" s="52"/>
      <c r="O359" s="97"/>
      <c r="P359" s="52"/>
      <c r="Q359" s="52"/>
      <c r="R359" s="54"/>
      <c r="S359" s="54"/>
    </row>
    <row r="360" spans="14:19" ht="13.2">
      <c r="N360" s="52"/>
      <c r="O360" s="97"/>
      <c r="P360" s="52"/>
      <c r="Q360" s="52"/>
      <c r="R360" s="54"/>
      <c r="S360" s="54"/>
    </row>
    <row r="361" spans="14:19" ht="13.2">
      <c r="N361" s="52"/>
      <c r="O361" s="97"/>
      <c r="P361" s="52"/>
      <c r="Q361" s="52"/>
      <c r="R361" s="54"/>
      <c r="S361" s="54"/>
    </row>
    <row r="362" spans="14:19" ht="13.2">
      <c r="N362" s="52"/>
      <c r="O362" s="97"/>
      <c r="P362" s="52"/>
      <c r="Q362" s="52"/>
      <c r="R362" s="54"/>
      <c r="S362" s="54"/>
    </row>
    <row r="363" spans="14:19" ht="13.2">
      <c r="N363" s="52"/>
      <c r="O363" s="97"/>
      <c r="P363" s="52"/>
      <c r="Q363" s="52"/>
      <c r="R363" s="54"/>
      <c r="S363" s="54"/>
    </row>
    <row r="364" spans="14:19" ht="13.2">
      <c r="N364" s="52"/>
      <c r="O364" s="97"/>
      <c r="P364" s="52"/>
      <c r="Q364" s="52"/>
      <c r="R364" s="54"/>
      <c r="S364" s="54"/>
    </row>
    <row r="365" spans="14:19" ht="13.2">
      <c r="N365" s="52"/>
      <c r="O365" s="97"/>
      <c r="P365" s="52"/>
      <c r="Q365" s="52"/>
      <c r="R365" s="54"/>
      <c r="S365" s="54"/>
    </row>
    <row r="366" spans="14:19" ht="13.2">
      <c r="N366" s="52"/>
      <c r="O366" s="97"/>
      <c r="P366" s="52"/>
      <c r="Q366" s="52"/>
      <c r="R366" s="54"/>
      <c r="S366" s="54"/>
    </row>
    <row r="367" spans="14:19" ht="13.2">
      <c r="N367" s="52"/>
      <c r="O367" s="97"/>
      <c r="P367" s="52"/>
      <c r="Q367" s="52"/>
      <c r="R367" s="54"/>
      <c r="S367" s="54"/>
    </row>
    <row r="368" spans="14:19" ht="13.2">
      <c r="N368" s="52"/>
      <c r="O368" s="97"/>
      <c r="P368" s="52"/>
      <c r="Q368" s="52"/>
      <c r="R368" s="54"/>
      <c r="S368" s="54"/>
    </row>
    <row r="369" spans="14:19" ht="13.2">
      <c r="N369" s="52"/>
      <c r="O369" s="97"/>
      <c r="P369" s="52"/>
      <c r="Q369" s="52"/>
      <c r="R369" s="54"/>
      <c r="S369" s="54"/>
    </row>
    <row r="370" spans="14:19" ht="13.2">
      <c r="N370" s="52"/>
      <c r="O370" s="97"/>
      <c r="P370" s="52"/>
      <c r="Q370" s="52"/>
      <c r="R370" s="54"/>
      <c r="S370" s="54"/>
    </row>
    <row r="371" spans="14:19" ht="13.2">
      <c r="N371" s="52"/>
      <c r="O371" s="97"/>
      <c r="P371" s="52"/>
      <c r="Q371" s="52"/>
      <c r="R371" s="54"/>
      <c r="S371" s="54"/>
    </row>
    <row r="372" spans="14:19" ht="13.2">
      <c r="N372" s="52"/>
      <c r="O372" s="97"/>
      <c r="P372" s="52"/>
      <c r="Q372" s="52"/>
      <c r="R372" s="54"/>
      <c r="S372" s="54"/>
    </row>
    <row r="373" spans="14:19" ht="13.2">
      <c r="N373" s="52"/>
      <c r="O373" s="97"/>
      <c r="P373" s="52"/>
      <c r="Q373" s="52"/>
      <c r="R373" s="54"/>
      <c r="S373" s="54"/>
    </row>
    <row r="374" spans="14:19" ht="13.2">
      <c r="N374" s="52"/>
      <c r="O374" s="97"/>
      <c r="P374" s="52"/>
      <c r="Q374" s="52"/>
      <c r="R374" s="54"/>
      <c r="S374" s="54"/>
    </row>
    <row r="375" spans="14:19" ht="13.2">
      <c r="N375" s="52"/>
      <c r="O375" s="97"/>
      <c r="P375" s="52"/>
      <c r="Q375" s="52"/>
      <c r="R375" s="54"/>
      <c r="S375" s="54"/>
    </row>
    <row r="376" spans="14:19" ht="13.2">
      <c r="N376" s="52"/>
      <c r="O376" s="97"/>
      <c r="P376" s="52"/>
      <c r="Q376" s="52"/>
      <c r="R376" s="54"/>
      <c r="S376" s="54"/>
    </row>
    <row r="377" spans="14:19" ht="13.2">
      <c r="N377" s="52"/>
      <c r="O377" s="97"/>
      <c r="P377" s="52"/>
      <c r="Q377" s="52"/>
      <c r="R377" s="54"/>
      <c r="S377" s="54"/>
    </row>
    <row r="378" spans="14:19" ht="13.2">
      <c r="N378" s="52"/>
      <c r="O378" s="97"/>
      <c r="P378" s="52"/>
      <c r="Q378" s="52"/>
      <c r="R378" s="54"/>
      <c r="S378" s="54"/>
    </row>
    <row r="379" spans="14:19" ht="13.2">
      <c r="N379" s="52"/>
      <c r="O379" s="97"/>
      <c r="P379" s="52"/>
      <c r="Q379" s="52"/>
      <c r="R379" s="54"/>
      <c r="S379" s="54"/>
    </row>
    <row r="380" spans="14:19" ht="13.2">
      <c r="N380" s="52"/>
      <c r="O380" s="97"/>
      <c r="P380" s="52"/>
      <c r="Q380" s="52"/>
      <c r="R380" s="54"/>
      <c r="S380" s="54"/>
    </row>
    <row r="381" spans="14:19" ht="13.2">
      <c r="N381" s="52"/>
      <c r="O381" s="97"/>
      <c r="P381" s="52"/>
      <c r="Q381" s="52"/>
      <c r="R381" s="54"/>
      <c r="S381" s="54"/>
    </row>
    <row r="382" spans="14:19" ht="13.2">
      <c r="N382" s="52"/>
      <c r="O382" s="97"/>
      <c r="P382" s="52"/>
      <c r="Q382" s="52"/>
      <c r="R382" s="54"/>
      <c r="S382" s="54"/>
    </row>
    <row r="383" spans="14:19" ht="13.2">
      <c r="N383" s="52"/>
      <c r="O383" s="97"/>
      <c r="P383" s="52"/>
      <c r="Q383" s="52"/>
      <c r="R383" s="54"/>
      <c r="S383" s="54"/>
    </row>
    <row r="384" spans="14:19" ht="13.2">
      <c r="N384" s="52"/>
      <c r="O384" s="97"/>
      <c r="P384" s="52"/>
      <c r="Q384" s="52"/>
      <c r="R384" s="54"/>
      <c r="S384" s="54"/>
    </row>
    <row r="385" spans="14:19" ht="13.2">
      <c r="N385" s="52"/>
      <c r="O385" s="97"/>
      <c r="P385" s="52"/>
      <c r="Q385" s="52"/>
      <c r="R385" s="54"/>
      <c r="S385" s="54"/>
    </row>
    <row r="386" spans="14:19" ht="13.2">
      <c r="N386" s="52"/>
      <c r="O386" s="97"/>
      <c r="P386" s="52"/>
      <c r="Q386" s="52"/>
      <c r="R386" s="54"/>
      <c r="S386" s="54"/>
    </row>
    <row r="387" spans="14:19" ht="13.2">
      <c r="N387" s="52"/>
      <c r="O387" s="97"/>
      <c r="P387" s="52"/>
      <c r="Q387" s="52"/>
      <c r="R387" s="54"/>
      <c r="S387" s="54"/>
    </row>
    <row r="388" spans="14:19" ht="13.2">
      <c r="N388" s="52"/>
      <c r="O388" s="97"/>
      <c r="P388" s="52"/>
      <c r="Q388" s="52"/>
      <c r="R388" s="54"/>
      <c r="S388" s="54"/>
    </row>
    <row r="389" spans="14:19" ht="13.2">
      <c r="N389" s="52"/>
      <c r="O389" s="97"/>
      <c r="P389" s="52"/>
      <c r="Q389" s="52"/>
      <c r="R389" s="54"/>
      <c r="S389" s="54"/>
    </row>
    <row r="390" spans="14:19" ht="13.2">
      <c r="N390" s="52"/>
      <c r="O390" s="97"/>
      <c r="P390" s="52"/>
      <c r="Q390" s="52"/>
      <c r="R390" s="54"/>
      <c r="S390" s="54"/>
    </row>
    <row r="391" spans="14:19" ht="13.2">
      <c r="N391" s="52"/>
      <c r="O391" s="97"/>
      <c r="P391" s="52"/>
      <c r="Q391" s="52"/>
      <c r="R391" s="54"/>
      <c r="S391" s="54"/>
    </row>
    <row r="392" spans="14:19" ht="13.2">
      <c r="N392" s="52"/>
      <c r="O392" s="97"/>
      <c r="P392" s="52"/>
      <c r="Q392" s="52"/>
      <c r="R392" s="54"/>
      <c r="S392" s="54"/>
    </row>
    <row r="393" spans="14:19" ht="13.2">
      <c r="N393" s="52"/>
      <c r="O393" s="97"/>
      <c r="P393" s="52"/>
      <c r="Q393" s="52"/>
      <c r="R393" s="54"/>
      <c r="S393" s="54"/>
    </row>
    <row r="394" spans="14:19" ht="13.2">
      <c r="N394" s="52"/>
      <c r="O394" s="97"/>
      <c r="P394" s="52"/>
      <c r="Q394" s="52"/>
      <c r="R394" s="54"/>
      <c r="S394" s="54"/>
    </row>
    <row r="395" spans="14:19" ht="13.2">
      <c r="N395" s="52"/>
      <c r="O395" s="97"/>
      <c r="P395" s="52"/>
      <c r="Q395" s="52"/>
      <c r="R395" s="54"/>
      <c r="S395" s="54"/>
    </row>
    <row r="396" spans="14:19" ht="13.2">
      <c r="N396" s="52"/>
      <c r="O396" s="97"/>
      <c r="P396" s="52"/>
      <c r="Q396" s="52"/>
      <c r="R396" s="54"/>
      <c r="S396" s="54"/>
    </row>
    <row r="397" spans="14:19" ht="13.2">
      <c r="N397" s="52"/>
      <c r="O397" s="97"/>
      <c r="P397" s="52"/>
      <c r="Q397" s="52"/>
      <c r="R397" s="54"/>
      <c r="S397" s="54"/>
    </row>
    <row r="398" spans="14:19" ht="13.2">
      <c r="N398" s="52"/>
      <c r="O398" s="97"/>
      <c r="P398" s="52"/>
      <c r="Q398" s="52"/>
      <c r="R398" s="54"/>
      <c r="S398" s="54"/>
    </row>
    <row r="399" spans="14:19" ht="13.2">
      <c r="N399" s="52"/>
      <c r="O399" s="97"/>
      <c r="P399" s="52"/>
      <c r="Q399" s="52"/>
      <c r="R399" s="54"/>
      <c r="S399" s="54"/>
    </row>
    <row r="400" spans="14:19" ht="13.2">
      <c r="N400" s="52"/>
      <c r="O400" s="97"/>
      <c r="P400" s="52"/>
      <c r="Q400" s="52"/>
      <c r="R400" s="54"/>
      <c r="S400" s="54"/>
    </row>
    <row r="401" spans="14:19" ht="13.2">
      <c r="N401" s="52"/>
      <c r="O401" s="97"/>
      <c r="P401" s="52"/>
      <c r="Q401" s="52"/>
      <c r="R401" s="54"/>
      <c r="S401" s="54"/>
    </row>
    <row r="402" spans="14:19" ht="13.2">
      <c r="N402" s="52"/>
      <c r="O402" s="97"/>
      <c r="P402" s="52"/>
      <c r="Q402" s="52"/>
      <c r="R402" s="54"/>
      <c r="S402" s="54"/>
    </row>
    <row r="403" spans="14:19" ht="13.2">
      <c r="N403" s="52"/>
      <c r="O403" s="97"/>
      <c r="P403" s="52"/>
      <c r="Q403" s="52"/>
      <c r="R403" s="54"/>
      <c r="S403" s="54"/>
    </row>
    <row r="404" spans="14:19" ht="13.2">
      <c r="N404" s="52"/>
      <c r="O404" s="97"/>
      <c r="P404" s="52"/>
      <c r="Q404" s="52"/>
      <c r="R404" s="54"/>
      <c r="S404" s="54"/>
    </row>
    <row r="405" spans="14:19" ht="13.2">
      <c r="N405" s="52"/>
      <c r="O405" s="97"/>
      <c r="P405" s="52"/>
      <c r="Q405" s="52"/>
      <c r="R405" s="54"/>
      <c r="S405" s="54"/>
    </row>
    <row r="406" spans="14:19" ht="13.2">
      <c r="N406" s="52"/>
      <c r="O406" s="97"/>
      <c r="P406" s="52"/>
      <c r="Q406" s="52"/>
      <c r="R406" s="54"/>
      <c r="S406" s="54"/>
    </row>
    <row r="407" spans="14:19" ht="13.2">
      <c r="N407" s="52"/>
      <c r="O407" s="97"/>
      <c r="P407" s="52"/>
      <c r="Q407" s="52"/>
      <c r="R407" s="54"/>
      <c r="S407" s="54"/>
    </row>
    <row r="408" spans="14:19" ht="13.2">
      <c r="N408" s="52"/>
      <c r="O408" s="97"/>
      <c r="P408" s="52"/>
      <c r="Q408" s="52"/>
      <c r="R408" s="54"/>
      <c r="S408" s="54"/>
    </row>
    <row r="409" spans="14:19" ht="13.2">
      <c r="N409" s="52"/>
      <c r="O409" s="97"/>
      <c r="P409" s="52"/>
      <c r="Q409" s="52"/>
      <c r="R409" s="54"/>
      <c r="S409" s="54"/>
    </row>
    <row r="410" spans="14:19" ht="13.2">
      <c r="N410" s="52"/>
      <c r="O410" s="97"/>
      <c r="P410" s="52"/>
      <c r="Q410" s="52"/>
      <c r="R410" s="54"/>
      <c r="S410" s="54"/>
    </row>
    <row r="411" spans="14:19" ht="13.2">
      <c r="N411" s="52"/>
      <c r="O411" s="97"/>
      <c r="P411" s="52"/>
      <c r="Q411" s="52"/>
      <c r="R411" s="54"/>
      <c r="S411" s="54"/>
    </row>
    <row r="412" spans="14:19" ht="13.2">
      <c r="N412" s="52"/>
      <c r="O412" s="97"/>
      <c r="P412" s="52"/>
      <c r="Q412" s="52"/>
      <c r="R412" s="54"/>
      <c r="S412" s="54"/>
    </row>
    <row r="413" spans="14:19" ht="13.2">
      <c r="N413" s="52"/>
      <c r="O413" s="97"/>
      <c r="P413" s="52"/>
      <c r="Q413" s="52"/>
      <c r="R413" s="54"/>
      <c r="S413" s="54"/>
    </row>
    <row r="414" spans="14:19" ht="13.2">
      <c r="N414" s="52"/>
      <c r="O414" s="97"/>
      <c r="P414" s="52"/>
      <c r="Q414" s="52"/>
      <c r="R414" s="54"/>
      <c r="S414" s="54"/>
    </row>
    <row r="415" spans="14:19" ht="13.2">
      <c r="N415" s="52"/>
      <c r="O415" s="97"/>
      <c r="P415" s="52"/>
      <c r="Q415" s="52"/>
      <c r="R415" s="54"/>
      <c r="S415" s="54"/>
    </row>
    <row r="416" spans="14:19" ht="13.2">
      <c r="N416" s="52"/>
      <c r="O416" s="97"/>
      <c r="P416" s="52"/>
      <c r="Q416" s="52"/>
      <c r="R416" s="54"/>
      <c r="S416" s="54"/>
    </row>
    <row r="417" spans="14:19" ht="13.2">
      <c r="N417" s="52"/>
      <c r="O417" s="97"/>
      <c r="P417" s="52"/>
      <c r="Q417" s="52"/>
      <c r="R417" s="54"/>
      <c r="S417" s="54"/>
    </row>
    <row r="418" spans="14:19" ht="13.2">
      <c r="N418" s="52"/>
      <c r="O418" s="97"/>
      <c r="P418" s="52"/>
      <c r="Q418" s="52"/>
      <c r="R418" s="54"/>
      <c r="S418" s="54"/>
    </row>
    <row r="419" spans="14:19" ht="13.2">
      <c r="N419" s="52"/>
      <c r="O419" s="97"/>
      <c r="P419" s="52"/>
      <c r="Q419" s="52"/>
      <c r="R419" s="54"/>
      <c r="S419" s="54"/>
    </row>
    <row r="420" spans="14:19" ht="13.2">
      <c r="N420" s="52"/>
      <c r="O420" s="97"/>
      <c r="P420" s="52"/>
      <c r="Q420" s="52"/>
      <c r="R420" s="54"/>
      <c r="S420" s="54"/>
    </row>
    <row r="421" spans="14:19" ht="13.2">
      <c r="N421" s="52"/>
      <c r="O421" s="97"/>
      <c r="P421" s="52"/>
      <c r="Q421" s="52"/>
      <c r="R421" s="54"/>
      <c r="S421" s="54"/>
    </row>
    <row r="422" spans="14:19" ht="13.2">
      <c r="N422" s="52"/>
      <c r="O422" s="97"/>
      <c r="P422" s="52"/>
      <c r="Q422" s="52"/>
      <c r="R422" s="54"/>
      <c r="S422" s="54"/>
    </row>
    <row r="423" spans="14:19" ht="13.2">
      <c r="N423" s="52"/>
      <c r="O423" s="97"/>
      <c r="P423" s="52"/>
      <c r="Q423" s="52"/>
      <c r="R423" s="54"/>
      <c r="S423" s="54"/>
    </row>
    <row r="424" spans="14:19" ht="13.2">
      <c r="N424" s="52"/>
      <c r="O424" s="97"/>
      <c r="P424" s="52"/>
      <c r="Q424" s="52"/>
      <c r="R424" s="54"/>
      <c r="S424" s="54"/>
    </row>
    <row r="425" spans="14:19" ht="13.2">
      <c r="N425" s="52"/>
      <c r="O425" s="97"/>
      <c r="P425" s="52"/>
      <c r="Q425" s="52"/>
      <c r="R425" s="54"/>
      <c r="S425" s="54"/>
    </row>
    <row r="426" spans="14:19" ht="13.2">
      <c r="N426" s="52"/>
      <c r="O426" s="97"/>
      <c r="P426" s="52"/>
      <c r="Q426" s="52"/>
      <c r="R426" s="54"/>
      <c r="S426" s="54"/>
    </row>
    <row r="427" spans="14:19" ht="13.2">
      <c r="N427" s="52"/>
      <c r="O427" s="97"/>
      <c r="P427" s="52"/>
      <c r="Q427" s="52"/>
      <c r="R427" s="54"/>
      <c r="S427" s="54"/>
    </row>
    <row r="428" spans="14:19" ht="13.2">
      <c r="N428" s="52"/>
      <c r="O428" s="97"/>
      <c r="P428" s="52"/>
      <c r="Q428" s="52"/>
      <c r="R428" s="54"/>
      <c r="S428" s="54"/>
    </row>
    <row r="429" spans="14:19" ht="13.2">
      <c r="N429" s="52"/>
      <c r="O429" s="97"/>
      <c r="P429" s="52"/>
      <c r="Q429" s="52"/>
      <c r="R429" s="54"/>
      <c r="S429" s="54"/>
    </row>
    <row r="430" spans="14:19" ht="13.2">
      <c r="N430" s="52"/>
      <c r="O430" s="97"/>
      <c r="P430" s="52"/>
      <c r="Q430" s="52"/>
      <c r="R430" s="54"/>
      <c r="S430" s="54"/>
    </row>
    <row r="431" spans="14:19" ht="13.2">
      <c r="N431" s="52"/>
      <c r="O431" s="97"/>
      <c r="P431" s="52"/>
      <c r="Q431" s="52"/>
      <c r="R431" s="54"/>
      <c r="S431" s="54"/>
    </row>
    <row r="432" spans="14:19" ht="13.2">
      <c r="N432" s="52"/>
      <c r="O432" s="97"/>
      <c r="P432" s="52"/>
      <c r="Q432" s="52"/>
      <c r="R432" s="54"/>
      <c r="S432" s="54"/>
    </row>
    <row r="433" spans="14:19" ht="13.2">
      <c r="N433" s="52"/>
      <c r="O433" s="97"/>
      <c r="P433" s="52"/>
      <c r="Q433" s="52"/>
      <c r="R433" s="54"/>
      <c r="S433" s="54"/>
    </row>
    <row r="434" spans="14:19" ht="13.2">
      <c r="N434" s="52"/>
      <c r="O434" s="97"/>
      <c r="P434" s="52"/>
      <c r="Q434" s="52"/>
      <c r="R434" s="54"/>
      <c r="S434" s="54"/>
    </row>
    <row r="435" spans="14:19" ht="13.2">
      <c r="N435" s="52"/>
      <c r="O435" s="97"/>
      <c r="P435" s="52"/>
      <c r="Q435" s="52"/>
      <c r="R435" s="54"/>
      <c r="S435" s="54"/>
    </row>
    <row r="436" spans="14:19" ht="13.2">
      <c r="N436" s="52"/>
      <c r="O436" s="97"/>
      <c r="P436" s="52"/>
      <c r="Q436" s="52"/>
      <c r="R436" s="54"/>
      <c r="S436" s="54"/>
    </row>
    <row r="437" spans="14:19" ht="13.2">
      <c r="N437" s="52"/>
      <c r="O437" s="97"/>
      <c r="P437" s="52"/>
      <c r="Q437" s="52"/>
      <c r="R437" s="54"/>
      <c r="S437" s="54"/>
    </row>
    <row r="438" spans="14:19" ht="13.2">
      <c r="N438" s="52"/>
      <c r="O438" s="97"/>
      <c r="P438" s="52"/>
      <c r="Q438" s="52"/>
      <c r="R438" s="54"/>
      <c r="S438" s="54"/>
    </row>
    <row r="439" spans="14:19" ht="13.2">
      <c r="N439" s="52"/>
      <c r="O439" s="97"/>
      <c r="P439" s="52"/>
      <c r="Q439" s="52"/>
      <c r="R439" s="54"/>
      <c r="S439" s="54"/>
    </row>
    <row r="440" spans="14:19" ht="13.2">
      <c r="N440" s="52"/>
      <c r="O440" s="97"/>
      <c r="P440" s="52"/>
      <c r="Q440" s="52"/>
      <c r="R440" s="54"/>
      <c r="S440" s="54"/>
    </row>
    <row r="441" spans="14:19" ht="13.2">
      <c r="N441" s="52"/>
      <c r="O441" s="97"/>
      <c r="P441" s="52"/>
      <c r="Q441" s="52"/>
      <c r="R441" s="54"/>
      <c r="S441" s="54"/>
    </row>
    <row r="442" spans="14:19" ht="13.2">
      <c r="N442" s="52"/>
      <c r="O442" s="97"/>
      <c r="P442" s="52"/>
      <c r="Q442" s="52"/>
      <c r="R442" s="54"/>
      <c r="S442" s="54"/>
    </row>
    <row r="443" spans="14:19" ht="13.2">
      <c r="N443" s="52"/>
      <c r="O443" s="97"/>
      <c r="P443" s="52"/>
      <c r="Q443" s="52"/>
      <c r="R443" s="54"/>
      <c r="S443" s="54"/>
    </row>
    <row r="444" spans="14:19" ht="13.2">
      <c r="N444" s="52"/>
      <c r="O444" s="97"/>
      <c r="P444" s="52"/>
      <c r="Q444" s="52"/>
      <c r="R444" s="54"/>
      <c r="S444" s="54"/>
    </row>
    <row r="445" spans="14:19" ht="13.2">
      <c r="N445" s="52"/>
      <c r="O445" s="97"/>
      <c r="P445" s="52"/>
      <c r="Q445" s="52"/>
      <c r="R445" s="54"/>
      <c r="S445" s="54"/>
    </row>
    <row r="446" spans="14:19" ht="13.2">
      <c r="N446" s="52"/>
      <c r="O446" s="97"/>
      <c r="P446" s="52"/>
      <c r="Q446" s="52"/>
      <c r="R446" s="54"/>
      <c r="S446" s="54"/>
    </row>
    <row r="447" spans="14:19" ht="13.2">
      <c r="N447" s="52"/>
      <c r="O447" s="97"/>
      <c r="P447" s="52"/>
      <c r="Q447" s="52"/>
      <c r="R447" s="54"/>
      <c r="S447" s="54"/>
    </row>
    <row r="448" spans="14:19" ht="13.2">
      <c r="N448" s="52"/>
      <c r="O448" s="97"/>
      <c r="P448" s="52"/>
      <c r="Q448" s="52"/>
      <c r="R448" s="54"/>
      <c r="S448" s="54"/>
    </row>
    <row r="449" spans="14:19" ht="13.2">
      <c r="N449" s="52"/>
      <c r="O449" s="97"/>
      <c r="P449" s="52"/>
      <c r="Q449" s="52"/>
      <c r="R449" s="54"/>
      <c r="S449" s="54"/>
    </row>
    <row r="450" spans="14:19" ht="13.2">
      <c r="N450" s="52"/>
      <c r="O450" s="97"/>
      <c r="P450" s="52"/>
      <c r="Q450" s="52"/>
      <c r="R450" s="54"/>
      <c r="S450" s="54"/>
    </row>
    <row r="451" spans="14:19" ht="13.2">
      <c r="N451" s="52"/>
      <c r="O451" s="97"/>
      <c r="P451" s="52"/>
      <c r="Q451" s="52"/>
      <c r="R451" s="54"/>
      <c r="S451" s="54"/>
    </row>
    <row r="452" spans="14:19" ht="13.2">
      <c r="N452" s="52"/>
      <c r="O452" s="97"/>
      <c r="P452" s="52"/>
      <c r="Q452" s="52"/>
      <c r="R452" s="54"/>
      <c r="S452" s="54"/>
    </row>
    <row r="453" spans="14:19" ht="13.2">
      <c r="N453" s="52"/>
      <c r="O453" s="97"/>
      <c r="P453" s="52"/>
      <c r="Q453" s="52"/>
      <c r="R453" s="54"/>
      <c r="S453" s="54"/>
    </row>
    <row r="454" spans="14:19" ht="13.2">
      <c r="N454" s="52"/>
      <c r="O454" s="97"/>
      <c r="P454" s="52"/>
      <c r="Q454" s="52"/>
      <c r="R454" s="54"/>
      <c r="S454" s="54"/>
    </row>
    <row r="455" spans="14:19" ht="13.2">
      <c r="N455" s="52"/>
      <c r="O455" s="97"/>
      <c r="P455" s="52"/>
      <c r="Q455" s="52"/>
      <c r="R455" s="54"/>
      <c r="S455" s="54"/>
    </row>
    <row r="456" spans="14:19" ht="13.2">
      <c r="N456" s="52"/>
      <c r="O456" s="97"/>
      <c r="P456" s="52"/>
      <c r="Q456" s="52"/>
      <c r="R456" s="54"/>
      <c r="S456" s="54"/>
    </row>
    <row r="457" spans="14:19" ht="13.2">
      <c r="N457" s="52"/>
      <c r="O457" s="97"/>
      <c r="P457" s="52"/>
      <c r="Q457" s="52"/>
      <c r="R457" s="54"/>
      <c r="S457" s="54"/>
    </row>
    <row r="458" spans="14:19" ht="13.2">
      <c r="N458" s="52"/>
      <c r="O458" s="97"/>
      <c r="P458" s="52"/>
      <c r="Q458" s="52"/>
      <c r="R458" s="54"/>
      <c r="S458" s="54"/>
    </row>
    <row r="459" spans="14:19" ht="13.2">
      <c r="N459" s="52"/>
      <c r="O459" s="97"/>
      <c r="P459" s="52"/>
      <c r="Q459" s="52"/>
      <c r="R459" s="54"/>
      <c r="S459" s="54"/>
    </row>
    <row r="460" spans="14:19" ht="13.2">
      <c r="N460" s="52"/>
      <c r="O460" s="97"/>
      <c r="P460" s="52"/>
      <c r="Q460" s="52"/>
      <c r="R460" s="54"/>
      <c r="S460" s="54"/>
    </row>
    <row r="461" spans="14:19" ht="13.2">
      <c r="N461" s="52"/>
      <c r="O461" s="97"/>
      <c r="P461" s="52"/>
      <c r="Q461" s="52"/>
      <c r="R461" s="54"/>
      <c r="S461" s="54"/>
    </row>
    <row r="462" spans="14:19" ht="13.2">
      <c r="N462" s="52"/>
      <c r="O462" s="97"/>
      <c r="P462" s="52"/>
      <c r="Q462" s="52"/>
      <c r="R462" s="54"/>
      <c r="S462" s="54"/>
    </row>
    <row r="463" spans="14:19" ht="13.2">
      <c r="N463" s="52"/>
      <c r="O463" s="97"/>
      <c r="P463" s="52"/>
      <c r="Q463" s="52"/>
      <c r="R463" s="54"/>
      <c r="S463" s="54"/>
    </row>
    <row r="464" spans="14:19" ht="13.2">
      <c r="N464" s="52"/>
      <c r="O464" s="97"/>
      <c r="P464" s="52"/>
      <c r="Q464" s="52"/>
      <c r="R464" s="54"/>
      <c r="S464" s="54"/>
    </row>
    <row r="465" spans="14:19" ht="13.2">
      <c r="N465" s="52"/>
      <c r="O465" s="97"/>
      <c r="P465" s="52"/>
      <c r="Q465" s="52"/>
      <c r="R465" s="54"/>
      <c r="S465" s="54"/>
    </row>
    <row r="466" spans="14:19" ht="13.2">
      <c r="N466" s="52"/>
      <c r="O466" s="97"/>
      <c r="P466" s="52"/>
      <c r="Q466" s="52"/>
      <c r="R466" s="54"/>
      <c r="S466" s="54"/>
    </row>
    <row r="467" spans="14:19" ht="13.2">
      <c r="N467" s="52"/>
      <c r="O467" s="97"/>
      <c r="P467" s="52"/>
      <c r="Q467" s="52"/>
      <c r="R467" s="54"/>
      <c r="S467" s="54"/>
    </row>
    <row r="468" spans="14:19" ht="13.2">
      <c r="N468" s="52"/>
      <c r="O468" s="97"/>
      <c r="P468" s="52"/>
      <c r="Q468" s="52"/>
      <c r="R468" s="54"/>
      <c r="S468" s="54"/>
    </row>
    <row r="469" spans="14:19" ht="13.2">
      <c r="N469" s="52"/>
      <c r="O469" s="97"/>
      <c r="P469" s="52"/>
      <c r="Q469" s="52"/>
      <c r="R469" s="54"/>
      <c r="S469" s="54"/>
    </row>
    <row r="470" spans="14:19" ht="13.2">
      <c r="N470" s="52"/>
      <c r="O470" s="97"/>
      <c r="P470" s="52"/>
      <c r="Q470" s="52"/>
      <c r="R470" s="54"/>
      <c r="S470" s="54"/>
    </row>
    <row r="471" spans="14:19" ht="13.2">
      <c r="N471" s="52"/>
      <c r="O471" s="97"/>
      <c r="P471" s="52"/>
      <c r="Q471" s="52"/>
      <c r="R471" s="54"/>
      <c r="S471" s="54"/>
    </row>
    <row r="472" spans="14:19" ht="13.2">
      <c r="N472" s="52"/>
      <c r="O472" s="97"/>
      <c r="P472" s="52"/>
      <c r="Q472" s="52"/>
      <c r="R472" s="54"/>
      <c r="S472" s="54"/>
    </row>
    <row r="473" spans="14:19" ht="13.2">
      <c r="N473" s="52"/>
      <c r="O473" s="97"/>
      <c r="P473" s="52"/>
      <c r="Q473" s="52"/>
      <c r="R473" s="54"/>
      <c r="S473" s="54"/>
    </row>
    <row r="474" spans="14:19" ht="13.2">
      <c r="N474" s="52"/>
      <c r="O474" s="97"/>
      <c r="P474" s="52"/>
      <c r="Q474" s="52"/>
      <c r="R474" s="54"/>
      <c r="S474" s="54"/>
    </row>
    <row r="475" spans="14:19" ht="13.2">
      <c r="N475" s="52"/>
      <c r="O475" s="97"/>
      <c r="P475" s="52"/>
      <c r="Q475" s="52"/>
      <c r="R475" s="54"/>
      <c r="S475" s="54"/>
    </row>
    <row r="476" spans="14:19" ht="13.2">
      <c r="N476" s="52"/>
      <c r="O476" s="97"/>
      <c r="P476" s="52"/>
      <c r="Q476" s="52"/>
      <c r="R476" s="54"/>
      <c r="S476" s="54"/>
    </row>
    <row r="477" spans="14:19" ht="13.2">
      <c r="N477" s="52"/>
      <c r="O477" s="97"/>
      <c r="P477" s="52"/>
      <c r="Q477" s="52"/>
      <c r="R477" s="54"/>
      <c r="S477" s="54"/>
    </row>
    <row r="478" spans="14:19" ht="13.2">
      <c r="N478" s="52"/>
      <c r="O478" s="97"/>
      <c r="P478" s="52"/>
      <c r="Q478" s="52"/>
      <c r="R478" s="54"/>
      <c r="S478" s="54"/>
    </row>
    <row r="479" spans="14:19" ht="13.2">
      <c r="N479" s="52"/>
      <c r="O479" s="97"/>
      <c r="P479" s="52"/>
      <c r="Q479" s="52"/>
      <c r="R479" s="54"/>
      <c r="S479" s="54"/>
    </row>
    <row r="480" spans="14:19" ht="13.2">
      <c r="N480" s="52"/>
      <c r="O480" s="97"/>
      <c r="P480" s="52"/>
      <c r="Q480" s="52"/>
      <c r="R480" s="54"/>
      <c r="S480" s="54"/>
    </row>
    <row r="481" spans="14:19" ht="13.2">
      <c r="N481" s="52"/>
      <c r="O481" s="97"/>
      <c r="P481" s="52"/>
      <c r="Q481" s="52"/>
      <c r="R481" s="54"/>
      <c r="S481" s="54"/>
    </row>
    <row r="482" spans="14:19" ht="13.2">
      <c r="N482" s="52"/>
      <c r="O482" s="97"/>
      <c r="P482" s="52"/>
      <c r="Q482" s="52"/>
      <c r="R482" s="54"/>
      <c r="S482" s="54"/>
    </row>
    <row r="483" spans="14:19" ht="13.2">
      <c r="N483" s="52"/>
      <c r="O483" s="97"/>
      <c r="P483" s="52"/>
      <c r="Q483" s="52"/>
      <c r="R483" s="54"/>
      <c r="S483" s="54"/>
    </row>
    <row r="484" spans="14:19" ht="13.2">
      <c r="N484" s="52"/>
      <c r="O484" s="97"/>
      <c r="P484" s="52"/>
      <c r="Q484" s="52"/>
      <c r="R484" s="54"/>
      <c r="S484" s="54"/>
    </row>
    <row r="485" spans="14:19" ht="13.2">
      <c r="N485" s="52"/>
      <c r="O485" s="97"/>
      <c r="P485" s="52"/>
      <c r="Q485" s="52"/>
      <c r="R485" s="54"/>
      <c r="S485" s="54"/>
    </row>
    <row r="486" spans="14:19" ht="13.2">
      <c r="N486" s="52"/>
      <c r="O486" s="97"/>
      <c r="P486" s="52"/>
      <c r="Q486" s="52"/>
      <c r="R486" s="54"/>
      <c r="S486" s="54"/>
    </row>
    <row r="487" spans="14:19" ht="13.2">
      <c r="N487" s="52"/>
      <c r="O487" s="97"/>
      <c r="P487" s="52"/>
      <c r="Q487" s="52"/>
      <c r="R487" s="54"/>
      <c r="S487" s="54"/>
    </row>
    <row r="488" spans="14:19" ht="13.2">
      <c r="N488" s="52"/>
      <c r="O488" s="97"/>
      <c r="P488" s="52"/>
      <c r="Q488" s="52"/>
      <c r="R488" s="54"/>
      <c r="S488" s="54"/>
    </row>
    <row r="489" spans="14:19" ht="13.2">
      <c r="N489" s="52"/>
      <c r="O489" s="97"/>
      <c r="P489" s="52"/>
      <c r="Q489" s="52"/>
      <c r="R489" s="54"/>
      <c r="S489" s="54"/>
    </row>
    <row r="490" spans="14:19" ht="13.2">
      <c r="N490" s="52"/>
      <c r="O490" s="97"/>
      <c r="P490" s="52"/>
      <c r="Q490" s="52"/>
      <c r="R490" s="54"/>
      <c r="S490" s="54"/>
    </row>
    <row r="491" spans="14:19" ht="13.2">
      <c r="N491" s="52"/>
      <c r="O491" s="97"/>
      <c r="P491" s="52"/>
      <c r="Q491" s="52"/>
      <c r="R491" s="54"/>
      <c r="S491" s="54"/>
    </row>
    <row r="492" spans="14:19" ht="13.2">
      <c r="N492" s="52"/>
      <c r="O492" s="97"/>
      <c r="P492" s="52"/>
      <c r="Q492" s="52"/>
      <c r="R492" s="54"/>
      <c r="S492" s="54"/>
    </row>
    <row r="493" spans="14:19" ht="13.2">
      <c r="N493" s="52"/>
      <c r="O493" s="97"/>
      <c r="P493" s="52"/>
      <c r="Q493" s="52"/>
      <c r="R493" s="54"/>
      <c r="S493" s="54"/>
    </row>
    <row r="494" spans="14:19" ht="13.2">
      <c r="N494" s="52"/>
      <c r="O494" s="97"/>
      <c r="P494" s="52"/>
      <c r="Q494" s="52"/>
      <c r="R494" s="54"/>
      <c r="S494" s="54"/>
    </row>
    <row r="495" spans="14:19" ht="13.2">
      <c r="N495" s="52"/>
      <c r="O495" s="97"/>
      <c r="P495" s="52"/>
      <c r="Q495" s="52"/>
      <c r="R495" s="54"/>
      <c r="S495" s="54"/>
    </row>
    <row r="496" spans="14:19" ht="13.2">
      <c r="N496" s="52"/>
      <c r="O496" s="97"/>
      <c r="P496" s="52"/>
      <c r="Q496" s="52"/>
      <c r="R496" s="54"/>
      <c r="S496" s="54"/>
    </row>
    <row r="497" spans="14:19" ht="13.2">
      <c r="N497" s="52"/>
      <c r="O497" s="97"/>
      <c r="P497" s="52"/>
      <c r="Q497" s="52"/>
      <c r="R497" s="54"/>
      <c r="S497" s="54"/>
    </row>
    <row r="498" spans="14:19" ht="13.2">
      <c r="N498" s="52"/>
      <c r="O498" s="97"/>
      <c r="P498" s="52"/>
      <c r="Q498" s="52"/>
      <c r="R498" s="54"/>
      <c r="S498" s="54"/>
    </row>
    <row r="499" spans="14:19" ht="13.2">
      <c r="N499" s="52"/>
      <c r="O499" s="97"/>
      <c r="P499" s="52"/>
      <c r="Q499" s="52"/>
      <c r="R499" s="54"/>
      <c r="S499" s="54"/>
    </row>
    <row r="500" spans="14:19" ht="13.2">
      <c r="N500" s="52"/>
      <c r="O500" s="97"/>
      <c r="P500" s="52"/>
      <c r="Q500" s="52"/>
      <c r="R500" s="54"/>
      <c r="S500" s="54"/>
    </row>
    <row r="501" spans="14:19" ht="13.2">
      <c r="N501" s="52"/>
      <c r="O501" s="97"/>
      <c r="P501" s="52"/>
      <c r="Q501" s="52"/>
      <c r="R501" s="54"/>
      <c r="S501" s="54"/>
    </row>
    <row r="502" spans="14:19" ht="13.2">
      <c r="N502" s="52"/>
      <c r="O502" s="97"/>
      <c r="P502" s="52"/>
      <c r="Q502" s="52"/>
      <c r="R502" s="54"/>
      <c r="S502" s="54"/>
    </row>
    <row r="503" spans="14:19" ht="13.2">
      <c r="N503" s="52"/>
      <c r="O503" s="97"/>
      <c r="P503" s="52"/>
      <c r="Q503" s="52"/>
      <c r="R503" s="54"/>
      <c r="S503" s="54"/>
    </row>
    <row r="504" spans="14:19" ht="13.2">
      <c r="N504" s="52"/>
      <c r="O504" s="97"/>
      <c r="P504" s="52"/>
      <c r="Q504" s="52"/>
      <c r="R504" s="54"/>
      <c r="S504" s="54"/>
    </row>
    <row r="505" spans="14:19" ht="13.2">
      <c r="N505" s="52"/>
      <c r="O505" s="97"/>
      <c r="P505" s="52"/>
      <c r="Q505" s="52"/>
      <c r="R505" s="54"/>
      <c r="S505" s="54"/>
    </row>
    <row r="506" spans="14:19" ht="13.2">
      <c r="N506" s="52"/>
      <c r="O506" s="97"/>
      <c r="P506" s="52"/>
      <c r="Q506" s="52"/>
      <c r="R506" s="54"/>
      <c r="S506" s="54"/>
    </row>
    <row r="507" spans="14:19" ht="13.2">
      <c r="N507" s="52"/>
      <c r="O507" s="97"/>
      <c r="P507" s="52"/>
      <c r="Q507" s="52"/>
      <c r="R507" s="54"/>
      <c r="S507" s="54"/>
    </row>
    <row r="508" spans="14:19" ht="13.2">
      <c r="N508" s="52"/>
      <c r="O508" s="97"/>
      <c r="P508" s="52"/>
      <c r="Q508" s="52"/>
      <c r="R508" s="54"/>
      <c r="S508" s="54"/>
    </row>
    <row r="509" spans="14:19" ht="13.2">
      <c r="N509" s="52"/>
      <c r="O509" s="97"/>
      <c r="P509" s="52"/>
      <c r="Q509" s="52"/>
      <c r="R509" s="54"/>
      <c r="S509" s="54"/>
    </row>
    <row r="510" spans="14:19" ht="13.2">
      <c r="N510" s="52"/>
      <c r="O510" s="97"/>
      <c r="P510" s="52"/>
      <c r="Q510" s="52"/>
      <c r="R510" s="54"/>
      <c r="S510" s="54"/>
    </row>
    <row r="511" spans="14:19" ht="13.2">
      <c r="N511" s="52"/>
      <c r="O511" s="97"/>
      <c r="P511" s="52"/>
      <c r="Q511" s="52"/>
      <c r="R511" s="54"/>
      <c r="S511" s="54"/>
    </row>
    <row r="512" spans="14:19" ht="13.2">
      <c r="N512" s="52"/>
      <c r="O512" s="97"/>
      <c r="P512" s="52"/>
      <c r="Q512" s="52"/>
      <c r="R512" s="54"/>
      <c r="S512" s="54"/>
    </row>
    <row r="513" spans="14:19" ht="13.2">
      <c r="N513" s="52"/>
      <c r="O513" s="97"/>
      <c r="P513" s="52"/>
      <c r="Q513" s="52"/>
      <c r="R513" s="54"/>
      <c r="S513" s="54"/>
    </row>
    <row r="514" spans="14:19" ht="13.2">
      <c r="N514" s="52"/>
      <c r="O514" s="97"/>
      <c r="P514" s="52"/>
      <c r="Q514" s="52"/>
      <c r="R514" s="54"/>
      <c r="S514" s="54"/>
    </row>
    <row r="515" spans="14:19" ht="13.2">
      <c r="N515" s="52"/>
      <c r="O515" s="97"/>
      <c r="P515" s="52"/>
      <c r="Q515" s="52"/>
      <c r="R515" s="54"/>
      <c r="S515" s="54"/>
    </row>
    <row r="516" spans="14:19" ht="13.2">
      <c r="N516" s="52"/>
      <c r="O516" s="97"/>
      <c r="P516" s="52"/>
      <c r="Q516" s="52"/>
      <c r="R516" s="54"/>
      <c r="S516" s="54"/>
    </row>
    <row r="517" spans="14:19" ht="13.2">
      <c r="N517" s="52"/>
      <c r="O517" s="97"/>
      <c r="P517" s="52"/>
      <c r="Q517" s="52"/>
      <c r="R517" s="54"/>
      <c r="S517" s="54"/>
    </row>
    <row r="518" spans="14:19" ht="13.2">
      <c r="N518" s="52"/>
      <c r="O518" s="97"/>
      <c r="P518" s="52"/>
      <c r="Q518" s="52"/>
      <c r="R518" s="54"/>
      <c r="S518" s="54"/>
    </row>
    <row r="519" spans="14:19" ht="13.2">
      <c r="N519" s="52"/>
      <c r="O519" s="97"/>
      <c r="P519" s="52"/>
      <c r="Q519" s="52"/>
      <c r="R519" s="54"/>
      <c r="S519" s="54"/>
    </row>
    <row r="520" spans="14:19" ht="13.2">
      <c r="N520" s="52"/>
      <c r="O520" s="97"/>
      <c r="P520" s="52"/>
      <c r="Q520" s="52"/>
      <c r="R520" s="54"/>
      <c r="S520" s="54"/>
    </row>
    <row r="521" spans="14:19" ht="13.2">
      <c r="N521" s="52"/>
      <c r="O521" s="97"/>
      <c r="P521" s="52"/>
      <c r="Q521" s="52"/>
      <c r="R521" s="54"/>
      <c r="S521" s="54"/>
    </row>
    <row r="522" spans="14:19" ht="13.2">
      <c r="N522" s="52"/>
      <c r="O522" s="97"/>
      <c r="P522" s="52"/>
      <c r="Q522" s="52"/>
      <c r="R522" s="54"/>
      <c r="S522" s="54"/>
    </row>
    <row r="523" spans="14:19" ht="13.2">
      <c r="N523" s="52"/>
      <c r="O523" s="97"/>
      <c r="P523" s="52"/>
      <c r="Q523" s="52"/>
      <c r="R523" s="54"/>
      <c r="S523" s="54"/>
    </row>
    <row r="524" spans="14:19" ht="13.2">
      <c r="N524" s="52"/>
      <c r="O524" s="97"/>
      <c r="P524" s="52"/>
      <c r="Q524" s="52"/>
      <c r="R524" s="54"/>
      <c r="S524" s="54"/>
    </row>
    <row r="525" spans="14:19" ht="13.2">
      <c r="N525" s="52"/>
      <c r="O525" s="97"/>
      <c r="P525" s="52"/>
      <c r="Q525" s="52"/>
      <c r="R525" s="54"/>
      <c r="S525" s="54"/>
    </row>
    <row r="526" spans="14:19" ht="13.2">
      <c r="N526" s="52"/>
      <c r="O526" s="97"/>
      <c r="P526" s="52"/>
      <c r="Q526" s="52"/>
      <c r="R526" s="54"/>
      <c r="S526" s="54"/>
    </row>
    <row r="527" spans="14:19" ht="13.2">
      <c r="N527" s="52"/>
      <c r="O527" s="97"/>
      <c r="P527" s="52"/>
      <c r="Q527" s="52"/>
      <c r="R527" s="54"/>
      <c r="S527" s="54"/>
    </row>
    <row r="528" spans="14:19" ht="13.2">
      <c r="N528" s="52"/>
      <c r="O528" s="97"/>
      <c r="P528" s="52"/>
      <c r="Q528" s="52"/>
      <c r="R528" s="54"/>
      <c r="S528" s="54"/>
    </row>
    <row r="529" spans="14:19" ht="13.2">
      <c r="N529" s="52"/>
      <c r="O529" s="97"/>
      <c r="P529" s="52"/>
      <c r="Q529" s="52"/>
      <c r="R529" s="54"/>
      <c r="S529" s="54"/>
    </row>
    <row r="530" spans="14:19" ht="13.2">
      <c r="N530" s="52"/>
      <c r="O530" s="97"/>
      <c r="P530" s="52"/>
      <c r="Q530" s="52"/>
      <c r="R530" s="54"/>
      <c r="S530" s="54"/>
    </row>
    <row r="531" spans="14:19" ht="13.2">
      <c r="N531" s="52"/>
      <c r="O531" s="97"/>
      <c r="P531" s="52"/>
      <c r="Q531" s="52"/>
      <c r="R531" s="54"/>
      <c r="S531" s="54"/>
    </row>
    <row r="532" spans="14:19" ht="13.2">
      <c r="N532" s="52"/>
      <c r="O532" s="97"/>
      <c r="P532" s="52"/>
      <c r="Q532" s="52"/>
      <c r="R532" s="54"/>
      <c r="S532" s="54"/>
    </row>
    <row r="533" spans="14:19" ht="13.2">
      <c r="N533" s="52"/>
      <c r="O533" s="97"/>
      <c r="P533" s="52"/>
      <c r="Q533" s="52"/>
      <c r="R533" s="54"/>
      <c r="S533" s="54"/>
    </row>
    <row r="534" spans="14:19" ht="13.2">
      <c r="N534" s="52"/>
      <c r="O534" s="97"/>
      <c r="P534" s="52"/>
      <c r="Q534" s="52"/>
      <c r="R534" s="54"/>
      <c r="S534" s="54"/>
    </row>
    <row r="535" spans="14:19" ht="13.2">
      <c r="N535" s="52"/>
      <c r="O535" s="97"/>
      <c r="P535" s="52"/>
      <c r="Q535" s="52"/>
      <c r="R535" s="54"/>
      <c r="S535" s="54"/>
    </row>
    <row r="536" spans="14:19" ht="13.2">
      <c r="N536" s="52"/>
      <c r="O536" s="97"/>
      <c r="P536" s="52"/>
      <c r="Q536" s="52"/>
      <c r="R536" s="54"/>
      <c r="S536" s="54"/>
    </row>
    <row r="537" spans="14:19" ht="13.2">
      <c r="N537" s="52"/>
      <c r="O537" s="97"/>
      <c r="P537" s="52"/>
      <c r="Q537" s="52"/>
      <c r="R537" s="54"/>
      <c r="S537" s="54"/>
    </row>
    <row r="538" spans="14:19" ht="13.2">
      <c r="N538" s="52"/>
      <c r="O538" s="97"/>
      <c r="P538" s="52"/>
      <c r="Q538" s="52"/>
      <c r="R538" s="54"/>
      <c r="S538" s="54"/>
    </row>
    <row r="539" spans="14:19" ht="13.2">
      <c r="N539" s="52"/>
      <c r="O539" s="97"/>
      <c r="P539" s="52"/>
      <c r="Q539" s="52"/>
      <c r="R539" s="54"/>
      <c r="S539" s="54"/>
    </row>
    <row r="540" spans="14:19" ht="13.2">
      <c r="N540" s="52"/>
      <c r="O540" s="97"/>
      <c r="P540" s="52"/>
      <c r="Q540" s="52"/>
      <c r="R540" s="54"/>
      <c r="S540" s="54"/>
    </row>
    <row r="541" spans="14:19" ht="13.2">
      <c r="N541" s="52"/>
      <c r="O541" s="97"/>
      <c r="P541" s="52"/>
      <c r="Q541" s="52"/>
      <c r="R541" s="54"/>
      <c r="S541" s="54"/>
    </row>
    <row r="542" spans="14:19" ht="13.2">
      <c r="N542" s="52"/>
      <c r="O542" s="97"/>
      <c r="P542" s="52"/>
      <c r="Q542" s="52"/>
      <c r="R542" s="54"/>
      <c r="S542" s="54"/>
    </row>
    <row r="543" spans="14:19" ht="13.2">
      <c r="N543" s="52"/>
      <c r="O543" s="97"/>
      <c r="P543" s="52"/>
      <c r="Q543" s="52"/>
      <c r="R543" s="54"/>
      <c r="S543" s="54"/>
    </row>
    <row r="544" spans="14:19" ht="13.2">
      <c r="N544" s="52"/>
      <c r="O544" s="97"/>
      <c r="P544" s="52"/>
      <c r="Q544" s="52"/>
      <c r="R544" s="54"/>
      <c r="S544" s="54"/>
    </row>
    <row r="545" spans="14:19" ht="13.2">
      <c r="N545" s="52"/>
      <c r="O545" s="97"/>
      <c r="P545" s="52"/>
      <c r="Q545" s="52"/>
      <c r="R545" s="54"/>
      <c r="S545" s="54"/>
    </row>
    <row r="546" spans="14:19" ht="13.2">
      <c r="N546" s="52"/>
      <c r="O546" s="97"/>
      <c r="P546" s="52"/>
      <c r="Q546" s="52"/>
      <c r="R546" s="54"/>
      <c r="S546" s="54"/>
    </row>
    <row r="547" spans="14:19" ht="13.2">
      <c r="N547" s="52"/>
      <c r="O547" s="97"/>
      <c r="P547" s="52"/>
      <c r="Q547" s="52"/>
      <c r="R547" s="54"/>
      <c r="S547" s="54"/>
    </row>
    <row r="548" spans="14:19" ht="13.2">
      <c r="N548" s="52"/>
      <c r="O548" s="97"/>
      <c r="P548" s="52"/>
      <c r="Q548" s="52"/>
      <c r="R548" s="54"/>
      <c r="S548" s="54"/>
    </row>
    <row r="549" spans="14:19" ht="13.2">
      <c r="N549" s="52"/>
      <c r="O549" s="97"/>
      <c r="P549" s="52"/>
      <c r="Q549" s="52"/>
      <c r="R549" s="54"/>
      <c r="S549" s="54"/>
    </row>
    <row r="550" spans="14:19" ht="13.2">
      <c r="N550" s="52"/>
      <c r="O550" s="97"/>
      <c r="P550" s="52"/>
      <c r="Q550" s="52"/>
      <c r="R550" s="54"/>
      <c r="S550" s="54"/>
    </row>
    <row r="551" spans="14:19" ht="13.2">
      <c r="N551" s="52"/>
      <c r="O551" s="97"/>
      <c r="P551" s="52"/>
      <c r="Q551" s="52"/>
      <c r="R551" s="54"/>
      <c r="S551" s="54"/>
    </row>
    <row r="552" spans="14:19" ht="13.2">
      <c r="N552" s="52"/>
      <c r="O552" s="97"/>
      <c r="P552" s="52"/>
      <c r="Q552" s="52"/>
      <c r="R552" s="54"/>
      <c r="S552" s="54"/>
    </row>
    <row r="553" spans="14:19" ht="13.2">
      <c r="N553" s="52"/>
      <c r="O553" s="97"/>
      <c r="P553" s="52"/>
      <c r="Q553" s="52"/>
      <c r="R553" s="54"/>
      <c r="S553" s="54"/>
    </row>
    <row r="554" spans="14:19" ht="13.2">
      <c r="N554" s="52"/>
      <c r="O554" s="97"/>
      <c r="P554" s="52"/>
      <c r="Q554" s="52"/>
      <c r="R554" s="54"/>
      <c r="S554" s="54"/>
    </row>
    <row r="555" spans="14:19" ht="13.2">
      <c r="N555" s="52"/>
      <c r="O555" s="97"/>
      <c r="P555" s="52"/>
      <c r="Q555" s="52"/>
      <c r="R555" s="54"/>
      <c r="S555" s="54"/>
    </row>
    <row r="556" spans="14:19" ht="13.2">
      <c r="N556" s="52"/>
      <c r="O556" s="97"/>
      <c r="P556" s="52"/>
      <c r="Q556" s="52"/>
      <c r="R556" s="54"/>
      <c r="S556" s="54"/>
    </row>
    <row r="557" spans="14:19" ht="13.2">
      <c r="N557" s="52"/>
      <c r="O557" s="97"/>
      <c r="P557" s="52"/>
      <c r="Q557" s="52"/>
      <c r="R557" s="54"/>
      <c r="S557" s="54"/>
    </row>
    <row r="558" spans="14:19" ht="13.2">
      <c r="N558" s="52"/>
      <c r="O558" s="97"/>
      <c r="P558" s="52"/>
      <c r="Q558" s="52"/>
      <c r="R558" s="54"/>
      <c r="S558" s="54"/>
    </row>
    <row r="559" spans="14:19" ht="13.2">
      <c r="N559" s="52"/>
      <c r="O559" s="97"/>
      <c r="P559" s="52"/>
      <c r="Q559" s="52"/>
      <c r="R559" s="54"/>
      <c r="S559" s="54"/>
    </row>
    <row r="560" spans="14:19" ht="13.2">
      <c r="N560" s="52"/>
      <c r="O560" s="97"/>
      <c r="P560" s="52"/>
      <c r="Q560" s="52"/>
      <c r="R560" s="54"/>
      <c r="S560" s="54"/>
    </row>
    <row r="561" spans="14:19" ht="13.2">
      <c r="N561" s="52"/>
      <c r="O561" s="97"/>
      <c r="P561" s="52"/>
      <c r="Q561" s="52"/>
      <c r="R561" s="54"/>
      <c r="S561" s="54"/>
    </row>
    <row r="562" spans="14:19" ht="13.2">
      <c r="N562" s="52"/>
      <c r="O562" s="97"/>
      <c r="P562" s="52"/>
      <c r="Q562" s="52"/>
      <c r="R562" s="54"/>
      <c r="S562" s="54"/>
    </row>
    <row r="563" spans="14:19" ht="13.2">
      <c r="N563" s="52"/>
      <c r="O563" s="97"/>
      <c r="P563" s="52"/>
      <c r="Q563" s="52"/>
      <c r="R563" s="54"/>
      <c r="S563" s="54"/>
    </row>
    <row r="564" spans="14:19" ht="13.2">
      <c r="N564" s="52"/>
      <c r="O564" s="97"/>
      <c r="P564" s="52"/>
      <c r="Q564" s="52"/>
      <c r="R564" s="54"/>
      <c r="S564" s="54"/>
    </row>
    <row r="565" spans="14:19" ht="13.2">
      <c r="N565" s="52"/>
      <c r="O565" s="97"/>
      <c r="P565" s="52"/>
      <c r="Q565" s="52"/>
      <c r="R565" s="54"/>
      <c r="S565" s="54"/>
    </row>
    <row r="566" spans="14:19" ht="13.2">
      <c r="N566" s="52"/>
      <c r="O566" s="97"/>
      <c r="P566" s="52"/>
      <c r="Q566" s="52"/>
      <c r="R566" s="54"/>
      <c r="S566" s="54"/>
    </row>
    <row r="567" spans="14:19" ht="13.2">
      <c r="N567" s="52"/>
      <c r="O567" s="97"/>
      <c r="P567" s="52"/>
      <c r="Q567" s="52"/>
      <c r="R567" s="54"/>
      <c r="S567" s="54"/>
    </row>
    <row r="568" spans="14:19" ht="13.2">
      <c r="N568" s="52"/>
      <c r="O568" s="97"/>
      <c r="P568" s="52"/>
      <c r="Q568" s="52"/>
      <c r="R568" s="54"/>
      <c r="S568" s="54"/>
    </row>
    <row r="569" spans="14:19" ht="13.2">
      <c r="N569" s="52"/>
      <c r="O569" s="97"/>
      <c r="P569" s="52"/>
      <c r="Q569" s="52"/>
      <c r="R569" s="54"/>
      <c r="S569" s="54"/>
    </row>
    <row r="570" spans="14:19" ht="13.2">
      <c r="N570" s="52"/>
      <c r="O570" s="97"/>
      <c r="P570" s="52"/>
      <c r="Q570" s="52"/>
      <c r="R570" s="54"/>
      <c r="S570" s="54"/>
    </row>
    <row r="571" spans="14:19" ht="13.2">
      <c r="N571" s="52"/>
      <c r="O571" s="97"/>
      <c r="P571" s="52"/>
      <c r="Q571" s="52"/>
      <c r="R571" s="54"/>
      <c r="S571" s="54"/>
    </row>
    <row r="572" spans="14:19" ht="13.2">
      <c r="N572" s="52"/>
      <c r="O572" s="97"/>
      <c r="P572" s="52"/>
      <c r="Q572" s="52"/>
      <c r="R572" s="54"/>
      <c r="S572" s="54"/>
    </row>
    <row r="573" spans="14:19" ht="13.2">
      <c r="N573" s="52"/>
      <c r="O573" s="97"/>
      <c r="P573" s="52"/>
      <c r="Q573" s="52"/>
      <c r="R573" s="54"/>
      <c r="S573" s="54"/>
    </row>
    <row r="574" spans="14:19" ht="13.2">
      <c r="N574" s="52"/>
      <c r="O574" s="97"/>
      <c r="P574" s="52"/>
      <c r="Q574" s="52"/>
      <c r="R574" s="54"/>
      <c r="S574" s="54"/>
    </row>
    <row r="575" spans="14:19" ht="13.2">
      <c r="N575" s="52"/>
      <c r="O575" s="97"/>
      <c r="P575" s="52"/>
      <c r="Q575" s="52"/>
      <c r="R575" s="54"/>
      <c r="S575" s="54"/>
    </row>
    <row r="576" spans="14:19" ht="13.2">
      <c r="N576" s="52"/>
      <c r="O576" s="97"/>
      <c r="P576" s="52"/>
      <c r="Q576" s="52"/>
      <c r="R576" s="54"/>
      <c r="S576" s="54"/>
    </row>
    <row r="577" spans="14:19" ht="13.2">
      <c r="N577" s="52"/>
      <c r="O577" s="97"/>
      <c r="P577" s="52"/>
      <c r="Q577" s="52"/>
      <c r="R577" s="54"/>
      <c r="S577" s="54"/>
    </row>
    <row r="578" spans="14:19" ht="13.2">
      <c r="N578" s="52"/>
      <c r="O578" s="97"/>
      <c r="P578" s="52"/>
      <c r="Q578" s="52"/>
      <c r="R578" s="54"/>
      <c r="S578" s="54"/>
    </row>
    <row r="579" spans="14:19" ht="13.2">
      <c r="N579" s="52"/>
      <c r="O579" s="97"/>
      <c r="P579" s="52"/>
      <c r="Q579" s="52"/>
      <c r="R579" s="54"/>
      <c r="S579" s="54"/>
    </row>
    <row r="580" spans="14:19" ht="13.2">
      <c r="N580" s="52"/>
      <c r="O580" s="97"/>
      <c r="P580" s="52"/>
      <c r="Q580" s="52"/>
      <c r="R580" s="54"/>
      <c r="S580" s="54"/>
    </row>
    <row r="581" spans="14:19" ht="13.2">
      <c r="N581" s="52"/>
      <c r="O581" s="97"/>
      <c r="P581" s="52"/>
      <c r="Q581" s="52"/>
      <c r="R581" s="54"/>
      <c r="S581" s="54"/>
    </row>
    <row r="582" spans="14:19" ht="13.2">
      <c r="N582" s="52"/>
      <c r="O582" s="97"/>
      <c r="P582" s="52"/>
      <c r="Q582" s="52"/>
      <c r="R582" s="54"/>
      <c r="S582" s="54"/>
    </row>
    <row r="583" spans="14:19" ht="13.2">
      <c r="N583" s="52"/>
      <c r="O583" s="97"/>
      <c r="P583" s="52"/>
      <c r="Q583" s="52"/>
      <c r="R583" s="54"/>
      <c r="S583" s="54"/>
    </row>
    <row r="584" spans="14:19" ht="13.2">
      <c r="N584" s="52"/>
      <c r="O584" s="97"/>
      <c r="P584" s="52"/>
      <c r="Q584" s="52"/>
      <c r="R584" s="54"/>
      <c r="S584" s="54"/>
    </row>
    <row r="585" spans="14:19" ht="13.2">
      <c r="N585" s="52"/>
      <c r="O585" s="97"/>
      <c r="P585" s="52"/>
      <c r="Q585" s="52"/>
      <c r="R585" s="54"/>
      <c r="S585" s="54"/>
    </row>
    <row r="586" spans="14:19" ht="13.2">
      <c r="N586" s="52"/>
      <c r="O586" s="97"/>
      <c r="P586" s="52"/>
      <c r="Q586" s="52"/>
      <c r="R586" s="54"/>
      <c r="S586" s="54"/>
    </row>
    <row r="587" spans="14:19" ht="13.2">
      <c r="N587" s="52"/>
      <c r="O587" s="97"/>
      <c r="P587" s="52"/>
      <c r="Q587" s="52"/>
      <c r="R587" s="54"/>
      <c r="S587" s="54"/>
    </row>
    <row r="588" spans="14:19" ht="13.2">
      <c r="N588" s="52"/>
      <c r="O588" s="97"/>
      <c r="P588" s="52"/>
      <c r="Q588" s="52"/>
      <c r="R588" s="54"/>
      <c r="S588" s="54"/>
    </row>
    <row r="589" spans="14:19" ht="13.2">
      <c r="N589" s="52"/>
      <c r="O589" s="97"/>
      <c r="P589" s="52"/>
      <c r="Q589" s="52"/>
      <c r="R589" s="54"/>
      <c r="S589" s="54"/>
    </row>
    <row r="590" spans="14:19" ht="13.2">
      <c r="N590" s="52"/>
      <c r="O590" s="97"/>
      <c r="P590" s="52"/>
      <c r="Q590" s="52"/>
      <c r="R590" s="54"/>
      <c r="S590" s="54"/>
    </row>
    <row r="591" spans="14:19" ht="13.2">
      <c r="N591" s="52"/>
      <c r="O591" s="97"/>
      <c r="P591" s="52"/>
      <c r="Q591" s="52"/>
      <c r="R591" s="54"/>
      <c r="S591" s="54"/>
    </row>
    <row r="592" spans="14:19" ht="13.2">
      <c r="N592" s="52"/>
      <c r="O592" s="97"/>
      <c r="P592" s="52"/>
      <c r="Q592" s="52"/>
      <c r="R592" s="54"/>
      <c r="S592" s="54"/>
    </row>
    <row r="593" spans="14:19" ht="13.2">
      <c r="N593" s="52"/>
      <c r="O593" s="97"/>
      <c r="P593" s="52"/>
      <c r="Q593" s="52"/>
      <c r="R593" s="54"/>
      <c r="S593" s="54"/>
    </row>
    <row r="594" spans="14:19" ht="13.2">
      <c r="N594" s="52"/>
      <c r="O594" s="97"/>
      <c r="P594" s="52"/>
      <c r="Q594" s="52"/>
      <c r="R594" s="54"/>
      <c r="S594" s="54"/>
    </row>
    <row r="595" spans="14:19" ht="13.2">
      <c r="N595" s="52"/>
      <c r="O595" s="97"/>
      <c r="P595" s="52"/>
      <c r="Q595" s="52"/>
      <c r="R595" s="54"/>
      <c r="S595" s="54"/>
    </row>
    <row r="596" spans="14:19" ht="13.2">
      <c r="N596" s="52"/>
      <c r="O596" s="97"/>
      <c r="P596" s="52"/>
      <c r="Q596" s="52"/>
      <c r="R596" s="54"/>
      <c r="S596" s="54"/>
    </row>
    <row r="597" spans="14:19" ht="13.2">
      <c r="N597" s="52"/>
      <c r="O597" s="97"/>
      <c r="P597" s="52"/>
      <c r="Q597" s="52"/>
      <c r="R597" s="54"/>
      <c r="S597" s="54"/>
    </row>
    <row r="598" spans="14:19" ht="13.2">
      <c r="N598" s="52"/>
      <c r="O598" s="97"/>
      <c r="P598" s="52"/>
      <c r="Q598" s="52"/>
      <c r="R598" s="54"/>
      <c r="S598" s="54"/>
    </row>
    <row r="599" spans="14:19" ht="13.2">
      <c r="N599" s="52"/>
      <c r="O599" s="97"/>
      <c r="P599" s="52"/>
      <c r="Q599" s="52"/>
      <c r="R599" s="54"/>
      <c r="S599" s="54"/>
    </row>
    <row r="600" spans="14:19" ht="13.2">
      <c r="N600" s="52"/>
      <c r="O600" s="97"/>
      <c r="P600" s="52"/>
      <c r="Q600" s="52"/>
      <c r="R600" s="54"/>
      <c r="S600" s="54"/>
    </row>
    <row r="601" spans="14:19" ht="13.2">
      <c r="N601" s="52"/>
      <c r="O601" s="97"/>
      <c r="P601" s="52"/>
      <c r="Q601" s="52"/>
      <c r="R601" s="54"/>
      <c r="S601" s="54"/>
    </row>
    <row r="602" spans="14:19" ht="13.2">
      <c r="N602" s="52"/>
      <c r="O602" s="97"/>
      <c r="P602" s="52"/>
      <c r="Q602" s="52"/>
      <c r="R602" s="54"/>
      <c r="S602" s="54"/>
    </row>
    <row r="603" spans="14:19" ht="13.2">
      <c r="N603" s="52"/>
      <c r="O603" s="97"/>
      <c r="P603" s="52"/>
      <c r="Q603" s="52"/>
      <c r="R603" s="54"/>
      <c r="S603" s="54"/>
    </row>
    <row r="604" spans="14:19" ht="13.2">
      <c r="N604" s="52"/>
      <c r="O604" s="97"/>
      <c r="P604" s="52"/>
      <c r="Q604" s="52"/>
      <c r="R604" s="54"/>
      <c r="S604" s="54"/>
    </row>
    <row r="605" spans="14:19" ht="13.2">
      <c r="N605" s="52"/>
      <c r="O605" s="97"/>
      <c r="P605" s="52"/>
      <c r="Q605" s="52"/>
      <c r="R605" s="54"/>
      <c r="S605" s="54"/>
    </row>
    <row r="606" spans="14:19" ht="13.2">
      <c r="N606" s="52"/>
      <c r="O606" s="97"/>
      <c r="P606" s="52"/>
      <c r="Q606" s="52"/>
      <c r="R606" s="54"/>
      <c r="S606" s="54"/>
    </row>
    <row r="607" spans="14:19" ht="13.2">
      <c r="N607" s="52"/>
      <c r="O607" s="97"/>
      <c r="P607" s="52"/>
      <c r="Q607" s="52"/>
      <c r="R607" s="54"/>
      <c r="S607" s="54"/>
    </row>
    <row r="608" spans="14:19" ht="13.2">
      <c r="N608" s="52"/>
      <c r="O608" s="97"/>
      <c r="P608" s="52"/>
      <c r="Q608" s="52"/>
      <c r="R608" s="54"/>
      <c r="S608" s="54"/>
    </row>
    <row r="609" spans="14:19" ht="13.2">
      <c r="N609" s="52"/>
      <c r="O609" s="97"/>
      <c r="P609" s="52"/>
      <c r="Q609" s="52"/>
      <c r="R609" s="54"/>
      <c r="S609" s="54"/>
    </row>
    <row r="610" spans="14:19" ht="13.2">
      <c r="N610" s="52"/>
      <c r="O610" s="97"/>
      <c r="P610" s="52"/>
      <c r="Q610" s="52"/>
      <c r="R610" s="54"/>
      <c r="S610" s="54"/>
    </row>
    <row r="611" spans="14:19" ht="13.2">
      <c r="N611" s="52"/>
      <c r="O611" s="97"/>
      <c r="P611" s="52"/>
      <c r="Q611" s="52"/>
      <c r="R611" s="54"/>
      <c r="S611" s="54"/>
    </row>
    <row r="612" spans="14:19" ht="13.2">
      <c r="N612" s="52"/>
      <c r="O612" s="97"/>
      <c r="P612" s="52"/>
      <c r="Q612" s="52"/>
      <c r="R612" s="54"/>
      <c r="S612" s="54"/>
    </row>
    <row r="613" spans="14:19" ht="13.2">
      <c r="N613" s="52"/>
      <c r="O613" s="97"/>
      <c r="P613" s="52"/>
      <c r="Q613" s="52"/>
      <c r="R613" s="54"/>
      <c r="S613" s="54"/>
    </row>
    <row r="614" spans="14:19" ht="13.2">
      <c r="N614" s="52"/>
      <c r="O614" s="97"/>
      <c r="P614" s="52"/>
      <c r="Q614" s="52"/>
      <c r="R614" s="54"/>
      <c r="S614" s="54"/>
    </row>
    <row r="615" spans="14:19" ht="13.2">
      <c r="N615" s="52"/>
      <c r="O615" s="97"/>
      <c r="P615" s="52"/>
      <c r="Q615" s="52"/>
      <c r="R615" s="54"/>
      <c r="S615" s="54"/>
    </row>
    <row r="616" spans="14:19" ht="13.2">
      <c r="N616" s="52"/>
      <c r="O616" s="97"/>
      <c r="P616" s="52"/>
      <c r="Q616" s="52"/>
      <c r="R616" s="54"/>
      <c r="S616" s="54"/>
    </row>
    <row r="617" spans="14:19" ht="13.2">
      <c r="N617" s="52"/>
      <c r="O617" s="97"/>
      <c r="P617" s="52"/>
      <c r="Q617" s="52"/>
      <c r="R617" s="54"/>
      <c r="S617" s="54"/>
    </row>
    <row r="618" spans="14:19" ht="13.2">
      <c r="N618" s="52"/>
      <c r="O618" s="97"/>
      <c r="P618" s="52"/>
      <c r="Q618" s="52"/>
      <c r="R618" s="54"/>
      <c r="S618" s="54"/>
    </row>
    <row r="619" spans="14:19" ht="13.2">
      <c r="N619" s="52"/>
      <c r="O619" s="97"/>
      <c r="P619" s="52"/>
      <c r="Q619" s="52"/>
      <c r="R619" s="54"/>
      <c r="S619" s="54"/>
    </row>
    <row r="620" spans="14:19" ht="13.2">
      <c r="N620" s="52"/>
      <c r="O620" s="97"/>
      <c r="P620" s="52"/>
      <c r="Q620" s="52"/>
      <c r="R620" s="54"/>
      <c r="S620" s="54"/>
    </row>
    <row r="621" spans="14:19" ht="13.2">
      <c r="N621" s="52"/>
      <c r="O621" s="97"/>
      <c r="P621" s="52"/>
      <c r="Q621" s="52"/>
      <c r="R621" s="54"/>
      <c r="S621" s="54"/>
    </row>
    <row r="622" spans="14:19" ht="13.2">
      <c r="N622" s="52"/>
      <c r="O622" s="97"/>
      <c r="P622" s="52"/>
      <c r="Q622" s="52"/>
      <c r="R622" s="54"/>
      <c r="S622" s="54"/>
    </row>
    <row r="623" spans="14:19" ht="13.2">
      <c r="N623" s="52"/>
      <c r="O623" s="97"/>
      <c r="P623" s="52"/>
      <c r="Q623" s="52"/>
      <c r="R623" s="54"/>
      <c r="S623" s="54"/>
    </row>
    <row r="624" spans="14:19" ht="13.2">
      <c r="N624" s="52"/>
      <c r="O624" s="97"/>
      <c r="P624" s="52"/>
      <c r="Q624" s="52"/>
      <c r="R624" s="54"/>
      <c r="S624" s="54"/>
    </row>
    <row r="625" spans="14:19" ht="13.2">
      <c r="N625" s="52"/>
      <c r="O625" s="97"/>
      <c r="P625" s="52"/>
      <c r="Q625" s="52"/>
      <c r="R625" s="54"/>
      <c r="S625" s="54"/>
    </row>
    <row r="626" spans="14:19" ht="13.2">
      <c r="N626" s="52"/>
      <c r="O626" s="97"/>
      <c r="P626" s="52"/>
      <c r="Q626" s="52"/>
      <c r="R626" s="54"/>
      <c r="S626" s="54"/>
    </row>
    <row r="627" spans="14:19" ht="13.2">
      <c r="N627" s="52"/>
      <c r="O627" s="97"/>
      <c r="P627" s="52"/>
      <c r="Q627" s="52"/>
      <c r="R627" s="54"/>
      <c r="S627" s="54"/>
    </row>
    <row r="628" spans="14:19" ht="13.2">
      <c r="N628" s="52"/>
      <c r="O628" s="97"/>
      <c r="P628" s="52"/>
      <c r="Q628" s="52"/>
      <c r="R628" s="54"/>
      <c r="S628" s="54"/>
    </row>
    <row r="629" spans="14:19" ht="13.2">
      <c r="N629" s="52"/>
      <c r="O629" s="97"/>
      <c r="P629" s="52"/>
      <c r="Q629" s="52"/>
      <c r="R629" s="54"/>
      <c r="S629" s="54"/>
    </row>
    <row r="630" spans="14:19" ht="13.2">
      <c r="N630" s="52"/>
      <c r="O630" s="97"/>
      <c r="P630" s="52"/>
      <c r="Q630" s="52"/>
      <c r="R630" s="54"/>
      <c r="S630" s="54"/>
    </row>
    <row r="631" spans="14:19" ht="13.2">
      <c r="N631" s="52"/>
      <c r="O631" s="97"/>
      <c r="P631" s="52"/>
      <c r="Q631" s="52"/>
      <c r="R631" s="54"/>
      <c r="S631" s="54"/>
    </row>
    <row r="632" spans="14:19" ht="13.2">
      <c r="N632" s="52"/>
      <c r="O632" s="97"/>
      <c r="P632" s="52"/>
      <c r="Q632" s="52"/>
      <c r="R632" s="54"/>
      <c r="S632" s="54"/>
    </row>
    <row r="633" spans="14:19" ht="13.2">
      <c r="N633" s="52"/>
      <c r="O633" s="97"/>
      <c r="P633" s="52"/>
      <c r="Q633" s="52"/>
      <c r="R633" s="54"/>
      <c r="S633" s="54"/>
    </row>
    <row r="634" spans="14:19" ht="13.2">
      <c r="N634" s="52"/>
      <c r="O634" s="97"/>
      <c r="P634" s="52"/>
      <c r="Q634" s="52"/>
      <c r="R634" s="54"/>
      <c r="S634" s="54"/>
    </row>
    <row r="635" spans="14:19" ht="13.2">
      <c r="N635" s="52"/>
      <c r="O635" s="97"/>
      <c r="P635" s="52"/>
      <c r="Q635" s="52"/>
      <c r="R635" s="54"/>
      <c r="S635" s="54"/>
    </row>
    <row r="636" spans="14:19" ht="13.2">
      <c r="N636" s="52"/>
      <c r="O636" s="97"/>
      <c r="P636" s="52"/>
      <c r="Q636" s="52"/>
      <c r="R636" s="54"/>
      <c r="S636" s="54"/>
    </row>
    <row r="637" spans="14:19" ht="13.2">
      <c r="N637" s="52"/>
      <c r="O637" s="97"/>
      <c r="P637" s="52"/>
      <c r="Q637" s="52"/>
      <c r="R637" s="54"/>
      <c r="S637" s="54"/>
    </row>
    <row r="638" spans="14:19" ht="13.2">
      <c r="N638" s="52"/>
      <c r="O638" s="97"/>
      <c r="P638" s="52"/>
      <c r="Q638" s="52"/>
      <c r="R638" s="54"/>
      <c r="S638" s="54"/>
    </row>
    <row r="639" spans="14:19" ht="13.2">
      <c r="N639" s="52"/>
      <c r="O639" s="97"/>
      <c r="P639" s="52"/>
      <c r="Q639" s="52"/>
      <c r="R639" s="54"/>
      <c r="S639" s="54"/>
    </row>
    <row r="640" spans="14:19" ht="13.2">
      <c r="N640" s="52"/>
      <c r="O640" s="97"/>
      <c r="P640" s="52"/>
      <c r="Q640" s="52"/>
      <c r="R640" s="54"/>
      <c r="S640" s="54"/>
    </row>
    <row r="641" spans="14:19" ht="13.2">
      <c r="N641" s="52"/>
      <c r="O641" s="97"/>
      <c r="P641" s="52"/>
      <c r="Q641" s="52"/>
      <c r="R641" s="54"/>
      <c r="S641" s="54"/>
    </row>
    <row r="642" spans="14:19" ht="13.2">
      <c r="N642" s="52"/>
      <c r="O642" s="97"/>
      <c r="P642" s="52"/>
      <c r="Q642" s="52"/>
      <c r="R642" s="54"/>
      <c r="S642" s="54"/>
    </row>
    <row r="643" spans="14:19" ht="13.2">
      <c r="N643" s="52"/>
      <c r="O643" s="97"/>
      <c r="P643" s="52"/>
      <c r="Q643" s="52"/>
      <c r="R643" s="54"/>
      <c r="S643" s="54"/>
    </row>
    <row r="644" spans="14:19" ht="13.2">
      <c r="N644" s="52"/>
      <c r="O644" s="97"/>
      <c r="P644" s="52"/>
      <c r="Q644" s="52"/>
      <c r="R644" s="54"/>
      <c r="S644" s="54"/>
    </row>
    <row r="645" spans="14:19" ht="13.2">
      <c r="N645" s="52"/>
      <c r="O645" s="97"/>
      <c r="P645" s="52"/>
      <c r="Q645" s="52"/>
      <c r="R645" s="54"/>
      <c r="S645" s="54"/>
    </row>
    <row r="646" spans="14:19" ht="13.2">
      <c r="N646" s="52"/>
      <c r="O646" s="97"/>
      <c r="P646" s="52"/>
      <c r="Q646" s="52"/>
      <c r="R646" s="54"/>
      <c r="S646" s="54"/>
    </row>
    <row r="647" spans="14:19" ht="13.2">
      <c r="N647" s="52"/>
      <c r="O647" s="97"/>
      <c r="P647" s="52"/>
      <c r="Q647" s="52"/>
      <c r="R647" s="54"/>
      <c r="S647" s="54"/>
    </row>
    <row r="648" spans="14:19" ht="13.2">
      <c r="N648" s="52"/>
      <c r="O648" s="97"/>
      <c r="P648" s="52"/>
      <c r="Q648" s="52"/>
      <c r="R648" s="54"/>
      <c r="S648" s="54"/>
    </row>
    <row r="649" spans="14:19" ht="13.2">
      <c r="N649" s="52"/>
      <c r="O649" s="97"/>
      <c r="P649" s="52"/>
      <c r="Q649" s="52"/>
      <c r="R649" s="54"/>
      <c r="S649" s="54"/>
    </row>
    <row r="650" spans="14:19" ht="13.2">
      <c r="N650" s="52"/>
      <c r="O650" s="97"/>
      <c r="P650" s="52"/>
      <c r="Q650" s="52"/>
      <c r="R650" s="54"/>
      <c r="S650" s="54"/>
    </row>
    <row r="651" spans="14:19" ht="13.2">
      <c r="N651" s="52"/>
      <c r="O651" s="97"/>
      <c r="P651" s="52"/>
      <c r="Q651" s="52"/>
      <c r="R651" s="54"/>
      <c r="S651" s="54"/>
    </row>
    <row r="652" spans="14:19" ht="13.2">
      <c r="N652" s="52"/>
      <c r="O652" s="97"/>
      <c r="P652" s="52"/>
      <c r="Q652" s="52"/>
      <c r="R652" s="54"/>
      <c r="S652" s="54"/>
    </row>
    <row r="653" spans="14:19" ht="13.2">
      <c r="N653" s="52"/>
      <c r="O653" s="97"/>
      <c r="P653" s="52"/>
      <c r="Q653" s="52"/>
      <c r="R653" s="54"/>
      <c r="S653" s="54"/>
    </row>
    <row r="654" spans="14:19" ht="13.2">
      <c r="N654" s="52"/>
      <c r="O654" s="97"/>
      <c r="P654" s="52"/>
      <c r="Q654" s="52"/>
      <c r="R654" s="54"/>
      <c r="S654" s="54"/>
    </row>
    <row r="655" spans="14:19" ht="13.2">
      <c r="N655" s="52"/>
      <c r="O655" s="97"/>
      <c r="P655" s="52"/>
      <c r="Q655" s="52"/>
      <c r="R655" s="54"/>
      <c r="S655" s="54"/>
    </row>
    <row r="656" spans="14:19" ht="13.2">
      <c r="N656" s="52"/>
      <c r="O656" s="97"/>
      <c r="P656" s="52"/>
      <c r="Q656" s="52"/>
      <c r="R656" s="54"/>
      <c r="S656" s="54"/>
    </row>
    <row r="657" spans="14:19" ht="13.2">
      <c r="N657" s="52"/>
      <c r="O657" s="97"/>
      <c r="P657" s="52"/>
      <c r="Q657" s="52"/>
      <c r="R657" s="54"/>
      <c r="S657" s="54"/>
    </row>
    <row r="658" spans="14:19" ht="13.2">
      <c r="N658" s="52"/>
      <c r="O658" s="97"/>
      <c r="P658" s="52"/>
      <c r="Q658" s="52"/>
      <c r="R658" s="54"/>
      <c r="S658" s="54"/>
    </row>
    <row r="659" spans="14:19" ht="13.2">
      <c r="N659" s="52"/>
      <c r="O659" s="97"/>
      <c r="P659" s="52"/>
      <c r="Q659" s="52"/>
      <c r="R659" s="54"/>
      <c r="S659" s="54"/>
    </row>
    <row r="660" spans="14:19" ht="13.2">
      <c r="N660" s="52"/>
      <c r="O660" s="97"/>
      <c r="P660" s="52"/>
      <c r="Q660" s="52"/>
      <c r="R660" s="54"/>
      <c r="S660" s="54"/>
    </row>
    <row r="661" spans="14:19" ht="13.2">
      <c r="N661" s="52"/>
      <c r="O661" s="97"/>
      <c r="P661" s="52"/>
      <c r="Q661" s="52"/>
      <c r="R661" s="54"/>
      <c r="S661" s="54"/>
    </row>
    <row r="662" spans="14:19" ht="13.2">
      <c r="N662" s="52"/>
      <c r="O662" s="97"/>
      <c r="P662" s="52"/>
      <c r="Q662" s="52"/>
      <c r="R662" s="54"/>
      <c r="S662" s="54"/>
    </row>
    <row r="663" spans="14:19" ht="13.2">
      <c r="N663" s="52"/>
      <c r="O663" s="97"/>
      <c r="P663" s="52"/>
      <c r="Q663" s="52"/>
      <c r="R663" s="54"/>
      <c r="S663" s="54"/>
    </row>
    <row r="664" spans="14:19" ht="13.2">
      <c r="N664" s="52"/>
      <c r="O664" s="97"/>
      <c r="P664" s="52"/>
      <c r="Q664" s="52"/>
      <c r="R664" s="54"/>
      <c r="S664" s="54"/>
    </row>
    <row r="665" spans="14:19" ht="13.2">
      <c r="N665" s="52"/>
      <c r="O665" s="97"/>
      <c r="P665" s="52"/>
      <c r="Q665" s="52"/>
      <c r="R665" s="54"/>
      <c r="S665" s="54"/>
    </row>
    <row r="666" spans="14:19" ht="13.2">
      <c r="N666" s="52"/>
      <c r="O666" s="97"/>
      <c r="P666" s="52"/>
      <c r="Q666" s="52"/>
      <c r="R666" s="54"/>
      <c r="S666" s="54"/>
    </row>
    <row r="667" spans="14:19" ht="13.2">
      <c r="N667" s="52"/>
      <c r="O667" s="97"/>
      <c r="P667" s="52"/>
      <c r="Q667" s="52"/>
      <c r="R667" s="54"/>
      <c r="S667" s="54"/>
    </row>
    <row r="668" spans="14:19" ht="13.2">
      <c r="N668" s="52"/>
      <c r="O668" s="97"/>
      <c r="P668" s="52"/>
      <c r="Q668" s="52"/>
      <c r="R668" s="54"/>
      <c r="S668" s="54"/>
    </row>
    <row r="669" spans="14:19" ht="13.2">
      <c r="N669" s="52"/>
      <c r="O669" s="97"/>
      <c r="P669" s="52"/>
      <c r="Q669" s="52"/>
      <c r="R669" s="54"/>
      <c r="S669" s="54"/>
    </row>
    <row r="670" spans="14:19" ht="13.2">
      <c r="N670" s="52"/>
      <c r="O670" s="97"/>
      <c r="P670" s="52"/>
      <c r="Q670" s="52"/>
      <c r="R670" s="54"/>
      <c r="S670" s="54"/>
    </row>
    <row r="671" spans="14:19" ht="13.2">
      <c r="N671" s="52"/>
      <c r="O671" s="97"/>
      <c r="P671" s="52"/>
      <c r="Q671" s="52"/>
      <c r="R671" s="54"/>
      <c r="S671" s="54"/>
    </row>
    <row r="672" spans="14:19" ht="13.2">
      <c r="N672" s="52"/>
      <c r="O672" s="97"/>
      <c r="P672" s="52"/>
      <c r="Q672" s="52"/>
      <c r="R672" s="54"/>
      <c r="S672" s="54"/>
    </row>
    <row r="673" spans="14:19" ht="13.2">
      <c r="N673" s="52"/>
      <c r="O673" s="97"/>
      <c r="P673" s="52"/>
      <c r="Q673" s="52"/>
      <c r="R673" s="54"/>
      <c r="S673" s="54"/>
    </row>
    <row r="674" spans="14:19" ht="13.2">
      <c r="N674" s="52"/>
      <c r="O674" s="97"/>
      <c r="P674" s="52"/>
      <c r="Q674" s="52"/>
      <c r="R674" s="54"/>
      <c r="S674" s="54"/>
    </row>
    <row r="675" spans="14:19" ht="13.2">
      <c r="N675" s="52"/>
      <c r="O675" s="97"/>
      <c r="P675" s="52"/>
      <c r="Q675" s="52"/>
      <c r="R675" s="54"/>
      <c r="S675" s="54"/>
    </row>
    <row r="676" spans="14:19" ht="13.2">
      <c r="N676" s="52"/>
      <c r="O676" s="97"/>
      <c r="P676" s="52"/>
      <c r="Q676" s="52"/>
      <c r="R676" s="54"/>
      <c r="S676" s="54"/>
    </row>
    <row r="677" spans="14:19" ht="13.2">
      <c r="N677" s="52"/>
      <c r="O677" s="97"/>
      <c r="P677" s="52"/>
      <c r="Q677" s="52"/>
      <c r="R677" s="54"/>
      <c r="S677" s="54"/>
    </row>
    <row r="678" spans="14:19" ht="13.2">
      <c r="N678" s="52"/>
      <c r="O678" s="97"/>
      <c r="P678" s="52"/>
      <c r="Q678" s="52"/>
      <c r="R678" s="54"/>
      <c r="S678" s="54"/>
    </row>
    <row r="679" spans="14:19" ht="13.2">
      <c r="N679" s="52"/>
      <c r="O679" s="97"/>
      <c r="P679" s="52"/>
      <c r="Q679" s="52"/>
      <c r="R679" s="54"/>
      <c r="S679" s="54"/>
    </row>
    <row r="680" spans="14:19" ht="13.2">
      <c r="N680" s="52"/>
      <c r="O680" s="97"/>
      <c r="P680" s="52"/>
      <c r="Q680" s="52"/>
      <c r="R680" s="54"/>
      <c r="S680" s="54"/>
    </row>
    <row r="681" spans="14:19" ht="13.2">
      <c r="N681" s="52"/>
      <c r="O681" s="97"/>
      <c r="P681" s="52"/>
      <c r="Q681" s="52"/>
      <c r="R681" s="54"/>
      <c r="S681" s="54"/>
    </row>
    <row r="682" spans="14:19" ht="13.2">
      <c r="N682" s="52"/>
      <c r="O682" s="97"/>
      <c r="P682" s="52"/>
      <c r="Q682" s="52"/>
      <c r="R682" s="54"/>
      <c r="S682" s="54"/>
    </row>
    <row r="683" spans="14:19" ht="13.2">
      <c r="N683" s="52"/>
      <c r="O683" s="97"/>
      <c r="P683" s="52"/>
      <c r="Q683" s="52"/>
      <c r="R683" s="54"/>
      <c r="S683" s="54"/>
    </row>
    <row r="684" spans="14:19" ht="13.2">
      <c r="N684" s="52"/>
      <c r="O684" s="97"/>
      <c r="P684" s="52"/>
      <c r="Q684" s="52"/>
      <c r="R684" s="54"/>
      <c r="S684" s="54"/>
    </row>
    <row r="685" spans="14:19" ht="13.2">
      <c r="N685" s="52"/>
      <c r="O685" s="97"/>
      <c r="P685" s="52"/>
      <c r="Q685" s="52"/>
      <c r="R685" s="54"/>
      <c r="S685" s="54"/>
    </row>
    <row r="686" spans="14:19" ht="13.2">
      <c r="N686" s="52"/>
      <c r="O686" s="97"/>
      <c r="P686" s="52"/>
      <c r="Q686" s="52"/>
      <c r="R686" s="54"/>
      <c r="S686" s="54"/>
    </row>
    <row r="687" spans="14:19" ht="13.2">
      <c r="N687" s="52"/>
      <c r="O687" s="97"/>
      <c r="P687" s="52"/>
      <c r="Q687" s="52"/>
      <c r="R687" s="54"/>
      <c r="S687" s="54"/>
    </row>
    <row r="688" spans="14:19" ht="13.2">
      <c r="N688" s="52"/>
      <c r="O688" s="97"/>
      <c r="P688" s="52"/>
      <c r="Q688" s="52"/>
      <c r="R688" s="54"/>
      <c r="S688" s="54"/>
    </row>
    <row r="689" spans="14:19" ht="13.2">
      <c r="N689" s="52"/>
      <c r="O689" s="97"/>
      <c r="P689" s="52"/>
      <c r="Q689" s="52"/>
      <c r="R689" s="54"/>
      <c r="S689" s="54"/>
    </row>
    <row r="690" spans="14:19" ht="13.2">
      <c r="N690" s="52"/>
      <c r="O690" s="97"/>
      <c r="P690" s="52"/>
      <c r="Q690" s="52"/>
      <c r="R690" s="54"/>
      <c r="S690" s="54"/>
    </row>
    <row r="691" spans="14:19" ht="13.2">
      <c r="N691" s="52"/>
      <c r="O691" s="97"/>
      <c r="P691" s="52"/>
      <c r="Q691" s="52"/>
      <c r="R691" s="54"/>
      <c r="S691" s="54"/>
    </row>
    <row r="692" spans="14:19" ht="13.2">
      <c r="N692" s="52"/>
      <c r="O692" s="97"/>
      <c r="P692" s="52"/>
      <c r="Q692" s="52"/>
      <c r="R692" s="54"/>
      <c r="S692" s="54"/>
    </row>
    <row r="693" spans="14:19" ht="13.2">
      <c r="N693" s="52"/>
      <c r="O693" s="97"/>
      <c r="P693" s="52"/>
      <c r="Q693" s="52"/>
      <c r="R693" s="54"/>
      <c r="S693" s="54"/>
    </row>
    <row r="694" spans="14:19" ht="13.2">
      <c r="N694" s="52"/>
      <c r="O694" s="97"/>
      <c r="P694" s="52"/>
      <c r="Q694" s="52"/>
      <c r="R694" s="54"/>
      <c r="S694" s="54"/>
    </row>
    <row r="695" spans="14:19" ht="13.2">
      <c r="N695" s="52"/>
      <c r="O695" s="97"/>
      <c r="P695" s="52"/>
      <c r="Q695" s="52"/>
      <c r="R695" s="54"/>
      <c r="S695" s="54"/>
    </row>
    <row r="696" spans="14:19" ht="13.2">
      <c r="N696" s="52"/>
      <c r="O696" s="97"/>
      <c r="P696" s="52"/>
      <c r="Q696" s="52"/>
      <c r="R696" s="54"/>
      <c r="S696" s="54"/>
    </row>
    <row r="697" spans="14:19" ht="13.2">
      <c r="N697" s="52"/>
      <c r="O697" s="97"/>
      <c r="P697" s="52"/>
      <c r="Q697" s="52"/>
      <c r="R697" s="54"/>
      <c r="S697" s="54"/>
    </row>
    <row r="698" spans="14:19" ht="13.2">
      <c r="N698" s="52"/>
      <c r="O698" s="97"/>
      <c r="P698" s="52"/>
      <c r="Q698" s="52"/>
      <c r="R698" s="54"/>
      <c r="S698" s="54"/>
    </row>
    <row r="699" spans="14:19" ht="13.2">
      <c r="N699" s="52"/>
      <c r="O699" s="97"/>
      <c r="P699" s="52"/>
      <c r="Q699" s="52"/>
      <c r="R699" s="54"/>
      <c r="S699" s="54"/>
    </row>
    <row r="700" spans="14:19" ht="13.2">
      <c r="N700" s="52"/>
      <c r="O700" s="97"/>
      <c r="P700" s="52"/>
      <c r="Q700" s="52"/>
      <c r="R700" s="54"/>
      <c r="S700" s="54"/>
    </row>
    <row r="701" spans="14:19" ht="13.2">
      <c r="N701" s="52"/>
      <c r="O701" s="97"/>
      <c r="P701" s="52"/>
      <c r="Q701" s="52"/>
      <c r="R701" s="54"/>
      <c r="S701" s="54"/>
    </row>
    <row r="702" spans="14:19" ht="13.2">
      <c r="N702" s="52"/>
      <c r="O702" s="97"/>
      <c r="P702" s="52"/>
      <c r="Q702" s="52"/>
      <c r="R702" s="54"/>
      <c r="S702" s="54"/>
    </row>
    <row r="703" spans="14:19" ht="13.2">
      <c r="N703" s="52"/>
      <c r="O703" s="97"/>
      <c r="P703" s="52"/>
      <c r="Q703" s="52"/>
      <c r="R703" s="54"/>
      <c r="S703" s="54"/>
    </row>
    <row r="704" spans="14:19" ht="13.2">
      <c r="N704" s="52"/>
      <c r="O704" s="97"/>
      <c r="P704" s="52"/>
      <c r="Q704" s="52"/>
      <c r="R704" s="54"/>
      <c r="S704" s="54"/>
    </row>
    <row r="705" spans="14:19" ht="13.2">
      <c r="N705" s="52"/>
      <c r="O705" s="97"/>
      <c r="P705" s="52"/>
      <c r="Q705" s="52"/>
      <c r="R705" s="54"/>
      <c r="S705" s="54"/>
    </row>
    <row r="706" spans="14:19" ht="13.2">
      <c r="N706" s="52"/>
      <c r="O706" s="97"/>
      <c r="P706" s="52"/>
      <c r="Q706" s="52"/>
      <c r="R706" s="54"/>
      <c r="S706" s="54"/>
    </row>
    <row r="707" spans="14:19" ht="13.2">
      <c r="N707" s="52"/>
      <c r="O707" s="97"/>
      <c r="P707" s="52"/>
      <c r="Q707" s="52"/>
      <c r="R707" s="54"/>
      <c r="S707" s="54"/>
    </row>
    <row r="708" spans="14:19" ht="13.2">
      <c r="N708" s="52"/>
      <c r="O708" s="97"/>
      <c r="P708" s="52"/>
      <c r="Q708" s="52"/>
      <c r="R708" s="54"/>
      <c r="S708" s="54"/>
    </row>
    <row r="709" spans="14:19" ht="13.2">
      <c r="N709" s="52"/>
      <c r="O709" s="97"/>
      <c r="P709" s="52"/>
      <c r="Q709" s="52"/>
      <c r="R709" s="54"/>
      <c r="S709" s="54"/>
    </row>
    <row r="710" spans="14:19" ht="13.2">
      <c r="N710" s="52"/>
      <c r="O710" s="97"/>
      <c r="P710" s="52"/>
      <c r="Q710" s="52"/>
      <c r="R710" s="54"/>
      <c r="S710" s="54"/>
    </row>
    <row r="711" spans="14:19" ht="13.2">
      <c r="N711" s="52"/>
      <c r="O711" s="97"/>
      <c r="P711" s="52"/>
      <c r="Q711" s="52"/>
      <c r="R711" s="54"/>
      <c r="S711" s="54"/>
    </row>
    <row r="712" spans="14:19" ht="13.2">
      <c r="N712" s="52"/>
      <c r="O712" s="97"/>
      <c r="P712" s="52"/>
      <c r="Q712" s="52"/>
      <c r="R712" s="54"/>
      <c r="S712" s="54"/>
    </row>
    <row r="713" spans="14:19" ht="13.2">
      <c r="N713" s="52"/>
      <c r="O713" s="97"/>
      <c r="P713" s="52"/>
      <c r="Q713" s="52"/>
      <c r="R713" s="54"/>
      <c r="S713" s="54"/>
    </row>
    <row r="714" spans="14:19" ht="13.2">
      <c r="N714" s="52"/>
      <c r="O714" s="97"/>
      <c r="P714" s="52"/>
      <c r="Q714" s="52"/>
      <c r="R714" s="54"/>
      <c r="S714" s="54"/>
    </row>
    <row r="715" spans="14:19" ht="13.2">
      <c r="N715" s="52"/>
      <c r="O715" s="97"/>
      <c r="P715" s="52"/>
      <c r="Q715" s="52"/>
      <c r="R715" s="54"/>
      <c r="S715" s="54"/>
    </row>
    <row r="716" spans="14:19" ht="13.2">
      <c r="N716" s="52"/>
      <c r="O716" s="97"/>
      <c r="P716" s="52"/>
      <c r="Q716" s="52"/>
      <c r="R716" s="54"/>
      <c r="S716" s="54"/>
    </row>
    <row r="717" spans="14:19" ht="13.2">
      <c r="N717" s="52"/>
      <c r="O717" s="97"/>
      <c r="P717" s="52"/>
      <c r="Q717" s="52"/>
      <c r="R717" s="54"/>
      <c r="S717" s="54"/>
    </row>
    <row r="718" spans="14:19" ht="13.2">
      <c r="N718" s="52"/>
      <c r="O718" s="97"/>
      <c r="P718" s="52"/>
      <c r="Q718" s="52"/>
      <c r="R718" s="54"/>
      <c r="S718" s="54"/>
    </row>
    <row r="719" spans="14:19" ht="13.2">
      <c r="N719" s="52"/>
      <c r="O719" s="97"/>
      <c r="P719" s="52"/>
      <c r="Q719" s="52"/>
      <c r="R719" s="54"/>
      <c r="S719" s="54"/>
    </row>
    <row r="720" spans="14:19" ht="13.2">
      <c r="N720" s="52"/>
      <c r="O720" s="97"/>
      <c r="P720" s="52"/>
      <c r="Q720" s="52"/>
      <c r="R720" s="54"/>
      <c r="S720" s="54"/>
    </row>
    <row r="721" spans="14:19" ht="13.2">
      <c r="N721" s="52"/>
      <c r="O721" s="97"/>
      <c r="P721" s="52"/>
      <c r="Q721" s="52"/>
      <c r="R721" s="54"/>
      <c r="S721" s="54"/>
    </row>
    <row r="722" spans="14:19" ht="13.2">
      <c r="N722" s="52"/>
      <c r="O722" s="97"/>
      <c r="P722" s="52"/>
      <c r="Q722" s="52"/>
      <c r="R722" s="54"/>
      <c r="S722" s="54"/>
    </row>
    <row r="723" spans="14:19" ht="13.2">
      <c r="N723" s="52"/>
      <c r="O723" s="97"/>
      <c r="P723" s="52"/>
      <c r="Q723" s="52"/>
      <c r="R723" s="54"/>
      <c r="S723" s="54"/>
    </row>
    <row r="724" spans="14:19" ht="13.2">
      <c r="N724" s="52"/>
      <c r="O724" s="97"/>
      <c r="P724" s="52"/>
      <c r="Q724" s="52"/>
      <c r="R724" s="54"/>
      <c r="S724" s="54"/>
    </row>
    <row r="725" spans="14:19" ht="13.2">
      <c r="N725" s="52"/>
      <c r="O725" s="97"/>
      <c r="P725" s="52"/>
      <c r="Q725" s="52"/>
      <c r="R725" s="54"/>
      <c r="S725" s="54"/>
    </row>
    <row r="726" spans="14:19" ht="13.2">
      <c r="N726" s="52"/>
      <c r="O726" s="97"/>
      <c r="P726" s="52"/>
      <c r="Q726" s="52"/>
      <c r="R726" s="54"/>
      <c r="S726" s="54"/>
    </row>
    <row r="727" spans="14:19" ht="13.2">
      <c r="N727" s="52"/>
      <c r="O727" s="97"/>
      <c r="P727" s="52"/>
      <c r="Q727" s="52"/>
      <c r="R727" s="54"/>
      <c r="S727" s="54"/>
    </row>
    <row r="728" spans="14:19" ht="13.2">
      <c r="N728" s="52"/>
      <c r="O728" s="97"/>
      <c r="P728" s="52"/>
      <c r="Q728" s="52"/>
      <c r="R728" s="54"/>
      <c r="S728" s="54"/>
    </row>
    <row r="729" spans="14:19" ht="13.2">
      <c r="N729" s="52"/>
      <c r="O729" s="97"/>
      <c r="P729" s="52"/>
      <c r="Q729" s="52"/>
      <c r="R729" s="54"/>
      <c r="S729" s="54"/>
    </row>
    <row r="730" spans="14:19" ht="13.2">
      <c r="N730" s="52"/>
      <c r="O730" s="97"/>
      <c r="P730" s="52"/>
      <c r="Q730" s="52"/>
      <c r="R730" s="54"/>
      <c r="S730" s="54"/>
    </row>
    <row r="731" spans="14:19" ht="13.2">
      <c r="N731" s="52"/>
      <c r="O731" s="97"/>
      <c r="P731" s="52"/>
      <c r="Q731" s="52"/>
      <c r="R731" s="54"/>
      <c r="S731" s="54"/>
    </row>
    <row r="732" spans="14:19" ht="13.2">
      <c r="N732" s="52"/>
      <c r="O732" s="97"/>
      <c r="P732" s="52"/>
      <c r="Q732" s="52"/>
      <c r="R732" s="54"/>
      <c r="S732" s="54"/>
    </row>
    <row r="733" spans="14:19" ht="13.2">
      <c r="N733" s="52"/>
      <c r="O733" s="97"/>
      <c r="P733" s="52"/>
      <c r="Q733" s="52"/>
      <c r="R733" s="54"/>
      <c r="S733" s="54"/>
    </row>
    <row r="734" spans="14:19" ht="13.2">
      <c r="N734" s="52"/>
      <c r="O734" s="97"/>
      <c r="P734" s="52"/>
      <c r="Q734" s="52"/>
      <c r="R734" s="54"/>
      <c r="S734" s="54"/>
    </row>
    <row r="735" spans="14:19" ht="13.2">
      <c r="N735" s="52"/>
      <c r="O735" s="97"/>
      <c r="P735" s="52"/>
      <c r="Q735" s="52"/>
      <c r="R735" s="54"/>
      <c r="S735" s="54"/>
    </row>
    <row r="736" spans="14:19" ht="13.2">
      <c r="N736" s="52"/>
      <c r="O736" s="97"/>
      <c r="P736" s="52"/>
      <c r="Q736" s="52"/>
      <c r="R736" s="54"/>
      <c r="S736" s="54"/>
    </row>
    <row r="737" spans="14:19" ht="13.2">
      <c r="N737" s="52"/>
      <c r="O737" s="97"/>
      <c r="P737" s="52"/>
      <c r="Q737" s="52"/>
      <c r="R737" s="54"/>
      <c r="S737" s="54"/>
    </row>
    <row r="738" spans="14:19" ht="13.2">
      <c r="N738" s="52"/>
      <c r="O738" s="97"/>
      <c r="P738" s="52"/>
      <c r="Q738" s="52"/>
      <c r="R738" s="54"/>
      <c r="S738" s="54"/>
    </row>
    <row r="739" spans="14:19" ht="13.2">
      <c r="N739" s="52"/>
      <c r="O739" s="97"/>
      <c r="P739" s="52"/>
      <c r="Q739" s="52"/>
      <c r="R739" s="54"/>
      <c r="S739" s="54"/>
    </row>
    <row r="740" spans="14:19" ht="13.2">
      <c r="N740" s="52"/>
      <c r="O740" s="97"/>
      <c r="P740" s="52"/>
      <c r="Q740" s="52"/>
      <c r="R740" s="54"/>
      <c r="S740" s="54"/>
    </row>
    <row r="741" spans="14:19" ht="13.2">
      <c r="N741" s="52"/>
      <c r="O741" s="97"/>
      <c r="P741" s="52"/>
      <c r="Q741" s="52"/>
      <c r="R741" s="54"/>
      <c r="S741" s="54"/>
    </row>
    <row r="742" spans="14:19" ht="13.2">
      <c r="N742" s="52"/>
      <c r="O742" s="97"/>
      <c r="P742" s="52"/>
      <c r="Q742" s="52"/>
      <c r="R742" s="54"/>
      <c r="S742" s="54"/>
    </row>
    <row r="743" spans="14:19" ht="13.2">
      <c r="N743" s="52"/>
      <c r="O743" s="97"/>
      <c r="P743" s="52"/>
      <c r="Q743" s="52"/>
      <c r="R743" s="54"/>
      <c r="S743" s="54"/>
    </row>
    <row r="744" spans="14:19" ht="13.2">
      <c r="N744" s="52"/>
      <c r="O744" s="97"/>
      <c r="P744" s="52"/>
      <c r="Q744" s="52"/>
      <c r="R744" s="54"/>
      <c r="S744" s="54"/>
    </row>
    <row r="745" spans="14:19" ht="13.2">
      <c r="N745" s="52"/>
      <c r="O745" s="97"/>
      <c r="P745" s="52"/>
      <c r="Q745" s="52"/>
      <c r="R745" s="54"/>
      <c r="S745" s="54"/>
    </row>
    <row r="746" spans="14:19" ht="13.2">
      <c r="N746" s="52"/>
      <c r="O746" s="97"/>
      <c r="P746" s="52"/>
      <c r="Q746" s="52"/>
      <c r="R746" s="54"/>
      <c r="S746" s="54"/>
    </row>
    <row r="747" spans="14:19" ht="13.2">
      <c r="N747" s="52"/>
      <c r="O747" s="97"/>
      <c r="P747" s="52"/>
      <c r="Q747" s="52"/>
      <c r="R747" s="54"/>
      <c r="S747" s="54"/>
    </row>
    <row r="748" spans="14:19" ht="13.2">
      <c r="N748" s="52"/>
      <c r="O748" s="97"/>
      <c r="P748" s="52"/>
      <c r="Q748" s="52"/>
      <c r="R748" s="54"/>
      <c r="S748" s="54"/>
    </row>
    <row r="749" spans="14:19" ht="13.2">
      <c r="N749" s="52"/>
      <c r="O749" s="97"/>
      <c r="P749" s="52"/>
      <c r="Q749" s="52"/>
      <c r="R749" s="54"/>
      <c r="S749" s="54"/>
    </row>
    <row r="750" spans="14:19" ht="13.2">
      <c r="N750" s="52"/>
      <c r="O750" s="97"/>
      <c r="P750" s="52"/>
      <c r="Q750" s="52"/>
      <c r="R750" s="54"/>
      <c r="S750" s="54"/>
    </row>
    <row r="751" spans="14:19" ht="13.2">
      <c r="N751" s="52"/>
      <c r="O751" s="97"/>
      <c r="P751" s="52"/>
      <c r="Q751" s="52"/>
      <c r="R751" s="54"/>
      <c r="S751" s="54"/>
    </row>
    <row r="752" spans="14:19" ht="13.2">
      <c r="N752" s="52"/>
      <c r="O752" s="97"/>
      <c r="P752" s="52"/>
      <c r="Q752" s="52"/>
      <c r="R752" s="54"/>
      <c r="S752" s="54"/>
    </row>
    <row r="753" spans="14:19" ht="13.2">
      <c r="N753" s="52"/>
      <c r="O753" s="97"/>
      <c r="P753" s="52"/>
      <c r="Q753" s="52"/>
      <c r="R753" s="54"/>
      <c r="S753" s="54"/>
    </row>
    <row r="754" spans="14:19" ht="13.2">
      <c r="N754" s="52"/>
      <c r="O754" s="97"/>
      <c r="P754" s="52"/>
      <c r="Q754" s="52"/>
      <c r="R754" s="54"/>
      <c r="S754" s="54"/>
    </row>
    <row r="755" spans="14:19" ht="13.2">
      <c r="N755" s="52"/>
      <c r="O755" s="97"/>
      <c r="P755" s="52"/>
      <c r="Q755" s="52"/>
      <c r="R755" s="54"/>
      <c r="S755" s="54"/>
    </row>
    <row r="756" spans="14:19" ht="13.2">
      <c r="N756" s="52"/>
      <c r="O756" s="97"/>
      <c r="P756" s="52"/>
      <c r="Q756" s="52"/>
      <c r="R756" s="54"/>
      <c r="S756" s="54"/>
    </row>
    <row r="757" spans="14:19" ht="13.2">
      <c r="N757" s="52"/>
      <c r="O757" s="97"/>
      <c r="P757" s="52"/>
      <c r="Q757" s="52"/>
      <c r="R757" s="54"/>
      <c r="S757" s="54"/>
    </row>
    <row r="758" spans="14:19" ht="13.2">
      <c r="N758" s="52"/>
      <c r="O758" s="97"/>
      <c r="P758" s="52"/>
      <c r="Q758" s="52"/>
      <c r="R758" s="54"/>
      <c r="S758" s="54"/>
    </row>
    <row r="759" spans="14:19" ht="13.2">
      <c r="N759" s="52"/>
      <c r="O759" s="97"/>
      <c r="P759" s="52"/>
      <c r="Q759" s="52"/>
      <c r="R759" s="54"/>
      <c r="S759" s="54"/>
    </row>
    <row r="760" spans="14:19" ht="13.2">
      <c r="N760" s="52"/>
      <c r="O760" s="97"/>
      <c r="P760" s="52"/>
      <c r="Q760" s="52"/>
      <c r="R760" s="54"/>
      <c r="S760" s="54"/>
    </row>
    <row r="761" spans="14:19" ht="13.2">
      <c r="N761" s="52"/>
      <c r="O761" s="97"/>
      <c r="P761" s="52"/>
      <c r="Q761" s="52"/>
      <c r="R761" s="54"/>
      <c r="S761" s="54"/>
    </row>
    <row r="762" spans="14:19" ht="13.2">
      <c r="N762" s="52"/>
      <c r="O762" s="97"/>
      <c r="P762" s="52"/>
      <c r="Q762" s="52"/>
      <c r="R762" s="54"/>
      <c r="S762" s="54"/>
    </row>
    <row r="763" spans="14:19" ht="13.2">
      <c r="N763" s="52"/>
      <c r="O763" s="97"/>
      <c r="P763" s="52"/>
      <c r="Q763" s="52"/>
      <c r="R763" s="54"/>
      <c r="S763" s="54"/>
    </row>
    <row r="764" spans="14:19" ht="13.2">
      <c r="N764" s="52"/>
      <c r="O764" s="97"/>
      <c r="P764" s="52"/>
      <c r="Q764" s="52"/>
      <c r="R764" s="54"/>
      <c r="S764" s="54"/>
    </row>
    <row r="765" spans="14:19" ht="13.2">
      <c r="N765" s="52"/>
      <c r="O765" s="97"/>
      <c r="P765" s="52"/>
      <c r="Q765" s="52"/>
      <c r="R765" s="54"/>
      <c r="S765" s="54"/>
    </row>
    <row r="766" spans="14:19" ht="13.2">
      <c r="N766" s="52"/>
      <c r="O766" s="97"/>
      <c r="P766" s="52"/>
      <c r="Q766" s="52"/>
      <c r="R766" s="54"/>
      <c r="S766" s="54"/>
    </row>
    <row r="767" spans="14:19" ht="13.2">
      <c r="N767" s="52"/>
      <c r="O767" s="97"/>
      <c r="P767" s="52"/>
      <c r="Q767" s="52"/>
      <c r="R767" s="54"/>
      <c r="S767" s="54"/>
    </row>
    <row r="768" spans="14:19" ht="13.2">
      <c r="N768" s="52"/>
      <c r="O768" s="97"/>
      <c r="P768" s="52"/>
      <c r="Q768" s="52"/>
      <c r="R768" s="54"/>
      <c r="S768" s="54"/>
    </row>
    <row r="769" spans="14:19" ht="13.2">
      <c r="N769" s="52"/>
      <c r="O769" s="97"/>
      <c r="P769" s="52"/>
      <c r="Q769" s="52"/>
      <c r="R769" s="54"/>
      <c r="S769" s="54"/>
    </row>
    <row r="770" spans="14:19" ht="13.2">
      <c r="N770" s="52"/>
      <c r="O770" s="97"/>
      <c r="P770" s="52"/>
      <c r="Q770" s="52"/>
      <c r="R770" s="54"/>
      <c r="S770" s="54"/>
    </row>
    <row r="771" spans="14:19" ht="13.2">
      <c r="N771" s="52"/>
      <c r="O771" s="97"/>
      <c r="P771" s="52"/>
      <c r="Q771" s="52"/>
      <c r="R771" s="54"/>
      <c r="S771" s="54"/>
    </row>
    <row r="772" spans="14:19" ht="13.2">
      <c r="N772" s="52"/>
      <c r="O772" s="97"/>
      <c r="P772" s="52"/>
      <c r="Q772" s="52"/>
      <c r="R772" s="54"/>
      <c r="S772" s="54"/>
    </row>
    <row r="773" spans="14:19" ht="13.2">
      <c r="N773" s="52"/>
      <c r="O773" s="97"/>
      <c r="P773" s="52"/>
      <c r="Q773" s="52"/>
      <c r="R773" s="54"/>
      <c r="S773" s="54"/>
    </row>
    <row r="774" spans="14:19" ht="13.2">
      <c r="N774" s="52"/>
      <c r="O774" s="97"/>
      <c r="P774" s="52"/>
      <c r="Q774" s="52"/>
      <c r="R774" s="54"/>
      <c r="S774" s="54"/>
    </row>
    <row r="775" spans="14:19" ht="13.2">
      <c r="N775" s="52"/>
      <c r="O775" s="97"/>
      <c r="P775" s="52"/>
      <c r="Q775" s="52"/>
      <c r="R775" s="54"/>
      <c r="S775" s="54"/>
    </row>
    <row r="776" spans="14:19" ht="13.2">
      <c r="N776" s="52"/>
      <c r="O776" s="97"/>
      <c r="P776" s="52"/>
      <c r="Q776" s="52"/>
      <c r="R776" s="54"/>
      <c r="S776" s="54"/>
    </row>
    <row r="777" spans="14:19" ht="13.2">
      <c r="N777" s="52"/>
      <c r="O777" s="97"/>
      <c r="P777" s="52"/>
      <c r="Q777" s="52"/>
      <c r="R777" s="54"/>
      <c r="S777" s="54"/>
    </row>
    <row r="778" spans="14:19" ht="13.2">
      <c r="N778" s="52"/>
      <c r="O778" s="97"/>
      <c r="P778" s="52"/>
      <c r="Q778" s="52"/>
      <c r="R778" s="54"/>
      <c r="S778" s="54"/>
    </row>
    <row r="779" spans="14:19" ht="13.2">
      <c r="N779" s="52"/>
      <c r="O779" s="97"/>
      <c r="P779" s="52"/>
      <c r="Q779" s="52"/>
      <c r="R779" s="54"/>
      <c r="S779" s="54"/>
    </row>
    <row r="780" spans="14:19" ht="13.2">
      <c r="N780" s="52"/>
      <c r="O780" s="97"/>
      <c r="P780" s="52"/>
      <c r="Q780" s="52"/>
      <c r="R780" s="54"/>
      <c r="S780" s="54"/>
    </row>
    <row r="781" spans="14:19" ht="13.2">
      <c r="N781" s="52"/>
      <c r="O781" s="97"/>
      <c r="P781" s="52"/>
      <c r="Q781" s="52"/>
      <c r="R781" s="54"/>
      <c r="S781" s="54"/>
    </row>
    <row r="782" spans="14:19" ht="13.2">
      <c r="N782" s="52"/>
      <c r="O782" s="97"/>
      <c r="P782" s="52"/>
      <c r="Q782" s="52"/>
      <c r="R782" s="54"/>
      <c r="S782" s="54"/>
    </row>
    <row r="783" spans="14:19" ht="13.2">
      <c r="N783" s="52"/>
      <c r="O783" s="97"/>
      <c r="P783" s="52"/>
      <c r="Q783" s="52"/>
      <c r="R783" s="54"/>
      <c r="S783" s="54"/>
    </row>
    <row r="784" spans="14:19" ht="13.2">
      <c r="N784" s="52"/>
      <c r="O784" s="97"/>
      <c r="P784" s="52"/>
      <c r="Q784" s="52"/>
      <c r="R784" s="54"/>
      <c r="S784" s="54"/>
    </row>
    <row r="785" spans="14:19" ht="13.2">
      <c r="N785" s="52"/>
      <c r="O785" s="97"/>
      <c r="P785" s="52"/>
      <c r="Q785" s="52"/>
      <c r="R785" s="54"/>
      <c r="S785" s="54"/>
    </row>
    <row r="786" spans="14:19" ht="13.2">
      <c r="N786" s="52"/>
      <c r="O786" s="97"/>
      <c r="P786" s="52"/>
      <c r="Q786" s="52"/>
      <c r="R786" s="54"/>
      <c r="S786" s="54"/>
    </row>
    <row r="787" spans="14:19" ht="13.2">
      <c r="N787" s="52"/>
      <c r="O787" s="97"/>
      <c r="P787" s="52"/>
      <c r="Q787" s="52"/>
      <c r="R787" s="54"/>
      <c r="S787" s="54"/>
    </row>
    <row r="788" spans="14:19" ht="13.2">
      <c r="N788" s="52"/>
      <c r="O788" s="97"/>
      <c r="P788" s="52"/>
      <c r="Q788" s="52"/>
      <c r="R788" s="54"/>
      <c r="S788" s="54"/>
    </row>
    <row r="789" spans="14:19" ht="13.2">
      <c r="N789" s="52"/>
      <c r="O789" s="97"/>
      <c r="P789" s="52"/>
      <c r="Q789" s="52"/>
      <c r="R789" s="54"/>
      <c r="S789" s="54"/>
    </row>
    <row r="790" spans="14:19" ht="13.2">
      <c r="N790" s="52"/>
      <c r="O790" s="97"/>
      <c r="P790" s="52"/>
      <c r="Q790" s="52"/>
      <c r="R790" s="54"/>
      <c r="S790" s="54"/>
    </row>
    <row r="791" spans="14:19" ht="13.2">
      <c r="N791" s="52"/>
      <c r="O791" s="97"/>
      <c r="P791" s="52"/>
      <c r="Q791" s="52"/>
      <c r="R791" s="54"/>
      <c r="S791" s="54"/>
    </row>
    <row r="792" spans="14:19" ht="13.2">
      <c r="N792" s="52"/>
      <c r="O792" s="97"/>
      <c r="P792" s="52"/>
      <c r="Q792" s="52"/>
      <c r="R792" s="54"/>
      <c r="S792" s="54"/>
    </row>
    <row r="793" spans="14:19" ht="13.2">
      <c r="N793" s="52"/>
      <c r="O793" s="97"/>
      <c r="P793" s="52"/>
      <c r="Q793" s="52"/>
      <c r="R793" s="54"/>
      <c r="S793" s="54"/>
    </row>
    <row r="794" spans="14:19" ht="13.2">
      <c r="N794" s="52"/>
      <c r="O794" s="97"/>
      <c r="P794" s="52"/>
      <c r="Q794" s="52"/>
      <c r="R794" s="54"/>
      <c r="S794" s="54"/>
    </row>
    <row r="795" spans="14:19" ht="13.2">
      <c r="N795" s="52"/>
      <c r="O795" s="97"/>
      <c r="P795" s="52"/>
      <c r="Q795" s="52"/>
      <c r="R795" s="54"/>
      <c r="S795" s="54"/>
    </row>
    <row r="796" spans="14:19" ht="13.2">
      <c r="N796" s="52"/>
      <c r="O796" s="97"/>
      <c r="P796" s="52"/>
      <c r="Q796" s="52"/>
      <c r="R796" s="54"/>
      <c r="S796" s="54"/>
    </row>
    <row r="797" spans="14:19" ht="13.2">
      <c r="N797" s="52"/>
      <c r="O797" s="97"/>
      <c r="P797" s="52"/>
      <c r="Q797" s="52"/>
      <c r="R797" s="54"/>
      <c r="S797" s="54"/>
    </row>
    <row r="798" spans="14:19" ht="13.2">
      <c r="N798" s="52"/>
      <c r="O798" s="97"/>
      <c r="P798" s="52"/>
      <c r="Q798" s="52"/>
      <c r="R798" s="54"/>
      <c r="S798" s="54"/>
    </row>
    <row r="799" spans="14:19" ht="13.2">
      <c r="N799" s="52"/>
      <c r="O799" s="97"/>
      <c r="P799" s="52"/>
      <c r="Q799" s="52"/>
      <c r="R799" s="54"/>
      <c r="S799" s="54"/>
    </row>
    <row r="800" spans="14:19" ht="13.2">
      <c r="N800" s="52"/>
      <c r="O800" s="97"/>
      <c r="P800" s="52"/>
      <c r="Q800" s="52"/>
      <c r="R800" s="54"/>
      <c r="S800" s="54"/>
    </row>
    <row r="801" spans="14:19" ht="13.2">
      <c r="N801" s="52"/>
      <c r="O801" s="97"/>
      <c r="P801" s="52"/>
      <c r="Q801" s="52"/>
      <c r="R801" s="54"/>
      <c r="S801" s="54"/>
    </row>
    <row r="802" spans="14:19" ht="13.2">
      <c r="N802" s="52"/>
      <c r="O802" s="97"/>
      <c r="P802" s="52"/>
      <c r="Q802" s="52"/>
      <c r="R802" s="54"/>
      <c r="S802" s="54"/>
    </row>
    <row r="803" spans="14:19" ht="13.2">
      <c r="N803" s="52"/>
      <c r="O803" s="97"/>
      <c r="P803" s="52"/>
      <c r="Q803" s="52"/>
      <c r="R803" s="54"/>
      <c r="S803" s="54"/>
    </row>
    <row r="804" spans="14:19" ht="13.2">
      <c r="N804" s="52"/>
      <c r="O804" s="97"/>
      <c r="P804" s="52"/>
      <c r="Q804" s="52"/>
      <c r="R804" s="54"/>
      <c r="S804" s="54"/>
    </row>
    <row r="805" spans="14:19" ht="13.2">
      <c r="N805" s="52"/>
      <c r="O805" s="97"/>
      <c r="P805" s="52"/>
      <c r="Q805" s="52"/>
      <c r="R805" s="54"/>
      <c r="S805" s="54"/>
    </row>
    <row r="806" spans="14:19" ht="13.2">
      <c r="N806" s="52"/>
      <c r="O806" s="97"/>
      <c r="P806" s="52"/>
      <c r="Q806" s="52"/>
      <c r="R806" s="54"/>
      <c r="S806" s="54"/>
    </row>
    <row r="807" spans="14:19" ht="13.2">
      <c r="N807" s="52"/>
      <c r="O807" s="97"/>
      <c r="P807" s="52"/>
      <c r="Q807" s="52"/>
      <c r="R807" s="54"/>
      <c r="S807" s="54"/>
    </row>
    <row r="808" spans="14:19" ht="13.2">
      <c r="N808" s="52"/>
      <c r="O808" s="97"/>
      <c r="P808" s="52"/>
      <c r="Q808" s="52"/>
      <c r="R808" s="54"/>
      <c r="S808" s="54"/>
    </row>
    <row r="809" spans="14:19" ht="13.2">
      <c r="N809" s="52"/>
      <c r="O809" s="97"/>
      <c r="P809" s="52"/>
      <c r="Q809" s="52"/>
      <c r="R809" s="54"/>
      <c r="S809" s="54"/>
    </row>
    <row r="810" spans="14:19" ht="13.2">
      <c r="N810" s="52"/>
      <c r="O810" s="97"/>
      <c r="P810" s="52"/>
      <c r="Q810" s="52"/>
      <c r="R810" s="54"/>
      <c r="S810" s="54"/>
    </row>
    <row r="811" spans="14:19" ht="13.2">
      <c r="N811" s="52"/>
      <c r="O811" s="97"/>
      <c r="P811" s="52"/>
      <c r="Q811" s="52"/>
      <c r="R811" s="54"/>
      <c r="S811" s="54"/>
    </row>
    <row r="812" spans="14:19" ht="13.2">
      <c r="N812" s="52"/>
      <c r="O812" s="97"/>
      <c r="P812" s="52"/>
      <c r="Q812" s="52"/>
      <c r="R812" s="54"/>
      <c r="S812" s="54"/>
    </row>
    <row r="813" spans="14:19" ht="13.2">
      <c r="N813" s="52"/>
      <c r="O813" s="97"/>
      <c r="P813" s="52"/>
      <c r="Q813" s="52"/>
      <c r="R813" s="54"/>
      <c r="S813" s="54"/>
    </row>
    <row r="814" spans="14:19" ht="13.2">
      <c r="N814" s="52"/>
      <c r="O814" s="97"/>
      <c r="P814" s="52"/>
      <c r="Q814" s="52"/>
      <c r="R814" s="54"/>
      <c r="S814" s="54"/>
    </row>
    <row r="815" spans="14:19" ht="13.2">
      <c r="N815" s="52"/>
      <c r="O815" s="97"/>
      <c r="P815" s="52"/>
      <c r="Q815" s="52"/>
      <c r="R815" s="54"/>
      <c r="S815" s="54"/>
    </row>
    <row r="816" spans="14:19" ht="13.2">
      <c r="N816" s="52"/>
      <c r="O816" s="97"/>
      <c r="P816" s="52"/>
      <c r="Q816" s="52"/>
      <c r="R816" s="54"/>
      <c r="S816" s="54"/>
    </row>
    <row r="817" spans="14:19" ht="13.2">
      <c r="N817" s="52"/>
      <c r="O817" s="97"/>
      <c r="P817" s="52"/>
      <c r="Q817" s="52"/>
      <c r="R817" s="54"/>
      <c r="S817" s="54"/>
    </row>
    <row r="818" spans="14:19" ht="13.2">
      <c r="N818" s="52"/>
      <c r="O818" s="97"/>
      <c r="P818" s="52"/>
      <c r="Q818" s="52"/>
      <c r="R818" s="54"/>
      <c r="S818" s="54"/>
    </row>
    <row r="819" spans="14:19" ht="13.2">
      <c r="N819" s="52"/>
      <c r="O819" s="97"/>
      <c r="P819" s="52"/>
      <c r="Q819" s="52"/>
      <c r="R819" s="54"/>
      <c r="S819" s="54"/>
    </row>
    <row r="820" spans="14:19" ht="13.2">
      <c r="N820" s="52"/>
      <c r="O820" s="97"/>
      <c r="P820" s="52"/>
      <c r="Q820" s="52"/>
      <c r="R820" s="54"/>
      <c r="S820" s="54"/>
    </row>
    <row r="821" spans="14:19" ht="13.2">
      <c r="N821" s="52"/>
      <c r="O821" s="97"/>
      <c r="P821" s="52"/>
      <c r="Q821" s="52"/>
      <c r="R821" s="54"/>
      <c r="S821" s="54"/>
    </row>
    <row r="822" spans="14:19" ht="13.2">
      <c r="N822" s="52"/>
      <c r="O822" s="97"/>
      <c r="P822" s="52"/>
      <c r="Q822" s="52"/>
      <c r="R822" s="54"/>
      <c r="S822" s="54"/>
    </row>
    <row r="823" spans="14:19" ht="13.2">
      <c r="N823" s="52"/>
      <c r="O823" s="97"/>
      <c r="P823" s="52"/>
      <c r="Q823" s="52"/>
      <c r="R823" s="54"/>
      <c r="S823" s="54"/>
    </row>
    <row r="824" spans="14:19" ht="13.2">
      <c r="N824" s="52"/>
      <c r="O824" s="97"/>
      <c r="P824" s="52"/>
      <c r="Q824" s="52"/>
      <c r="R824" s="54"/>
      <c r="S824" s="54"/>
    </row>
    <row r="825" spans="14:19" ht="13.2">
      <c r="N825" s="52"/>
      <c r="O825" s="97"/>
      <c r="P825" s="52"/>
      <c r="Q825" s="52"/>
      <c r="R825" s="54"/>
      <c r="S825" s="54"/>
    </row>
    <row r="826" spans="14:19" ht="13.2">
      <c r="N826" s="52"/>
      <c r="O826" s="97"/>
      <c r="P826" s="52"/>
      <c r="Q826" s="52"/>
      <c r="R826" s="54"/>
      <c r="S826" s="54"/>
    </row>
    <row r="827" spans="14:19" ht="13.2">
      <c r="N827" s="52"/>
      <c r="O827" s="97"/>
      <c r="P827" s="52"/>
      <c r="Q827" s="52"/>
      <c r="R827" s="54"/>
      <c r="S827" s="54"/>
    </row>
    <row r="828" spans="14:19" ht="13.2">
      <c r="N828" s="52"/>
      <c r="O828" s="97"/>
      <c r="P828" s="52"/>
      <c r="Q828" s="52"/>
      <c r="R828" s="54"/>
      <c r="S828" s="54"/>
    </row>
    <row r="829" spans="14:19" ht="13.2">
      <c r="N829" s="52"/>
      <c r="O829" s="97"/>
      <c r="P829" s="52"/>
      <c r="Q829" s="52"/>
      <c r="R829" s="54"/>
      <c r="S829" s="54"/>
    </row>
    <row r="830" spans="14:19" ht="13.2">
      <c r="N830" s="52"/>
      <c r="O830" s="97"/>
      <c r="P830" s="52"/>
      <c r="Q830" s="52"/>
      <c r="R830" s="54"/>
      <c r="S830" s="54"/>
    </row>
    <row r="831" spans="14:19" ht="13.2">
      <c r="N831" s="52"/>
      <c r="O831" s="97"/>
      <c r="P831" s="52"/>
      <c r="Q831" s="52"/>
      <c r="R831" s="54"/>
      <c r="S831" s="54"/>
    </row>
    <row r="832" spans="14:19" ht="13.2">
      <c r="N832" s="52"/>
      <c r="O832" s="97"/>
      <c r="P832" s="52"/>
      <c r="Q832" s="52"/>
      <c r="R832" s="54"/>
      <c r="S832" s="54"/>
    </row>
    <row r="833" spans="14:19" ht="13.2">
      <c r="N833" s="52"/>
      <c r="O833" s="97"/>
      <c r="P833" s="52"/>
      <c r="Q833" s="52"/>
      <c r="R833" s="54"/>
      <c r="S833" s="54"/>
    </row>
    <row r="834" spans="14:19" ht="13.2">
      <c r="N834" s="52"/>
      <c r="O834" s="97"/>
      <c r="P834" s="52"/>
      <c r="Q834" s="52"/>
      <c r="R834" s="54"/>
      <c r="S834" s="54"/>
    </row>
    <row r="835" spans="14:19" ht="13.2">
      <c r="N835" s="52"/>
      <c r="O835" s="97"/>
      <c r="P835" s="52"/>
      <c r="Q835" s="52"/>
      <c r="R835" s="54"/>
      <c r="S835" s="54"/>
    </row>
    <row r="836" spans="14:19" ht="13.2">
      <c r="N836" s="52"/>
      <c r="O836" s="97"/>
      <c r="P836" s="52"/>
      <c r="Q836" s="52"/>
      <c r="R836" s="54"/>
      <c r="S836" s="54"/>
    </row>
    <row r="837" spans="14:19" ht="13.2">
      <c r="N837" s="52"/>
      <c r="O837" s="97"/>
      <c r="P837" s="52"/>
      <c r="Q837" s="52"/>
      <c r="R837" s="54"/>
      <c r="S837" s="54"/>
    </row>
    <row r="838" spans="14:19" ht="13.2">
      <c r="N838" s="52"/>
      <c r="O838" s="97"/>
      <c r="P838" s="52"/>
      <c r="Q838" s="52"/>
      <c r="R838" s="54"/>
      <c r="S838" s="54"/>
    </row>
    <row r="839" spans="14:19" ht="13.2">
      <c r="N839" s="52"/>
      <c r="O839" s="97"/>
      <c r="P839" s="52"/>
      <c r="Q839" s="52"/>
      <c r="R839" s="54"/>
      <c r="S839" s="54"/>
    </row>
    <row r="840" spans="14:19" ht="13.2">
      <c r="N840" s="52"/>
      <c r="O840" s="97"/>
      <c r="P840" s="52"/>
      <c r="Q840" s="52"/>
      <c r="R840" s="54"/>
      <c r="S840" s="54"/>
    </row>
    <row r="841" spans="14:19" ht="13.2">
      <c r="N841" s="52"/>
      <c r="O841" s="97"/>
      <c r="P841" s="52"/>
      <c r="Q841" s="52"/>
      <c r="R841" s="54"/>
      <c r="S841" s="54"/>
    </row>
    <row r="842" spans="14:19" ht="13.2">
      <c r="N842" s="52"/>
      <c r="O842" s="97"/>
      <c r="P842" s="52"/>
      <c r="Q842" s="52"/>
      <c r="R842" s="54"/>
      <c r="S842" s="54"/>
    </row>
    <row r="843" spans="14:19" ht="13.2">
      <c r="N843" s="52"/>
      <c r="O843" s="97"/>
      <c r="P843" s="52"/>
      <c r="Q843" s="52"/>
      <c r="R843" s="54"/>
      <c r="S843" s="54"/>
    </row>
    <row r="844" spans="14:19" ht="13.2">
      <c r="N844" s="52"/>
      <c r="O844" s="97"/>
      <c r="P844" s="52"/>
      <c r="Q844" s="52"/>
      <c r="R844" s="54"/>
      <c r="S844" s="54"/>
    </row>
    <row r="845" spans="14:19" ht="13.2">
      <c r="N845" s="52"/>
      <c r="O845" s="97"/>
      <c r="P845" s="52"/>
      <c r="Q845" s="52"/>
      <c r="R845" s="54"/>
      <c r="S845" s="54"/>
    </row>
    <row r="846" spans="14:19" ht="13.2">
      <c r="N846" s="52"/>
      <c r="O846" s="97"/>
      <c r="P846" s="52"/>
      <c r="Q846" s="52"/>
      <c r="R846" s="54"/>
      <c r="S846" s="54"/>
    </row>
    <row r="847" spans="14:19" ht="13.2">
      <c r="N847" s="52"/>
      <c r="O847" s="97"/>
      <c r="P847" s="52"/>
      <c r="Q847" s="52"/>
      <c r="R847" s="54"/>
      <c r="S847" s="54"/>
    </row>
    <row r="848" spans="14:19" ht="13.2">
      <c r="N848" s="52"/>
      <c r="O848" s="97"/>
      <c r="P848" s="52"/>
      <c r="Q848" s="52"/>
      <c r="R848" s="54"/>
      <c r="S848" s="54"/>
    </row>
    <row r="849" spans="14:19" ht="13.2">
      <c r="N849" s="52"/>
      <c r="O849" s="97"/>
      <c r="P849" s="52"/>
      <c r="Q849" s="52"/>
      <c r="R849" s="54"/>
      <c r="S849" s="54"/>
    </row>
    <row r="850" spans="14:19" ht="13.2">
      <c r="N850" s="52"/>
      <c r="O850" s="97"/>
      <c r="P850" s="52"/>
      <c r="Q850" s="52"/>
      <c r="R850" s="54"/>
      <c r="S850" s="54"/>
    </row>
    <row r="851" spans="14:19" ht="13.2">
      <c r="N851" s="52"/>
      <c r="O851" s="97"/>
      <c r="P851" s="52"/>
      <c r="Q851" s="52"/>
      <c r="R851" s="54"/>
      <c r="S851" s="54"/>
    </row>
    <row r="852" spans="14:19" ht="13.2">
      <c r="N852" s="52"/>
      <c r="O852" s="97"/>
      <c r="P852" s="52"/>
      <c r="Q852" s="52"/>
      <c r="R852" s="54"/>
      <c r="S852" s="54"/>
    </row>
    <row r="853" spans="14:19" ht="13.2">
      <c r="N853" s="52"/>
      <c r="O853" s="97"/>
      <c r="P853" s="52"/>
      <c r="Q853" s="52"/>
      <c r="R853" s="54"/>
      <c r="S853" s="54"/>
    </row>
    <row r="854" spans="14:19" ht="13.2">
      <c r="N854" s="52"/>
      <c r="O854" s="97"/>
      <c r="P854" s="52"/>
      <c r="Q854" s="52"/>
      <c r="R854" s="54"/>
      <c r="S854" s="54"/>
    </row>
    <row r="855" spans="14:19" ht="13.2">
      <c r="N855" s="52"/>
      <c r="O855" s="97"/>
      <c r="P855" s="52"/>
      <c r="Q855" s="52"/>
      <c r="R855" s="54"/>
      <c r="S855" s="54"/>
    </row>
    <row r="856" spans="14:19" ht="13.2">
      <c r="N856" s="52"/>
      <c r="O856" s="97"/>
      <c r="P856" s="52"/>
      <c r="Q856" s="52"/>
      <c r="R856" s="54"/>
      <c r="S856" s="54"/>
    </row>
    <row r="857" spans="14:19" ht="13.2">
      <c r="N857" s="52"/>
      <c r="O857" s="97"/>
      <c r="P857" s="52"/>
      <c r="Q857" s="52"/>
      <c r="R857" s="54"/>
      <c r="S857" s="54"/>
    </row>
    <row r="858" spans="14:19" ht="13.2">
      <c r="N858" s="52"/>
      <c r="O858" s="97"/>
      <c r="P858" s="52"/>
      <c r="Q858" s="52"/>
      <c r="R858" s="54"/>
      <c r="S858" s="54"/>
    </row>
    <row r="859" spans="14:19" ht="13.2">
      <c r="N859" s="52"/>
      <c r="O859" s="97"/>
      <c r="P859" s="52"/>
      <c r="Q859" s="52"/>
      <c r="R859" s="54"/>
      <c r="S859" s="54"/>
    </row>
    <row r="860" spans="14:19" ht="13.2">
      <c r="N860" s="52"/>
      <c r="O860" s="97"/>
      <c r="P860" s="52"/>
      <c r="Q860" s="52"/>
      <c r="R860" s="54"/>
      <c r="S860" s="54"/>
    </row>
    <row r="861" spans="14:19" ht="13.2">
      <c r="N861" s="52"/>
      <c r="O861" s="97"/>
      <c r="P861" s="52"/>
      <c r="Q861" s="52"/>
      <c r="R861" s="54"/>
      <c r="S861" s="54"/>
    </row>
    <row r="862" spans="14:19" ht="13.2">
      <c r="N862" s="52"/>
      <c r="O862" s="97"/>
      <c r="P862" s="52"/>
      <c r="Q862" s="52"/>
      <c r="R862" s="54"/>
      <c r="S862" s="54"/>
    </row>
    <row r="863" spans="14:19" ht="13.2">
      <c r="N863" s="52"/>
      <c r="O863" s="97"/>
      <c r="P863" s="52"/>
      <c r="Q863" s="52"/>
      <c r="R863" s="54"/>
      <c r="S863" s="54"/>
    </row>
    <row r="864" spans="14:19" ht="13.2">
      <c r="N864" s="52"/>
      <c r="O864" s="97"/>
      <c r="P864" s="52"/>
      <c r="Q864" s="52"/>
      <c r="R864" s="54"/>
      <c r="S864" s="54"/>
    </row>
    <row r="865" spans="14:19" ht="13.2">
      <c r="N865" s="52"/>
      <c r="O865" s="97"/>
      <c r="P865" s="52"/>
      <c r="Q865" s="52"/>
      <c r="R865" s="54"/>
      <c r="S865" s="54"/>
    </row>
    <row r="866" spans="14:19" ht="13.2">
      <c r="N866" s="52"/>
      <c r="O866" s="97"/>
      <c r="P866" s="52"/>
      <c r="Q866" s="52"/>
      <c r="R866" s="54"/>
      <c r="S866" s="54"/>
    </row>
    <row r="867" spans="14:19" ht="13.2">
      <c r="N867" s="52"/>
      <c r="O867" s="97"/>
      <c r="P867" s="52"/>
      <c r="Q867" s="52"/>
      <c r="R867" s="54"/>
      <c r="S867" s="54"/>
    </row>
    <row r="868" spans="14:19" ht="13.2">
      <c r="N868" s="52"/>
      <c r="O868" s="97"/>
      <c r="P868" s="52"/>
      <c r="Q868" s="52"/>
      <c r="R868" s="54"/>
      <c r="S868" s="54"/>
    </row>
    <row r="869" spans="14:19" ht="13.2">
      <c r="N869" s="52"/>
      <c r="O869" s="97"/>
      <c r="P869" s="52"/>
      <c r="Q869" s="52"/>
      <c r="R869" s="54"/>
      <c r="S869" s="54"/>
    </row>
    <row r="870" spans="14:19" ht="13.2">
      <c r="N870" s="52"/>
      <c r="O870" s="97"/>
      <c r="P870" s="52"/>
      <c r="Q870" s="52"/>
      <c r="R870" s="54"/>
      <c r="S870" s="54"/>
    </row>
    <row r="871" spans="14:19" ht="13.2">
      <c r="N871" s="52"/>
      <c r="O871" s="97"/>
      <c r="P871" s="52"/>
      <c r="Q871" s="52"/>
      <c r="R871" s="54"/>
      <c r="S871" s="54"/>
    </row>
    <row r="872" spans="14:19" ht="13.2">
      <c r="N872" s="52"/>
      <c r="O872" s="97"/>
      <c r="P872" s="52"/>
      <c r="Q872" s="52"/>
      <c r="R872" s="54"/>
      <c r="S872" s="54"/>
    </row>
    <row r="873" spans="14:19" ht="13.2">
      <c r="N873" s="52"/>
      <c r="O873" s="97"/>
      <c r="P873" s="52"/>
      <c r="Q873" s="52"/>
      <c r="R873" s="54"/>
      <c r="S873" s="54"/>
    </row>
    <row r="874" spans="14:19" ht="13.2">
      <c r="N874" s="52"/>
      <c r="O874" s="97"/>
      <c r="P874" s="52"/>
      <c r="Q874" s="52"/>
      <c r="R874" s="54"/>
      <c r="S874" s="54"/>
    </row>
    <row r="875" spans="14:19" ht="13.2">
      <c r="N875" s="52"/>
      <c r="O875" s="97"/>
      <c r="P875" s="52"/>
      <c r="Q875" s="52"/>
      <c r="R875" s="54"/>
      <c r="S875" s="54"/>
    </row>
    <row r="876" spans="14:19" ht="13.2">
      <c r="N876" s="52"/>
      <c r="O876" s="97"/>
      <c r="P876" s="52"/>
      <c r="Q876" s="52"/>
      <c r="R876" s="54"/>
      <c r="S876" s="54"/>
    </row>
    <row r="877" spans="14:19" ht="13.2">
      <c r="N877" s="52"/>
      <c r="O877" s="97"/>
      <c r="P877" s="52"/>
      <c r="Q877" s="52"/>
      <c r="R877" s="54"/>
      <c r="S877" s="54"/>
    </row>
    <row r="878" spans="14:19" ht="13.2">
      <c r="N878" s="52"/>
      <c r="O878" s="97"/>
      <c r="P878" s="52"/>
      <c r="Q878" s="52"/>
      <c r="R878" s="54"/>
      <c r="S878" s="54"/>
    </row>
    <row r="879" spans="14:19" ht="13.2">
      <c r="N879" s="52"/>
      <c r="O879" s="97"/>
      <c r="P879" s="52"/>
      <c r="Q879" s="52"/>
      <c r="R879" s="54"/>
      <c r="S879" s="54"/>
    </row>
    <row r="880" spans="14:19" ht="13.2">
      <c r="N880" s="52"/>
      <c r="O880" s="97"/>
      <c r="P880" s="52"/>
      <c r="Q880" s="52"/>
      <c r="R880" s="54"/>
      <c r="S880" s="54"/>
    </row>
    <row r="881" spans="14:19" ht="13.2">
      <c r="N881" s="52"/>
      <c r="O881" s="97"/>
      <c r="P881" s="52"/>
      <c r="Q881" s="52"/>
      <c r="R881" s="54"/>
      <c r="S881" s="54"/>
    </row>
    <row r="882" spans="14:19" ht="13.2">
      <c r="N882" s="52"/>
      <c r="O882" s="97"/>
      <c r="P882" s="52"/>
      <c r="Q882" s="52"/>
      <c r="R882" s="54"/>
      <c r="S882" s="54"/>
    </row>
    <row r="883" spans="14:19" ht="13.2">
      <c r="N883" s="52"/>
      <c r="O883" s="97"/>
      <c r="P883" s="52"/>
      <c r="Q883" s="52"/>
      <c r="R883" s="54"/>
      <c r="S883" s="54"/>
    </row>
    <row r="884" spans="14:19" ht="13.2">
      <c r="N884" s="52"/>
      <c r="O884" s="97"/>
      <c r="P884" s="52"/>
      <c r="Q884" s="52"/>
      <c r="R884" s="54"/>
      <c r="S884" s="54"/>
    </row>
    <row r="885" spans="14:19" ht="13.2">
      <c r="N885" s="52"/>
      <c r="O885" s="97"/>
      <c r="P885" s="52"/>
      <c r="Q885" s="52"/>
      <c r="R885" s="54"/>
      <c r="S885" s="54"/>
    </row>
    <row r="886" spans="14:19" ht="13.2">
      <c r="N886" s="52"/>
      <c r="O886" s="97"/>
      <c r="P886" s="52"/>
      <c r="Q886" s="52"/>
      <c r="R886" s="54"/>
      <c r="S886" s="54"/>
    </row>
    <row r="887" spans="14:19" ht="13.2">
      <c r="N887" s="52"/>
      <c r="O887" s="97"/>
      <c r="P887" s="52"/>
      <c r="Q887" s="52"/>
      <c r="R887" s="54"/>
      <c r="S887" s="54"/>
    </row>
    <row r="888" spans="14:19" ht="13.2">
      <c r="N888" s="52"/>
      <c r="O888" s="97"/>
      <c r="P888" s="52"/>
      <c r="Q888" s="52"/>
      <c r="R888" s="54"/>
      <c r="S888" s="54"/>
    </row>
    <row r="889" spans="14:19" ht="13.2">
      <c r="N889" s="52"/>
      <c r="O889" s="97"/>
      <c r="P889" s="52"/>
      <c r="Q889" s="52"/>
      <c r="R889" s="54"/>
      <c r="S889" s="54"/>
    </row>
    <row r="890" spans="14:19" ht="13.2">
      <c r="N890" s="52"/>
      <c r="O890" s="97"/>
      <c r="P890" s="52"/>
      <c r="Q890" s="52"/>
      <c r="R890" s="54"/>
      <c r="S890" s="54"/>
    </row>
    <row r="891" spans="14:19" ht="13.2">
      <c r="N891" s="52"/>
      <c r="O891" s="97"/>
      <c r="P891" s="52"/>
      <c r="Q891" s="52"/>
      <c r="R891" s="54"/>
      <c r="S891" s="54"/>
    </row>
    <row r="892" spans="14:19" ht="13.2">
      <c r="N892" s="52"/>
      <c r="O892" s="97"/>
      <c r="P892" s="52"/>
      <c r="Q892" s="52"/>
      <c r="R892" s="54"/>
      <c r="S892" s="54"/>
    </row>
    <row r="893" spans="14:19" ht="13.2">
      <c r="N893" s="52"/>
      <c r="O893" s="97"/>
      <c r="P893" s="52"/>
      <c r="Q893" s="52"/>
      <c r="R893" s="54"/>
      <c r="S893" s="54"/>
    </row>
    <row r="894" spans="14:19" ht="13.2">
      <c r="N894" s="52"/>
      <c r="O894" s="97"/>
      <c r="P894" s="52"/>
      <c r="Q894" s="52"/>
      <c r="R894" s="54"/>
      <c r="S894" s="54"/>
    </row>
    <row r="895" spans="14:19" ht="13.2">
      <c r="N895" s="52"/>
      <c r="O895" s="97"/>
      <c r="P895" s="52"/>
      <c r="Q895" s="52"/>
      <c r="R895" s="54"/>
      <c r="S895" s="54"/>
    </row>
    <row r="896" spans="14:19" ht="13.2">
      <c r="N896" s="52"/>
      <c r="O896" s="97"/>
      <c r="P896" s="52"/>
      <c r="Q896" s="52"/>
      <c r="R896" s="54"/>
      <c r="S896" s="54"/>
    </row>
    <row r="897" spans="14:19" ht="13.2">
      <c r="N897" s="52"/>
      <c r="O897" s="97"/>
      <c r="P897" s="52"/>
      <c r="Q897" s="52"/>
      <c r="R897" s="54"/>
      <c r="S897" s="54"/>
    </row>
    <row r="898" spans="14:19" ht="13.2">
      <c r="N898" s="52"/>
      <c r="O898" s="97"/>
      <c r="P898" s="52"/>
      <c r="Q898" s="52"/>
      <c r="R898" s="54"/>
      <c r="S898" s="54"/>
    </row>
    <row r="899" spans="14:19" ht="13.2">
      <c r="N899" s="52"/>
      <c r="O899" s="97"/>
      <c r="P899" s="52"/>
      <c r="Q899" s="52"/>
      <c r="R899" s="54"/>
      <c r="S899" s="54"/>
    </row>
    <row r="900" spans="14:19" ht="13.2">
      <c r="N900" s="52"/>
      <c r="O900" s="97"/>
      <c r="P900" s="52"/>
      <c r="Q900" s="52"/>
      <c r="R900" s="54"/>
      <c r="S900" s="54"/>
    </row>
    <row r="901" spans="14:19" ht="13.2">
      <c r="N901" s="52"/>
      <c r="O901" s="97"/>
      <c r="P901" s="52"/>
      <c r="Q901" s="52"/>
      <c r="R901" s="54"/>
      <c r="S901" s="54"/>
    </row>
    <row r="902" spans="14:19" ht="13.2">
      <c r="N902" s="52"/>
      <c r="O902" s="97"/>
      <c r="P902" s="52"/>
      <c r="Q902" s="52"/>
      <c r="R902" s="54"/>
      <c r="S902" s="54"/>
    </row>
    <row r="903" spans="14:19" ht="13.2">
      <c r="N903" s="52"/>
      <c r="O903" s="97"/>
      <c r="P903" s="52"/>
      <c r="Q903" s="52"/>
      <c r="R903" s="54"/>
      <c r="S903" s="54"/>
    </row>
    <row r="904" spans="14:19" ht="13.2">
      <c r="N904" s="52"/>
      <c r="O904" s="97"/>
      <c r="P904" s="52"/>
      <c r="Q904" s="52"/>
      <c r="R904" s="54"/>
      <c r="S904" s="54"/>
    </row>
    <row r="905" spans="14:19" ht="13.2">
      <c r="N905" s="52"/>
      <c r="O905" s="97"/>
      <c r="P905" s="52"/>
      <c r="Q905" s="52"/>
      <c r="R905" s="54"/>
      <c r="S905" s="54"/>
    </row>
    <row r="906" spans="14:19" ht="13.2">
      <c r="N906" s="52"/>
      <c r="O906" s="97"/>
      <c r="P906" s="52"/>
      <c r="Q906" s="52"/>
      <c r="R906" s="54"/>
      <c r="S906" s="54"/>
    </row>
    <row r="907" spans="14:19" ht="13.2">
      <c r="N907" s="52"/>
      <c r="O907" s="97"/>
      <c r="P907" s="52"/>
      <c r="Q907" s="52"/>
      <c r="R907" s="54"/>
      <c r="S907" s="54"/>
    </row>
    <row r="908" spans="14:19" ht="13.2">
      <c r="N908" s="52"/>
      <c r="O908" s="97"/>
      <c r="P908" s="52"/>
      <c r="Q908" s="52"/>
      <c r="R908" s="54"/>
      <c r="S908" s="54"/>
    </row>
    <row r="909" spans="14:19" ht="13.2">
      <c r="N909" s="52"/>
      <c r="O909" s="97"/>
      <c r="P909" s="52"/>
      <c r="Q909" s="52"/>
      <c r="R909" s="54"/>
      <c r="S909" s="54"/>
    </row>
    <row r="910" spans="14:19" ht="13.2">
      <c r="N910" s="52"/>
      <c r="O910" s="97"/>
      <c r="P910" s="52"/>
      <c r="Q910" s="52"/>
      <c r="R910" s="54"/>
      <c r="S910" s="54"/>
    </row>
    <row r="911" spans="14:19" ht="13.2">
      <c r="N911" s="52"/>
      <c r="O911" s="97"/>
      <c r="P911" s="52"/>
      <c r="Q911" s="52"/>
      <c r="R911" s="54"/>
      <c r="S911" s="54"/>
    </row>
    <row r="912" spans="14:19" ht="13.2">
      <c r="N912" s="52"/>
      <c r="O912" s="97"/>
      <c r="P912" s="52"/>
      <c r="Q912" s="52"/>
      <c r="R912" s="54"/>
      <c r="S912" s="54"/>
    </row>
    <row r="913" spans="14:19" ht="13.2">
      <c r="N913" s="52"/>
      <c r="O913" s="97"/>
      <c r="P913" s="52"/>
      <c r="Q913" s="52"/>
      <c r="R913" s="54"/>
      <c r="S913" s="54"/>
    </row>
    <row r="914" spans="14:19" ht="13.2">
      <c r="N914" s="52"/>
      <c r="O914" s="97"/>
      <c r="P914" s="52"/>
      <c r="Q914" s="52"/>
      <c r="R914" s="54"/>
      <c r="S914" s="54"/>
    </row>
    <row r="915" spans="14:19" ht="13.2">
      <c r="N915" s="52"/>
      <c r="O915" s="97"/>
      <c r="P915" s="52"/>
      <c r="Q915" s="52"/>
      <c r="R915" s="54"/>
      <c r="S915" s="54"/>
    </row>
    <row r="916" spans="14:19" ht="13.2">
      <c r="N916" s="52"/>
      <c r="O916" s="97"/>
      <c r="P916" s="52"/>
      <c r="Q916" s="52"/>
      <c r="R916" s="54"/>
      <c r="S916" s="54"/>
    </row>
    <row r="917" spans="14:19" ht="13.2">
      <c r="N917" s="52"/>
      <c r="O917" s="97"/>
      <c r="P917" s="52"/>
      <c r="Q917" s="52"/>
      <c r="R917" s="54"/>
      <c r="S917" s="54"/>
    </row>
    <row r="918" spans="14:19" ht="13.2">
      <c r="N918" s="52"/>
      <c r="O918" s="97"/>
      <c r="P918" s="52"/>
      <c r="Q918" s="52"/>
      <c r="R918" s="54"/>
      <c r="S918" s="54"/>
    </row>
    <row r="919" spans="14:19" ht="13.2">
      <c r="N919" s="52"/>
      <c r="O919" s="97"/>
      <c r="P919" s="52"/>
      <c r="Q919" s="52"/>
      <c r="R919" s="54"/>
      <c r="S919" s="54"/>
    </row>
    <row r="920" spans="14:19" ht="13.2">
      <c r="N920" s="52"/>
      <c r="O920" s="97"/>
      <c r="P920" s="52"/>
      <c r="Q920" s="52"/>
      <c r="R920" s="54"/>
      <c r="S920" s="54"/>
    </row>
    <row r="921" spans="14:19" ht="13.2">
      <c r="N921" s="52"/>
      <c r="O921" s="97"/>
      <c r="P921" s="52"/>
      <c r="Q921" s="52"/>
      <c r="R921" s="54"/>
      <c r="S921" s="54"/>
    </row>
    <row r="922" spans="14:19" ht="13.2">
      <c r="N922" s="52"/>
      <c r="O922" s="97"/>
      <c r="P922" s="52"/>
      <c r="Q922" s="52"/>
      <c r="R922" s="54"/>
      <c r="S922" s="54"/>
    </row>
    <row r="923" spans="14:19" ht="13.2">
      <c r="N923" s="52"/>
      <c r="O923" s="97"/>
      <c r="P923" s="52"/>
      <c r="Q923" s="52"/>
      <c r="R923" s="54"/>
      <c r="S923" s="54"/>
    </row>
    <row r="924" spans="14:19" ht="13.2">
      <c r="N924" s="52"/>
      <c r="O924" s="97"/>
      <c r="P924" s="52"/>
      <c r="Q924" s="52"/>
      <c r="R924" s="54"/>
      <c r="S924" s="54"/>
    </row>
    <row r="925" spans="14:19" ht="13.2">
      <c r="N925" s="52"/>
      <c r="O925" s="97"/>
      <c r="P925" s="52"/>
      <c r="Q925" s="52"/>
      <c r="R925" s="54"/>
      <c r="S925" s="54"/>
    </row>
    <row r="926" spans="14:19" ht="13.2">
      <c r="N926" s="52"/>
      <c r="O926" s="97"/>
      <c r="P926" s="52"/>
      <c r="Q926" s="52"/>
      <c r="R926" s="54"/>
      <c r="S926" s="54"/>
    </row>
    <row r="927" spans="14:19" ht="13.2">
      <c r="N927" s="52"/>
      <c r="O927" s="97"/>
      <c r="P927" s="52"/>
      <c r="Q927" s="52"/>
      <c r="R927" s="54"/>
      <c r="S927" s="54"/>
    </row>
    <row r="928" spans="14:19" ht="13.2">
      <c r="N928" s="52"/>
      <c r="O928" s="97"/>
      <c r="P928" s="52"/>
      <c r="Q928" s="52"/>
      <c r="R928" s="54"/>
      <c r="S928" s="54"/>
    </row>
    <row r="929" spans="14:19" ht="13.2">
      <c r="N929" s="52"/>
      <c r="O929" s="97"/>
      <c r="P929" s="52"/>
      <c r="Q929" s="52"/>
      <c r="R929" s="54"/>
      <c r="S929" s="54"/>
    </row>
    <row r="930" spans="14:19" ht="13.2">
      <c r="N930" s="52"/>
      <c r="O930" s="97"/>
      <c r="P930" s="52"/>
      <c r="Q930" s="52"/>
      <c r="R930" s="54"/>
      <c r="S930" s="54"/>
    </row>
    <row r="931" spans="14:19" ht="13.2">
      <c r="N931" s="52"/>
      <c r="O931" s="97"/>
      <c r="P931" s="52"/>
      <c r="Q931" s="52"/>
      <c r="R931" s="54"/>
      <c r="S931" s="54"/>
    </row>
    <row r="932" spans="14:19" ht="13.2">
      <c r="N932" s="52"/>
      <c r="O932" s="97"/>
      <c r="P932" s="52"/>
      <c r="Q932" s="52"/>
      <c r="R932" s="54"/>
      <c r="S932" s="54"/>
    </row>
    <row r="933" spans="14:19" ht="13.2">
      <c r="N933" s="52"/>
      <c r="O933" s="97"/>
      <c r="P933" s="52"/>
      <c r="Q933" s="52"/>
      <c r="R933" s="54"/>
      <c r="S933" s="54"/>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N4710"/>
  <sheetViews>
    <sheetView topLeftCell="A560" zoomScaleNormal="100" workbookViewId="0">
      <selection activeCell="L9" sqref="L9"/>
    </sheetView>
  </sheetViews>
  <sheetFormatPr defaultColWidth="12.6640625" defaultRowHeight="15.75" customHeight="1"/>
  <cols>
    <col min="9" max="9" width="14.109375" bestFit="1" customWidth="1"/>
  </cols>
  <sheetData>
    <row r="1" spans="1:14" ht="15.75" customHeight="1">
      <c r="A1" s="14" t="s">
        <v>1219</v>
      </c>
      <c r="B1" s="15" t="s">
        <v>1220</v>
      </c>
      <c r="E1" s="16" t="s">
        <v>1221</v>
      </c>
      <c r="F1" s="17" t="s">
        <v>1222</v>
      </c>
      <c r="G1" s="18" t="s">
        <v>1223</v>
      </c>
      <c r="H1" s="18" t="s">
        <v>1224</v>
      </c>
      <c r="I1" s="19" t="s">
        <v>1225</v>
      </c>
      <c r="J1" s="19" t="s">
        <v>1226</v>
      </c>
      <c r="K1" s="20" t="s">
        <v>1227</v>
      </c>
      <c r="L1" s="20" t="s">
        <v>1227</v>
      </c>
      <c r="M1" s="20" t="s">
        <v>1228</v>
      </c>
      <c r="N1" s="20" t="s">
        <v>1228</v>
      </c>
    </row>
    <row r="2" spans="1:14" ht="15.75" customHeight="1">
      <c r="A2" s="6" t="s">
        <v>1229</v>
      </c>
      <c r="B2" s="21" t="s">
        <v>1230</v>
      </c>
      <c r="D2" s="22"/>
      <c r="E2" s="23" t="s">
        <v>1231</v>
      </c>
      <c r="F2" s="24" t="s">
        <v>1232</v>
      </c>
      <c r="G2" s="25">
        <v>180</v>
      </c>
      <c r="H2" s="25">
        <v>130.6</v>
      </c>
      <c r="I2" s="26"/>
      <c r="J2" s="27">
        <f t="shared" ref="J2:J256" si="0">SUM(H2*20%+H2)</f>
        <v>156.72</v>
      </c>
      <c r="K2" s="28">
        <f t="shared" ref="K2:K256" si="1">G2*440/1000</f>
        <v>79.2</v>
      </c>
      <c r="L2" s="29">
        <f t="shared" ref="L2:L256" si="2">J2+K2</f>
        <v>235.92000000000002</v>
      </c>
      <c r="M2" s="28">
        <f t="shared" ref="M2:M256" si="3">G2*100/1000</f>
        <v>18</v>
      </c>
      <c r="N2" s="27">
        <f t="shared" ref="N2:N256" si="4">J2+M2</f>
        <v>174.72</v>
      </c>
    </row>
    <row r="3" spans="1:14" ht="15.75" customHeight="1">
      <c r="A3" s="6" t="s">
        <v>845</v>
      </c>
      <c r="B3" s="21" t="s">
        <v>846</v>
      </c>
      <c r="D3" s="22"/>
      <c r="E3" s="23" t="s">
        <v>1233</v>
      </c>
      <c r="F3" s="24" t="s">
        <v>1234</v>
      </c>
      <c r="G3" s="30">
        <v>2450</v>
      </c>
      <c r="H3" s="30">
        <v>220</v>
      </c>
      <c r="I3" s="26"/>
      <c r="J3" s="27">
        <f t="shared" si="0"/>
        <v>264</v>
      </c>
      <c r="K3" s="28">
        <f t="shared" si="1"/>
        <v>1078</v>
      </c>
      <c r="L3" s="29">
        <f t="shared" si="2"/>
        <v>1342</v>
      </c>
      <c r="M3" s="28">
        <f t="shared" si="3"/>
        <v>245</v>
      </c>
      <c r="N3" s="27">
        <f t="shared" si="4"/>
        <v>509</v>
      </c>
    </row>
    <row r="4" spans="1:14" ht="15.75" customHeight="1">
      <c r="A4" s="6" t="s">
        <v>1235</v>
      </c>
      <c r="B4" s="21" t="s">
        <v>1236</v>
      </c>
      <c r="D4" s="22"/>
      <c r="E4" s="23" t="s">
        <v>1233</v>
      </c>
      <c r="F4" s="24" t="s">
        <v>1098</v>
      </c>
      <c r="G4" s="30">
        <v>2450</v>
      </c>
      <c r="H4" s="30">
        <v>120</v>
      </c>
      <c r="I4" s="26"/>
      <c r="J4" s="27">
        <f t="shared" si="0"/>
        <v>144</v>
      </c>
      <c r="K4" s="28">
        <f t="shared" si="1"/>
        <v>1078</v>
      </c>
      <c r="L4" s="29">
        <f t="shared" si="2"/>
        <v>1222</v>
      </c>
      <c r="M4" s="28">
        <f t="shared" si="3"/>
        <v>245</v>
      </c>
      <c r="N4" s="27">
        <f t="shared" si="4"/>
        <v>389</v>
      </c>
    </row>
    <row r="5" spans="1:14" ht="15.75" customHeight="1">
      <c r="A5" s="6" t="s">
        <v>868</v>
      </c>
      <c r="B5" s="21" t="s">
        <v>1237</v>
      </c>
      <c r="D5" s="22"/>
      <c r="E5" s="23" t="s">
        <v>1233</v>
      </c>
      <c r="F5" s="26" t="s">
        <v>1238</v>
      </c>
      <c r="G5" s="30">
        <v>1840</v>
      </c>
      <c r="H5" s="30">
        <v>820</v>
      </c>
      <c r="I5" s="26"/>
      <c r="J5" s="27">
        <f t="shared" si="0"/>
        <v>984</v>
      </c>
      <c r="K5" s="28">
        <f t="shared" si="1"/>
        <v>809.6</v>
      </c>
      <c r="L5" s="29">
        <f t="shared" si="2"/>
        <v>1793.6</v>
      </c>
      <c r="M5" s="28">
        <f t="shared" si="3"/>
        <v>184</v>
      </c>
      <c r="N5" s="27">
        <f t="shared" si="4"/>
        <v>1168</v>
      </c>
    </row>
    <row r="6" spans="1:14" ht="15.75" customHeight="1">
      <c r="A6" s="6" t="s">
        <v>851</v>
      </c>
      <c r="B6" s="21" t="s">
        <v>1239</v>
      </c>
      <c r="D6" s="22"/>
      <c r="E6" s="31" t="s">
        <v>1231</v>
      </c>
      <c r="F6" s="32" t="s">
        <v>1240</v>
      </c>
      <c r="G6" s="25">
        <v>1510</v>
      </c>
      <c r="H6" s="25">
        <v>478</v>
      </c>
      <c r="I6" s="26"/>
      <c r="J6" s="27">
        <f t="shared" si="0"/>
        <v>573.6</v>
      </c>
      <c r="K6" s="28">
        <f t="shared" si="1"/>
        <v>664.4</v>
      </c>
      <c r="L6" s="29">
        <f t="shared" si="2"/>
        <v>1238</v>
      </c>
      <c r="M6" s="28">
        <f t="shared" si="3"/>
        <v>151</v>
      </c>
      <c r="N6" s="27">
        <f t="shared" si="4"/>
        <v>724.6</v>
      </c>
    </row>
    <row r="7" spans="1:14" ht="15.75" customHeight="1">
      <c r="A7" s="6" t="s">
        <v>788</v>
      </c>
      <c r="B7" s="21" t="s">
        <v>1241</v>
      </c>
      <c r="D7" s="22"/>
      <c r="E7" s="23" t="s">
        <v>1233</v>
      </c>
      <c r="F7" s="24" t="s">
        <v>1242</v>
      </c>
      <c r="G7" s="30">
        <v>1510</v>
      </c>
      <c r="H7" s="30">
        <v>478</v>
      </c>
      <c r="I7" s="26"/>
      <c r="J7" s="27">
        <f t="shared" si="0"/>
        <v>573.6</v>
      </c>
      <c r="K7" s="28">
        <f t="shared" si="1"/>
        <v>664.4</v>
      </c>
      <c r="L7" s="29">
        <f t="shared" si="2"/>
        <v>1238</v>
      </c>
      <c r="M7" s="28">
        <f t="shared" si="3"/>
        <v>151</v>
      </c>
      <c r="N7" s="27">
        <f t="shared" si="4"/>
        <v>724.6</v>
      </c>
    </row>
    <row r="8" spans="1:14" ht="15.75" customHeight="1">
      <c r="A8" s="6" t="s">
        <v>1243</v>
      </c>
      <c r="B8" s="21" t="s">
        <v>1241</v>
      </c>
      <c r="D8" s="22"/>
      <c r="E8" s="31" t="s">
        <v>1231</v>
      </c>
      <c r="F8" s="26" t="s">
        <v>1244</v>
      </c>
      <c r="G8" s="25">
        <v>1510</v>
      </c>
      <c r="H8" s="25">
        <v>478</v>
      </c>
      <c r="I8" s="26"/>
      <c r="J8" s="27">
        <f t="shared" si="0"/>
        <v>573.6</v>
      </c>
      <c r="K8" s="28">
        <f t="shared" si="1"/>
        <v>664.4</v>
      </c>
      <c r="L8" s="29">
        <f t="shared" si="2"/>
        <v>1238</v>
      </c>
      <c r="M8" s="28">
        <f t="shared" si="3"/>
        <v>151</v>
      </c>
      <c r="N8" s="27">
        <f t="shared" si="4"/>
        <v>724.6</v>
      </c>
    </row>
    <row r="9" spans="1:14" ht="15.75" customHeight="1">
      <c r="A9" s="6" t="s">
        <v>686</v>
      </c>
      <c r="B9" s="21" t="s">
        <v>1245</v>
      </c>
      <c r="D9" s="22"/>
      <c r="E9" s="33" t="s">
        <v>1233</v>
      </c>
      <c r="F9" s="24" t="s">
        <v>1246</v>
      </c>
      <c r="G9" s="30">
        <v>1510</v>
      </c>
      <c r="H9" s="30">
        <v>478</v>
      </c>
      <c r="I9" s="26"/>
      <c r="J9" s="27">
        <f t="shared" si="0"/>
        <v>573.6</v>
      </c>
      <c r="K9" s="28">
        <f t="shared" si="1"/>
        <v>664.4</v>
      </c>
      <c r="L9" s="29">
        <f t="shared" si="2"/>
        <v>1238</v>
      </c>
      <c r="M9" s="28">
        <f t="shared" si="3"/>
        <v>151</v>
      </c>
      <c r="N9" s="27">
        <f t="shared" si="4"/>
        <v>724.6</v>
      </c>
    </row>
    <row r="10" spans="1:14" ht="15.75" customHeight="1">
      <c r="A10" s="6" t="s">
        <v>893</v>
      </c>
      <c r="B10" s="21" t="s">
        <v>1247</v>
      </c>
      <c r="D10" s="22"/>
      <c r="E10" s="23" t="s">
        <v>1231</v>
      </c>
      <c r="F10" s="24" t="s">
        <v>1248</v>
      </c>
      <c r="G10" s="25">
        <v>1500</v>
      </c>
      <c r="H10" s="25">
        <v>225</v>
      </c>
      <c r="I10" s="26"/>
      <c r="J10" s="27">
        <f t="shared" si="0"/>
        <v>270</v>
      </c>
      <c r="K10" s="28">
        <f t="shared" si="1"/>
        <v>660</v>
      </c>
      <c r="L10" s="29">
        <f t="shared" si="2"/>
        <v>930</v>
      </c>
      <c r="M10" s="28">
        <f t="shared" si="3"/>
        <v>150</v>
      </c>
      <c r="N10" s="27">
        <f t="shared" si="4"/>
        <v>420</v>
      </c>
    </row>
    <row r="11" spans="1:14" ht="15.75" customHeight="1">
      <c r="A11" s="6" t="s">
        <v>755</v>
      </c>
      <c r="B11" s="21" t="s">
        <v>756</v>
      </c>
      <c r="D11" s="22"/>
      <c r="E11" s="33" t="s">
        <v>1231</v>
      </c>
      <c r="F11" s="24" t="s">
        <v>1249</v>
      </c>
      <c r="G11" s="30">
        <v>1500</v>
      </c>
      <c r="H11" s="30">
        <v>603</v>
      </c>
      <c r="I11" s="26"/>
      <c r="J11" s="27">
        <f t="shared" si="0"/>
        <v>723.6</v>
      </c>
      <c r="K11" s="28">
        <f t="shared" si="1"/>
        <v>660</v>
      </c>
      <c r="L11" s="29">
        <f t="shared" si="2"/>
        <v>1383.6</v>
      </c>
      <c r="M11" s="28">
        <f t="shared" si="3"/>
        <v>150</v>
      </c>
      <c r="N11" s="27">
        <f t="shared" si="4"/>
        <v>873.6</v>
      </c>
    </row>
    <row r="12" spans="1:14" ht="15.75" customHeight="1">
      <c r="A12" s="6" t="s">
        <v>707</v>
      </c>
      <c r="B12" s="21" t="s">
        <v>1250</v>
      </c>
      <c r="D12" s="22"/>
      <c r="E12" s="31" t="s">
        <v>1231</v>
      </c>
      <c r="F12" s="24" t="s">
        <v>1251</v>
      </c>
      <c r="G12" s="30">
        <v>1300</v>
      </c>
      <c r="H12" s="30">
        <v>418</v>
      </c>
      <c r="I12" s="26"/>
      <c r="J12" s="27">
        <f t="shared" si="0"/>
        <v>501.6</v>
      </c>
      <c r="K12" s="28">
        <f t="shared" si="1"/>
        <v>572</v>
      </c>
      <c r="L12" s="29">
        <f t="shared" si="2"/>
        <v>1073.5999999999999</v>
      </c>
      <c r="M12" s="28">
        <f t="shared" si="3"/>
        <v>130</v>
      </c>
      <c r="N12" s="27">
        <f t="shared" si="4"/>
        <v>631.6</v>
      </c>
    </row>
    <row r="13" spans="1:14" ht="15.75" customHeight="1">
      <c r="A13" s="6" t="s">
        <v>1243</v>
      </c>
      <c r="B13" s="21" t="s">
        <v>1252</v>
      </c>
      <c r="D13" s="22"/>
      <c r="E13" s="33" t="s">
        <v>1233</v>
      </c>
      <c r="F13" s="24" t="s">
        <v>1253</v>
      </c>
      <c r="G13" s="30">
        <v>1100</v>
      </c>
      <c r="H13" s="30">
        <v>389</v>
      </c>
      <c r="I13" s="26"/>
      <c r="J13" s="27">
        <f t="shared" si="0"/>
        <v>466.8</v>
      </c>
      <c r="K13" s="28">
        <f t="shared" si="1"/>
        <v>484</v>
      </c>
      <c r="L13" s="29">
        <f t="shared" si="2"/>
        <v>950.8</v>
      </c>
      <c r="M13" s="28">
        <f t="shared" si="3"/>
        <v>110</v>
      </c>
      <c r="N13" s="27">
        <f t="shared" si="4"/>
        <v>576.79999999999995</v>
      </c>
    </row>
    <row r="14" spans="1:14" ht="15.75" customHeight="1">
      <c r="A14" s="6" t="s">
        <v>902</v>
      </c>
      <c r="B14" s="21" t="s">
        <v>1252</v>
      </c>
      <c r="D14" s="22"/>
      <c r="E14" s="31" t="s">
        <v>1231</v>
      </c>
      <c r="F14" s="32" t="s">
        <v>1254</v>
      </c>
      <c r="G14" s="25">
        <v>1280</v>
      </c>
      <c r="H14" s="25">
        <v>404</v>
      </c>
      <c r="I14" s="26"/>
      <c r="J14" s="27">
        <f t="shared" si="0"/>
        <v>484.8</v>
      </c>
      <c r="K14" s="28">
        <f t="shared" si="1"/>
        <v>563.20000000000005</v>
      </c>
      <c r="L14" s="29">
        <f t="shared" si="2"/>
        <v>1048</v>
      </c>
      <c r="M14" s="28">
        <f t="shared" si="3"/>
        <v>128</v>
      </c>
      <c r="N14" s="27">
        <f t="shared" si="4"/>
        <v>612.79999999999995</v>
      </c>
    </row>
    <row r="15" spans="1:14" ht="15.75" customHeight="1">
      <c r="A15" s="6" t="s">
        <v>880</v>
      </c>
      <c r="B15" s="21" t="s">
        <v>1210</v>
      </c>
      <c r="D15" s="22"/>
      <c r="E15" s="31" t="s">
        <v>1231</v>
      </c>
      <c r="F15" s="32" t="s">
        <v>1255</v>
      </c>
      <c r="G15" s="25">
        <v>1280</v>
      </c>
      <c r="H15" s="25">
        <v>404</v>
      </c>
      <c r="I15" s="26"/>
      <c r="J15" s="27">
        <f t="shared" si="0"/>
        <v>484.8</v>
      </c>
      <c r="K15" s="28">
        <f t="shared" si="1"/>
        <v>563.20000000000005</v>
      </c>
      <c r="L15" s="29">
        <f t="shared" si="2"/>
        <v>1048</v>
      </c>
      <c r="M15" s="28">
        <f t="shared" si="3"/>
        <v>128</v>
      </c>
      <c r="N15" s="27">
        <f t="shared" si="4"/>
        <v>612.79999999999995</v>
      </c>
    </row>
    <row r="16" spans="1:14" ht="15.75" customHeight="1">
      <c r="A16" s="6" t="s">
        <v>782</v>
      </c>
      <c r="B16" s="21" t="s">
        <v>1256</v>
      </c>
      <c r="D16" s="22"/>
      <c r="E16" s="31" t="s">
        <v>1231</v>
      </c>
      <c r="F16" s="24" t="s">
        <v>1257</v>
      </c>
      <c r="G16" s="25">
        <v>1280</v>
      </c>
      <c r="H16" s="25">
        <v>404</v>
      </c>
      <c r="I16" s="26"/>
      <c r="J16" s="27">
        <f t="shared" si="0"/>
        <v>484.8</v>
      </c>
      <c r="K16" s="28">
        <f t="shared" si="1"/>
        <v>563.20000000000005</v>
      </c>
      <c r="L16" s="29">
        <f t="shared" si="2"/>
        <v>1048</v>
      </c>
      <c r="M16" s="28">
        <f t="shared" si="3"/>
        <v>128</v>
      </c>
      <c r="N16" s="27">
        <f t="shared" si="4"/>
        <v>612.79999999999995</v>
      </c>
    </row>
    <row r="17" spans="1:14" ht="15.75" customHeight="1">
      <c r="A17" s="6" t="s">
        <v>914</v>
      </c>
      <c r="B17" s="21" t="s">
        <v>1258</v>
      </c>
      <c r="E17" s="33" t="s">
        <v>1233</v>
      </c>
      <c r="F17" s="24" t="s">
        <v>1259</v>
      </c>
      <c r="G17" s="25">
        <v>1280</v>
      </c>
      <c r="H17" s="25">
        <v>404</v>
      </c>
      <c r="I17" s="26"/>
      <c r="J17" s="27">
        <f t="shared" si="0"/>
        <v>484.8</v>
      </c>
      <c r="K17" s="28">
        <f t="shared" si="1"/>
        <v>563.20000000000005</v>
      </c>
      <c r="L17" s="29">
        <f t="shared" si="2"/>
        <v>1048</v>
      </c>
      <c r="M17" s="28">
        <f t="shared" si="3"/>
        <v>128</v>
      </c>
      <c r="N17" s="27">
        <f t="shared" si="4"/>
        <v>612.79999999999995</v>
      </c>
    </row>
    <row r="18" spans="1:14" ht="15.75" customHeight="1">
      <c r="A18" s="6" t="s">
        <v>896</v>
      </c>
      <c r="B18" s="21" t="s">
        <v>1260</v>
      </c>
      <c r="E18" s="31" t="s">
        <v>1231</v>
      </c>
      <c r="F18" s="24" t="s">
        <v>1261</v>
      </c>
      <c r="G18" s="25">
        <v>1330</v>
      </c>
      <c r="H18" s="25">
        <v>442</v>
      </c>
      <c r="I18" s="26"/>
      <c r="J18" s="27">
        <f t="shared" si="0"/>
        <v>530.4</v>
      </c>
      <c r="K18" s="28">
        <f t="shared" si="1"/>
        <v>585.20000000000005</v>
      </c>
      <c r="L18" s="29">
        <f t="shared" si="2"/>
        <v>1115.5999999999999</v>
      </c>
      <c r="M18" s="28">
        <f t="shared" si="3"/>
        <v>133</v>
      </c>
      <c r="N18" s="27">
        <f t="shared" si="4"/>
        <v>663.4</v>
      </c>
    </row>
    <row r="19" spans="1:14" ht="15.75" customHeight="1">
      <c r="A19" s="6" t="s">
        <v>871</v>
      </c>
      <c r="B19" s="21" t="s">
        <v>1262</v>
      </c>
      <c r="E19" s="23" t="s">
        <v>1233</v>
      </c>
      <c r="F19" s="24" t="s">
        <v>15</v>
      </c>
      <c r="G19" s="25">
        <v>1600</v>
      </c>
      <c r="H19" s="25">
        <v>2439</v>
      </c>
      <c r="I19" s="26"/>
      <c r="J19" s="34">
        <f t="shared" si="0"/>
        <v>2926.8</v>
      </c>
      <c r="K19" s="28">
        <f t="shared" si="1"/>
        <v>704</v>
      </c>
      <c r="L19" s="35">
        <f t="shared" si="2"/>
        <v>3630.8</v>
      </c>
      <c r="M19" s="28">
        <f t="shared" si="3"/>
        <v>160</v>
      </c>
      <c r="N19" s="34">
        <f t="shared" si="4"/>
        <v>3086.8</v>
      </c>
    </row>
    <row r="20" spans="1:14" ht="15.75" customHeight="1">
      <c r="A20" s="6" t="s">
        <v>899</v>
      </c>
      <c r="B20" s="21" t="s">
        <v>1208</v>
      </c>
      <c r="E20" s="23" t="s">
        <v>1233</v>
      </c>
      <c r="F20" s="24" t="s">
        <v>1263</v>
      </c>
      <c r="G20" s="25">
        <v>1270</v>
      </c>
      <c r="H20" s="25">
        <v>212</v>
      </c>
      <c r="I20" s="26"/>
      <c r="J20" s="27">
        <f t="shared" si="0"/>
        <v>254.4</v>
      </c>
      <c r="K20" s="28">
        <f t="shared" si="1"/>
        <v>558.79999999999995</v>
      </c>
      <c r="L20" s="29">
        <f t="shared" si="2"/>
        <v>813.19999999999993</v>
      </c>
      <c r="M20" s="28">
        <f t="shared" si="3"/>
        <v>127</v>
      </c>
      <c r="N20" s="27">
        <f t="shared" si="4"/>
        <v>381.4</v>
      </c>
    </row>
    <row r="21" spans="1:14" ht="15.75" customHeight="1">
      <c r="A21" s="6" t="s">
        <v>877</v>
      </c>
      <c r="B21" s="21" t="s">
        <v>1209</v>
      </c>
      <c r="E21" s="23" t="s">
        <v>1233</v>
      </c>
      <c r="F21" s="24" t="s">
        <v>1264</v>
      </c>
      <c r="G21" s="25">
        <v>1250</v>
      </c>
      <c r="H21" s="25">
        <v>1046</v>
      </c>
      <c r="I21" s="26"/>
      <c r="J21" s="27">
        <f t="shared" si="0"/>
        <v>1255.2</v>
      </c>
      <c r="K21" s="28">
        <f t="shared" si="1"/>
        <v>550</v>
      </c>
      <c r="L21" s="29">
        <f t="shared" si="2"/>
        <v>1805.2</v>
      </c>
      <c r="M21" s="28">
        <f t="shared" si="3"/>
        <v>125</v>
      </c>
      <c r="N21" s="27">
        <f t="shared" si="4"/>
        <v>1380.2</v>
      </c>
    </row>
    <row r="22" spans="1:14" ht="15.75" customHeight="1">
      <c r="A22" s="6" t="s">
        <v>998</v>
      </c>
      <c r="B22" s="21" t="s">
        <v>1265</v>
      </c>
      <c r="E22" s="23" t="s">
        <v>1233</v>
      </c>
      <c r="F22" s="24" t="s">
        <v>1266</v>
      </c>
      <c r="G22" s="25">
        <v>1250</v>
      </c>
      <c r="H22" s="25">
        <v>1046</v>
      </c>
      <c r="I22" s="26"/>
      <c r="J22" s="27">
        <f t="shared" si="0"/>
        <v>1255.2</v>
      </c>
      <c r="K22" s="28">
        <f t="shared" si="1"/>
        <v>550</v>
      </c>
      <c r="L22" s="29">
        <f t="shared" si="2"/>
        <v>1805.2</v>
      </c>
      <c r="M22" s="28">
        <f t="shared" si="3"/>
        <v>125</v>
      </c>
      <c r="N22" s="27">
        <f t="shared" si="4"/>
        <v>1380.2</v>
      </c>
    </row>
    <row r="23" spans="1:14" ht="15.75" customHeight="1">
      <c r="A23" s="6" t="s">
        <v>773</v>
      </c>
      <c r="B23" s="21" t="s">
        <v>1267</v>
      </c>
      <c r="E23" s="23" t="s">
        <v>1233</v>
      </c>
      <c r="F23" s="26" t="s">
        <v>1268</v>
      </c>
      <c r="G23" s="30">
        <v>1190</v>
      </c>
      <c r="H23" s="30">
        <v>1046</v>
      </c>
      <c r="I23" s="26"/>
      <c r="J23" s="27">
        <f t="shared" si="0"/>
        <v>1255.2</v>
      </c>
      <c r="K23" s="28">
        <f t="shared" si="1"/>
        <v>523.6</v>
      </c>
      <c r="L23" s="29">
        <f t="shared" si="2"/>
        <v>1778.8000000000002</v>
      </c>
      <c r="M23" s="28">
        <f t="shared" si="3"/>
        <v>119</v>
      </c>
      <c r="N23" s="27">
        <f t="shared" si="4"/>
        <v>1374.2</v>
      </c>
    </row>
    <row r="24" spans="1:14" ht="15.75" customHeight="1">
      <c r="A24" s="6" t="s">
        <v>1269</v>
      </c>
      <c r="B24" s="21" t="s">
        <v>1270</v>
      </c>
      <c r="E24" s="31" t="s">
        <v>1231</v>
      </c>
      <c r="F24" s="32" t="s">
        <v>1271</v>
      </c>
      <c r="G24" s="25">
        <v>1020</v>
      </c>
      <c r="H24" s="25">
        <v>330</v>
      </c>
      <c r="I24" s="26"/>
      <c r="J24" s="27">
        <f t="shared" si="0"/>
        <v>396</v>
      </c>
      <c r="K24" s="28">
        <f t="shared" si="1"/>
        <v>448.8</v>
      </c>
      <c r="L24" s="29">
        <f t="shared" si="2"/>
        <v>844.8</v>
      </c>
      <c r="M24" s="28">
        <f t="shared" si="3"/>
        <v>102</v>
      </c>
      <c r="N24" s="27">
        <f t="shared" si="4"/>
        <v>498</v>
      </c>
    </row>
    <row r="25" spans="1:14" ht="15.75" customHeight="1">
      <c r="A25" s="6" t="s">
        <v>1272</v>
      </c>
      <c r="B25" s="21" t="s">
        <v>1273</v>
      </c>
      <c r="E25" s="31" t="s">
        <v>1231</v>
      </c>
      <c r="F25" s="32" t="s">
        <v>1274</v>
      </c>
      <c r="G25" s="25">
        <v>1020</v>
      </c>
      <c r="H25" s="25">
        <v>324</v>
      </c>
      <c r="I25" s="26"/>
      <c r="J25" s="34">
        <f t="shared" si="0"/>
        <v>388.8</v>
      </c>
      <c r="K25" s="28">
        <f t="shared" si="1"/>
        <v>448.8</v>
      </c>
      <c r="L25" s="35">
        <f t="shared" si="2"/>
        <v>837.6</v>
      </c>
      <c r="M25" s="28">
        <f t="shared" si="3"/>
        <v>102</v>
      </c>
      <c r="N25" s="34">
        <f t="shared" si="4"/>
        <v>490.8</v>
      </c>
    </row>
    <row r="26" spans="1:14" ht="15.75" customHeight="1">
      <c r="A26" s="6" t="s">
        <v>1275</v>
      </c>
      <c r="B26" s="21" t="s">
        <v>1276</v>
      </c>
      <c r="E26" s="33" t="s">
        <v>1233</v>
      </c>
      <c r="F26" s="24" t="s">
        <v>1277</v>
      </c>
      <c r="G26" s="30">
        <v>1020</v>
      </c>
      <c r="H26" s="30">
        <v>324</v>
      </c>
      <c r="I26" s="26"/>
      <c r="J26" s="34">
        <f t="shared" si="0"/>
        <v>388.8</v>
      </c>
      <c r="K26" s="28">
        <f t="shared" si="1"/>
        <v>448.8</v>
      </c>
      <c r="L26" s="35">
        <f t="shared" si="2"/>
        <v>837.6</v>
      </c>
      <c r="M26" s="28">
        <f t="shared" si="3"/>
        <v>102</v>
      </c>
      <c r="N26" s="34">
        <f t="shared" si="4"/>
        <v>490.8</v>
      </c>
    </row>
    <row r="27" spans="1:14" ht="15.75" customHeight="1">
      <c r="A27" s="6" t="s">
        <v>1278</v>
      </c>
      <c r="B27" s="21" t="s">
        <v>1279</v>
      </c>
      <c r="E27" s="33" t="s">
        <v>1233</v>
      </c>
      <c r="F27" s="24" t="s">
        <v>1280</v>
      </c>
      <c r="G27" s="30">
        <v>1020</v>
      </c>
      <c r="H27" s="30">
        <v>324</v>
      </c>
      <c r="I27" s="26"/>
      <c r="J27" s="34">
        <f t="shared" si="0"/>
        <v>388.8</v>
      </c>
      <c r="K27" s="28">
        <f t="shared" si="1"/>
        <v>448.8</v>
      </c>
      <c r="L27" s="35">
        <f t="shared" si="2"/>
        <v>837.6</v>
      </c>
      <c r="M27" s="28">
        <f t="shared" si="3"/>
        <v>102</v>
      </c>
      <c r="N27" s="34">
        <f t="shared" si="4"/>
        <v>490.8</v>
      </c>
    </row>
    <row r="28" spans="1:14" ht="15.75" customHeight="1">
      <c r="A28" s="6" t="s">
        <v>1281</v>
      </c>
      <c r="B28" s="21" t="s">
        <v>1282</v>
      </c>
      <c r="E28" s="33" t="s">
        <v>1233</v>
      </c>
      <c r="F28" s="24" t="s">
        <v>1283</v>
      </c>
      <c r="G28" s="30">
        <v>1020</v>
      </c>
      <c r="H28" s="30">
        <v>324</v>
      </c>
      <c r="I28" s="26"/>
      <c r="J28" s="34">
        <f t="shared" si="0"/>
        <v>388.8</v>
      </c>
      <c r="K28" s="28">
        <f t="shared" si="1"/>
        <v>448.8</v>
      </c>
      <c r="L28" s="35">
        <f t="shared" si="2"/>
        <v>837.6</v>
      </c>
      <c r="M28" s="28">
        <f t="shared" si="3"/>
        <v>102</v>
      </c>
      <c r="N28" s="34">
        <f t="shared" si="4"/>
        <v>490.8</v>
      </c>
    </row>
    <row r="29" spans="1:14" ht="14.4">
      <c r="A29" s="6" t="s">
        <v>1284</v>
      </c>
      <c r="B29" s="21" t="s">
        <v>1285</v>
      </c>
      <c r="E29" s="33" t="s">
        <v>1233</v>
      </c>
      <c r="F29" s="24" t="s">
        <v>1286</v>
      </c>
      <c r="G29" s="30">
        <v>1020</v>
      </c>
      <c r="H29" s="30">
        <v>324</v>
      </c>
      <c r="I29" s="26"/>
      <c r="J29" s="34">
        <f t="shared" si="0"/>
        <v>388.8</v>
      </c>
      <c r="K29" s="28">
        <f t="shared" si="1"/>
        <v>448.8</v>
      </c>
      <c r="L29" s="35">
        <f t="shared" si="2"/>
        <v>837.6</v>
      </c>
      <c r="M29" s="28">
        <f t="shared" si="3"/>
        <v>102</v>
      </c>
      <c r="N29" s="34">
        <f t="shared" si="4"/>
        <v>490.8</v>
      </c>
    </row>
    <row r="30" spans="1:14" ht="14.4">
      <c r="A30" s="6" t="s">
        <v>1287</v>
      </c>
      <c r="B30" s="21" t="s">
        <v>1288</v>
      </c>
      <c r="E30" s="33" t="s">
        <v>1233</v>
      </c>
      <c r="F30" s="24" t="s">
        <v>1289</v>
      </c>
      <c r="G30" s="30">
        <v>1020</v>
      </c>
      <c r="H30" s="30">
        <v>324</v>
      </c>
      <c r="I30" s="26"/>
      <c r="J30" s="34">
        <f t="shared" si="0"/>
        <v>388.8</v>
      </c>
      <c r="K30" s="28">
        <f t="shared" si="1"/>
        <v>448.8</v>
      </c>
      <c r="L30" s="35">
        <f t="shared" si="2"/>
        <v>837.6</v>
      </c>
      <c r="M30" s="28">
        <f t="shared" si="3"/>
        <v>102</v>
      </c>
      <c r="N30" s="34">
        <f t="shared" si="4"/>
        <v>490.8</v>
      </c>
    </row>
    <row r="31" spans="1:14" ht="14.4">
      <c r="A31" s="6" t="s">
        <v>1290</v>
      </c>
      <c r="B31" s="21" t="s">
        <v>1291</v>
      </c>
      <c r="E31" s="33" t="s">
        <v>1233</v>
      </c>
      <c r="F31" s="24" t="s">
        <v>1292</v>
      </c>
      <c r="G31" s="30">
        <v>1020</v>
      </c>
      <c r="H31" s="30">
        <v>324</v>
      </c>
      <c r="I31" s="26"/>
      <c r="J31" s="34">
        <f t="shared" si="0"/>
        <v>388.8</v>
      </c>
      <c r="K31" s="28">
        <f t="shared" si="1"/>
        <v>448.8</v>
      </c>
      <c r="L31" s="35">
        <f t="shared" si="2"/>
        <v>837.6</v>
      </c>
      <c r="M31" s="28">
        <f t="shared" si="3"/>
        <v>102</v>
      </c>
      <c r="N31" s="34">
        <f t="shared" si="4"/>
        <v>490.8</v>
      </c>
    </row>
    <row r="32" spans="1:14" ht="14.4">
      <c r="A32" s="6" t="s">
        <v>1293</v>
      </c>
      <c r="B32" s="21" t="s">
        <v>1294</v>
      </c>
      <c r="E32" s="33" t="s">
        <v>1233</v>
      </c>
      <c r="F32" s="24" t="s">
        <v>1295</v>
      </c>
      <c r="G32" s="30">
        <v>1020</v>
      </c>
      <c r="H32" s="30">
        <v>324</v>
      </c>
      <c r="I32" s="26"/>
      <c r="J32" s="34">
        <f t="shared" si="0"/>
        <v>388.8</v>
      </c>
      <c r="K32" s="28">
        <f t="shared" si="1"/>
        <v>448.8</v>
      </c>
      <c r="L32" s="35">
        <f t="shared" si="2"/>
        <v>837.6</v>
      </c>
      <c r="M32" s="28">
        <f t="shared" si="3"/>
        <v>102</v>
      </c>
      <c r="N32" s="34">
        <f t="shared" si="4"/>
        <v>490.8</v>
      </c>
    </row>
    <row r="33" spans="1:14" ht="14.4">
      <c r="A33" s="6" t="s">
        <v>1296</v>
      </c>
      <c r="B33" s="21" t="s">
        <v>1297</v>
      </c>
      <c r="E33" s="23" t="s">
        <v>1233</v>
      </c>
      <c r="F33" s="24" t="s">
        <v>1298</v>
      </c>
      <c r="G33" s="25">
        <v>1050</v>
      </c>
      <c r="H33" s="25">
        <v>928</v>
      </c>
      <c r="I33" s="26"/>
      <c r="J33" s="27">
        <f t="shared" si="0"/>
        <v>1113.5999999999999</v>
      </c>
      <c r="K33" s="28">
        <f t="shared" si="1"/>
        <v>462</v>
      </c>
      <c r="L33" s="29">
        <f t="shared" si="2"/>
        <v>1575.6</v>
      </c>
      <c r="M33" s="28">
        <f t="shared" si="3"/>
        <v>105</v>
      </c>
      <c r="N33" s="27">
        <f t="shared" si="4"/>
        <v>1218.5999999999999</v>
      </c>
    </row>
    <row r="34" spans="1:14" ht="14.4">
      <c r="A34" s="6" t="s">
        <v>1299</v>
      </c>
      <c r="B34" s="21" t="s">
        <v>1300</v>
      </c>
      <c r="E34" s="23" t="s">
        <v>1233</v>
      </c>
      <c r="F34" s="24" t="s">
        <v>1301</v>
      </c>
      <c r="G34" s="25">
        <v>1050</v>
      </c>
      <c r="H34" s="25">
        <v>928</v>
      </c>
      <c r="I34" s="26"/>
      <c r="J34" s="27">
        <f t="shared" si="0"/>
        <v>1113.5999999999999</v>
      </c>
      <c r="K34" s="28">
        <f t="shared" si="1"/>
        <v>462</v>
      </c>
      <c r="L34" s="29">
        <f t="shared" si="2"/>
        <v>1575.6</v>
      </c>
      <c r="M34" s="28">
        <f t="shared" si="3"/>
        <v>105</v>
      </c>
      <c r="N34" s="27">
        <f t="shared" si="4"/>
        <v>1218.5999999999999</v>
      </c>
    </row>
    <row r="35" spans="1:14" ht="14.4">
      <c r="A35" s="6" t="s">
        <v>1302</v>
      </c>
      <c r="B35" s="21" t="s">
        <v>1303</v>
      </c>
      <c r="E35" s="23" t="s">
        <v>1233</v>
      </c>
      <c r="F35" s="24" t="s">
        <v>1304</v>
      </c>
      <c r="G35" s="30">
        <v>1050</v>
      </c>
      <c r="H35" s="30">
        <v>80</v>
      </c>
      <c r="I35" s="26"/>
      <c r="J35" s="27">
        <f t="shared" si="0"/>
        <v>96</v>
      </c>
      <c r="K35" s="28">
        <f t="shared" si="1"/>
        <v>462</v>
      </c>
      <c r="L35" s="29">
        <f t="shared" si="2"/>
        <v>558</v>
      </c>
      <c r="M35" s="28">
        <f t="shared" si="3"/>
        <v>105</v>
      </c>
      <c r="N35" s="27">
        <f t="shared" si="4"/>
        <v>201</v>
      </c>
    </row>
    <row r="36" spans="1:14" ht="14.4">
      <c r="A36" s="6" t="s">
        <v>1305</v>
      </c>
      <c r="B36" s="21" t="s">
        <v>1306</v>
      </c>
      <c r="E36" s="23" t="s">
        <v>1233</v>
      </c>
      <c r="F36" s="26" t="s">
        <v>1307</v>
      </c>
      <c r="G36" s="30">
        <v>1050</v>
      </c>
      <c r="H36" s="30">
        <v>1058</v>
      </c>
      <c r="I36" s="26"/>
      <c r="J36" s="27">
        <f t="shared" si="0"/>
        <v>1269.5999999999999</v>
      </c>
      <c r="K36" s="28">
        <f t="shared" si="1"/>
        <v>462</v>
      </c>
      <c r="L36" s="29">
        <f t="shared" si="2"/>
        <v>1731.6</v>
      </c>
      <c r="M36" s="28">
        <f t="shared" si="3"/>
        <v>105</v>
      </c>
      <c r="N36" s="27">
        <f t="shared" si="4"/>
        <v>1374.6</v>
      </c>
    </row>
    <row r="37" spans="1:14" ht="14.4">
      <c r="A37" s="6" t="s">
        <v>1308</v>
      </c>
      <c r="B37" s="21" t="s">
        <v>1309</v>
      </c>
      <c r="E37" s="23" t="s">
        <v>1233</v>
      </c>
      <c r="F37" s="26" t="s">
        <v>609</v>
      </c>
      <c r="G37" s="30">
        <v>1050</v>
      </c>
      <c r="H37" s="30">
        <v>1058</v>
      </c>
      <c r="I37" s="26"/>
      <c r="J37" s="27">
        <f t="shared" si="0"/>
        <v>1269.5999999999999</v>
      </c>
      <c r="K37" s="28">
        <f t="shared" si="1"/>
        <v>462</v>
      </c>
      <c r="L37" s="29">
        <f t="shared" si="2"/>
        <v>1731.6</v>
      </c>
      <c r="M37" s="28">
        <f t="shared" si="3"/>
        <v>105</v>
      </c>
      <c r="N37" s="27">
        <f t="shared" si="4"/>
        <v>1374.6</v>
      </c>
    </row>
    <row r="38" spans="1:14" ht="14.4">
      <c r="A38" s="6" t="s">
        <v>1310</v>
      </c>
      <c r="B38" s="21" t="s">
        <v>1311</v>
      </c>
      <c r="E38" s="23" t="s">
        <v>1233</v>
      </c>
      <c r="F38" s="26" t="s">
        <v>1312</v>
      </c>
      <c r="G38" s="30">
        <v>1050</v>
      </c>
      <c r="H38" s="30">
        <v>1058</v>
      </c>
      <c r="I38" s="26"/>
      <c r="J38" s="27">
        <f t="shared" si="0"/>
        <v>1269.5999999999999</v>
      </c>
      <c r="K38" s="28">
        <f t="shared" si="1"/>
        <v>462</v>
      </c>
      <c r="L38" s="29">
        <f t="shared" si="2"/>
        <v>1731.6</v>
      </c>
      <c r="M38" s="28">
        <f t="shared" si="3"/>
        <v>105</v>
      </c>
      <c r="N38" s="27">
        <f t="shared" si="4"/>
        <v>1374.6</v>
      </c>
    </row>
    <row r="39" spans="1:14" ht="14.4">
      <c r="A39" s="6" t="s">
        <v>1313</v>
      </c>
      <c r="B39" s="21" t="s">
        <v>1314</v>
      </c>
      <c r="E39" s="23" t="s">
        <v>1233</v>
      </c>
      <c r="F39" s="26" t="s">
        <v>1315</v>
      </c>
      <c r="G39" s="30">
        <v>1050</v>
      </c>
      <c r="H39" s="30">
        <v>1058</v>
      </c>
      <c r="I39" s="26"/>
      <c r="J39" s="27">
        <f t="shared" si="0"/>
        <v>1269.5999999999999</v>
      </c>
      <c r="K39" s="28">
        <f t="shared" si="1"/>
        <v>462</v>
      </c>
      <c r="L39" s="29">
        <f t="shared" si="2"/>
        <v>1731.6</v>
      </c>
      <c r="M39" s="28">
        <f t="shared" si="3"/>
        <v>105</v>
      </c>
      <c r="N39" s="27">
        <f t="shared" si="4"/>
        <v>1374.6</v>
      </c>
    </row>
    <row r="40" spans="1:14" ht="14.4">
      <c r="A40" s="6" t="s">
        <v>1316</v>
      </c>
      <c r="B40" s="21" t="s">
        <v>1317</v>
      </c>
      <c r="E40" s="23" t="s">
        <v>1233</v>
      </c>
      <c r="F40" s="24" t="s">
        <v>1318</v>
      </c>
      <c r="G40" s="25">
        <v>1010</v>
      </c>
      <c r="H40" s="25">
        <v>1671</v>
      </c>
      <c r="I40" s="26"/>
      <c r="J40" s="27">
        <f t="shared" si="0"/>
        <v>2005.2</v>
      </c>
      <c r="K40" s="28">
        <f t="shared" si="1"/>
        <v>444.4</v>
      </c>
      <c r="L40" s="29">
        <f t="shared" si="2"/>
        <v>2449.6</v>
      </c>
      <c r="M40" s="28">
        <f t="shared" si="3"/>
        <v>101</v>
      </c>
      <c r="N40" s="27">
        <f t="shared" si="4"/>
        <v>2106.1999999999998</v>
      </c>
    </row>
    <row r="41" spans="1:14" ht="14.4">
      <c r="A41" s="6" t="s">
        <v>1319</v>
      </c>
      <c r="B41" s="21" t="s">
        <v>1320</v>
      </c>
      <c r="E41" s="33" t="s">
        <v>1233</v>
      </c>
      <c r="F41" s="24" t="s">
        <v>1321</v>
      </c>
      <c r="G41" s="25">
        <v>900</v>
      </c>
      <c r="H41" s="25">
        <v>307</v>
      </c>
      <c r="I41" s="26"/>
      <c r="J41" s="27">
        <f t="shared" si="0"/>
        <v>368.4</v>
      </c>
      <c r="K41" s="28">
        <f t="shared" si="1"/>
        <v>396</v>
      </c>
      <c r="L41" s="29">
        <f t="shared" si="2"/>
        <v>764.4</v>
      </c>
      <c r="M41" s="28">
        <f t="shared" si="3"/>
        <v>90</v>
      </c>
      <c r="N41" s="27">
        <f t="shared" si="4"/>
        <v>458.4</v>
      </c>
    </row>
    <row r="42" spans="1:14" ht="14.4">
      <c r="A42" s="6" t="s">
        <v>1322</v>
      </c>
      <c r="B42" s="21" t="s">
        <v>1323</v>
      </c>
      <c r="E42" s="33" t="s">
        <v>1233</v>
      </c>
      <c r="F42" s="24" t="s">
        <v>1324</v>
      </c>
      <c r="G42" s="25">
        <v>900</v>
      </c>
      <c r="H42" s="25">
        <v>307</v>
      </c>
      <c r="I42" s="26"/>
      <c r="J42" s="27">
        <f t="shared" si="0"/>
        <v>368.4</v>
      </c>
      <c r="K42" s="28">
        <f t="shared" si="1"/>
        <v>396</v>
      </c>
      <c r="L42" s="29">
        <f t="shared" si="2"/>
        <v>764.4</v>
      </c>
      <c r="M42" s="28">
        <f t="shared" si="3"/>
        <v>90</v>
      </c>
      <c r="N42" s="27">
        <f t="shared" si="4"/>
        <v>458.4</v>
      </c>
    </row>
    <row r="43" spans="1:14" ht="14.4">
      <c r="A43" s="6" t="s">
        <v>1325</v>
      </c>
      <c r="B43" s="21" t="s">
        <v>1326</v>
      </c>
      <c r="E43" s="33" t="s">
        <v>1233</v>
      </c>
      <c r="F43" s="24" t="s">
        <v>1327</v>
      </c>
      <c r="G43" s="36">
        <v>1020</v>
      </c>
      <c r="H43" s="30">
        <v>750</v>
      </c>
      <c r="I43" s="26"/>
      <c r="J43" s="27">
        <f t="shared" si="0"/>
        <v>900</v>
      </c>
      <c r="K43" s="28">
        <f t="shared" si="1"/>
        <v>448.8</v>
      </c>
      <c r="L43" s="29">
        <f t="shared" si="2"/>
        <v>1348.8</v>
      </c>
      <c r="M43" s="28">
        <f t="shared" si="3"/>
        <v>102</v>
      </c>
      <c r="N43" s="27">
        <f t="shared" si="4"/>
        <v>1002</v>
      </c>
    </row>
    <row r="44" spans="1:14" ht="14.4">
      <c r="A44" s="6" t="s">
        <v>1328</v>
      </c>
      <c r="B44" s="21" t="s">
        <v>1329</v>
      </c>
      <c r="E44" s="31" t="s">
        <v>1231</v>
      </c>
      <c r="F44" s="24" t="s">
        <v>1330</v>
      </c>
      <c r="G44" s="25">
        <v>950</v>
      </c>
      <c r="H44" s="25">
        <v>312</v>
      </c>
      <c r="I44" s="26"/>
      <c r="J44" s="34">
        <f t="shared" si="0"/>
        <v>374.4</v>
      </c>
      <c r="K44" s="28">
        <f t="shared" si="1"/>
        <v>418</v>
      </c>
      <c r="L44" s="35">
        <f t="shared" si="2"/>
        <v>792.4</v>
      </c>
      <c r="M44" s="28">
        <f t="shared" si="3"/>
        <v>95</v>
      </c>
      <c r="N44" s="34">
        <f t="shared" si="4"/>
        <v>469.4</v>
      </c>
    </row>
    <row r="45" spans="1:14" ht="14.4">
      <c r="A45" s="6" t="s">
        <v>1331</v>
      </c>
      <c r="B45" s="21" t="s">
        <v>1332</v>
      </c>
      <c r="E45" s="23" t="s">
        <v>1233</v>
      </c>
      <c r="F45" s="24" t="s">
        <v>1333</v>
      </c>
      <c r="G45" s="30">
        <v>900</v>
      </c>
      <c r="H45" s="30">
        <v>318</v>
      </c>
      <c r="I45" s="26"/>
      <c r="J45" s="27">
        <f t="shared" si="0"/>
        <v>381.6</v>
      </c>
      <c r="K45" s="28">
        <f t="shared" si="1"/>
        <v>396</v>
      </c>
      <c r="L45" s="29">
        <f t="shared" si="2"/>
        <v>777.6</v>
      </c>
      <c r="M45" s="28">
        <f t="shared" si="3"/>
        <v>90</v>
      </c>
      <c r="N45" s="27">
        <f t="shared" si="4"/>
        <v>471.6</v>
      </c>
    </row>
    <row r="46" spans="1:14" ht="14.4">
      <c r="A46" s="6" t="s">
        <v>1334</v>
      </c>
      <c r="B46" s="21" t="s">
        <v>1335</v>
      </c>
      <c r="E46" s="23" t="s">
        <v>1233</v>
      </c>
      <c r="F46" s="24" t="s">
        <v>1336</v>
      </c>
      <c r="G46" s="25">
        <v>1000</v>
      </c>
      <c r="H46" s="25">
        <v>786</v>
      </c>
      <c r="I46" s="26"/>
      <c r="J46" s="27">
        <f t="shared" si="0"/>
        <v>943.2</v>
      </c>
      <c r="K46" s="28">
        <f t="shared" si="1"/>
        <v>440</v>
      </c>
      <c r="L46" s="29">
        <f t="shared" si="2"/>
        <v>1383.2</v>
      </c>
      <c r="M46" s="28">
        <f t="shared" si="3"/>
        <v>100</v>
      </c>
      <c r="N46" s="27">
        <f t="shared" si="4"/>
        <v>1043.2</v>
      </c>
    </row>
    <row r="47" spans="1:14" ht="14.4">
      <c r="A47" s="6" t="s">
        <v>1337</v>
      </c>
      <c r="B47" s="21" t="s">
        <v>1338</v>
      </c>
      <c r="E47" s="23" t="s">
        <v>1233</v>
      </c>
      <c r="F47" s="24" t="s">
        <v>1339</v>
      </c>
      <c r="G47" s="25">
        <v>950</v>
      </c>
      <c r="H47" s="25">
        <v>930</v>
      </c>
      <c r="I47" s="26"/>
      <c r="J47" s="27">
        <f t="shared" si="0"/>
        <v>1116</v>
      </c>
      <c r="K47" s="28">
        <f t="shared" si="1"/>
        <v>418</v>
      </c>
      <c r="L47" s="29">
        <f t="shared" si="2"/>
        <v>1534</v>
      </c>
      <c r="M47" s="28">
        <f t="shared" si="3"/>
        <v>95</v>
      </c>
      <c r="N47" s="27">
        <f t="shared" si="4"/>
        <v>1211</v>
      </c>
    </row>
    <row r="48" spans="1:14" ht="14.4">
      <c r="A48" s="6" t="s">
        <v>1340</v>
      </c>
      <c r="B48" s="21" t="s">
        <v>1341</v>
      </c>
      <c r="E48" s="23" t="s">
        <v>1233</v>
      </c>
      <c r="F48" s="24" t="s">
        <v>1342</v>
      </c>
      <c r="G48" s="25">
        <v>950</v>
      </c>
      <c r="H48" s="25">
        <v>930</v>
      </c>
      <c r="I48" s="26"/>
      <c r="J48" s="27">
        <f t="shared" si="0"/>
        <v>1116</v>
      </c>
      <c r="K48" s="28">
        <f t="shared" si="1"/>
        <v>418</v>
      </c>
      <c r="L48" s="29">
        <f t="shared" si="2"/>
        <v>1534</v>
      </c>
      <c r="M48" s="28">
        <f t="shared" si="3"/>
        <v>95</v>
      </c>
      <c r="N48" s="27">
        <f t="shared" si="4"/>
        <v>1211</v>
      </c>
    </row>
    <row r="49" spans="1:14" ht="14.4">
      <c r="A49" s="6" t="s">
        <v>1343</v>
      </c>
      <c r="B49" s="21" t="s">
        <v>1344</v>
      </c>
      <c r="E49" s="23" t="s">
        <v>1233</v>
      </c>
      <c r="F49" s="24" t="s">
        <v>1345</v>
      </c>
      <c r="G49" s="25">
        <v>950</v>
      </c>
      <c r="H49" s="25">
        <v>930</v>
      </c>
      <c r="I49" s="26"/>
      <c r="J49" s="27">
        <f t="shared" si="0"/>
        <v>1116</v>
      </c>
      <c r="K49" s="28">
        <f t="shared" si="1"/>
        <v>418</v>
      </c>
      <c r="L49" s="29">
        <f t="shared" si="2"/>
        <v>1534</v>
      </c>
      <c r="M49" s="28">
        <f t="shared" si="3"/>
        <v>95</v>
      </c>
      <c r="N49" s="27">
        <f t="shared" si="4"/>
        <v>1211</v>
      </c>
    </row>
    <row r="50" spans="1:14" ht="14.4">
      <c r="A50" s="6" t="s">
        <v>1346</v>
      </c>
      <c r="B50" s="21" t="s">
        <v>1347</v>
      </c>
      <c r="E50" s="23" t="s">
        <v>1233</v>
      </c>
      <c r="F50" s="24" t="s">
        <v>1348</v>
      </c>
      <c r="G50" s="25">
        <v>950</v>
      </c>
      <c r="H50" s="25">
        <v>930</v>
      </c>
      <c r="I50" s="26"/>
      <c r="J50" s="27">
        <f t="shared" si="0"/>
        <v>1116</v>
      </c>
      <c r="K50" s="28">
        <f t="shared" si="1"/>
        <v>418</v>
      </c>
      <c r="L50" s="29">
        <f t="shared" si="2"/>
        <v>1534</v>
      </c>
      <c r="M50" s="28">
        <f t="shared" si="3"/>
        <v>95</v>
      </c>
      <c r="N50" s="27">
        <f t="shared" si="4"/>
        <v>1211</v>
      </c>
    </row>
    <row r="51" spans="1:14" ht="14.4">
      <c r="A51" s="6" t="s">
        <v>1349</v>
      </c>
      <c r="B51" s="21" t="s">
        <v>1350</v>
      </c>
      <c r="E51" s="23" t="s">
        <v>1233</v>
      </c>
      <c r="F51" s="24" t="s">
        <v>1351</v>
      </c>
      <c r="G51" s="25">
        <v>950</v>
      </c>
      <c r="H51" s="25">
        <v>930</v>
      </c>
      <c r="I51" s="26"/>
      <c r="J51" s="27">
        <f t="shared" si="0"/>
        <v>1116</v>
      </c>
      <c r="K51" s="28">
        <f t="shared" si="1"/>
        <v>418</v>
      </c>
      <c r="L51" s="29">
        <f t="shared" si="2"/>
        <v>1534</v>
      </c>
      <c r="M51" s="28">
        <f t="shared" si="3"/>
        <v>95</v>
      </c>
      <c r="N51" s="27">
        <f t="shared" si="4"/>
        <v>1211</v>
      </c>
    </row>
    <row r="52" spans="1:14" ht="14.4">
      <c r="A52" s="6" t="s">
        <v>1352</v>
      </c>
      <c r="B52" s="21" t="s">
        <v>1353</v>
      </c>
      <c r="E52" s="23" t="s">
        <v>1233</v>
      </c>
      <c r="F52" s="24" t="s">
        <v>1354</v>
      </c>
      <c r="G52" s="25">
        <v>950</v>
      </c>
      <c r="H52" s="25">
        <v>930</v>
      </c>
      <c r="I52" s="26"/>
      <c r="J52" s="27">
        <f t="shared" si="0"/>
        <v>1116</v>
      </c>
      <c r="K52" s="28">
        <f t="shared" si="1"/>
        <v>418</v>
      </c>
      <c r="L52" s="29">
        <f t="shared" si="2"/>
        <v>1534</v>
      </c>
      <c r="M52" s="28">
        <f t="shared" si="3"/>
        <v>95</v>
      </c>
      <c r="N52" s="27">
        <f t="shared" si="4"/>
        <v>1211</v>
      </c>
    </row>
    <row r="53" spans="1:14" ht="14.4">
      <c r="A53" s="6" t="s">
        <v>1355</v>
      </c>
      <c r="B53" s="21" t="s">
        <v>1353</v>
      </c>
      <c r="E53" s="23" t="s">
        <v>1233</v>
      </c>
      <c r="F53" s="24" t="s">
        <v>1129</v>
      </c>
      <c r="G53" s="25">
        <v>950</v>
      </c>
      <c r="H53" s="25">
        <v>930</v>
      </c>
      <c r="I53" s="26"/>
      <c r="J53" s="27">
        <f t="shared" si="0"/>
        <v>1116</v>
      </c>
      <c r="K53" s="28">
        <f t="shared" si="1"/>
        <v>418</v>
      </c>
      <c r="L53" s="29">
        <f t="shared" si="2"/>
        <v>1534</v>
      </c>
      <c r="M53" s="28">
        <f t="shared" si="3"/>
        <v>95</v>
      </c>
      <c r="N53" s="27">
        <f t="shared" si="4"/>
        <v>1211</v>
      </c>
    </row>
    <row r="54" spans="1:14" ht="14.4">
      <c r="A54" s="6" t="s">
        <v>1355</v>
      </c>
      <c r="B54" s="21" t="s">
        <v>1353</v>
      </c>
      <c r="E54" s="23" t="s">
        <v>1233</v>
      </c>
      <c r="F54" s="24" t="s">
        <v>407</v>
      </c>
      <c r="G54" s="36">
        <v>900</v>
      </c>
      <c r="H54" s="30">
        <v>810</v>
      </c>
      <c r="I54" s="26"/>
      <c r="J54" s="27">
        <f t="shared" si="0"/>
        <v>972</v>
      </c>
      <c r="K54" s="28">
        <f t="shared" si="1"/>
        <v>396</v>
      </c>
      <c r="L54" s="29">
        <f t="shared" si="2"/>
        <v>1368</v>
      </c>
      <c r="M54" s="28">
        <f t="shared" si="3"/>
        <v>90</v>
      </c>
      <c r="N54" s="27">
        <f t="shared" si="4"/>
        <v>1062</v>
      </c>
    </row>
    <row r="55" spans="1:14" ht="14.4">
      <c r="A55" s="6" t="s">
        <v>1356</v>
      </c>
      <c r="B55" s="21" t="s">
        <v>1357</v>
      </c>
      <c r="E55" s="23" t="s">
        <v>1233</v>
      </c>
      <c r="F55" s="24" t="s">
        <v>641</v>
      </c>
      <c r="G55" s="36">
        <v>900</v>
      </c>
      <c r="H55" s="30">
        <v>810</v>
      </c>
      <c r="I55" s="26"/>
      <c r="J55" s="27">
        <f t="shared" si="0"/>
        <v>972</v>
      </c>
      <c r="K55" s="28">
        <f t="shared" si="1"/>
        <v>396</v>
      </c>
      <c r="L55" s="29">
        <f t="shared" si="2"/>
        <v>1368</v>
      </c>
      <c r="M55" s="28">
        <f t="shared" si="3"/>
        <v>90</v>
      </c>
      <c r="N55" s="27">
        <f t="shared" si="4"/>
        <v>1062</v>
      </c>
    </row>
    <row r="56" spans="1:14" ht="14.4">
      <c r="A56" s="6" t="s">
        <v>1097</v>
      </c>
      <c r="B56" s="21" t="s">
        <v>1304</v>
      </c>
      <c r="E56" s="23" t="s">
        <v>1233</v>
      </c>
      <c r="F56" s="24" t="s">
        <v>1358</v>
      </c>
      <c r="G56" s="25">
        <v>840</v>
      </c>
      <c r="H56" s="25">
        <v>1412</v>
      </c>
      <c r="I56" s="26"/>
      <c r="J56" s="27">
        <f t="shared" si="0"/>
        <v>1694.4</v>
      </c>
      <c r="K56" s="28">
        <f t="shared" si="1"/>
        <v>369.6</v>
      </c>
      <c r="L56" s="29">
        <f t="shared" si="2"/>
        <v>2064</v>
      </c>
      <c r="M56" s="28">
        <f t="shared" si="3"/>
        <v>84</v>
      </c>
      <c r="N56" s="27">
        <f t="shared" si="4"/>
        <v>1778.4</v>
      </c>
    </row>
    <row r="57" spans="1:14" ht="14.4">
      <c r="A57" s="6" t="s">
        <v>1359</v>
      </c>
      <c r="B57" s="21" t="s">
        <v>1304</v>
      </c>
      <c r="E57" s="23" t="s">
        <v>1233</v>
      </c>
      <c r="F57" s="24" t="s">
        <v>1360</v>
      </c>
      <c r="G57" s="30">
        <v>900</v>
      </c>
      <c r="H57" s="30">
        <v>751</v>
      </c>
      <c r="I57" s="26"/>
      <c r="J57" s="27">
        <f t="shared" si="0"/>
        <v>901.2</v>
      </c>
      <c r="K57" s="28">
        <f t="shared" si="1"/>
        <v>396</v>
      </c>
      <c r="L57" s="29">
        <f t="shared" si="2"/>
        <v>1297.2</v>
      </c>
      <c r="M57" s="28">
        <f t="shared" si="3"/>
        <v>90</v>
      </c>
      <c r="N57" s="27">
        <f t="shared" si="4"/>
        <v>991.2</v>
      </c>
    </row>
    <row r="58" spans="1:14" ht="14.4">
      <c r="A58" s="6" t="s">
        <v>1361</v>
      </c>
      <c r="B58" s="21" t="s">
        <v>1234</v>
      </c>
      <c r="E58" s="23" t="s">
        <v>1233</v>
      </c>
      <c r="F58" s="24" t="s">
        <v>1362</v>
      </c>
      <c r="G58" s="30">
        <v>790</v>
      </c>
      <c r="H58" s="30">
        <v>256</v>
      </c>
      <c r="I58" s="26"/>
      <c r="J58" s="27">
        <f t="shared" si="0"/>
        <v>307.2</v>
      </c>
      <c r="K58" s="28">
        <f t="shared" si="1"/>
        <v>347.6</v>
      </c>
      <c r="L58" s="29">
        <f t="shared" si="2"/>
        <v>654.79999999999995</v>
      </c>
      <c r="M58" s="28">
        <f t="shared" si="3"/>
        <v>79</v>
      </c>
      <c r="N58" s="27">
        <f t="shared" si="4"/>
        <v>386.2</v>
      </c>
    </row>
    <row r="59" spans="1:14" ht="14.4">
      <c r="A59" s="6" t="s">
        <v>14</v>
      </c>
      <c r="B59" s="21" t="s">
        <v>15</v>
      </c>
      <c r="E59" s="23" t="s">
        <v>1231</v>
      </c>
      <c r="F59" s="24" t="s">
        <v>669</v>
      </c>
      <c r="G59" s="37">
        <v>790</v>
      </c>
      <c r="H59" s="25">
        <v>338</v>
      </c>
      <c r="I59" s="26"/>
      <c r="J59" s="27">
        <f t="shared" si="0"/>
        <v>405.6</v>
      </c>
      <c r="K59" s="28">
        <f t="shared" si="1"/>
        <v>347.6</v>
      </c>
      <c r="L59" s="29">
        <f t="shared" si="2"/>
        <v>753.2</v>
      </c>
      <c r="M59" s="28">
        <f t="shared" si="3"/>
        <v>79</v>
      </c>
      <c r="N59" s="27">
        <f t="shared" si="4"/>
        <v>484.6</v>
      </c>
    </row>
    <row r="60" spans="1:14" ht="14.4">
      <c r="A60" s="6" t="s">
        <v>46</v>
      </c>
      <c r="B60" s="21" t="s">
        <v>15</v>
      </c>
      <c r="E60" s="23" t="s">
        <v>1231</v>
      </c>
      <c r="F60" s="24" t="s">
        <v>1363</v>
      </c>
      <c r="G60" s="25">
        <v>780</v>
      </c>
      <c r="H60" s="25">
        <v>184</v>
      </c>
      <c r="I60" s="26"/>
      <c r="J60" s="34">
        <f t="shared" si="0"/>
        <v>220.8</v>
      </c>
      <c r="K60" s="28">
        <f t="shared" si="1"/>
        <v>343.2</v>
      </c>
      <c r="L60" s="35">
        <f t="shared" si="2"/>
        <v>564</v>
      </c>
      <c r="M60" s="28">
        <f t="shared" si="3"/>
        <v>78</v>
      </c>
      <c r="N60" s="34">
        <f t="shared" si="4"/>
        <v>298.8</v>
      </c>
    </row>
    <row r="61" spans="1:14" ht="14.4">
      <c r="A61" s="6" t="s">
        <v>1364</v>
      </c>
      <c r="B61" s="21" t="s">
        <v>15</v>
      </c>
      <c r="E61" s="23" t="s">
        <v>1233</v>
      </c>
      <c r="F61" s="24" t="s">
        <v>1365</v>
      </c>
      <c r="G61" s="25">
        <v>750</v>
      </c>
      <c r="H61" s="25">
        <v>603</v>
      </c>
      <c r="I61" s="26"/>
      <c r="J61" s="27">
        <f t="shared" si="0"/>
        <v>723.6</v>
      </c>
      <c r="K61" s="28">
        <f t="shared" si="1"/>
        <v>330</v>
      </c>
      <c r="L61" s="29">
        <f t="shared" si="2"/>
        <v>1053.5999999999999</v>
      </c>
      <c r="M61" s="28">
        <f t="shared" si="3"/>
        <v>75</v>
      </c>
      <c r="N61" s="27">
        <f t="shared" si="4"/>
        <v>798.6</v>
      </c>
    </row>
    <row r="62" spans="1:14" ht="14.4">
      <c r="A62" s="6" t="s">
        <v>1366</v>
      </c>
      <c r="B62" s="21" t="s">
        <v>15</v>
      </c>
      <c r="E62" s="23" t="s">
        <v>1233</v>
      </c>
      <c r="F62" s="24" t="s">
        <v>1367</v>
      </c>
      <c r="G62" s="25">
        <v>750</v>
      </c>
      <c r="H62" s="25">
        <v>603</v>
      </c>
      <c r="I62" s="26"/>
      <c r="J62" s="27">
        <f t="shared" si="0"/>
        <v>723.6</v>
      </c>
      <c r="K62" s="28">
        <f t="shared" si="1"/>
        <v>330</v>
      </c>
      <c r="L62" s="29">
        <f t="shared" si="2"/>
        <v>1053.5999999999999</v>
      </c>
      <c r="M62" s="28">
        <f t="shared" si="3"/>
        <v>75</v>
      </c>
      <c r="N62" s="27">
        <f t="shared" si="4"/>
        <v>798.6</v>
      </c>
    </row>
    <row r="63" spans="1:14" ht="14.4">
      <c r="A63" s="6" t="s">
        <v>292</v>
      </c>
      <c r="B63" s="21" t="s">
        <v>1339</v>
      </c>
      <c r="E63" s="23" t="s">
        <v>1233</v>
      </c>
      <c r="F63" s="24" t="s">
        <v>1216</v>
      </c>
      <c r="G63" s="25">
        <v>750</v>
      </c>
      <c r="H63" s="25">
        <v>603</v>
      </c>
      <c r="I63" s="26"/>
      <c r="J63" s="27">
        <f t="shared" si="0"/>
        <v>723.6</v>
      </c>
      <c r="K63" s="28">
        <f t="shared" si="1"/>
        <v>330</v>
      </c>
      <c r="L63" s="29">
        <f t="shared" si="2"/>
        <v>1053.5999999999999</v>
      </c>
      <c r="M63" s="28">
        <f t="shared" si="3"/>
        <v>75</v>
      </c>
      <c r="N63" s="27">
        <f t="shared" si="4"/>
        <v>798.6</v>
      </c>
    </row>
    <row r="64" spans="1:14" ht="14.4">
      <c r="A64" s="6" t="s">
        <v>274</v>
      </c>
      <c r="B64" s="21" t="s">
        <v>1342</v>
      </c>
      <c r="E64" s="23" t="s">
        <v>1233</v>
      </c>
      <c r="F64" s="24" t="s">
        <v>1368</v>
      </c>
      <c r="G64" s="25">
        <v>750</v>
      </c>
      <c r="H64" s="25">
        <v>603</v>
      </c>
      <c r="I64" s="26"/>
      <c r="J64" s="27">
        <f t="shared" si="0"/>
        <v>723.6</v>
      </c>
      <c r="K64" s="28">
        <f t="shared" si="1"/>
        <v>330</v>
      </c>
      <c r="L64" s="29">
        <f t="shared" si="2"/>
        <v>1053.5999999999999</v>
      </c>
      <c r="M64" s="28">
        <f t="shared" si="3"/>
        <v>75</v>
      </c>
      <c r="N64" s="27">
        <f t="shared" si="4"/>
        <v>798.6</v>
      </c>
    </row>
    <row r="65" spans="1:14" ht="14.4">
      <c r="A65" s="6" t="s">
        <v>373</v>
      </c>
      <c r="B65" s="21" t="s">
        <v>1342</v>
      </c>
      <c r="E65" s="23" t="s">
        <v>1233</v>
      </c>
      <c r="F65" s="24" t="s">
        <v>1369</v>
      </c>
      <c r="G65" s="25">
        <v>750</v>
      </c>
      <c r="H65" s="25">
        <v>603</v>
      </c>
      <c r="I65" s="26"/>
      <c r="J65" s="27">
        <f t="shared" si="0"/>
        <v>723.6</v>
      </c>
      <c r="K65" s="28">
        <f t="shared" si="1"/>
        <v>330</v>
      </c>
      <c r="L65" s="29">
        <f t="shared" si="2"/>
        <v>1053.5999999999999</v>
      </c>
      <c r="M65" s="28">
        <f t="shared" si="3"/>
        <v>75</v>
      </c>
      <c r="N65" s="27">
        <f t="shared" si="4"/>
        <v>798.6</v>
      </c>
    </row>
    <row r="66" spans="1:14" ht="14.4">
      <c r="A66" s="6" t="s">
        <v>364</v>
      </c>
      <c r="B66" s="21" t="s">
        <v>1345</v>
      </c>
      <c r="E66" s="23" t="s">
        <v>1233</v>
      </c>
      <c r="F66" s="24" t="s">
        <v>1370</v>
      </c>
      <c r="G66" s="25">
        <v>700</v>
      </c>
      <c r="H66" s="25">
        <v>248</v>
      </c>
      <c r="I66" s="26"/>
      <c r="J66" s="27">
        <f t="shared" si="0"/>
        <v>297.60000000000002</v>
      </c>
      <c r="K66" s="28">
        <f t="shared" si="1"/>
        <v>308</v>
      </c>
      <c r="L66" s="29">
        <f t="shared" si="2"/>
        <v>605.6</v>
      </c>
      <c r="M66" s="28">
        <f t="shared" si="3"/>
        <v>70</v>
      </c>
      <c r="N66" s="27">
        <f t="shared" si="4"/>
        <v>367.6</v>
      </c>
    </row>
    <row r="67" spans="1:14" ht="14.4">
      <c r="A67" s="6" t="s">
        <v>263</v>
      </c>
      <c r="B67" s="21" t="s">
        <v>1345</v>
      </c>
      <c r="E67" s="23" t="s">
        <v>1233</v>
      </c>
      <c r="F67" s="24" t="s">
        <v>1371</v>
      </c>
      <c r="G67" s="25">
        <v>700</v>
      </c>
      <c r="H67" s="25">
        <v>267</v>
      </c>
      <c r="I67" s="26"/>
      <c r="J67" s="27">
        <f t="shared" si="0"/>
        <v>320.39999999999998</v>
      </c>
      <c r="K67" s="28">
        <f t="shared" si="1"/>
        <v>308</v>
      </c>
      <c r="L67" s="29">
        <f t="shared" si="2"/>
        <v>628.4</v>
      </c>
      <c r="M67" s="28">
        <f t="shared" si="3"/>
        <v>70</v>
      </c>
      <c r="N67" s="27">
        <f t="shared" si="4"/>
        <v>390.4</v>
      </c>
    </row>
    <row r="68" spans="1:14" ht="14.4">
      <c r="A68" s="6" t="s">
        <v>1372</v>
      </c>
      <c r="B68" s="21" t="s">
        <v>1345</v>
      </c>
      <c r="E68" s="33" t="s">
        <v>1233</v>
      </c>
      <c r="F68" s="24" t="s">
        <v>1373</v>
      </c>
      <c r="G68" s="25">
        <v>680</v>
      </c>
      <c r="H68" s="25">
        <v>279</v>
      </c>
      <c r="I68" s="26"/>
      <c r="J68" s="27">
        <f t="shared" si="0"/>
        <v>334.8</v>
      </c>
      <c r="K68" s="28">
        <f t="shared" si="1"/>
        <v>299.2</v>
      </c>
      <c r="L68" s="29">
        <f t="shared" si="2"/>
        <v>634</v>
      </c>
      <c r="M68" s="28">
        <f t="shared" si="3"/>
        <v>68</v>
      </c>
      <c r="N68" s="27">
        <f t="shared" si="4"/>
        <v>402.8</v>
      </c>
    </row>
    <row r="69" spans="1:14" ht="14.4">
      <c r="A69" s="6" t="s">
        <v>593</v>
      </c>
      <c r="B69" s="21" t="s">
        <v>1348</v>
      </c>
      <c r="E69" s="33" t="s">
        <v>1233</v>
      </c>
      <c r="F69" s="24" t="s">
        <v>1374</v>
      </c>
      <c r="G69" s="25">
        <v>680</v>
      </c>
      <c r="H69" s="25">
        <v>279</v>
      </c>
      <c r="I69" s="26"/>
      <c r="J69" s="27">
        <f t="shared" si="0"/>
        <v>334.8</v>
      </c>
      <c r="K69" s="28">
        <f t="shared" si="1"/>
        <v>299.2</v>
      </c>
      <c r="L69" s="29">
        <f t="shared" si="2"/>
        <v>634</v>
      </c>
      <c r="M69" s="28">
        <f t="shared" si="3"/>
        <v>68</v>
      </c>
      <c r="N69" s="27">
        <f t="shared" si="4"/>
        <v>402.8</v>
      </c>
    </row>
    <row r="70" spans="1:14" ht="14.4">
      <c r="A70" s="6" t="s">
        <v>503</v>
      </c>
      <c r="B70" s="21" t="s">
        <v>1348</v>
      </c>
      <c r="E70" s="31" t="s">
        <v>1231</v>
      </c>
      <c r="F70" s="32" t="s">
        <v>1375</v>
      </c>
      <c r="G70" s="25">
        <v>632</v>
      </c>
      <c r="H70" s="25">
        <v>212</v>
      </c>
      <c r="I70" s="26"/>
      <c r="J70" s="27">
        <f t="shared" si="0"/>
        <v>254.4</v>
      </c>
      <c r="K70" s="28">
        <f t="shared" si="1"/>
        <v>278.08</v>
      </c>
      <c r="L70" s="29">
        <f t="shared" si="2"/>
        <v>532.48</v>
      </c>
      <c r="M70" s="28">
        <f t="shared" si="3"/>
        <v>63.2</v>
      </c>
      <c r="N70" s="27">
        <f t="shared" si="4"/>
        <v>317.60000000000002</v>
      </c>
    </row>
    <row r="71" spans="1:14" ht="14.4">
      <c r="A71" s="6" t="s">
        <v>1376</v>
      </c>
      <c r="B71" s="21" t="s">
        <v>1348</v>
      </c>
      <c r="E71" s="31" t="s">
        <v>1231</v>
      </c>
      <c r="F71" s="24" t="s">
        <v>1377</v>
      </c>
      <c r="G71" s="25">
        <v>632</v>
      </c>
      <c r="H71" s="25">
        <v>212</v>
      </c>
      <c r="I71" s="26"/>
      <c r="J71" s="27">
        <f t="shared" si="0"/>
        <v>254.4</v>
      </c>
      <c r="K71" s="28">
        <f t="shared" si="1"/>
        <v>278.08</v>
      </c>
      <c r="L71" s="29">
        <f t="shared" si="2"/>
        <v>532.48</v>
      </c>
      <c r="M71" s="28">
        <f t="shared" si="3"/>
        <v>63.2</v>
      </c>
      <c r="N71" s="27">
        <f t="shared" si="4"/>
        <v>317.60000000000002</v>
      </c>
    </row>
    <row r="72" spans="1:14" ht="14.4">
      <c r="A72" s="6" t="s">
        <v>588</v>
      </c>
      <c r="B72" s="21" t="s">
        <v>1351</v>
      </c>
      <c r="E72" s="31" t="s">
        <v>1231</v>
      </c>
      <c r="F72" s="24" t="s">
        <v>1378</v>
      </c>
      <c r="G72" s="25">
        <v>632</v>
      </c>
      <c r="H72" s="25">
        <v>212</v>
      </c>
      <c r="I72" s="26"/>
      <c r="J72" s="27">
        <f t="shared" si="0"/>
        <v>254.4</v>
      </c>
      <c r="K72" s="28">
        <f t="shared" si="1"/>
        <v>278.08</v>
      </c>
      <c r="L72" s="29">
        <f t="shared" si="2"/>
        <v>532.48</v>
      </c>
      <c r="M72" s="28">
        <f t="shared" si="3"/>
        <v>63.2</v>
      </c>
      <c r="N72" s="27">
        <f t="shared" si="4"/>
        <v>317.60000000000002</v>
      </c>
    </row>
    <row r="73" spans="1:14" ht="14.4">
      <c r="A73" s="6" t="s">
        <v>139</v>
      </c>
      <c r="B73" s="21" t="s">
        <v>1351</v>
      </c>
      <c r="E73" s="23" t="s">
        <v>1231</v>
      </c>
      <c r="F73" s="24" t="s">
        <v>1379</v>
      </c>
      <c r="G73" s="25">
        <v>670</v>
      </c>
      <c r="H73" s="25">
        <v>236</v>
      </c>
      <c r="I73" s="26"/>
      <c r="J73" s="27">
        <f t="shared" si="0"/>
        <v>283.2</v>
      </c>
      <c r="K73" s="28">
        <f t="shared" si="1"/>
        <v>294.8</v>
      </c>
      <c r="L73" s="29">
        <f t="shared" si="2"/>
        <v>578</v>
      </c>
      <c r="M73" s="28">
        <f t="shared" si="3"/>
        <v>67</v>
      </c>
      <c r="N73" s="27">
        <f t="shared" si="4"/>
        <v>350.2</v>
      </c>
    </row>
    <row r="74" spans="1:14" ht="14.4">
      <c r="A74" s="6" t="s">
        <v>1372</v>
      </c>
      <c r="B74" s="21" t="s">
        <v>1351</v>
      </c>
      <c r="E74" s="23" t="s">
        <v>1233</v>
      </c>
      <c r="F74" s="24" t="s">
        <v>1380</v>
      </c>
      <c r="G74" s="25">
        <v>660</v>
      </c>
      <c r="H74" s="25">
        <v>437</v>
      </c>
      <c r="I74" s="26"/>
      <c r="J74" s="27">
        <f t="shared" si="0"/>
        <v>524.4</v>
      </c>
      <c r="K74" s="28">
        <f t="shared" si="1"/>
        <v>290.39999999999998</v>
      </c>
      <c r="L74" s="29">
        <f t="shared" si="2"/>
        <v>814.8</v>
      </c>
      <c r="M74" s="28">
        <f t="shared" si="3"/>
        <v>66</v>
      </c>
      <c r="N74" s="27">
        <f t="shared" si="4"/>
        <v>590.4</v>
      </c>
    </row>
    <row r="75" spans="1:14" ht="14.4">
      <c r="A75" s="6" t="s">
        <v>358</v>
      </c>
      <c r="B75" s="21" t="s">
        <v>1354</v>
      </c>
      <c r="E75" s="23" t="s">
        <v>1233</v>
      </c>
      <c r="F75" s="24" t="s">
        <v>1381</v>
      </c>
      <c r="G75" s="25">
        <v>650</v>
      </c>
      <c r="H75" s="25">
        <v>128</v>
      </c>
      <c r="I75" s="26"/>
      <c r="J75" s="27">
        <f t="shared" si="0"/>
        <v>153.6</v>
      </c>
      <c r="K75" s="28">
        <f t="shared" si="1"/>
        <v>286</v>
      </c>
      <c r="L75" s="29">
        <f t="shared" si="2"/>
        <v>439.6</v>
      </c>
      <c r="M75" s="28">
        <f t="shared" si="3"/>
        <v>65</v>
      </c>
      <c r="N75" s="27">
        <f t="shared" si="4"/>
        <v>218.6</v>
      </c>
    </row>
    <row r="76" spans="1:14" ht="14.4">
      <c r="A76" s="6" t="s">
        <v>186</v>
      </c>
      <c r="B76" s="21" t="s">
        <v>1354</v>
      </c>
      <c r="E76" s="23" t="s">
        <v>1233</v>
      </c>
      <c r="F76" s="24" t="s">
        <v>1382</v>
      </c>
      <c r="G76" s="25">
        <v>625</v>
      </c>
      <c r="H76" s="25">
        <v>597</v>
      </c>
      <c r="I76" s="26"/>
      <c r="J76" s="27">
        <f t="shared" si="0"/>
        <v>716.4</v>
      </c>
      <c r="K76" s="28">
        <f t="shared" si="1"/>
        <v>275</v>
      </c>
      <c r="L76" s="29">
        <f t="shared" si="2"/>
        <v>991.4</v>
      </c>
      <c r="M76" s="28">
        <f t="shared" si="3"/>
        <v>62.5</v>
      </c>
      <c r="N76" s="27">
        <f t="shared" si="4"/>
        <v>778.9</v>
      </c>
    </row>
    <row r="77" spans="1:14" ht="14.4">
      <c r="A77" s="6" t="s">
        <v>1376</v>
      </c>
      <c r="B77" s="21" t="s">
        <v>1354</v>
      </c>
      <c r="E77" s="23" t="s">
        <v>1231</v>
      </c>
      <c r="F77" s="24" t="s">
        <v>1383</v>
      </c>
      <c r="G77" s="25">
        <v>620</v>
      </c>
      <c r="H77" s="25">
        <v>206</v>
      </c>
      <c r="I77" s="26"/>
      <c r="J77" s="34">
        <f t="shared" si="0"/>
        <v>247.2</v>
      </c>
      <c r="K77" s="28">
        <f t="shared" si="1"/>
        <v>272.8</v>
      </c>
      <c r="L77" s="35">
        <f t="shared" si="2"/>
        <v>520</v>
      </c>
      <c r="M77" s="28">
        <f t="shared" si="3"/>
        <v>62</v>
      </c>
      <c r="N77" s="34">
        <f t="shared" si="4"/>
        <v>309.2</v>
      </c>
    </row>
    <row r="78" spans="1:14" ht="14.4">
      <c r="A78" s="6" t="s">
        <v>983</v>
      </c>
      <c r="B78" s="21" t="s">
        <v>1382</v>
      </c>
      <c r="E78" s="33" t="s">
        <v>1233</v>
      </c>
      <c r="F78" s="24" t="s">
        <v>1384</v>
      </c>
      <c r="G78" s="25">
        <v>632</v>
      </c>
      <c r="H78" s="25">
        <v>212</v>
      </c>
      <c r="I78" s="26"/>
      <c r="J78" s="27">
        <f t="shared" si="0"/>
        <v>254.4</v>
      </c>
      <c r="K78" s="28">
        <f t="shared" si="1"/>
        <v>278.08</v>
      </c>
      <c r="L78" s="29">
        <f t="shared" si="2"/>
        <v>532.48</v>
      </c>
      <c r="M78" s="28">
        <f t="shared" si="3"/>
        <v>63.2</v>
      </c>
      <c r="N78" s="27">
        <f t="shared" si="4"/>
        <v>317.60000000000002</v>
      </c>
    </row>
    <row r="79" spans="1:14" ht="14.4">
      <c r="A79" s="6" t="s">
        <v>1385</v>
      </c>
      <c r="B79" s="21" t="s">
        <v>1382</v>
      </c>
      <c r="E79" s="23" t="s">
        <v>1231</v>
      </c>
      <c r="F79" s="26" t="s">
        <v>1386</v>
      </c>
      <c r="G79" s="36">
        <v>700</v>
      </c>
      <c r="H79" s="30">
        <v>402</v>
      </c>
      <c r="I79" s="26"/>
      <c r="J79" s="27">
        <f t="shared" si="0"/>
        <v>482.4</v>
      </c>
      <c r="K79" s="28">
        <f t="shared" si="1"/>
        <v>308</v>
      </c>
      <c r="L79" s="29">
        <f t="shared" si="2"/>
        <v>790.4</v>
      </c>
      <c r="M79" s="28">
        <f t="shared" si="3"/>
        <v>70</v>
      </c>
      <c r="N79" s="27">
        <f t="shared" si="4"/>
        <v>552.4</v>
      </c>
    </row>
    <row r="80" spans="1:14" ht="14.4">
      <c r="A80" s="6" t="s">
        <v>248</v>
      </c>
      <c r="B80" s="21" t="s">
        <v>1382</v>
      </c>
      <c r="E80" s="23" t="s">
        <v>1231</v>
      </c>
      <c r="F80" s="26" t="s">
        <v>1387</v>
      </c>
      <c r="G80" s="36">
        <v>700</v>
      </c>
      <c r="H80" s="30">
        <v>343</v>
      </c>
      <c r="I80" s="26"/>
      <c r="J80" s="27">
        <f t="shared" si="0"/>
        <v>411.6</v>
      </c>
      <c r="K80" s="28">
        <f t="shared" si="1"/>
        <v>308</v>
      </c>
      <c r="L80" s="29">
        <f t="shared" si="2"/>
        <v>719.6</v>
      </c>
      <c r="M80" s="28">
        <f t="shared" si="3"/>
        <v>70</v>
      </c>
      <c r="N80" s="27">
        <f t="shared" si="4"/>
        <v>481.6</v>
      </c>
    </row>
    <row r="81" spans="1:14" ht="14.4">
      <c r="A81" s="6" t="s">
        <v>52</v>
      </c>
      <c r="B81" s="21" t="s">
        <v>1388</v>
      </c>
      <c r="E81" s="31" t="s">
        <v>1231</v>
      </c>
      <c r="F81" s="24" t="s">
        <v>1389</v>
      </c>
      <c r="G81" s="25">
        <v>560</v>
      </c>
      <c r="H81" s="25">
        <v>198</v>
      </c>
      <c r="I81" s="26"/>
      <c r="J81" s="27">
        <f t="shared" si="0"/>
        <v>237.6</v>
      </c>
      <c r="K81" s="28">
        <f t="shared" si="1"/>
        <v>246.4</v>
      </c>
      <c r="L81" s="29">
        <f t="shared" si="2"/>
        <v>484</v>
      </c>
      <c r="M81" s="28">
        <f t="shared" si="3"/>
        <v>56</v>
      </c>
      <c r="N81" s="27">
        <f t="shared" si="4"/>
        <v>293.60000000000002</v>
      </c>
    </row>
    <row r="82" spans="1:14" ht="14.4">
      <c r="A82" s="6" t="s">
        <v>1390</v>
      </c>
      <c r="B82" s="21" t="s">
        <v>1336</v>
      </c>
      <c r="E82" s="31" t="s">
        <v>1231</v>
      </c>
      <c r="F82" s="24" t="s">
        <v>1391</v>
      </c>
      <c r="G82" s="25">
        <v>560</v>
      </c>
      <c r="H82" s="25">
        <v>198</v>
      </c>
      <c r="I82" s="26"/>
      <c r="J82" s="27">
        <f t="shared" si="0"/>
        <v>237.6</v>
      </c>
      <c r="K82" s="28">
        <f t="shared" si="1"/>
        <v>246.4</v>
      </c>
      <c r="L82" s="29">
        <f t="shared" si="2"/>
        <v>484</v>
      </c>
      <c r="M82" s="28">
        <f t="shared" si="3"/>
        <v>56</v>
      </c>
      <c r="N82" s="27">
        <f t="shared" si="4"/>
        <v>293.60000000000002</v>
      </c>
    </row>
    <row r="83" spans="1:14" ht="14.4">
      <c r="A83" s="6" t="s">
        <v>1392</v>
      </c>
      <c r="B83" s="21" t="s">
        <v>1336</v>
      </c>
      <c r="E83" s="31" t="s">
        <v>1231</v>
      </c>
      <c r="F83" s="24" t="s">
        <v>1393</v>
      </c>
      <c r="G83" s="25">
        <v>560</v>
      </c>
      <c r="H83" s="25">
        <v>198</v>
      </c>
      <c r="I83" s="26"/>
      <c r="J83" s="27">
        <f t="shared" si="0"/>
        <v>237.6</v>
      </c>
      <c r="K83" s="28">
        <f t="shared" si="1"/>
        <v>246.4</v>
      </c>
      <c r="L83" s="29">
        <f t="shared" si="2"/>
        <v>484</v>
      </c>
      <c r="M83" s="28">
        <f t="shared" si="3"/>
        <v>56</v>
      </c>
      <c r="N83" s="27">
        <f t="shared" si="4"/>
        <v>293.60000000000002</v>
      </c>
    </row>
    <row r="84" spans="1:14" ht="14.4">
      <c r="A84" s="6" t="s">
        <v>224</v>
      </c>
      <c r="B84" s="21" t="s">
        <v>1336</v>
      </c>
      <c r="E84" s="31" t="s">
        <v>1231</v>
      </c>
      <c r="F84" s="24" t="s">
        <v>1394</v>
      </c>
      <c r="G84" s="25">
        <v>560</v>
      </c>
      <c r="H84" s="25">
        <v>198</v>
      </c>
      <c r="I84" s="26"/>
      <c r="J84" s="27">
        <f t="shared" si="0"/>
        <v>237.6</v>
      </c>
      <c r="K84" s="28">
        <f t="shared" si="1"/>
        <v>246.4</v>
      </c>
      <c r="L84" s="29">
        <f t="shared" si="2"/>
        <v>484</v>
      </c>
      <c r="M84" s="28">
        <f t="shared" si="3"/>
        <v>56</v>
      </c>
      <c r="N84" s="27">
        <f t="shared" si="4"/>
        <v>293.60000000000002</v>
      </c>
    </row>
    <row r="85" spans="1:14" ht="14.4">
      <c r="A85" s="6" t="s">
        <v>97</v>
      </c>
      <c r="B85" s="21" t="s">
        <v>1336</v>
      </c>
      <c r="E85" s="31" t="s">
        <v>1231</v>
      </c>
      <c r="F85" s="24" t="s">
        <v>1395</v>
      </c>
      <c r="G85" s="25">
        <v>560</v>
      </c>
      <c r="H85" s="25">
        <v>205</v>
      </c>
      <c r="I85" s="26"/>
      <c r="J85" s="27">
        <f t="shared" si="0"/>
        <v>246</v>
      </c>
      <c r="K85" s="28">
        <f t="shared" si="1"/>
        <v>246.4</v>
      </c>
      <c r="L85" s="29">
        <f t="shared" si="2"/>
        <v>492.4</v>
      </c>
      <c r="M85" s="28">
        <f t="shared" si="3"/>
        <v>56</v>
      </c>
      <c r="N85" s="27">
        <f t="shared" si="4"/>
        <v>302</v>
      </c>
    </row>
    <row r="86" spans="1:14" ht="14.4">
      <c r="A86" s="6" t="s">
        <v>1396</v>
      </c>
      <c r="B86" s="21" t="s">
        <v>1336</v>
      </c>
      <c r="E86" s="31" t="s">
        <v>1231</v>
      </c>
      <c r="F86" s="24" t="s">
        <v>1397</v>
      </c>
      <c r="G86" s="25">
        <v>560</v>
      </c>
      <c r="H86" s="25">
        <v>184</v>
      </c>
      <c r="I86" s="26"/>
      <c r="J86" s="34">
        <f t="shared" si="0"/>
        <v>220.8</v>
      </c>
      <c r="K86" s="28">
        <f t="shared" si="1"/>
        <v>246.4</v>
      </c>
      <c r="L86" s="35">
        <f t="shared" si="2"/>
        <v>467.20000000000005</v>
      </c>
      <c r="M86" s="28">
        <f t="shared" si="3"/>
        <v>56</v>
      </c>
      <c r="N86" s="34">
        <f t="shared" si="4"/>
        <v>276.8</v>
      </c>
    </row>
    <row r="87" spans="1:14" ht="14.4">
      <c r="A87" s="6" t="s">
        <v>1396</v>
      </c>
      <c r="B87" s="21" t="s">
        <v>1336</v>
      </c>
      <c r="E87" s="31" t="s">
        <v>1231</v>
      </c>
      <c r="F87" s="24" t="s">
        <v>1398</v>
      </c>
      <c r="G87" s="25">
        <v>560</v>
      </c>
      <c r="H87" s="25">
        <v>198</v>
      </c>
      <c r="I87" s="26"/>
      <c r="J87" s="27">
        <f t="shared" si="0"/>
        <v>237.6</v>
      </c>
      <c r="K87" s="28">
        <f t="shared" si="1"/>
        <v>246.4</v>
      </c>
      <c r="L87" s="29">
        <f t="shared" si="2"/>
        <v>484</v>
      </c>
      <c r="M87" s="28">
        <f t="shared" si="3"/>
        <v>56</v>
      </c>
      <c r="N87" s="27">
        <f t="shared" si="4"/>
        <v>293.60000000000002</v>
      </c>
    </row>
    <row r="88" spans="1:14" ht="14.4">
      <c r="A88" s="6" t="s">
        <v>1157</v>
      </c>
      <c r="B88" s="21" t="s">
        <v>1369</v>
      </c>
      <c r="E88" s="33" t="s">
        <v>1233</v>
      </c>
      <c r="F88" s="24" t="s">
        <v>1399</v>
      </c>
      <c r="G88" s="25">
        <v>560</v>
      </c>
      <c r="H88" s="25">
        <v>198</v>
      </c>
      <c r="I88" s="26"/>
      <c r="J88" s="27">
        <f t="shared" si="0"/>
        <v>237.6</v>
      </c>
      <c r="K88" s="28">
        <f t="shared" si="1"/>
        <v>246.4</v>
      </c>
      <c r="L88" s="29">
        <f t="shared" si="2"/>
        <v>484</v>
      </c>
      <c r="M88" s="28">
        <f t="shared" si="3"/>
        <v>56</v>
      </c>
      <c r="N88" s="27">
        <f t="shared" si="4"/>
        <v>293.60000000000002</v>
      </c>
    </row>
    <row r="89" spans="1:14" ht="14.4">
      <c r="A89" s="6" t="s">
        <v>716</v>
      </c>
      <c r="B89" s="21" t="s">
        <v>1369</v>
      </c>
      <c r="E89" s="31" t="s">
        <v>1231</v>
      </c>
      <c r="F89" s="32" t="s">
        <v>1400</v>
      </c>
      <c r="G89" s="25">
        <v>540</v>
      </c>
      <c r="H89" s="25">
        <v>183</v>
      </c>
      <c r="I89" s="26"/>
      <c r="J89" s="27">
        <f t="shared" si="0"/>
        <v>219.6</v>
      </c>
      <c r="K89" s="28">
        <f t="shared" si="1"/>
        <v>237.6</v>
      </c>
      <c r="L89" s="29">
        <f t="shared" si="2"/>
        <v>457.2</v>
      </c>
      <c r="M89" s="28">
        <f t="shared" si="3"/>
        <v>54</v>
      </c>
      <c r="N89" s="27">
        <f t="shared" si="4"/>
        <v>273.60000000000002</v>
      </c>
    </row>
    <row r="90" spans="1:14" ht="14.4">
      <c r="A90" s="6" t="s">
        <v>1401</v>
      </c>
      <c r="B90" s="21" t="s">
        <v>1369</v>
      </c>
      <c r="E90" s="31" t="s">
        <v>1231</v>
      </c>
      <c r="F90" s="32" t="s">
        <v>1402</v>
      </c>
      <c r="G90" s="25">
        <v>540</v>
      </c>
      <c r="H90" s="25">
        <v>183</v>
      </c>
      <c r="I90" s="26"/>
      <c r="J90" s="27">
        <f t="shared" si="0"/>
        <v>219.6</v>
      </c>
      <c r="K90" s="28">
        <f t="shared" si="1"/>
        <v>237.6</v>
      </c>
      <c r="L90" s="29">
        <f t="shared" si="2"/>
        <v>457.2</v>
      </c>
      <c r="M90" s="28">
        <f t="shared" si="3"/>
        <v>54</v>
      </c>
      <c r="N90" s="27">
        <f t="shared" si="4"/>
        <v>273.60000000000002</v>
      </c>
    </row>
    <row r="91" spans="1:14" ht="14.4">
      <c r="A91" s="6" t="s">
        <v>1403</v>
      </c>
      <c r="B91" s="21" t="s">
        <v>1369</v>
      </c>
      <c r="E91" s="31" t="s">
        <v>1231</v>
      </c>
      <c r="F91" s="32" t="s">
        <v>1404</v>
      </c>
      <c r="G91" s="25">
        <v>540</v>
      </c>
      <c r="H91" s="25">
        <v>167</v>
      </c>
      <c r="I91" s="26"/>
      <c r="J91" s="34">
        <f t="shared" si="0"/>
        <v>200.4</v>
      </c>
      <c r="K91" s="28">
        <f t="shared" si="1"/>
        <v>237.6</v>
      </c>
      <c r="L91" s="35">
        <f t="shared" si="2"/>
        <v>438</v>
      </c>
      <c r="M91" s="28">
        <f t="shared" si="3"/>
        <v>54</v>
      </c>
      <c r="N91" s="34">
        <f t="shared" si="4"/>
        <v>254.4</v>
      </c>
    </row>
    <row r="92" spans="1:14" ht="14.4">
      <c r="A92" s="6" t="s">
        <v>40</v>
      </c>
      <c r="B92" s="21" t="s">
        <v>1358</v>
      </c>
      <c r="E92" s="31" t="s">
        <v>1231</v>
      </c>
      <c r="F92" s="32" t="s">
        <v>1405</v>
      </c>
      <c r="G92" s="25">
        <v>540</v>
      </c>
      <c r="H92" s="25">
        <v>167</v>
      </c>
      <c r="I92" s="26"/>
      <c r="J92" s="34">
        <f t="shared" si="0"/>
        <v>200.4</v>
      </c>
      <c r="K92" s="28">
        <f t="shared" si="1"/>
        <v>237.6</v>
      </c>
      <c r="L92" s="35">
        <f t="shared" si="2"/>
        <v>438</v>
      </c>
      <c r="M92" s="28">
        <f t="shared" si="3"/>
        <v>54</v>
      </c>
      <c r="N92" s="34">
        <f t="shared" si="4"/>
        <v>254.4</v>
      </c>
    </row>
    <row r="93" spans="1:14" ht="14.4">
      <c r="A93" s="6" t="s">
        <v>585</v>
      </c>
      <c r="B93" s="21" t="s">
        <v>1358</v>
      </c>
      <c r="E93" s="31" t="s">
        <v>1231</v>
      </c>
      <c r="F93" s="32" t="s">
        <v>1406</v>
      </c>
      <c r="G93" s="25">
        <v>540</v>
      </c>
      <c r="H93" s="25">
        <v>183</v>
      </c>
      <c r="I93" s="26"/>
      <c r="J93" s="27">
        <f t="shared" si="0"/>
        <v>219.6</v>
      </c>
      <c r="K93" s="28">
        <f t="shared" si="1"/>
        <v>237.6</v>
      </c>
      <c r="L93" s="29">
        <f t="shared" si="2"/>
        <v>457.2</v>
      </c>
      <c r="M93" s="28">
        <f t="shared" si="3"/>
        <v>54</v>
      </c>
      <c r="N93" s="27">
        <f t="shared" si="4"/>
        <v>273.60000000000002</v>
      </c>
    </row>
    <row r="94" spans="1:14" ht="14.4">
      <c r="A94" s="6" t="s">
        <v>183</v>
      </c>
      <c r="B94" s="21" t="s">
        <v>1358</v>
      </c>
      <c r="E94" s="33" t="s">
        <v>1233</v>
      </c>
      <c r="F94" s="24" t="s">
        <v>1277</v>
      </c>
      <c r="G94" s="25">
        <v>540</v>
      </c>
      <c r="H94" s="30">
        <v>183</v>
      </c>
      <c r="I94" s="26"/>
      <c r="J94" s="27">
        <f t="shared" si="0"/>
        <v>219.6</v>
      </c>
      <c r="K94" s="28">
        <f t="shared" si="1"/>
        <v>237.6</v>
      </c>
      <c r="L94" s="29">
        <f t="shared" si="2"/>
        <v>457.2</v>
      </c>
      <c r="M94" s="28">
        <f t="shared" si="3"/>
        <v>54</v>
      </c>
      <c r="N94" s="27">
        <f t="shared" si="4"/>
        <v>273.60000000000002</v>
      </c>
    </row>
    <row r="95" spans="1:14" ht="14.4">
      <c r="A95" s="6" t="s">
        <v>1366</v>
      </c>
      <c r="B95" s="21" t="s">
        <v>1358</v>
      </c>
      <c r="E95" s="33" t="s">
        <v>1233</v>
      </c>
      <c r="F95" s="24" t="s">
        <v>1407</v>
      </c>
      <c r="G95" s="25">
        <v>540</v>
      </c>
      <c r="H95" s="30">
        <v>183</v>
      </c>
      <c r="I95" s="26"/>
      <c r="J95" s="27">
        <f t="shared" si="0"/>
        <v>219.6</v>
      </c>
      <c r="K95" s="28">
        <f t="shared" si="1"/>
        <v>237.6</v>
      </c>
      <c r="L95" s="29">
        <f t="shared" si="2"/>
        <v>457.2</v>
      </c>
      <c r="M95" s="28">
        <f t="shared" si="3"/>
        <v>54</v>
      </c>
      <c r="N95" s="27">
        <f t="shared" si="4"/>
        <v>273.60000000000002</v>
      </c>
    </row>
    <row r="96" spans="1:14" ht="14.4">
      <c r="A96" s="6" t="s">
        <v>1408</v>
      </c>
      <c r="B96" s="21" t="s">
        <v>1129</v>
      </c>
      <c r="E96" s="33" t="s">
        <v>1233</v>
      </c>
      <c r="F96" s="24" t="s">
        <v>1409</v>
      </c>
      <c r="G96" s="25">
        <v>540</v>
      </c>
      <c r="H96" s="30">
        <v>183</v>
      </c>
      <c r="I96" s="26"/>
      <c r="J96" s="27">
        <f t="shared" si="0"/>
        <v>219.6</v>
      </c>
      <c r="K96" s="28">
        <f t="shared" si="1"/>
        <v>237.6</v>
      </c>
      <c r="L96" s="29">
        <f t="shared" si="2"/>
        <v>457.2</v>
      </c>
      <c r="M96" s="28">
        <f t="shared" si="3"/>
        <v>54</v>
      </c>
      <c r="N96" s="27">
        <f t="shared" si="4"/>
        <v>273.60000000000002</v>
      </c>
    </row>
    <row r="97" spans="1:14" ht="14.4">
      <c r="A97" s="6" t="s">
        <v>1128</v>
      </c>
      <c r="B97" s="21" t="s">
        <v>1129</v>
      </c>
      <c r="E97" s="33" t="s">
        <v>1233</v>
      </c>
      <c r="F97" s="26" t="s">
        <v>1410</v>
      </c>
      <c r="G97" s="25">
        <v>540</v>
      </c>
      <c r="H97" s="30">
        <v>183</v>
      </c>
      <c r="I97" s="26"/>
      <c r="J97" s="27">
        <f t="shared" si="0"/>
        <v>219.6</v>
      </c>
      <c r="K97" s="28">
        <f t="shared" si="1"/>
        <v>237.6</v>
      </c>
      <c r="L97" s="29">
        <f t="shared" si="2"/>
        <v>457.2</v>
      </c>
      <c r="M97" s="28">
        <f t="shared" si="3"/>
        <v>54</v>
      </c>
      <c r="N97" s="27">
        <f t="shared" si="4"/>
        <v>273.60000000000002</v>
      </c>
    </row>
    <row r="98" spans="1:14" ht="14.4">
      <c r="A98" s="6" t="s">
        <v>433</v>
      </c>
      <c r="B98" s="21" t="s">
        <v>1129</v>
      </c>
      <c r="E98" s="33" t="s">
        <v>1233</v>
      </c>
      <c r="F98" s="24" t="s">
        <v>1411</v>
      </c>
      <c r="G98" s="25">
        <v>540</v>
      </c>
      <c r="H98" s="30">
        <v>183</v>
      </c>
      <c r="I98" s="26"/>
      <c r="J98" s="27">
        <f t="shared" si="0"/>
        <v>219.6</v>
      </c>
      <c r="K98" s="28">
        <f t="shared" si="1"/>
        <v>237.6</v>
      </c>
      <c r="L98" s="29">
        <f t="shared" si="2"/>
        <v>457.2</v>
      </c>
      <c r="M98" s="28">
        <f t="shared" si="3"/>
        <v>54</v>
      </c>
      <c r="N98" s="27">
        <f t="shared" si="4"/>
        <v>273.60000000000002</v>
      </c>
    </row>
    <row r="99" spans="1:14" ht="14.4">
      <c r="A99" s="6" t="s">
        <v>1412</v>
      </c>
      <c r="B99" s="21" t="s">
        <v>1266</v>
      </c>
      <c r="E99" s="33" t="s">
        <v>1233</v>
      </c>
      <c r="F99" s="24" t="s">
        <v>1413</v>
      </c>
      <c r="G99" s="25">
        <v>540</v>
      </c>
      <c r="H99" s="25">
        <v>183</v>
      </c>
      <c r="I99" s="26"/>
      <c r="J99" s="27">
        <f t="shared" si="0"/>
        <v>219.6</v>
      </c>
      <c r="K99" s="28">
        <f t="shared" si="1"/>
        <v>237.6</v>
      </c>
      <c r="L99" s="29">
        <f t="shared" si="2"/>
        <v>457.2</v>
      </c>
      <c r="M99" s="28">
        <f t="shared" si="3"/>
        <v>54</v>
      </c>
      <c r="N99" s="27">
        <f t="shared" si="4"/>
        <v>273.60000000000002</v>
      </c>
    </row>
    <row r="100" spans="1:14" ht="14.4">
      <c r="A100" s="6" t="s">
        <v>106</v>
      </c>
      <c r="B100" s="21" t="s">
        <v>1266</v>
      </c>
      <c r="E100" s="33" t="s">
        <v>1233</v>
      </c>
      <c r="F100" s="24" t="s">
        <v>1414</v>
      </c>
      <c r="G100" s="25">
        <v>540</v>
      </c>
      <c r="H100" s="25">
        <v>183</v>
      </c>
      <c r="I100" s="26"/>
      <c r="J100" s="27">
        <f t="shared" si="0"/>
        <v>219.6</v>
      </c>
      <c r="K100" s="28">
        <f t="shared" si="1"/>
        <v>237.6</v>
      </c>
      <c r="L100" s="29">
        <f t="shared" si="2"/>
        <v>457.2</v>
      </c>
      <c r="M100" s="28">
        <f t="shared" si="3"/>
        <v>54</v>
      </c>
      <c r="N100" s="27">
        <f t="shared" si="4"/>
        <v>273.60000000000002</v>
      </c>
    </row>
    <row r="101" spans="1:14" ht="14.4">
      <c r="A101" s="6" t="s">
        <v>488</v>
      </c>
      <c r="B101" s="21" t="s">
        <v>1266</v>
      </c>
      <c r="E101" s="33" t="s">
        <v>1233</v>
      </c>
      <c r="F101" s="24" t="s">
        <v>1415</v>
      </c>
      <c r="G101" s="25">
        <v>540</v>
      </c>
      <c r="H101" s="25">
        <v>183</v>
      </c>
      <c r="I101" s="26"/>
      <c r="J101" s="27">
        <f t="shared" si="0"/>
        <v>219.6</v>
      </c>
      <c r="K101" s="28">
        <f t="shared" si="1"/>
        <v>237.6</v>
      </c>
      <c r="L101" s="29">
        <f t="shared" si="2"/>
        <v>457.2</v>
      </c>
      <c r="M101" s="28">
        <f t="shared" si="3"/>
        <v>54</v>
      </c>
      <c r="N101" s="27">
        <f t="shared" si="4"/>
        <v>273.60000000000002</v>
      </c>
    </row>
    <row r="102" spans="1:14" ht="14.4">
      <c r="A102" s="6" t="s">
        <v>464</v>
      </c>
      <c r="B102" s="21" t="s">
        <v>1368</v>
      </c>
      <c r="E102" s="33" t="s">
        <v>1233</v>
      </c>
      <c r="F102" s="24" t="s">
        <v>1416</v>
      </c>
      <c r="G102" s="25">
        <v>540</v>
      </c>
      <c r="H102" s="25">
        <v>183</v>
      </c>
      <c r="I102" s="26"/>
      <c r="J102" s="27">
        <f t="shared" si="0"/>
        <v>219.6</v>
      </c>
      <c r="K102" s="28">
        <f t="shared" si="1"/>
        <v>237.6</v>
      </c>
      <c r="L102" s="29">
        <f t="shared" si="2"/>
        <v>457.2</v>
      </c>
      <c r="M102" s="28">
        <f t="shared" si="3"/>
        <v>54</v>
      </c>
      <c r="N102" s="27">
        <f t="shared" si="4"/>
        <v>273.60000000000002</v>
      </c>
    </row>
    <row r="103" spans="1:14" ht="14.4">
      <c r="A103" s="6" t="s">
        <v>652</v>
      </c>
      <c r="B103" s="21" t="s">
        <v>1368</v>
      </c>
      <c r="E103" s="33" t="s">
        <v>1233</v>
      </c>
      <c r="F103" s="32" t="s">
        <v>1417</v>
      </c>
      <c r="G103" s="25">
        <v>560</v>
      </c>
      <c r="H103" s="25">
        <v>246.4</v>
      </c>
      <c r="I103" s="26"/>
      <c r="J103" s="27">
        <f t="shared" si="0"/>
        <v>295.68</v>
      </c>
      <c r="K103" s="28">
        <f t="shared" si="1"/>
        <v>246.4</v>
      </c>
      <c r="L103" s="29">
        <f t="shared" si="2"/>
        <v>542.08000000000004</v>
      </c>
      <c r="M103" s="28">
        <f t="shared" si="3"/>
        <v>56</v>
      </c>
      <c r="N103" s="27">
        <f t="shared" si="4"/>
        <v>351.68</v>
      </c>
    </row>
    <row r="104" spans="1:14" ht="14.4">
      <c r="A104" s="6" t="s">
        <v>743</v>
      </c>
      <c r="B104" s="21" t="s">
        <v>1360</v>
      </c>
      <c r="E104" s="33" t="s">
        <v>1233</v>
      </c>
      <c r="F104" s="32" t="s">
        <v>1418</v>
      </c>
      <c r="G104" s="25">
        <v>550</v>
      </c>
      <c r="H104" s="25">
        <v>445.5</v>
      </c>
      <c r="I104" s="26"/>
      <c r="J104" s="27">
        <f t="shared" si="0"/>
        <v>534.6</v>
      </c>
      <c r="K104" s="28">
        <f t="shared" si="1"/>
        <v>242</v>
      </c>
      <c r="L104" s="29">
        <f t="shared" si="2"/>
        <v>776.6</v>
      </c>
      <c r="M104" s="28">
        <f t="shared" si="3"/>
        <v>55</v>
      </c>
      <c r="N104" s="27">
        <f t="shared" si="4"/>
        <v>589.6</v>
      </c>
    </row>
    <row r="105" spans="1:14" ht="14.4">
      <c r="A105" s="6" t="s">
        <v>1419</v>
      </c>
      <c r="B105" s="21" t="s">
        <v>1307</v>
      </c>
      <c r="E105" s="23" t="s">
        <v>1231</v>
      </c>
      <c r="F105" s="24" t="s">
        <v>1420</v>
      </c>
      <c r="G105" s="25">
        <v>600</v>
      </c>
      <c r="H105" s="25">
        <v>260</v>
      </c>
      <c r="I105" s="26"/>
      <c r="J105" s="27">
        <f t="shared" si="0"/>
        <v>312</v>
      </c>
      <c r="K105" s="28">
        <f t="shared" si="1"/>
        <v>264</v>
      </c>
      <c r="L105" s="29">
        <f t="shared" si="2"/>
        <v>576</v>
      </c>
      <c r="M105" s="28">
        <f t="shared" si="3"/>
        <v>60</v>
      </c>
      <c r="N105" s="27">
        <f t="shared" si="4"/>
        <v>372</v>
      </c>
    </row>
    <row r="106" spans="1:14" ht="14.4">
      <c r="A106" s="6" t="s">
        <v>1421</v>
      </c>
      <c r="B106" s="21" t="s">
        <v>1307</v>
      </c>
      <c r="E106" s="23" t="s">
        <v>1231</v>
      </c>
      <c r="F106" s="26" t="s">
        <v>1422</v>
      </c>
      <c r="G106" s="36">
        <v>540</v>
      </c>
      <c r="H106" s="30">
        <v>425</v>
      </c>
      <c r="I106" s="26"/>
      <c r="J106" s="27">
        <f t="shared" si="0"/>
        <v>510</v>
      </c>
      <c r="K106" s="28">
        <f t="shared" si="1"/>
        <v>237.6</v>
      </c>
      <c r="L106" s="29">
        <f t="shared" si="2"/>
        <v>747.6</v>
      </c>
      <c r="M106" s="28">
        <f t="shared" si="3"/>
        <v>54</v>
      </c>
      <c r="N106" s="27">
        <f t="shared" si="4"/>
        <v>564</v>
      </c>
    </row>
    <row r="107" spans="1:14" ht="14.4">
      <c r="A107" s="6" t="s">
        <v>656</v>
      </c>
      <c r="B107" s="21" t="s">
        <v>609</v>
      </c>
      <c r="E107" s="23" t="s">
        <v>1233</v>
      </c>
      <c r="F107" s="24" t="s">
        <v>1197</v>
      </c>
      <c r="G107" s="25">
        <v>500</v>
      </c>
      <c r="H107" s="25">
        <v>149</v>
      </c>
      <c r="I107" s="26"/>
      <c r="J107" s="27">
        <f t="shared" si="0"/>
        <v>178.8</v>
      </c>
      <c r="K107" s="28">
        <f t="shared" si="1"/>
        <v>220</v>
      </c>
      <c r="L107" s="29">
        <f t="shared" si="2"/>
        <v>398.8</v>
      </c>
      <c r="M107" s="28">
        <f t="shared" si="3"/>
        <v>50</v>
      </c>
      <c r="N107" s="27">
        <f t="shared" si="4"/>
        <v>228.8</v>
      </c>
    </row>
    <row r="108" spans="1:14" ht="14.4">
      <c r="A108" s="6" t="s">
        <v>608</v>
      </c>
      <c r="B108" s="21" t="s">
        <v>609</v>
      </c>
      <c r="E108" s="23" t="s">
        <v>1233</v>
      </c>
      <c r="F108" s="26" t="s">
        <v>1423</v>
      </c>
      <c r="G108" s="30">
        <v>500</v>
      </c>
      <c r="H108" s="30">
        <v>330</v>
      </c>
      <c r="I108" s="26"/>
      <c r="J108" s="27">
        <f t="shared" si="0"/>
        <v>396</v>
      </c>
      <c r="K108" s="28">
        <f t="shared" si="1"/>
        <v>220</v>
      </c>
      <c r="L108" s="29">
        <f t="shared" si="2"/>
        <v>616</v>
      </c>
      <c r="M108" s="28">
        <f t="shared" si="3"/>
        <v>50</v>
      </c>
      <c r="N108" s="27">
        <f t="shared" si="4"/>
        <v>446</v>
      </c>
    </row>
    <row r="109" spans="1:14" ht="14.4">
      <c r="A109" s="6" t="s">
        <v>530</v>
      </c>
      <c r="B109" s="21" t="s">
        <v>1312</v>
      </c>
      <c r="E109" s="23" t="s">
        <v>1233</v>
      </c>
      <c r="F109" s="24" t="s">
        <v>1424</v>
      </c>
      <c r="G109" s="36">
        <v>550</v>
      </c>
      <c r="H109" s="30">
        <v>243</v>
      </c>
      <c r="I109" s="26"/>
      <c r="J109" s="27">
        <f t="shared" si="0"/>
        <v>291.60000000000002</v>
      </c>
      <c r="K109" s="28">
        <f t="shared" si="1"/>
        <v>242</v>
      </c>
      <c r="L109" s="29">
        <f t="shared" si="2"/>
        <v>533.6</v>
      </c>
      <c r="M109" s="28">
        <f t="shared" si="3"/>
        <v>55</v>
      </c>
      <c r="N109" s="27">
        <f t="shared" si="4"/>
        <v>346.6</v>
      </c>
    </row>
    <row r="110" spans="1:14" ht="14.4">
      <c r="A110" s="6" t="s">
        <v>294</v>
      </c>
      <c r="B110" s="21" t="s">
        <v>1268</v>
      </c>
      <c r="E110" s="23" t="s">
        <v>1233</v>
      </c>
      <c r="F110" s="24" t="s">
        <v>1425</v>
      </c>
      <c r="G110" s="36">
        <v>550</v>
      </c>
      <c r="H110" s="30">
        <v>243</v>
      </c>
      <c r="I110" s="26"/>
      <c r="J110" s="27">
        <f t="shared" si="0"/>
        <v>291.60000000000002</v>
      </c>
      <c r="K110" s="28">
        <f t="shared" si="1"/>
        <v>242</v>
      </c>
      <c r="L110" s="29">
        <f t="shared" si="2"/>
        <v>533.6</v>
      </c>
      <c r="M110" s="28">
        <f t="shared" si="3"/>
        <v>55</v>
      </c>
      <c r="N110" s="27">
        <f t="shared" si="4"/>
        <v>346.6</v>
      </c>
    </row>
    <row r="111" spans="1:14" ht="14.4">
      <c r="A111" s="6" t="s">
        <v>1426</v>
      </c>
      <c r="B111" s="21" t="s">
        <v>1264</v>
      </c>
      <c r="E111" s="23" t="s">
        <v>1233</v>
      </c>
      <c r="F111" s="24" t="s">
        <v>1427</v>
      </c>
      <c r="G111" s="36">
        <v>550</v>
      </c>
      <c r="H111" s="30">
        <v>243</v>
      </c>
      <c r="I111" s="26"/>
      <c r="J111" s="27">
        <f t="shared" si="0"/>
        <v>291.60000000000002</v>
      </c>
      <c r="K111" s="28">
        <f t="shared" si="1"/>
        <v>242</v>
      </c>
      <c r="L111" s="29">
        <f t="shared" si="2"/>
        <v>533.6</v>
      </c>
      <c r="M111" s="28">
        <f t="shared" si="3"/>
        <v>55</v>
      </c>
      <c r="N111" s="27">
        <f t="shared" si="4"/>
        <v>346.6</v>
      </c>
    </row>
    <row r="112" spans="1:14" ht="14.4">
      <c r="A112" s="6" t="s">
        <v>1136</v>
      </c>
      <c r="B112" s="21" t="s">
        <v>1315</v>
      </c>
      <c r="E112" s="23" t="s">
        <v>1233</v>
      </c>
      <c r="F112" s="24" t="s">
        <v>1428</v>
      </c>
      <c r="G112" s="36">
        <v>550</v>
      </c>
      <c r="H112" s="30">
        <v>243</v>
      </c>
      <c r="I112" s="26"/>
      <c r="J112" s="27">
        <f t="shared" si="0"/>
        <v>291.60000000000002</v>
      </c>
      <c r="K112" s="28">
        <f t="shared" si="1"/>
        <v>242</v>
      </c>
      <c r="L112" s="29">
        <f t="shared" si="2"/>
        <v>533.6</v>
      </c>
      <c r="M112" s="28">
        <f t="shared" si="3"/>
        <v>55</v>
      </c>
      <c r="N112" s="27">
        <f t="shared" si="4"/>
        <v>346.6</v>
      </c>
    </row>
    <row r="113" spans="1:14" ht="14.4">
      <c r="A113" s="6" t="s">
        <v>986</v>
      </c>
      <c r="B113" s="21" t="s">
        <v>1215</v>
      </c>
      <c r="E113" s="23" t="s">
        <v>1233</v>
      </c>
      <c r="F113" s="24" t="s">
        <v>1429</v>
      </c>
      <c r="G113" s="36">
        <v>550</v>
      </c>
      <c r="H113" s="30">
        <v>243</v>
      </c>
      <c r="I113" s="26"/>
      <c r="J113" s="27">
        <f t="shared" si="0"/>
        <v>291.60000000000002</v>
      </c>
      <c r="K113" s="28">
        <f t="shared" si="1"/>
        <v>242</v>
      </c>
      <c r="L113" s="29">
        <f t="shared" si="2"/>
        <v>533.6</v>
      </c>
      <c r="M113" s="28">
        <f t="shared" si="3"/>
        <v>55</v>
      </c>
      <c r="N113" s="27">
        <f t="shared" si="4"/>
        <v>346.6</v>
      </c>
    </row>
    <row r="114" spans="1:14" ht="14.4">
      <c r="A114" s="6" t="s">
        <v>1430</v>
      </c>
      <c r="B114" s="21" t="s">
        <v>1298</v>
      </c>
      <c r="E114" s="23" t="s">
        <v>1233</v>
      </c>
      <c r="F114" s="24" t="s">
        <v>1431</v>
      </c>
      <c r="G114" s="36">
        <v>550</v>
      </c>
      <c r="H114" s="30">
        <v>243</v>
      </c>
      <c r="I114" s="26"/>
      <c r="J114" s="27">
        <f t="shared" si="0"/>
        <v>291.60000000000002</v>
      </c>
      <c r="K114" s="28">
        <f t="shared" si="1"/>
        <v>242</v>
      </c>
      <c r="L114" s="29">
        <f t="shared" si="2"/>
        <v>533.6</v>
      </c>
      <c r="M114" s="28">
        <f t="shared" si="3"/>
        <v>55</v>
      </c>
      <c r="N114" s="27">
        <f t="shared" si="4"/>
        <v>346.6</v>
      </c>
    </row>
    <row r="115" spans="1:14" ht="14.4">
      <c r="A115" s="6" t="s">
        <v>1432</v>
      </c>
      <c r="B115" s="21" t="s">
        <v>1301</v>
      </c>
      <c r="E115" s="23" t="s">
        <v>1233</v>
      </c>
      <c r="F115" s="24" t="s">
        <v>1433</v>
      </c>
      <c r="G115" s="36">
        <v>550</v>
      </c>
      <c r="H115" s="30">
        <v>243</v>
      </c>
      <c r="I115" s="26"/>
      <c r="J115" s="27">
        <f t="shared" si="0"/>
        <v>291.60000000000002</v>
      </c>
      <c r="K115" s="28">
        <f t="shared" si="1"/>
        <v>242</v>
      </c>
      <c r="L115" s="29">
        <f t="shared" si="2"/>
        <v>533.6</v>
      </c>
      <c r="M115" s="28">
        <f t="shared" si="3"/>
        <v>55</v>
      </c>
      <c r="N115" s="27">
        <f t="shared" si="4"/>
        <v>346.6</v>
      </c>
    </row>
    <row r="116" spans="1:14" ht="14.4">
      <c r="A116" s="6" t="s">
        <v>221</v>
      </c>
      <c r="B116" s="21" t="s">
        <v>1365</v>
      </c>
      <c r="E116" s="23" t="s">
        <v>1233</v>
      </c>
      <c r="F116" s="24" t="s">
        <v>1434</v>
      </c>
      <c r="G116" s="36">
        <v>550</v>
      </c>
      <c r="H116" s="30">
        <v>243</v>
      </c>
      <c r="I116" s="26"/>
      <c r="J116" s="27">
        <f t="shared" si="0"/>
        <v>291.60000000000002</v>
      </c>
      <c r="K116" s="28">
        <f t="shared" si="1"/>
        <v>242</v>
      </c>
      <c r="L116" s="29">
        <f t="shared" si="2"/>
        <v>533.6</v>
      </c>
      <c r="M116" s="28">
        <f t="shared" si="3"/>
        <v>55</v>
      </c>
      <c r="N116" s="27">
        <f t="shared" si="4"/>
        <v>346.6</v>
      </c>
    </row>
    <row r="117" spans="1:14" ht="14.4">
      <c r="A117" s="6" t="s">
        <v>473</v>
      </c>
      <c r="B117" s="21" t="s">
        <v>1365</v>
      </c>
      <c r="E117" s="23" t="s">
        <v>1233</v>
      </c>
      <c r="F117" s="24" t="s">
        <v>1435</v>
      </c>
      <c r="G117" s="36">
        <v>550</v>
      </c>
      <c r="H117" s="30">
        <v>243</v>
      </c>
      <c r="I117" s="26"/>
      <c r="J117" s="27">
        <f t="shared" si="0"/>
        <v>291.60000000000002</v>
      </c>
      <c r="K117" s="28">
        <f t="shared" si="1"/>
        <v>242</v>
      </c>
      <c r="L117" s="29">
        <f t="shared" si="2"/>
        <v>533.6</v>
      </c>
      <c r="M117" s="28">
        <f t="shared" si="3"/>
        <v>55</v>
      </c>
      <c r="N117" s="27">
        <f t="shared" si="4"/>
        <v>346.6</v>
      </c>
    </row>
    <row r="118" spans="1:14" ht="14.4">
      <c r="A118" s="6" t="s">
        <v>1436</v>
      </c>
      <c r="B118" s="21" t="s">
        <v>1365</v>
      </c>
      <c r="E118" s="23" t="s">
        <v>1233</v>
      </c>
      <c r="F118" s="24" t="s">
        <v>1437</v>
      </c>
      <c r="G118" s="36">
        <v>550</v>
      </c>
      <c r="H118" s="30">
        <v>243</v>
      </c>
      <c r="I118" s="26"/>
      <c r="J118" s="27">
        <f t="shared" si="0"/>
        <v>291.60000000000002</v>
      </c>
      <c r="K118" s="28">
        <f t="shared" si="1"/>
        <v>242</v>
      </c>
      <c r="L118" s="29">
        <f t="shared" si="2"/>
        <v>533.6</v>
      </c>
      <c r="M118" s="28">
        <f t="shared" si="3"/>
        <v>55</v>
      </c>
      <c r="N118" s="27">
        <f t="shared" si="4"/>
        <v>346.6</v>
      </c>
    </row>
    <row r="119" spans="1:14" ht="14.4">
      <c r="A119" s="6" t="s">
        <v>1438</v>
      </c>
      <c r="B119" s="21" t="s">
        <v>1365</v>
      </c>
      <c r="E119" s="23" t="s">
        <v>1233</v>
      </c>
      <c r="F119" s="24" t="s">
        <v>1439</v>
      </c>
      <c r="G119" s="36">
        <v>550</v>
      </c>
      <c r="H119" s="30">
        <v>243</v>
      </c>
      <c r="I119" s="26"/>
      <c r="J119" s="27">
        <f t="shared" si="0"/>
        <v>291.60000000000002</v>
      </c>
      <c r="K119" s="28">
        <f t="shared" si="1"/>
        <v>242</v>
      </c>
      <c r="L119" s="29">
        <f t="shared" si="2"/>
        <v>533.6</v>
      </c>
      <c r="M119" s="28">
        <f t="shared" si="3"/>
        <v>55</v>
      </c>
      <c r="N119" s="27">
        <f t="shared" si="4"/>
        <v>346.6</v>
      </c>
    </row>
    <row r="120" spans="1:14" ht="14.4">
      <c r="A120" s="6" t="s">
        <v>1403</v>
      </c>
      <c r="B120" s="21" t="s">
        <v>1365</v>
      </c>
      <c r="E120" s="23" t="s">
        <v>1233</v>
      </c>
      <c r="F120" s="24" t="s">
        <v>1440</v>
      </c>
      <c r="G120" s="36">
        <v>550</v>
      </c>
      <c r="H120" s="30">
        <v>243</v>
      </c>
      <c r="I120" s="26"/>
      <c r="J120" s="27">
        <f t="shared" si="0"/>
        <v>291.60000000000002</v>
      </c>
      <c r="K120" s="28">
        <f t="shared" si="1"/>
        <v>242</v>
      </c>
      <c r="L120" s="29">
        <f t="shared" si="2"/>
        <v>533.6</v>
      </c>
      <c r="M120" s="28">
        <f t="shared" si="3"/>
        <v>55</v>
      </c>
      <c r="N120" s="27">
        <f t="shared" si="4"/>
        <v>346.6</v>
      </c>
    </row>
    <row r="121" spans="1:14" ht="14.4">
      <c r="A121" s="6" t="s">
        <v>375</v>
      </c>
      <c r="B121" s="21" t="s">
        <v>1367</v>
      </c>
      <c r="E121" s="23" t="s">
        <v>1233</v>
      </c>
      <c r="F121" s="24" t="s">
        <v>1441</v>
      </c>
      <c r="G121" s="36">
        <v>550</v>
      </c>
      <c r="H121" s="30">
        <v>243</v>
      </c>
      <c r="I121" s="26"/>
      <c r="J121" s="27">
        <f t="shared" si="0"/>
        <v>291.60000000000002</v>
      </c>
      <c r="K121" s="28">
        <f t="shared" si="1"/>
        <v>242</v>
      </c>
      <c r="L121" s="29">
        <f t="shared" si="2"/>
        <v>533.6</v>
      </c>
      <c r="M121" s="28">
        <f t="shared" si="3"/>
        <v>55</v>
      </c>
      <c r="N121" s="27">
        <f t="shared" si="4"/>
        <v>346.6</v>
      </c>
    </row>
    <row r="122" spans="1:14" ht="14.4">
      <c r="A122" s="6" t="s">
        <v>387</v>
      </c>
      <c r="B122" s="21" t="s">
        <v>1367</v>
      </c>
      <c r="E122" s="23" t="s">
        <v>1233</v>
      </c>
      <c r="F122" s="24" t="s">
        <v>1442</v>
      </c>
      <c r="G122" s="36">
        <v>400</v>
      </c>
      <c r="H122" s="30">
        <v>400</v>
      </c>
      <c r="I122" s="26"/>
      <c r="J122" s="27">
        <f t="shared" si="0"/>
        <v>480</v>
      </c>
      <c r="K122" s="28">
        <f t="shared" si="1"/>
        <v>176</v>
      </c>
      <c r="L122" s="29">
        <f t="shared" si="2"/>
        <v>656</v>
      </c>
      <c r="M122" s="28">
        <f t="shared" si="3"/>
        <v>40</v>
      </c>
      <c r="N122" s="27">
        <f t="shared" si="4"/>
        <v>520</v>
      </c>
    </row>
    <row r="123" spans="1:14" ht="14.4">
      <c r="A123" s="6" t="s">
        <v>1065</v>
      </c>
      <c r="B123" s="21" t="s">
        <v>1443</v>
      </c>
      <c r="E123" s="23" t="s">
        <v>1231</v>
      </c>
      <c r="F123" s="26" t="s">
        <v>1444</v>
      </c>
      <c r="G123" s="36">
        <v>600</v>
      </c>
      <c r="H123" s="30">
        <v>343</v>
      </c>
      <c r="I123" s="26"/>
      <c r="J123" s="27">
        <f t="shared" si="0"/>
        <v>411.6</v>
      </c>
      <c r="K123" s="28">
        <f t="shared" si="1"/>
        <v>264</v>
      </c>
      <c r="L123" s="29">
        <f t="shared" si="2"/>
        <v>675.6</v>
      </c>
      <c r="M123" s="28">
        <f t="shared" si="3"/>
        <v>60</v>
      </c>
      <c r="N123" s="27">
        <f t="shared" si="4"/>
        <v>471.6</v>
      </c>
    </row>
    <row r="124" spans="1:14" ht="14.4">
      <c r="A124" s="6" t="s">
        <v>1438</v>
      </c>
      <c r="B124" s="21" t="s">
        <v>1443</v>
      </c>
      <c r="E124" s="23" t="s">
        <v>1233</v>
      </c>
      <c r="F124" s="24" t="s">
        <v>1357</v>
      </c>
      <c r="G124" s="30">
        <v>490</v>
      </c>
      <c r="H124" s="30">
        <v>60</v>
      </c>
      <c r="I124" s="26"/>
      <c r="J124" s="27">
        <f t="shared" si="0"/>
        <v>72</v>
      </c>
      <c r="K124" s="28">
        <f t="shared" si="1"/>
        <v>215.6</v>
      </c>
      <c r="L124" s="29">
        <f t="shared" si="2"/>
        <v>287.60000000000002</v>
      </c>
      <c r="M124" s="28">
        <f t="shared" si="3"/>
        <v>49</v>
      </c>
      <c r="N124" s="27">
        <f t="shared" si="4"/>
        <v>121</v>
      </c>
    </row>
    <row r="125" spans="1:14" ht="14.4">
      <c r="A125" s="6" t="s">
        <v>696</v>
      </c>
      <c r="B125" s="21" t="s">
        <v>1216</v>
      </c>
      <c r="E125" s="31" t="s">
        <v>1231</v>
      </c>
      <c r="F125" s="24" t="s">
        <v>1445</v>
      </c>
      <c r="G125" s="25">
        <v>480</v>
      </c>
      <c r="H125" s="25">
        <v>161</v>
      </c>
      <c r="I125" s="26"/>
      <c r="J125" s="34">
        <f t="shared" si="0"/>
        <v>193.2</v>
      </c>
      <c r="K125" s="28">
        <f t="shared" si="1"/>
        <v>211.2</v>
      </c>
      <c r="L125" s="35">
        <f t="shared" si="2"/>
        <v>404.4</v>
      </c>
      <c r="M125" s="28">
        <f t="shared" si="3"/>
        <v>48</v>
      </c>
      <c r="N125" s="34">
        <f t="shared" si="4"/>
        <v>241.2</v>
      </c>
    </row>
    <row r="126" spans="1:14" ht="14.4">
      <c r="A126" s="6" t="s">
        <v>1062</v>
      </c>
      <c r="B126" s="21" t="s">
        <v>1446</v>
      </c>
      <c r="E126" s="31" t="s">
        <v>1231</v>
      </c>
      <c r="F126" s="24" t="s">
        <v>1447</v>
      </c>
      <c r="G126" s="25">
        <v>480</v>
      </c>
      <c r="H126" s="25">
        <v>161</v>
      </c>
      <c r="I126" s="26"/>
      <c r="J126" s="34">
        <f t="shared" si="0"/>
        <v>193.2</v>
      </c>
      <c r="K126" s="28">
        <f t="shared" si="1"/>
        <v>211.2</v>
      </c>
      <c r="L126" s="35">
        <f t="shared" si="2"/>
        <v>404.4</v>
      </c>
      <c r="M126" s="28">
        <f t="shared" si="3"/>
        <v>48</v>
      </c>
      <c r="N126" s="34">
        <f t="shared" si="4"/>
        <v>241.2</v>
      </c>
    </row>
    <row r="127" spans="1:14" ht="14.4">
      <c r="A127" s="6" t="s">
        <v>1073</v>
      </c>
      <c r="B127" s="21" t="s">
        <v>1448</v>
      </c>
      <c r="E127" s="31" t="s">
        <v>1231</v>
      </c>
      <c r="F127" s="24" t="s">
        <v>1449</v>
      </c>
      <c r="G127" s="25">
        <v>480</v>
      </c>
      <c r="H127" s="25">
        <v>155</v>
      </c>
      <c r="I127" s="26"/>
      <c r="J127" s="34">
        <f t="shared" si="0"/>
        <v>186</v>
      </c>
      <c r="K127" s="28">
        <f t="shared" si="1"/>
        <v>211.2</v>
      </c>
      <c r="L127" s="35">
        <f t="shared" si="2"/>
        <v>397.2</v>
      </c>
      <c r="M127" s="28">
        <f t="shared" si="3"/>
        <v>48</v>
      </c>
      <c r="N127" s="34">
        <f t="shared" si="4"/>
        <v>234</v>
      </c>
    </row>
    <row r="128" spans="1:14" ht="14.4">
      <c r="A128" s="6" t="s">
        <v>938</v>
      </c>
      <c r="B128" s="21" t="s">
        <v>1450</v>
      </c>
      <c r="E128" s="31" t="s">
        <v>1231</v>
      </c>
      <c r="F128" s="24" t="s">
        <v>1451</v>
      </c>
      <c r="G128" s="25">
        <v>480</v>
      </c>
      <c r="H128" s="25">
        <v>155</v>
      </c>
      <c r="I128" s="26"/>
      <c r="J128" s="34">
        <f t="shared" si="0"/>
        <v>186</v>
      </c>
      <c r="K128" s="28">
        <f t="shared" si="1"/>
        <v>211.2</v>
      </c>
      <c r="L128" s="35">
        <f t="shared" si="2"/>
        <v>397.2</v>
      </c>
      <c r="M128" s="28">
        <f t="shared" si="3"/>
        <v>48</v>
      </c>
      <c r="N128" s="34">
        <f t="shared" si="4"/>
        <v>234</v>
      </c>
    </row>
    <row r="129" spans="1:14" ht="14.4">
      <c r="A129" s="6" t="s">
        <v>1452</v>
      </c>
      <c r="B129" s="21" t="s">
        <v>1450</v>
      </c>
      <c r="E129" s="23" t="s">
        <v>1233</v>
      </c>
      <c r="F129" s="24" t="s">
        <v>1453</v>
      </c>
      <c r="G129" s="25">
        <v>480</v>
      </c>
      <c r="H129" s="25">
        <v>155</v>
      </c>
      <c r="I129" s="26"/>
      <c r="J129" s="34">
        <f t="shared" si="0"/>
        <v>186</v>
      </c>
      <c r="K129" s="28">
        <f t="shared" si="1"/>
        <v>211.2</v>
      </c>
      <c r="L129" s="35">
        <f t="shared" si="2"/>
        <v>397.2</v>
      </c>
      <c r="M129" s="28">
        <f t="shared" si="3"/>
        <v>48</v>
      </c>
      <c r="N129" s="34">
        <f t="shared" si="4"/>
        <v>234</v>
      </c>
    </row>
    <row r="130" spans="1:14" ht="14.4">
      <c r="A130" s="6" t="s">
        <v>995</v>
      </c>
      <c r="B130" s="21" t="s">
        <v>1454</v>
      </c>
      <c r="E130" s="23" t="s">
        <v>1233</v>
      </c>
      <c r="F130" s="24" t="s">
        <v>1455</v>
      </c>
      <c r="G130" s="25">
        <v>480</v>
      </c>
      <c r="H130" s="25">
        <v>155</v>
      </c>
      <c r="I130" s="26"/>
      <c r="J130" s="34">
        <f t="shared" si="0"/>
        <v>186</v>
      </c>
      <c r="K130" s="28">
        <f t="shared" si="1"/>
        <v>211.2</v>
      </c>
      <c r="L130" s="35">
        <f t="shared" si="2"/>
        <v>397.2</v>
      </c>
      <c r="M130" s="28">
        <f t="shared" si="3"/>
        <v>48</v>
      </c>
      <c r="N130" s="34">
        <f t="shared" si="4"/>
        <v>234</v>
      </c>
    </row>
    <row r="131" spans="1:14" ht="14.4">
      <c r="A131" s="6" t="s">
        <v>1456</v>
      </c>
      <c r="B131" s="21" t="s">
        <v>1457</v>
      </c>
      <c r="E131" s="23" t="s">
        <v>1233</v>
      </c>
      <c r="F131" s="24" t="s">
        <v>1458</v>
      </c>
      <c r="G131" s="25">
        <v>480</v>
      </c>
      <c r="H131" s="25">
        <v>155</v>
      </c>
      <c r="I131" s="26"/>
      <c r="J131" s="34">
        <f t="shared" si="0"/>
        <v>186</v>
      </c>
      <c r="K131" s="28">
        <f t="shared" si="1"/>
        <v>211.2</v>
      </c>
      <c r="L131" s="35">
        <f t="shared" si="2"/>
        <v>397.2</v>
      </c>
      <c r="M131" s="28">
        <f t="shared" si="3"/>
        <v>48</v>
      </c>
      <c r="N131" s="34">
        <f t="shared" si="4"/>
        <v>234</v>
      </c>
    </row>
    <row r="132" spans="1:14" ht="14.4">
      <c r="A132" s="6" t="s">
        <v>980</v>
      </c>
      <c r="B132" s="21" t="s">
        <v>1457</v>
      </c>
      <c r="E132" s="23" t="s">
        <v>1233</v>
      </c>
      <c r="F132" s="24" t="s">
        <v>1459</v>
      </c>
      <c r="G132" s="25">
        <v>480</v>
      </c>
      <c r="H132" s="25">
        <v>155</v>
      </c>
      <c r="I132" s="26"/>
      <c r="J132" s="34">
        <f t="shared" si="0"/>
        <v>186</v>
      </c>
      <c r="K132" s="28">
        <f t="shared" si="1"/>
        <v>211.2</v>
      </c>
      <c r="L132" s="35">
        <f t="shared" si="2"/>
        <v>397.2</v>
      </c>
      <c r="M132" s="28">
        <f t="shared" si="3"/>
        <v>48</v>
      </c>
      <c r="N132" s="34">
        <f t="shared" si="4"/>
        <v>234</v>
      </c>
    </row>
    <row r="133" spans="1:14" ht="14.4">
      <c r="A133" s="6" t="s">
        <v>1460</v>
      </c>
      <c r="B133" s="21" t="s">
        <v>1461</v>
      </c>
      <c r="E133" s="23" t="s">
        <v>1233</v>
      </c>
      <c r="F133" s="24" t="s">
        <v>1462</v>
      </c>
      <c r="G133" s="25">
        <v>480</v>
      </c>
      <c r="H133" s="25">
        <v>155</v>
      </c>
      <c r="I133" s="26"/>
      <c r="J133" s="34">
        <f t="shared" si="0"/>
        <v>186</v>
      </c>
      <c r="K133" s="28">
        <f t="shared" si="1"/>
        <v>211.2</v>
      </c>
      <c r="L133" s="35">
        <f t="shared" si="2"/>
        <v>397.2</v>
      </c>
      <c r="M133" s="28">
        <f t="shared" si="3"/>
        <v>48</v>
      </c>
      <c r="N133" s="34">
        <f t="shared" si="4"/>
        <v>234</v>
      </c>
    </row>
    <row r="134" spans="1:14" ht="14.4">
      <c r="A134" s="6" t="s">
        <v>1463</v>
      </c>
      <c r="B134" s="21" t="s">
        <v>1464</v>
      </c>
      <c r="E134" s="23" t="s">
        <v>1233</v>
      </c>
      <c r="F134" s="24" t="s">
        <v>1465</v>
      </c>
      <c r="G134" s="25">
        <v>480</v>
      </c>
      <c r="H134" s="25">
        <v>155</v>
      </c>
      <c r="I134" s="26"/>
      <c r="J134" s="34">
        <f t="shared" si="0"/>
        <v>186</v>
      </c>
      <c r="K134" s="28">
        <f t="shared" si="1"/>
        <v>211.2</v>
      </c>
      <c r="L134" s="35">
        <f t="shared" si="2"/>
        <v>397.2</v>
      </c>
      <c r="M134" s="28">
        <f t="shared" si="3"/>
        <v>48</v>
      </c>
      <c r="N134" s="34">
        <f t="shared" si="4"/>
        <v>234</v>
      </c>
    </row>
    <row r="135" spans="1:14" ht="14.4">
      <c r="A135" s="6" t="s">
        <v>908</v>
      </c>
      <c r="B135" s="21" t="s">
        <v>1466</v>
      </c>
      <c r="E135" s="31" t="s">
        <v>1231</v>
      </c>
      <c r="F135" s="24" t="s">
        <v>1467</v>
      </c>
      <c r="G135" s="25">
        <v>480</v>
      </c>
      <c r="H135" s="25">
        <v>177</v>
      </c>
      <c r="I135" s="26"/>
      <c r="J135" s="27">
        <f t="shared" si="0"/>
        <v>212.4</v>
      </c>
      <c r="K135" s="28">
        <f t="shared" si="1"/>
        <v>211.2</v>
      </c>
      <c r="L135" s="29">
        <f t="shared" si="2"/>
        <v>423.6</v>
      </c>
      <c r="M135" s="28">
        <f t="shared" si="3"/>
        <v>48</v>
      </c>
      <c r="N135" s="27">
        <f t="shared" si="4"/>
        <v>260.39999999999998</v>
      </c>
    </row>
    <row r="136" spans="1:14" ht="14.4">
      <c r="A136" s="6" t="s">
        <v>1468</v>
      </c>
      <c r="B136" s="21" t="s">
        <v>1469</v>
      </c>
      <c r="E136" s="23" t="s">
        <v>1233</v>
      </c>
      <c r="F136" s="24" t="s">
        <v>1205</v>
      </c>
      <c r="G136" s="36">
        <v>580</v>
      </c>
      <c r="H136" s="30">
        <v>467</v>
      </c>
      <c r="I136" s="26"/>
      <c r="J136" s="27">
        <f t="shared" si="0"/>
        <v>560.4</v>
      </c>
      <c r="K136" s="28">
        <f t="shared" si="1"/>
        <v>255.2</v>
      </c>
      <c r="L136" s="29">
        <f t="shared" si="2"/>
        <v>815.59999999999991</v>
      </c>
      <c r="M136" s="28">
        <f t="shared" si="3"/>
        <v>58</v>
      </c>
      <c r="N136" s="27">
        <f t="shared" si="4"/>
        <v>618.4</v>
      </c>
    </row>
    <row r="137" spans="1:14" ht="14.4">
      <c r="A137" s="6" t="s">
        <v>1470</v>
      </c>
      <c r="B137" s="21" t="s">
        <v>1471</v>
      </c>
      <c r="E137" s="23" t="s">
        <v>1233</v>
      </c>
      <c r="F137" s="24" t="s">
        <v>1206</v>
      </c>
      <c r="G137" s="36">
        <v>580</v>
      </c>
      <c r="H137" s="30">
        <v>467</v>
      </c>
      <c r="I137" s="26"/>
      <c r="J137" s="27">
        <f t="shared" si="0"/>
        <v>560.4</v>
      </c>
      <c r="K137" s="28">
        <f t="shared" si="1"/>
        <v>255.2</v>
      </c>
      <c r="L137" s="29">
        <f t="shared" si="2"/>
        <v>815.59999999999991</v>
      </c>
      <c r="M137" s="28">
        <f t="shared" si="3"/>
        <v>58</v>
      </c>
      <c r="N137" s="27">
        <f t="shared" si="4"/>
        <v>618.4</v>
      </c>
    </row>
    <row r="138" spans="1:14" ht="14.4">
      <c r="A138" s="6" t="s">
        <v>82</v>
      </c>
      <c r="B138" s="21" t="s">
        <v>83</v>
      </c>
      <c r="E138" s="23" t="s">
        <v>1233</v>
      </c>
      <c r="F138" s="24" t="s">
        <v>1207</v>
      </c>
      <c r="G138" s="36">
        <v>580</v>
      </c>
      <c r="H138" s="30">
        <v>467</v>
      </c>
      <c r="I138" s="26"/>
      <c r="J138" s="27">
        <f t="shared" si="0"/>
        <v>560.4</v>
      </c>
      <c r="K138" s="28">
        <f t="shared" si="1"/>
        <v>255.2</v>
      </c>
      <c r="L138" s="29">
        <f t="shared" si="2"/>
        <v>815.59999999999991</v>
      </c>
      <c r="M138" s="28">
        <f t="shared" si="3"/>
        <v>58</v>
      </c>
      <c r="N138" s="27">
        <f t="shared" si="4"/>
        <v>618.4</v>
      </c>
    </row>
    <row r="139" spans="1:14" ht="14.4">
      <c r="A139" s="6" t="s">
        <v>1472</v>
      </c>
      <c r="B139" s="21" t="s">
        <v>83</v>
      </c>
      <c r="E139" s="23" t="s">
        <v>1233</v>
      </c>
      <c r="F139" s="24" t="s">
        <v>1203</v>
      </c>
      <c r="G139" s="36">
        <v>580</v>
      </c>
      <c r="H139" s="30">
        <v>467</v>
      </c>
      <c r="I139" s="26"/>
      <c r="J139" s="27">
        <f t="shared" si="0"/>
        <v>560.4</v>
      </c>
      <c r="K139" s="28">
        <f t="shared" si="1"/>
        <v>255.2</v>
      </c>
      <c r="L139" s="29">
        <f t="shared" si="2"/>
        <v>815.59999999999991</v>
      </c>
      <c r="M139" s="28">
        <f t="shared" si="3"/>
        <v>58</v>
      </c>
      <c r="N139" s="27">
        <f t="shared" si="4"/>
        <v>618.4</v>
      </c>
    </row>
    <row r="140" spans="1:14" ht="14.4">
      <c r="A140" s="6" t="s">
        <v>1472</v>
      </c>
      <c r="B140" s="21" t="s">
        <v>83</v>
      </c>
      <c r="E140" s="23" t="s">
        <v>1233</v>
      </c>
      <c r="F140" s="24" t="s">
        <v>1202</v>
      </c>
      <c r="G140" s="36">
        <v>580</v>
      </c>
      <c r="H140" s="30">
        <v>467</v>
      </c>
      <c r="I140" s="26"/>
      <c r="J140" s="27">
        <f t="shared" si="0"/>
        <v>560.4</v>
      </c>
      <c r="K140" s="28">
        <f t="shared" si="1"/>
        <v>255.2</v>
      </c>
      <c r="L140" s="29">
        <f t="shared" si="2"/>
        <v>815.59999999999991</v>
      </c>
      <c r="M140" s="28">
        <f t="shared" si="3"/>
        <v>58</v>
      </c>
      <c r="N140" s="27">
        <f t="shared" si="4"/>
        <v>618.4</v>
      </c>
    </row>
    <row r="141" spans="1:14" ht="14.4">
      <c r="A141" s="6" t="s">
        <v>1473</v>
      </c>
      <c r="B141" s="21" t="s">
        <v>1474</v>
      </c>
      <c r="E141" s="23" t="s">
        <v>1233</v>
      </c>
      <c r="F141" s="24" t="s">
        <v>1475</v>
      </c>
      <c r="G141" s="36">
        <v>580</v>
      </c>
      <c r="H141" s="30">
        <v>467</v>
      </c>
      <c r="I141" s="26"/>
      <c r="J141" s="27">
        <f t="shared" si="0"/>
        <v>560.4</v>
      </c>
      <c r="K141" s="28">
        <f t="shared" si="1"/>
        <v>255.2</v>
      </c>
      <c r="L141" s="29">
        <f t="shared" si="2"/>
        <v>815.59999999999991</v>
      </c>
      <c r="M141" s="28">
        <f t="shared" si="3"/>
        <v>58</v>
      </c>
      <c r="N141" s="27">
        <f t="shared" si="4"/>
        <v>618.4</v>
      </c>
    </row>
    <row r="142" spans="1:14" ht="14.4">
      <c r="A142" s="6" t="s">
        <v>118</v>
      </c>
      <c r="B142" s="21" t="s">
        <v>1476</v>
      </c>
      <c r="E142" s="23" t="s">
        <v>1233</v>
      </c>
      <c r="F142" s="24" t="s">
        <v>1477</v>
      </c>
      <c r="G142" s="36">
        <v>580</v>
      </c>
      <c r="H142" s="30">
        <v>467</v>
      </c>
      <c r="I142" s="26"/>
      <c r="J142" s="27">
        <f t="shared" si="0"/>
        <v>560.4</v>
      </c>
      <c r="K142" s="28">
        <f t="shared" si="1"/>
        <v>255.2</v>
      </c>
      <c r="L142" s="29">
        <f t="shared" si="2"/>
        <v>815.59999999999991</v>
      </c>
      <c r="M142" s="28">
        <f t="shared" si="3"/>
        <v>58</v>
      </c>
      <c r="N142" s="27">
        <f t="shared" si="4"/>
        <v>618.4</v>
      </c>
    </row>
    <row r="143" spans="1:14" ht="14.4">
      <c r="A143" s="6" t="s">
        <v>758</v>
      </c>
      <c r="B143" s="21" t="s">
        <v>1478</v>
      </c>
      <c r="E143" s="23" t="s">
        <v>1233</v>
      </c>
      <c r="F143" s="24" t="s">
        <v>1204</v>
      </c>
      <c r="G143" s="36">
        <v>580</v>
      </c>
      <c r="H143" s="30">
        <v>467</v>
      </c>
      <c r="I143" s="26"/>
      <c r="J143" s="27">
        <f t="shared" si="0"/>
        <v>560.4</v>
      </c>
      <c r="K143" s="28">
        <f t="shared" si="1"/>
        <v>255.2</v>
      </c>
      <c r="L143" s="29">
        <f t="shared" si="2"/>
        <v>815.59999999999991</v>
      </c>
      <c r="M143" s="28">
        <f t="shared" si="3"/>
        <v>58</v>
      </c>
      <c r="N143" s="27">
        <f t="shared" si="4"/>
        <v>618.4</v>
      </c>
    </row>
    <row r="144" spans="1:14" ht="14.4">
      <c r="A144" s="6" t="s">
        <v>1479</v>
      </c>
      <c r="B144" s="21" t="s">
        <v>1478</v>
      </c>
      <c r="E144" s="23" t="s">
        <v>1233</v>
      </c>
      <c r="F144" s="24" t="s">
        <v>1480</v>
      </c>
      <c r="G144" s="36">
        <v>580</v>
      </c>
      <c r="H144" s="30">
        <v>467</v>
      </c>
      <c r="I144" s="26"/>
      <c r="J144" s="27">
        <f t="shared" si="0"/>
        <v>560.4</v>
      </c>
      <c r="K144" s="28">
        <f t="shared" si="1"/>
        <v>255.2</v>
      </c>
      <c r="L144" s="29">
        <f t="shared" si="2"/>
        <v>815.59999999999991</v>
      </c>
      <c r="M144" s="28">
        <f t="shared" si="3"/>
        <v>58</v>
      </c>
      <c r="N144" s="27">
        <f t="shared" si="4"/>
        <v>618.4</v>
      </c>
    </row>
    <row r="145" spans="1:14" ht="14.4">
      <c r="A145" s="6" t="s">
        <v>746</v>
      </c>
      <c r="B145" s="21" t="s">
        <v>1214</v>
      </c>
      <c r="E145" s="23" t="s">
        <v>1233</v>
      </c>
      <c r="F145" s="24" t="s">
        <v>1481</v>
      </c>
      <c r="G145" s="25">
        <v>448</v>
      </c>
      <c r="H145" s="25">
        <v>153</v>
      </c>
      <c r="I145" s="26"/>
      <c r="J145" s="27">
        <f t="shared" si="0"/>
        <v>183.6</v>
      </c>
      <c r="K145" s="28">
        <f t="shared" si="1"/>
        <v>197.12</v>
      </c>
      <c r="L145" s="29">
        <f t="shared" si="2"/>
        <v>380.72</v>
      </c>
      <c r="M145" s="28">
        <f t="shared" si="3"/>
        <v>44.8</v>
      </c>
      <c r="N145" s="27">
        <f t="shared" si="4"/>
        <v>228.39999999999998</v>
      </c>
    </row>
    <row r="146" spans="1:14" ht="14.4">
      <c r="A146" s="6" t="s">
        <v>1479</v>
      </c>
      <c r="B146" s="21" t="s">
        <v>1214</v>
      </c>
      <c r="E146" s="31" t="s">
        <v>1233</v>
      </c>
      <c r="F146" s="24" t="s">
        <v>1482</v>
      </c>
      <c r="G146" s="25">
        <v>448</v>
      </c>
      <c r="H146" s="25">
        <v>153</v>
      </c>
      <c r="I146" s="26"/>
      <c r="J146" s="27">
        <f t="shared" si="0"/>
        <v>183.6</v>
      </c>
      <c r="K146" s="28">
        <f t="shared" si="1"/>
        <v>197.12</v>
      </c>
      <c r="L146" s="29">
        <f t="shared" si="2"/>
        <v>380.72</v>
      </c>
      <c r="M146" s="28">
        <f t="shared" si="3"/>
        <v>44.8</v>
      </c>
      <c r="N146" s="27">
        <f t="shared" si="4"/>
        <v>228.39999999999998</v>
      </c>
    </row>
    <row r="147" spans="1:14" ht="14.4">
      <c r="A147" s="6" t="s">
        <v>1483</v>
      </c>
      <c r="B147" s="21" t="s">
        <v>1484</v>
      </c>
      <c r="E147" s="31" t="s">
        <v>1233</v>
      </c>
      <c r="F147" s="24" t="s">
        <v>1485</v>
      </c>
      <c r="G147" s="25">
        <v>448</v>
      </c>
      <c r="H147" s="30">
        <v>153</v>
      </c>
      <c r="I147" s="26"/>
      <c r="J147" s="27">
        <f t="shared" si="0"/>
        <v>183.6</v>
      </c>
      <c r="K147" s="28">
        <f t="shared" si="1"/>
        <v>197.12</v>
      </c>
      <c r="L147" s="29">
        <f t="shared" si="2"/>
        <v>380.72</v>
      </c>
      <c r="M147" s="28">
        <f t="shared" si="3"/>
        <v>44.8</v>
      </c>
      <c r="N147" s="27">
        <f t="shared" si="4"/>
        <v>228.39999999999998</v>
      </c>
    </row>
    <row r="148" spans="1:14" ht="14.4">
      <c r="A148" s="6" t="s">
        <v>965</v>
      </c>
      <c r="B148" s="21" t="s">
        <v>1484</v>
      </c>
      <c r="E148" s="31" t="s">
        <v>1233</v>
      </c>
      <c r="F148" s="24" t="s">
        <v>1486</v>
      </c>
      <c r="G148" s="25">
        <v>448</v>
      </c>
      <c r="H148" s="25">
        <v>153</v>
      </c>
      <c r="I148" s="26"/>
      <c r="J148" s="27">
        <f t="shared" si="0"/>
        <v>183.6</v>
      </c>
      <c r="K148" s="28">
        <f t="shared" si="1"/>
        <v>197.12</v>
      </c>
      <c r="L148" s="29">
        <f t="shared" si="2"/>
        <v>380.72</v>
      </c>
      <c r="M148" s="28">
        <f t="shared" si="3"/>
        <v>44.8</v>
      </c>
      <c r="N148" s="27">
        <f t="shared" si="4"/>
        <v>228.39999999999998</v>
      </c>
    </row>
    <row r="149" spans="1:14" ht="14.4">
      <c r="A149" s="6" t="s">
        <v>1487</v>
      </c>
      <c r="B149" s="21" t="s">
        <v>1484</v>
      </c>
      <c r="E149" s="23" t="s">
        <v>1231</v>
      </c>
      <c r="F149" s="24" t="s">
        <v>1488</v>
      </c>
      <c r="G149" s="25">
        <v>460</v>
      </c>
      <c r="H149" s="25">
        <v>155</v>
      </c>
      <c r="I149" s="26"/>
      <c r="J149" s="27">
        <f t="shared" si="0"/>
        <v>186</v>
      </c>
      <c r="K149" s="28">
        <f t="shared" si="1"/>
        <v>202.4</v>
      </c>
      <c r="L149" s="29">
        <f t="shared" si="2"/>
        <v>388.4</v>
      </c>
      <c r="M149" s="28">
        <f t="shared" si="3"/>
        <v>46</v>
      </c>
      <c r="N149" s="27">
        <f t="shared" si="4"/>
        <v>232</v>
      </c>
    </row>
    <row r="150" spans="1:14" ht="14.4">
      <c r="A150" s="6" t="s">
        <v>1070</v>
      </c>
      <c r="B150" s="21" t="s">
        <v>1484</v>
      </c>
      <c r="E150" s="23" t="s">
        <v>1231</v>
      </c>
      <c r="F150" s="24" t="s">
        <v>1489</v>
      </c>
      <c r="G150" s="25">
        <v>460</v>
      </c>
      <c r="H150" s="25">
        <v>184</v>
      </c>
      <c r="I150" s="26"/>
      <c r="J150" s="27">
        <f t="shared" si="0"/>
        <v>220.8</v>
      </c>
      <c r="K150" s="28">
        <f t="shared" si="1"/>
        <v>202.4</v>
      </c>
      <c r="L150" s="29">
        <f t="shared" si="2"/>
        <v>423.20000000000005</v>
      </c>
      <c r="M150" s="28">
        <f t="shared" si="3"/>
        <v>46</v>
      </c>
      <c r="N150" s="27">
        <f t="shared" si="4"/>
        <v>266.8</v>
      </c>
    </row>
    <row r="151" spans="1:14" ht="14.4">
      <c r="A151" s="6" t="s">
        <v>1038</v>
      </c>
      <c r="B151" s="21" t="s">
        <v>1484</v>
      </c>
      <c r="E151" s="31" t="s">
        <v>1233</v>
      </c>
      <c r="F151" s="26" t="s">
        <v>1490</v>
      </c>
      <c r="G151" s="30">
        <v>450</v>
      </c>
      <c r="H151" s="30">
        <v>130</v>
      </c>
      <c r="I151" s="26"/>
      <c r="J151" s="27">
        <f t="shared" si="0"/>
        <v>156</v>
      </c>
      <c r="K151" s="28">
        <f t="shared" si="1"/>
        <v>198</v>
      </c>
      <c r="L151" s="29">
        <f t="shared" si="2"/>
        <v>354</v>
      </c>
      <c r="M151" s="28">
        <f t="shared" si="3"/>
        <v>45</v>
      </c>
      <c r="N151" s="27">
        <f t="shared" si="4"/>
        <v>201</v>
      </c>
    </row>
    <row r="152" spans="1:14" ht="14.4">
      <c r="A152" s="6" t="s">
        <v>1491</v>
      </c>
      <c r="B152" s="21" t="s">
        <v>1484</v>
      </c>
      <c r="E152" s="23" t="s">
        <v>1231</v>
      </c>
      <c r="F152" s="26" t="s">
        <v>1492</v>
      </c>
      <c r="G152" s="25">
        <v>450</v>
      </c>
      <c r="H152" s="25">
        <v>260</v>
      </c>
      <c r="I152" s="26"/>
      <c r="J152" s="27">
        <f t="shared" si="0"/>
        <v>312</v>
      </c>
      <c r="K152" s="28">
        <f t="shared" si="1"/>
        <v>198</v>
      </c>
      <c r="L152" s="29">
        <f t="shared" si="2"/>
        <v>510</v>
      </c>
      <c r="M152" s="28">
        <f t="shared" si="3"/>
        <v>45</v>
      </c>
      <c r="N152" s="27">
        <f t="shared" si="4"/>
        <v>357</v>
      </c>
    </row>
    <row r="153" spans="1:14" ht="14.4">
      <c r="A153" s="6" t="s">
        <v>1120</v>
      </c>
      <c r="B153" s="21" t="s">
        <v>1484</v>
      </c>
      <c r="E153" s="23" t="s">
        <v>1231</v>
      </c>
      <c r="F153" s="24" t="s">
        <v>439</v>
      </c>
      <c r="G153" s="30">
        <v>450</v>
      </c>
      <c r="H153" s="30">
        <v>197</v>
      </c>
      <c r="I153" s="26"/>
      <c r="J153" s="27">
        <f t="shared" si="0"/>
        <v>236.4</v>
      </c>
      <c r="K153" s="28">
        <f t="shared" si="1"/>
        <v>198</v>
      </c>
      <c r="L153" s="29">
        <f t="shared" si="2"/>
        <v>434.4</v>
      </c>
      <c r="M153" s="28">
        <f t="shared" si="3"/>
        <v>45</v>
      </c>
      <c r="N153" s="27">
        <f t="shared" si="4"/>
        <v>281.39999999999998</v>
      </c>
    </row>
    <row r="154" spans="1:14" ht="14.4">
      <c r="A154" s="6" t="s">
        <v>1028</v>
      </c>
      <c r="B154" s="21" t="s">
        <v>1484</v>
      </c>
      <c r="E154" s="23" t="s">
        <v>1231</v>
      </c>
      <c r="F154" s="26" t="s">
        <v>1493</v>
      </c>
      <c r="G154" s="36">
        <v>500</v>
      </c>
      <c r="H154" s="30">
        <v>343</v>
      </c>
      <c r="I154" s="26"/>
      <c r="J154" s="27">
        <f t="shared" si="0"/>
        <v>411.6</v>
      </c>
      <c r="K154" s="28">
        <f t="shared" si="1"/>
        <v>220</v>
      </c>
      <c r="L154" s="29">
        <f t="shared" si="2"/>
        <v>631.6</v>
      </c>
      <c r="M154" s="28">
        <f t="shared" si="3"/>
        <v>50</v>
      </c>
      <c r="N154" s="27">
        <f t="shared" si="4"/>
        <v>461.6</v>
      </c>
    </row>
    <row r="155" spans="1:14" ht="14.4">
      <c r="A155" s="6" t="s">
        <v>1494</v>
      </c>
      <c r="B155" s="21" t="s">
        <v>1484</v>
      </c>
      <c r="E155" s="23" t="s">
        <v>1231</v>
      </c>
      <c r="F155" s="24" t="s">
        <v>1495</v>
      </c>
      <c r="G155" s="25">
        <v>425</v>
      </c>
      <c r="H155" s="25">
        <v>197</v>
      </c>
      <c r="I155" s="26"/>
      <c r="J155" s="27">
        <f t="shared" si="0"/>
        <v>236.4</v>
      </c>
      <c r="K155" s="28">
        <f t="shared" si="1"/>
        <v>187</v>
      </c>
      <c r="L155" s="29">
        <f t="shared" si="2"/>
        <v>423.4</v>
      </c>
      <c r="M155" s="28">
        <f t="shared" si="3"/>
        <v>42.5</v>
      </c>
      <c r="N155" s="27">
        <f t="shared" si="4"/>
        <v>278.89999999999998</v>
      </c>
    </row>
    <row r="156" spans="1:14" ht="14.4">
      <c r="A156" s="6" t="s">
        <v>1067</v>
      </c>
      <c r="B156" s="21" t="s">
        <v>1484</v>
      </c>
      <c r="E156" s="33" t="s">
        <v>1233</v>
      </c>
      <c r="F156" s="24" t="s">
        <v>1496</v>
      </c>
      <c r="G156" s="30">
        <v>420</v>
      </c>
      <c r="H156" s="30">
        <v>280</v>
      </c>
      <c r="I156" s="26"/>
      <c r="J156" s="27">
        <f t="shared" si="0"/>
        <v>336</v>
      </c>
      <c r="K156" s="28">
        <f t="shared" si="1"/>
        <v>184.8</v>
      </c>
      <c r="L156" s="29">
        <f t="shared" si="2"/>
        <v>520.79999999999995</v>
      </c>
      <c r="M156" s="28">
        <f t="shared" si="3"/>
        <v>42</v>
      </c>
      <c r="N156" s="27">
        <f t="shared" si="4"/>
        <v>378</v>
      </c>
    </row>
    <row r="157" spans="1:14" ht="14.4">
      <c r="A157" s="6" t="s">
        <v>886</v>
      </c>
      <c r="B157" s="21" t="s">
        <v>1484</v>
      </c>
      <c r="E157" s="33" t="s">
        <v>1233</v>
      </c>
      <c r="F157" s="24" t="s">
        <v>1497</v>
      </c>
      <c r="G157" s="30">
        <v>420</v>
      </c>
      <c r="H157" s="30">
        <v>300</v>
      </c>
      <c r="I157" s="26"/>
      <c r="J157" s="27">
        <f t="shared" si="0"/>
        <v>360</v>
      </c>
      <c r="K157" s="28">
        <f t="shared" si="1"/>
        <v>184.8</v>
      </c>
      <c r="L157" s="29">
        <f t="shared" si="2"/>
        <v>544.79999999999995</v>
      </c>
      <c r="M157" s="28">
        <f t="shared" si="3"/>
        <v>42</v>
      </c>
      <c r="N157" s="27">
        <f t="shared" si="4"/>
        <v>402</v>
      </c>
    </row>
    <row r="158" spans="1:14" ht="14.4">
      <c r="A158" s="6" t="s">
        <v>1498</v>
      </c>
      <c r="B158" s="21" t="s">
        <v>1499</v>
      </c>
      <c r="E158" s="33" t="s">
        <v>1233</v>
      </c>
      <c r="F158" s="26" t="s">
        <v>1500</v>
      </c>
      <c r="G158" s="30">
        <v>420</v>
      </c>
      <c r="H158" s="30">
        <v>300</v>
      </c>
      <c r="I158" s="26"/>
      <c r="J158" s="27">
        <f t="shared" si="0"/>
        <v>360</v>
      </c>
      <c r="K158" s="28">
        <f t="shared" si="1"/>
        <v>184.8</v>
      </c>
      <c r="L158" s="29">
        <f t="shared" si="2"/>
        <v>544.79999999999995</v>
      </c>
      <c r="M158" s="28">
        <f t="shared" si="3"/>
        <v>42</v>
      </c>
      <c r="N158" s="27">
        <f t="shared" si="4"/>
        <v>402</v>
      </c>
    </row>
    <row r="159" spans="1:14" ht="14.4">
      <c r="A159" s="6" t="s">
        <v>1501</v>
      </c>
      <c r="B159" s="21" t="s">
        <v>1499</v>
      </c>
      <c r="E159" s="33" t="s">
        <v>1233</v>
      </c>
      <c r="F159" s="26" t="s">
        <v>1502</v>
      </c>
      <c r="G159" s="30">
        <v>420</v>
      </c>
      <c r="H159" s="30">
        <v>300</v>
      </c>
      <c r="I159" s="26"/>
      <c r="J159" s="27">
        <f t="shared" si="0"/>
        <v>360</v>
      </c>
      <c r="K159" s="28">
        <f t="shared" si="1"/>
        <v>184.8</v>
      </c>
      <c r="L159" s="29">
        <f t="shared" si="2"/>
        <v>544.79999999999995</v>
      </c>
      <c r="M159" s="28">
        <f t="shared" si="3"/>
        <v>42</v>
      </c>
      <c r="N159" s="27">
        <f t="shared" si="4"/>
        <v>402</v>
      </c>
    </row>
    <row r="160" spans="1:14" ht="14.4">
      <c r="A160" s="6" t="s">
        <v>1503</v>
      </c>
      <c r="B160" s="21" t="s">
        <v>1499</v>
      </c>
      <c r="E160" s="33" t="s">
        <v>1233</v>
      </c>
      <c r="F160" s="26" t="s">
        <v>1504</v>
      </c>
      <c r="G160" s="30">
        <v>420</v>
      </c>
      <c r="H160" s="30">
        <v>350</v>
      </c>
      <c r="I160" s="26"/>
      <c r="J160" s="27">
        <f t="shared" si="0"/>
        <v>420</v>
      </c>
      <c r="K160" s="28">
        <f t="shared" si="1"/>
        <v>184.8</v>
      </c>
      <c r="L160" s="29">
        <f t="shared" si="2"/>
        <v>604.79999999999995</v>
      </c>
      <c r="M160" s="28">
        <f t="shared" si="3"/>
        <v>42</v>
      </c>
      <c r="N160" s="27">
        <f t="shared" si="4"/>
        <v>462</v>
      </c>
    </row>
    <row r="161" spans="1:14" ht="14.4">
      <c r="A161" s="6" t="s">
        <v>1505</v>
      </c>
      <c r="B161" s="21" t="s">
        <v>1499</v>
      </c>
      <c r="E161" s="23" t="s">
        <v>1231</v>
      </c>
      <c r="F161" s="26" t="s">
        <v>1506</v>
      </c>
      <c r="G161" s="36">
        <v>420</v>
      </c>
      <c r="H161" s="30">
        <v>343</v>
      </c>
      <c r="I161" s="26"/>
      <c r="J161" s="27">
        <f t="shared" si="0"/>
        <v>411.6</v>
      </c>
      <c r="K161" s="28">
        <f t="shared" si="1"/>
        <v>184.8</v>
      </c>
      <c r="L161" s="29">
        <f t="shared" si="2"/>
        <v>596.40000000000009</v>
      </c>
      <c r="M161" s="28">
        <f t="shared" si="3"/>
        <v>42</v>
      </c>
      <c r="N161" s="27">
        <f t="shared" si="4"/>
        <v>453.6</v>
      </c>
    </row>
    <row r="162" spans="1:14" ht="14.4">
      <c r="A162" s="6" t="s">
        <v>1507</v>
      </c>
      <c r="B162" s="21" t="s">
        <v>1499</v>
      </c>
      <c r="E162" s="23" t="s">
        <v>1233</v>
      </c>
      <c r="F162" s="24" t="s">
        <v>1508</v>
      </c>
      <c r="G162" s="25">
        <v>416</v>
      </c>
      <c r="H162" s="25">
        <v>125</v>
      </c>
      <c r="I162" s="26"/>
      <c r="J162" s="34">
        <f t="shared" si="0"/>
        <v>150</v>
      </c>
      <c r="K162" s="28">
        <f t="shared" si="1"/>
        <v>183.04</v>
      </c>
      <c r="L162" s="35">
        <f t="shared" si="2"/>
        <v>333.03999999999996</v>
      </c>
      <c r="M162" s="28">
        <f t="shared" si="3"/>
        <v>41.6</v>
      </c>
      <c r="N162" s="34">
        <f t="shared" si="4"/>
        <v>191.6</v>
      </c>
    </row>
    <row r="163" spans="1:14" ht="14.4">
      <c r="A163" s="6" t="s">
        <v>1509</v>
      </c>
      <c r="B163" s="21" t="s">
        <v>1499</v>
      </c>
      <c r="E163" s="33" t="s">
        <v>1233</v>
      </c>
      <c r="F163" s="24" t="s">
        <v>1510</v>
      </c>
      <c r="G163" s="25">
        <v>416</v>
      </c>
      <c r="H163" s="25">
        <v>184</v>
      </c>
      <c r="I163" s="26"/>
      <c r="J163" s="27">
        <f t="shared" si="0"/>
        <v>220.8</v>
      </c>
      <c r="K163" s="28">
        <f t="shared" si="1"/>
        <v>183.04</v>
      </c>
      <c r="L163" s="29">
        <f t="shared" si="2"/>
        <v>403.84000000000003</v>
      </c>
      <c r="M163" s="28">
        <f t="shared" si="3"/>
        <v>41.6</v>
      </c>
      <c r="N163" s="27">
        <f t="shared" si="4"/>
        <v>262.40000000000003</v>
      </c>
    </row>
    <row r="164" spans="1:14" ht="14.4">
      <c r="A164" s="6" t="s">
        <v>1511</v>
      </c>
      <c r="B164" s="21" t="s">
        <v>1499</v>
      </c>
      <c r="E164" s="23" t="s">
        <v>1231</v>
      </c>
      <c r="F164" s="26" t="s">
        <v>1512</v>
      </c>
      <c r="G164" s="36">
        <v>410</v>
      </c>
      <c r="H164" s="30">
        <v>425</v>
      </c>
      <c r="I164" s="26"/>
      <c r="J164" s="27">
        <f t="shared" si="0"/>
        <v>510</v>
      </c>
      <c r="K164" s="28">
        <f t="shared" si="1"/>
        <v>180.4</v>
      </c>
      <c r="L164" s="29">
        <f t="shared" si="2"/>
        <v>690.4</v>
      </c>
      <c r="M164" s="28">
        <f t="shared" si="3"/>
        <v>41</v>
      </c>
      <c r="N164" s="27">
        <f t="shared" si="4"/>
        <v>551</v>
      </c>
    </row>
    <row r="165" spans="1:14" ht="14.4">
      <c r="A165" s="6" t="s">
        <v>1513</v>
      </c>
      <c r="B165" s="21" t="s">
        <v>1499</v>
      </c>
      <c r="E165" s="23" t="s">
        <v>1231</v>
      </c>
      <c r="F165" s="26" t="s">
        <v>1514</v>
      </c>
      <c r="G165" s="36">
        <v>410</v>
      </c>
      <c r="H165" s="30">
        <v>278</v>
      </c>
      <c r="I165" s="26"/>
      <c r="J165" s="27">
        <f t="shared" si="0"/>
        <v>333.6</v>
      </c>
      <c r="K165" s="28">
        <f t="shared" si="1"/>
        <v>180.4</v>
      </c>
      <c r="L165" s="29">
        <f t="shared" si="2"/>
        <v>514</v>
      </c>
      <c r="M165" s="28">
        <f t="shared" si="3"/>
        <v>41</v>
      </c>
      <c r="N165" s="27">
        <f t="shared" si="4"/>
        <v>374.6</v>
      </c>
    </row>
    <row r="166" spans="1:14" ht="14.4">
      <c r="A166" s="6" t="s">
        <v>1515</v>
      </c>
      <c r="B166" s="21" t="s">
        <v>1499</v>
      </c>
      <c r="E166" s="33" t="s">
        <v>1233</v>
      </c>
      <c r="F166" s="24" t="s">
        <v>1516</v>
      </c>
      <c r="G166" s="25">
        <v>400</v>
      </c>
      <c r="H166" s="25">
        <v>320</v>
      </c>
      <c r="I166" s="26"/>
      <c r="J166" s="27">
        <f t="shared" si="0"/>
        <v>384</v>
      </c>
      <c r="K166" s="28">
        <f t="shared" si="1"/>
        <v>176</v>
      </c>
      <c r="L166" s="29">
        <f t="shared" si="2"/>
        <v>560</v>
      </c>
      <c r="M166" s="28">
        <f t="shared" si="3"/>
        <v>40</v>
      </c>
      <c r="N166" s="27">
        <f t="shared" si="4"/>
        <v>424</v>
      </c>
    </row>
    <row r="167" spans="1:14" ht="14.4">
      <c r="A167" s="6" t="s">
        <v>1517</v>
      </c>
      <c r="B167" s="21" t="s">
        <v>1499</v>
      </c>
      <c r="E167" s="33" t="s">
        <v>1233</v>
      </c>
      <c r="F167" s="24" t="s">
        <v>1518</v>
      </c>
      <c r="G167" s="25">
        <v>400</v>
      </c>
      <c r="H167" s="25">
        <v>570</v>
      </c>
      <c r="I167" s="26"/>
      <c r="J167" s="27">
        <f t="shared" si="0"/>
        <v>684</v>
      </c>
      <c r="K167" s="28">
        <f t="shared" si="1"/>
        <v>176</v>
      </c>
      <c r="L167" s="29">
        <f t="shared" si="2"/>
        <v>860</v>
      </c>
      <c r="M167" s="28">
        <f t="shared" si="3"/>
        <v>40</v>
      </c>
      <c r="N167" s="27">
        <f t="shared" si="4"/>
        <v>724</v>
      </c>
    </row>
    <row r="168" spans="1:14" ht="14.4">
      <c r="A168" s="6" t="s">
        <v>1519</v>
      </c>
      <c r="B168" s="21" t="s">
        <v>1499</v>
      </c>
      <c r="E168" s="33" t="s">
        <v>1233</v>
      </c>
      <c r="F168" s="26" t="s">
        <v>1520</v>
      </c>
      <c r="G168" s="30">
        <v>400</v>
      </c>
      <c r="H168" s="30">
        <v>200</v>
      </c>
      <c r="I168" s="26"/>
      <c r="J168" s="27">
        <f t="shared" si="0"/>
        <v>240</v>
      </c>
      <c r="K168" s="28">
        <f t="shared" si="1"/>
        <v>176</v>
      </c>
      <c r="L168" s="29">
        <f t="shared" si="2"/>
        <v>416</v>
      </c>
      <c r="M168" s="28">
        <f t="shared" si="3"/>
        <v>40</v>
      </c>
      <c r="N168" s="27">
        <f t="shared" si="4"/>
        <v>280</v>
      </c>
    </row>
    <row r="169" spans="1:14" ht="14.4">
      <c r="A169" s="6" t="s">
        <v>1521</v>
      </c>
      <c r="B169" s="21" t="s">
        <v>1499</v>
      </c>
      <c r="E169" s="23" t="s">
        <v>1231</v>
      </c>
      <c r="F169" s="26" t="s">
        <v>1522</v>
      </c>
      <c r="G169" s="36">
        <v>400</v>
      </c>
      <c r="H169" s="30">
        <v>300</v>
      </c>
      <c r="I169" s="26"/>
      <c r="J169" s="27">
        <f t="shared" si="0"/>
        <v>360</v>
      </c>
      <c r="K169" s="28">
        <f t="shared" si="1"/>
        <v>176</v>
      </c>
      <c r="L169" s="29">
        <f t="shared" si="2"/>
        <v>536</v>
      </c>
      <c r="M169" s="28">
        <f t="shared" si="3"/>
        <v>40</v>
      </c>
      <c r="N169" s="27">
        <f t="shared" si="4"/>
        <v>400</v>
      </c>
    </row>
    <row r="170" spans="1:14" ht="14.4">
      <c r="A170" s="6" t="s">
        <v>1523</v>
      </c>
      <c r="B170" s="21" t="s">
        <v>1499</v>
      </c>
      <c r="E170" s="23" t="s">
        <v>1231</v>
      </c>
      <c r="F170" s="26" t="s">
        <v>1524</v>
      </c>
      <c r="G170" s="36">
        <v>400</v>
      </c>
      <c r="H170" s="30">
        <v>310</v>
      </c>
      <c r="I170" s="26"/>
      <c r="J170" s="27">
        <f t="shared" si="0"/>
        <v>372</v>
      </c>
      <c r="K170" s="28">
        <f t="shared" si="1"/>
        <v>176</v>
      </c>
      <c r="L170" s="29">
        <f t="shared" si="2"/>
        <v>548</v>
      </c>
      <c r="M170" s="28">
        <f t="shared" si="3"/>
        <v>40</v>
      </c>
      <c r="N170" s="27">
        <f t="shared" si="4"/>
        <v>412</v>
      </c>
    </row>
    <row r="171" spans="1:14" ht="14.4">
      <c r="A171" s="6" t="s">
        <v>1525</v>
      </c>
      <c r="B171" s="21" t="s">
        <v>1499</v>
      </c>
      <c r="E171" s="31" t="s">
        <v>1233</v>
      </c>
      <c r="F171" s="24" t="s">
        <v>1202</v>
      </c>
      <c r="G171" s="36">
        <v>580</v>
      </c>
      <c r="H171" s="30">
        <v>467</v>
      </c>
      <c r="I171" s="26"/>
      <c r="J171" s="27">
        <f t="shared" si="0"/>
        <v>560.4</v>
      </c>
      <c r="K171" s="28">
        <f t="shared" si="1"/>
        <v>255.2</v>
      </c>
      <c r="L171" s="29">
        <f t="shared" si="2"/>
        <v>815.59999999999991</v>
      </c>
      <c r="M171" s="28">
        <f t="shared" si="3"/>
        <v>58</v>
      </c>
      <c r="N171" s="27">
        <f t="shared" si="4"/>
        <v>618.4</v>
      </c>
    </row>
    <row r="172" spans="1:14" ht="14.4">
      <c r="A172" s="6" t="s">
        <v>1526</v>
      </c>
      <c r="B172" s="21" t="s">
        <v>1499</v>
      </c>
      <c r="E172" s="23" t="s">
        <v>1231</v>
      </c>
      <c r="F172" s="24" t="s">
        <v>1527</v>
      </c>
      <c r="G172" s="25">
        <v>400</v>
      </c>
      <c r="H172" s="25">
        <v>92</v>
      </c>
      <c r="I172" s="26"/>
      <c r="J172" s="34">
        <f t="shared" si="0"/>
        <v>110.4</v>
      </c>
      <c r="K172" s="28">
        <f t="shared" si="1"/>
        <v>176</v>
      </c>
      <c r="L172" s="35">
        <f t="shared" si="2"/>
        <v>286.39999999999998</v>
      </c>
      <c r="M172" s="28">
        <f t="shared" si="3"/>
        <v>40</v>
      </c>
      <c r="N172" s="34">
        <f t="shared" si="4"/>
        <v>150.4</v>
      </c>
    </row>
    <row r="173" spans="1:14" ht="14.4">
      <c r="A173" s="6" t="s">
        <v>947</v>
      </c>
      <c r="B173" s="21" t="s">
        <v>1528</v>
      </c>
      <c r="E173" s="23" t="s">
        <v>1231</v>
      </c>
      <c r="F173" s="24" t="s">
        <v>1529</v>
      </c>
      <c r="G173" s="25">
        <v>400</v>
      </c>
      <c r="H173" s="25">
        <v>200</v>
      </c>
      <c r="I173" s="26"/>
      <c r="J173" s="34">
        <f t="shared" si="0"/>
        <v>240</v>
      </c>
      <c r="K173" s="28">
        <f t="shared" si="1"/>
        <v>176</v>
      </c>
      <c r="L173" s="35">
        <f t="shared" si="2"/>
        <v>416</v>
      </c>
      <c r="M173" s="28">
        <f t="shared" si="3"/>
        <v>40</v>
      </c>
      <c r="N173" s="34">
        <f t="shared" si="4"/>
        <v>280</v>
      </c>
    </row>
    <row r="174" spans="1:14" ht="14.4">
      <c r="A174" s="6" t="s">
        <v>1530</v>
      </c>
      <c r="B174" s="21" t="s">
        <v>1531</v>
      </c>
      <c r="E174" s="16" t="s">
        <v>1233</v>
      </c>
      <c r="F174" s="32" t="s">
        <v>1532</v>
      </c>
      <c r="G174" s="25">
        <v>375</v>
      </c>
      <c r="H174" s="25">
        <v>190.4</v>
      </c>
      <c r="I174" s="26"/>
      <c r="J174" s="27">
        <f t="shared" si="0"/>
        <v>228.48000000000002</v>
      </c>
      <c r="K174" s="28">
        <f t="shared" si="1"/>
        <v>165</v>
      </c>
      <c r="L174" s="29">
        <f t="shared" si="2"/>
        <v>393.48</v>
      </c>
      <c r="M174" s="28">
        <f t="shared" si="3"/>
        <v>37.5</v>
      </c>
      <c r="N174" s="27">
        <f t="shared" si="4"/>
        <v>265.98</v>
      </c>
    </row>
    <row r="175" spans="1:14" ht="14.4">
      <c r="A175" s="6" t="s">
        <v>1533</v>
      </c>
      <c r="B175" s="21" t="s">
        <v>1534</v>
      </c>
      <c r="E175" s="16" t="s">
        <v>1233</v>
      </c>
      <c r="F175" s="32" t="s">
        <v>1535</v>
      </c>
      <c r="G175" s="25">
        <v>370</v>
      </c>
      <c r="H175" s="25">
        <v>134.4</v>
      </c>
      <c r="I175" s="26"/>
      <c r="J175" s="27">
        <f t="shared" si="0"/>
        <v>161.28</v>
      </c>
      <c r="K175" s="28">
        <f t="shared" si="1"/>
        <v>162.80000000000001</v>
      </c>
      <c r="L175" s="29">
        <f t="shared" si="2"/>
        <v>324.08000000000004</v>
      </c>
      <c r="M175" s="28">
        <f t="shared" si="3"/>
        <v>37</v>
      </c>
      <c r="N175" s="27">
        <f t="shared" si="4"/>
        <v>198.28</v>
      </c>
    </row>
    <row r="176" spans="1:14" ht="14.4">
      <c r="A176" s="6" t="s">
        <v>1536</v>
      </c>
      <c r="B176" s="21" t="s">
        <v>1537</v>
      </c>
      <c r="E176" s="16" t="s">
        <v>1233</v>
      </c>
      <c r="F176" s="32" t="s">
        <v>1538</v>
      </c>
      <c r="G176" s="25">
        <v>370</v>
      </c>
      <c r="H176" s="25">
        <v>151.19999999999999</v>
      </c>
      <c r="I176" s="26"/>
      <c r="J176" s="27">
        <f t="shared" si="0"/>
        <v>181.44</v>
      </c>
      <c r="K176" s="28">
        <f t="shared" si="1"/>
        <v>162.80000000000001</v>
      </c>
      <c r="L176" s="29">
        <f t="shared" si="2"/>
        <v>344.24</v>
      </c>
      <c r="M176" s="28">
        <f t="shared" si="3"/>
        <v>37</v>
      </c>
      <c r="N176" s="27">
        <f t="shared" si="4"/>
        <v>218.44</v>
      </c>
    </row>
    <row r="177" spans="1:14" ht="14.4">
      <c r="A177" s="6" t="s">
        <v>154</v>
      </c>
      <c r="B177" s="21" t="s">
        <v>1527</v>
      </c>
      <c r="E177" s="16" t="s">
        <v>1233</v>
      </c>
      <c r="F177" s="32" t="s">
        <v>1539</v>
      </c>
      <c r="G177" s="25">
        <v>370</v>
      </c>
      <c r="H177" s="25">
        <v>168</v>
      </c>
      <c r="I177" s="26"/>
      <c r="J177" s="27">
        <f t="shared" si="0"/>
        <v>201.6</v>
      </c>
      <c r="K177" s="28">
        <f t="shared" si="1"/>
        <v>162.80000000000001</v>
      </c>
      <c r="L177" s="29">
        <f t="shared" si="2"/>
        <v>364.4</v>
      </c>
      <c r="M177" s="28">
        <f t="shared" si="3"/>
        <v>37</v>
      </c>
      <c r="N177" s="27">
        <f t="shared" si="4"/>
        <v>238.6</v>
      </c>
    </row>
    <row r="178" spans="1:14" ht="14.4">
      <c r="A178" s="6" t="s">
        <v>10</v>
      </c>
      <c r="B178" s="21" t="s">
        <v>1527</v>
      </c>
      <c r="E178" s="16" t="s">
        <v>1233</v>
      </c>
      <c r="F178" s="24" t="s">
        <v>1540</v>
      </c>
      <c r="G178" s="25">
        <v>370</v>
      </c>
      <c r="H178" s="25">
        <v>94</v>
      </c>
      <c r="I178" s="26"/>
      <c r="J178" s="27">
        <f t="shared" si="0"/>
        <v>112.8</v>
      </c>
      <c r="K178" s="28">
        <f t="shared" si="1"/>
        <v>162.80000000000001</v>
      </c>
      <c r="L178" s="29">
        <f t="shared" si="2"/>
        <v>275.60000000000002</v>
      </c>
      <c r="M178" s="28">
        <f t="shared" si="3"/>
        <v>37</v>
      </c>
      <c r="N178" s="27">
        <f t="shared" si="4"/>
        <v>149.80000000000001</v>
      </c>
    </row>
    <row r="179" spans="1:14" ht="14.4">
      <c r="A179" s="6" t="s">
        <v>1541</v>
      </c>
      <c r="B179" s="21" t="s">
        <v>1527</v>
      </c>
      <c r="E179" s="16" t="s">
        <v>1233</v>
      </c>
      <c r="F179" s="24" t="s">
        <v>1542</v>
      </c>
      <c r="G179" s="25">
        <v>370</v>
      </c>
      <c r="H179" s="25">
        <v>168</v>
      </c>
      <c r="I179" s="26"/>
      <c r="J179" s="27">
        <f t="shared" si="0"/>
        <v>201.6</v>
      </c>
      <c r="K179" s="28">
        <f t="shared" si="1"/>
        <v>162.80000000000001</v>
      </c>
      <c r="L179" s="29">
        <f t="shared" si="2"/>
        <v>364.4</v>
      </c>
      <c r="M179" s="28">
        <f t="shared" si="3"/>
        <v>37</v>
      </c>
      <c r="N179" s="27">
        <f t="shared" si="4"/>
        <v>238.6</v>
      </c>
    </row>
    <row r="180" spans="1:14" ht="14.4">
      <c r="A180" s="6" t="s">
        <v>1543</v>
      </c>
      <c r="B180" s="21" t="s">
        <v>1527</v>
      </c>
      <c r="E180" s="16" t="s">
        <v>1233</v>
      </c>
      <c r="F180" s="32" t="s">
        <v>1544</v>
      </c>
      <c r="G180" s="25">
        <v>360</v>
      </c>
      <c r="H180" s="25">
        <v>295</v>
      </c>
      <c r="I180" s="26"/>
      <c r="J180" s="27">
        <f t="shared" si="0"/>
        <v>354</v>
      </c>
      <c r="K180" s="28">
        <f t="shared" si="1"/>
        <v>158.4</v>
      </c>
      <c r="L180" s="29">
        <f t="shared" si="2"/>
        <v>512.4</v>
      </c>
      <c r="M180" s="28">
        <f t="shared" si="3"/>
        <v>36</v>
      </c>
      <c r="N180" s="27">
        <f t="shared" si="4"/>
        <v>390</v>
      </c>
    </row>
    <row r="181" spans="1:14" ht="14.4">
      <c r="A181" s="6" t="s">
        <v>1545</v>
      </c>
      <c r="B181" s="21" t="s">
        <v>1527</v>
      </c>
      <c r="E181" s="16" t="s">
        <v>1233</v>
      </c>
      <c r="F181" s="32" t="s">
        <v>1546</v>
      </c>
      <c r="G181" s="25">
        <v>360</v>
      </c>
      <c r="H181" s="25">
        <v>295</v>
      </c>
      <c r="I181" s="26"/>
      <c r="J181" s="27">
        <f t="shared" si="0"/>
        <v>354</v>
      </c>
      <c r="K181" s="28">
        <f t="shared" si="1"/>
        <v>158.4</v>
      </c>
      <c r="L181" s="29">
        <f t="shared" si="2"/>
        <v>512.4</v>
      </c>
      <c r="M181" s="28">
        <f t="shared" si="3"/>
        <v>36</v>
      </c>
      <c r="N181" s="27">
        <f t="shared" si="4"/>
        <v>390</v>
      </c>
    </row>
    <row r="182" spans="1:14" ht="14.4">
      <c r="A182" s="6" t="s">
        <v>1545</v>
      </c>
      <c r="B182" s="21" t="s">
        <v>1527</v>
      </c>
      <c r="E182" s="16" t="s">
        <v>1233</v>
      </c>
      <c r="F182" s="32" t="s">
        <v>1547</v>
      </c>
      <c r="G182" s="25">
        <v>360</v>
      </c>
      <c r="H182" s="25">
        <v>295</v>
      </c>
      <c r="I182" s="26"/>
      <c r="J182" s="27">
        <f t="shared" si="0"/>
        <v>354</v>
      </c>
      <c r="K182" s="28">
        <f t="shared" si="1"/>
        <v>158.4</v>
      </c>
      <c r="L182" s="29">
        <f t="shared" si="2"/>
        <v>512.4</v>
      </c>
      <c r="M182" s="28">
        <f t="shared" si="3"/>
        <v>36</v>
      </c>
      <c r="N182" s="27">
        <f t="shared" si="4"/>
        <v>390</v>
      </c>
    </row>
    <row r="183" spans="1:14" ht="14.4">
      <c r="A183" s="6" t="s">
        <v>1548</v>
      </c>
      <c r="B183" s="21" t="s">
        <v>23</v>
      </c>
      <c r="E183" s="16" t="s">
        <v>1233</v>
      </c>
      <c r="F183" s="32" t="s">
        <v>1549</v>
      </c>
      <c r="G183" s="25">
        <v>360</v>
      </c>
      <c r="H183" s="25">
        <v>295</v>
      </c>
      <c r="I183" s="26"/>
      <c r="J183" s="27">
        <f t="shared" si="0"/>
        <v>354</v>
      </c>
      <c r="K183" s="28">
        <f t="shared" si="1"/>
        <v>158.4</v>
      </c>
      <c r="L183" s="29">
        <f t="shared" si="2"/>
        <v>512.4</v>
      </c>
      <c r="M183" s="28">
        <f t="shared" si="3"/>
        <v>36</v>
      </c>
      <c r="N183" s="27">
        <f t="shared" si="4"/>
        <v>390</v>
      </c>
    </row>
    <row r="184" spans="1:14" ht="14.4">
      <c r="A184" s="6" t="s">
        <v>1550</v>
      </c>
      <c r="B184" s="21" t="s">
        <v>1551</v>
      </c>
      <c r="E184" s="16" t="s">
        <v>1233</v>
      </c>
      <c r="F184" s="24" t="s">
        <v>1534</v>
      </c>
      <c r="G184" s="25">
        <v>360</v>
      </c>
      <c r="H184" s="25">
        <v>80</v>
      </c>
      <c r="I184" s="26"/>
      <c r="J184" s="27">
        <f t="shared" si="0"/>
        <v>96</v>
      </c>
      <c r="K184" s="28">
        <f t="shared" si="1"/>
        <v>158.4</v>
      </c>
      <c r="L184" s="29">
        <f t="shared" si="2"/>
        <v>254.4</v>
      </c>
      <c r="M184" s="28">
        <f t="shared" si="3"/>
        <v>36</v>
      </c>
      <c r="N184" s="27">
        <f t="shared" si="4"/>
        <v>132</v>
      </c>
    </row>
    <row r="185" spans="1:14" ht="14.4">
      <c r="A185" s="6" t="s">
        <v>418</v>
      </c>
      <c r="B185" s="21" t="s">
        <v>1552</v>
      </c>
      <c r="E185" s="16" t="s">
        <v>1233</v>
      </c>
      <c r="F185" s="24" t="s">
        <v>1537</v>
      </c>
      <c r="G185" s="25">
        <v>360</v>
      </c>
      <c r="H185" s="25">
        <v>80</v>
      </c>
      <c r="I185" s="26"/>
      <c r="J185" s="27">
        <f t="shared" si="0"/>
        <v>96</v>
      </c>
      <c r="K185" s="28">
        <f t="shared" si="1"/>
        <v>158.4</v>
      </c>
      <c r="L185" s="29">
        <f t="shared" si="2"/>
        <v>254.4</v>
      </c>
      <c r="M185" s="28">
        <f t="shared" si="3"/>
        <v>36</v>
      </c>
      <c r="N185" s="27">
        <f t="shared" si="4"/>
        <v>132</v>
      </c>
    </row>
    <row r="186" spans="1:14" ht="14.4">
      <c r="A186" s="6" t="s">
        <v>25</v>
      </c>
      <c r="B186" s="21" t="s">
        <v>1363</v>
      </c>
      <c r="E186" s="16" t="s">
        <v>1233</v>
      </c>
      <c r="F186" s="24" t="s">
        <v>1553</v>
      </c>
      <c r="G186" s="30">
        <v>350</v>
      </c>
      <c r="H186" s="30">
        <v>198</v>
      </c>
      <c r="I186" s="26"/>
      <c r="J186" s="27">
        <f t="shared" si="0"/>
        <v>237.6</v>
      </c>
      <c r="K186" s="28">
        <f t="shared" si="1"/>
        <v>154</v>
      </c>
      <c r="L186" s="29">
        <f t="shared" si="2"/>
        <v>391.6</v>
      </c>
      <c r="M186" s="28">
        <f t="shared" si="3"/>
        <v>35</v>
      </c>
      <c r="N186" s="27">
        <f t="shared" si="4"/>
        <v>272.60000000000002</v>
      </c>
    </row>
    <row r="187" spans="1:14" ht="14.4">
      <c r="A187" s="6" t="s">
        <v>1543</v>
      </c>
      <c r="B187" s="21" t="s">
        <v>1363</v>
      </c>
      <c r="E187" s="16" t="s">
        <v>1233</v>
      </c>
      <c r="F187" s="24" t="s">
        <v>1554</v>
      </c>
      <c r="G187" s="30">
        <v>350</v>
      </c>
      <c r="H187" s="30">
        <v>198</v>
      </c>
      <c r="I187" s="26"/>
      <c r="J187" s="27">
        <f t="shared" si="0"/>
        <v>237.6</v>
      </c>
      <c r="K187" s="28">
        <f t="shared" si="1"/>
        <v>154</v>
      </c>
      <c r="L187" s="29">
        <f t="shared" si="2"/>
        <v>391.6</v>
      </c>
      <c r="M187" s="28">
        <f t="shared" si="3"/>
        <v>35</v>
      </c>
      <c r="N187" s="27">
        <f t="shared" si="4"/>
        <v>272.60000000000002</v>
      </c>
    </row>
    <row r="188" spans="1:14" ht="14.4">
      <c r="A188" s="6" t="s">
        <v>1555</v>
      </c>
      <c r="B188" s="21" t="s">
        <v>1380</v>
      </c>
      <c r="E188" s="16" t="s">
        <v>1233</v>
      </c>
      <c r="F188" s="24" t="s">
        <v>1556</v>
      </c>
      <c r="G188" s="30">
        <v>350</v>
      </c>
      <c r="H188" s="30">
        <v>198</v>
      </c>
      <c r="I188" s="26"/>
      <c r="J188" s="27">
        <f t="shared" si="0"/>
        <v>237.6</v>
      </c>
      <c r="K188" s="28">
        <f t="shared" si="1"/>
        <v>154</v>
      </c>
      <c r="L188" s="29">
        <f t="shared" si="2"/>
        <v>391.6</v>
      </c>
      <c r="M188" s="28">
        <f t="shared" si="3"/>
        <v>35</v>
      </c>
      <c r="N188" s="27">
        <f t="shared" si="4"/>
        <v>272.60000000000002</v>
      </c>
    </row>
    <row r="189" spans="1:14" ht="14.4">
      <c r="A189" s="6" t="s">
        <v>1557</v>
      </c>
      <c r="B189" s="21" t="s">
        <v>1558</v>
      </c>
      <c r="E189" s="16" t="s">
        <v>1233</v>
      </c>
      <c r="F189" s="24" t="s">
        <v>1559</v>
      </c>
      <c r="G189" s="30">
        <v>350</v>
      </c>
      <c r="H189" s="30">
        <v>198</v>
      </c>
      <c r="I189" s="26"/>
      <c r="J189" s="27">
        <f t="shared" si="0"/>
        <v>237.6</v>
      </c>
      <c r="K189" s="28">
        <f t="shared" si="1"/>
        <v>154</v>
      </c>
      <c r="L189" s="29">
        <f t="shared" si="2"/>
        <v>391.6</v>
      </c>
      <c r="M189" s="28">
        <f t="shared" si="3"/>
        <v>35</v>
      </c>
      <c r="N189" s="27">
        <f t="shared" si="4"/>
        <v>272.60000000000002</v>
      </c>
    </row>
    <row r="190" spans="1:14" ht="14.4">
      <c r="A190" s="6" t="s">
        <v>1560</v>
      </c>
      <c r="B190" s="21" t="s">
        <v>1558</v>
      </c>
      <c r="E190" s="16" t="s">
        <v>1233</v>
      </c>
      <c r="F190" s="24" t="s">
        <v>1561</v>
      </c>
      <c r="G190" s="30">
        <v>350</v>
      </c>
      <c r="H190" s="30">
        <v>198</v>
      </c>
      <c r="I190" s="26"/>
      <c r="J190" s="27">
        <f t="shared" si="0"/>
        <v>237.6</v>
      </c>
      <c r="K190" s="28">
        <f t="shared" si="1"/>
        <v>154</v>
      </c>
      <c r="L190" s="29">
        <f t="shared" si="2"/>
        <v>391.6</v>
      </c>
      <c r="M190" s="28">
        <f t="shared" si="3"/>
        <v>35</v>
      </c>
      <c r="N190" s="27">
        <f t="shared" si="4"/>
        <v>272.60000000000002</v>
      </c>
    </row>
    <row r="191" spans="1:14" ht="14.4">
      <c r="A191" s="6" t="s">
        <v>1562</v>
      </c>
      <c r="B191" s="21" t="s">
        <v>1563</v>
      </c>
      <c r="E191" s="16" t="s">
        <v>1233</v>
      </c>
      <c r="F191" s="24" t="s">
        <v>1564</v>
      </c>
      <c r="G191" s="30">
        <v>350</v>
      </c>
      <c r="H191" s="30">
        <v>198</v>
      </c>
      <c r="I191" s="26"/>
      <c r="J191" s="27">
        <f t="shared" si="0"/>
        <v>237.6</v>
      </c>
      <c r="K191" s="28">
        <f t="shared" si="1"/>
        <v>154</v>
      </c>
      <c r="L191" s="29">
        <f t="shared" si="2"/>
        <v>391.6</v>
      </c>
      <c r="M191" s="28">
        <f t="shared" si="3"/>
        <v>35</v>
      </c>
      <c r="N191" s="27">
        <f t="shared" si="4"/>
        <v>272.60000000000002</v>
      </c>
    </row>
    <row r="192" spans="1:14" ht="14.4">
      <c r="A192" s="6" t="s">
        <v>1349</v>
      </c>
      <c r="B192" s="21" t="s">
        <v>1563</v>
      </c>
      <c r="E192" s="16" t="s">
        <v>1233</v>
      </c>
      <c r="F192" s="24" t="s">
        <v>1565</v>
      </c>
      <c r="G192" s="30">
        <v>350</v>
      </c>
      <c r="H192" s="30">
        <v>198</v>
      </c>
      <c r="I192" s="26"/>
      <c r="J192" s="27">
        <f t="shared" si="0"/>
        <v>237.6</v>
      </c>
      <c r="K192" s="28">
        <f t="shared" si="1"/>
        <v>154</v>
      </c>
      <c r="L192" s="29">
        <f t="shared" si="2"/>
        <v>391.6</v>
      </c>
      <c r="M192" s="28">
        <f t="shared" si="3"/>
        <v>35</v>
      </c>
      <c r="N192" s="27">
        <f t="shared" si="4"/>
        <v>272.60000000000002</v>
      </c>
    </row>
    <row r="193" spans="1:14" ht="14.4">
      <c r="A193" s="6" t="s">
        <v>1566</v>
      </c>
      <c r="B193" s="21" t="s">
        <v>1567</v>
      </c>
      <c r="E193" s="16" t="s">
        <v>1233</v>
      </c>
      <c r="F193" s="24" t="s">
        <v>1568</v>
      </c>
      <c r="G193" s="30">
        <v>350</v>
      </c>
      <c r="H193" s="30">
        <v>198</v>
      </c>
      <c r="I193" s="26"/>
      <c r="J193" s="27">
        <f t="shared" si="0"/>
        <v>237.6</v>
      </c>
      <c r="K193" s="28">
        <f t="shared" si="1"/>
        <v>154</v>
      </c>
      <c r="L193" s="29">
        <f t="shared" si="2"/>
        <v>391.6</v>
      </c>
      <c r="M193" s="28">
        <f t="shared" si="3"/>
        <v>35</v>
      </c>
      <c r="N193" s="27">
        <f t="shared" si="4"/>
        <v>272.60000000000002</v>
      </c>
    </row>
    <row r="194" spans="1:14" ht="14.4">
      <c r="A194" s="6" t="s">
        <v>453</v>
      </c>
      <c r="B194" s="21" t="s">
        <v>1567</v>
      </c>
      <c r="E194" s="16" t="s">
        <v>1233</v>
      </c>
      <c r="F194" s="24" t="s">
        <v>1569</v>
      </c>
      <c r="G194" s="30">
        <v>350</v>
      </c>
      <c r="H194" s="30">
        <v>198</v>
      </c>
      <c r="I194" s="26"/>
      <c r="J194" s="27">
        <f t="shared" si="0"/>
        <v>237.6</v>
      </c>
      <c r="K194" s="28">
        <f t="shared" si="1"/>
        <v>154</v>
      </c>
      <c r="L194" s="29">
        <f t="shared" si="2"/>
        <v>391.6</v>
      </c>
      <c r="M194" s="28">
        <f t="shared" si="3"/>
        <v>35</v>
      </c>
      <c r="N194" s="27">
        <f t="shared" si="4"/>
        <v>272.60000000000002</v>
      </c>
    </row>
    <row r="195" spans="1:14" ht="14.4">
      <c r="A195" s="6" t="s">
        <v>1570</v>
      </c>
      <c r="B195" s="21" t="s">
        <v>1571</v>
      </c>
      <c r="E195" s="16" t="s">
        <v>1233</v>
      </c>
      <c r="F195" s="24" t="s">
        <v>1572</v>
      </c>
      <c r="G195" s="30">
        <v>350</v>
      </c>
      <c r="H195" s="30">
        <v>198</v>
      </c>
      <c r="I195" s="26"/>
      <c r="J195" s="27">
        <f t="shared" si="0"/>
        <v>237.6</v>
      </c>
      <c r="K195" s="28">
        <f t="shared" si="1"/>
        <v>154</v>
      </c>
      <c r="L195" s="29">
        <f t="shared" si="2"/>
        <v>391.6</v>
      </c>
      <c r="M195" s="28">
        <f t="shared" si="3"/>
        <v>35</v>
      </c>
      <c r="N195" s="27">
        <f t="shared" si="4"/>
        <v>272.60000000000002</v>
      </c>
    </row>
    <row r="196" spans="1:14" ht="14.4">
      <c r="A196" s="6" t="s">
        <v>1573</v>
      </c>
      <c r="B196" s="21" t="s">
        <v>1574</v>
      </c>
      <c r="E196" s="16" t="s">
        <v>1233</v>
      </c>
      <c r="F196" s="24" t="s">
        <v>1575</v>
      </c>
      <c r="G196" s="30">
        <v>350</v>
      </c>
      <c r="H196" s="30">
        <v>198</v>
      </c>
      <c r="I196" s="26"/>
      <c r="J196" s="27">
        <f t="shared" si="0"/>
        <v>237.6</v>
      </c>
      <c r="K196" s="28">
        <f t="shared" si="1"/>
        <v>154</v>
      </c>
      <c r="L196" s="29">
        <f t="shared" si="2"/>
        <v>391.6</v>
      </c>
      <c r="M196" s="28">
        <f t="shared" si="3"/>
        <v>35</v>
      </c>
      <c r="N196" s="27">
        <f t="shared" si="4"/>
        <v>272.60000000000002</v>
      </c>
    </row>
    <row r="197" spans="1:14" ht="14.4">
      <c r="A197" s="6" t="s">
        <v>1576</v>
      </c>
      <c r="B197" s="21" t="s">
        <v>1577</v>
      </c>
      <c r="E197" s="16" t="s">
        <v>1233</v>
      </c>
      <c r="F197" s="24" t="s">
        <v>1578</v>
      </c>
      <c r="G197" s="30">
        <v>350</v>
      </c>
      <c r="H197" s="30">
        <v>198</v>
      </c>
      <c r="I197" s="26"/>
      <c r="J197" s="27">
        <f t="shared" si="0"/>
        <v>237.6</v>
      </c>
      <c r="K197" s="28">
        <f t="shared" si="1"/>
        <v>154</v>
      </c>
      <c r="L197" s="29">
        <f t="shared" si="2"/>
        <v>391.6</v>
      </c>
      <c r="M197" s="28">
        <f t="shared" si="3"/>
        <v>35</v>
      </c>
      <c r="N197" s="27">
        <f t="shared" si="4"/>
        <v>272.60000000000002</v>
      </c>
    </row>
    <row r="198" spans="1:14" ht="14.4">
      <c r="A198" s="6" t="s">
        <v>1579</v>
      </c>
      <c r="B198" s="21" t="s">
        <v>1580</v>
      </c>
      <c r="E198" s="16" t="s">
        <v>1233</v>
      </c>
      <c r="F198" s="24" t="s">
        <v>1581</v>
      </c>
      <c r="G198" s="30">
        <v>350</v>
      </c>
      <c r="H198" s="30">
        <v>198</v>
      </c>
      <c r="I198" s="26"/>
      <c r="J198" s="27">
        <f t="shared" si="0"/>
        <v>237.6</v>
      </c>
      <c r="K198" s="28">
        <f t="shared" si="1"/>
        <v>154</v>
      </c>
      <c r="L198" s="29">
        <f t="shared" si="2"/>
        <v>391.6</v>
      </c>
      <c r="M198" s="28">
        <f t="shared" si="3"/>
        <v>35</v>
      </c>
      <c r="N198" s="27">
        <f t="shared" si="4"/>
        <v>272.60000000000002</v>
      </c>
    </row>
    <row r="199" spans="1:14" ht="14.4">
      <c r="A199" s="6" t="s">
        <v>1582</v>
      </c>
      <c r="B199" s="21" t="s">
        <v>1371</v>
      </c>
      <c r="E199" s="16" t="s">
        <v>1233</v>
      </c>
      <c r="F199" s="24" t="s">
        <v>1583</v>
      </c>
      <c r="G199" s="30">
        <v>350</v>
      </c>
      <c r="H199" s="30">
        <v>198</v>
      </c>
      <c r="I199" s="26"/>
      <c r="J199" s="27">
        <f t="shared" si="0"/>
        <v>237.6</v>
      </c>
      <c r="K199" s="28">
        <f t="shared" si="1"/>
        <v>154</v>
      </c>
      <c r="L199" s="29">
        <f t="shared" si="2"/>
        <v>391.6</v>
      </c>
      <c r="M199" s="28">
        <f t="shared" si="3"/>
        <v>35</v>
      </c>
      <c r="N199" s="27">
        <f t="shared" si="4"/>
        <v>272.60000000000002</v>
      </c>
    </row>
    <row r="200" spans="1:14" ht="14.4">
      <c r="A200" s="6" t="s">
        <v>1183</v>
      </c>
      <c r="B200" s="21" t="s">
        <v>1371</v>
      </c>
      <c r="E200" s="16" t="s">
        <v>1233</v>
      </c>
      <c r="F200" s="24" t="s">
        <v>1584</v>
      </c>
      <c r="G200" s="30">
        <v>350</v>
      </c>
      <c r="H200" s="30">
        <v>198</v>
      </c>
      <c r="I200" s="26"/>
      <c r="J200" s="27">
        <f t="shared" si="0"/>
        <v>237.6</v>
      </c>
      <c r="K200" s="28">
        <f t="shared" si="1"/>
        <v>154</v>
      </c>
      <c r="L200" s="29">
        <f t="shared" si="2"/>
        <v>391.6</v>
      </c>
      <c r="M200" s="28">
        <f t="shared" si="3"/>
        <v>35</v>
      </c>
      <c r="N200" s="27">
        <f t="shared" si="4"/>
        <v>272.60000000000002</v>
      </c>
    </row>
    <row r="201" spans="1:14" ht="14.4">
      <c r="A201" s="6" t="s">
        <v>1585</v>
      </c>
      <c r="B201" s="21" t="s">
        <v>1249</v>
      </c>
      <c r="E201" s="16" t="s">
        <v>1233</v>
      </c>
      <c r="F201" s="24" t="s">
        <v>1586</v>
      </c>
      <c r="G201" s="30">
        <v>350</v>
      </c>
      <c r="H201" s="30">
        <v>198</v>
      </c>
      <c r="I201" s="26"/>
      <c r="J201" s="27">
        <f t="shared" si="0"/>
        <v>237.6</v>
      </c>
      <c r="K201" s="28">
        <f t="shared" si="1"/>
        <v>154</v>
      </c>
      <c r="L201" s="29">
        <f t="shared" si="2"/>
        <v>391.6</v>
      </c>
      <c r="M201" s="28">
        <f t="shared" si="3"/>
        <v>35</v>
      </c>
      <c r="N201" s="27">
        <f t="shared" si="4"/>
        <v>272.60000000000002</v>
      </c>
    </row>
    <row r="202" spans="1:14" ht="14.4">
      <c r="A202" s="6" t="s">
        <v>1587</v>
      </c>
      <c r="B202" s="21" t="s">
        <v>1588</v>
      </c>
      <c r="E202" s="16" t="s">
        <v>1233</v>
      </c>
      <c r="F202" s="24" t="s">
        <v>1589</v>
      </c>
      <c r="G202" s="30">
        <v>350</v>
      </c>
      <c r="H202" s="30">
        <v>198</v>
      </c>
      <c r="I202" s="26"/>
      <c r="J202" s="27">
        <f t="shared" si="0"/>
        <v>237.6</v>
      </c>
      <c r="K202" s="28">
        <f t="shared" si="1"/>
        <v>154</v>
      </c>
      <c r="L202" s="29">
        <f t="shared" si="2"/>
        <v>391.6</v>
      </c>
      <c r="M202" s="28">
        <f t="shared" si="3"/>
        <v>35</v>
      </c>
      <c r="N202" s="27">
        <f t="shared" si="4"/>
        <v>272.60000000000002</v>
      </c>
    </row>
    <row r="203" spans="1:14" ht="14.4">
      <c r="A203" s="6" t="s">
        <v>848</v>
      </c>
      <c r="B203" s="21" t="s">
        <v>1588</v>
      </c>
      <c r="E203" s="16" t="s">
        <v>1233</v>
      </c>
      <c r="F203" s="24" t="s">
        <v>1590</v>
      </c>
      <c r="G203" s="30">
        <v>350</v>
      </c>
      <c r="H203" s="30">
        <v>198</v>
      </c>
      <c r="I203" s="26"/>
      <c r="J203" s="27">
        <f t="shared" si="0"/>
        <v>237.6</v>
      </c>
      <c r="K203" s="28">
        <f t="shared" si="1"/>
        <v>154</v>
      </c>
      <c r="L203" s="29">
        <f t="shared" si="2"/>
        <v>391.6</v>
      </c>
      <c r="M203" s="28">
        <f t="shared" si="3"/>
        <v>35</v>
      </c>
      <c r="N203" s="27">
        <f t="shared" si="4"/>
        <v>272.60000000000002</v>
      </c>
    </row>
    <row r="204" spans="1:14" ht="14.4">
      <c r="A204" s="6" t="s">
        <v>1591</v>
      </c>
      <c r="B204" s="21" t="s">
        <v>1592</v>
      </c>
      <c r="E204" s="16" t="s">
        <v>1233</v>
      </c>
      <c r="F204" s="26" t="s">
        <v>1593</v>
      </c>
      <c r="G204" s="30">
        <v>350</v>
      </c>
      <c r="H204" s="30">
        <v>198</v>
      </c>
      <c r="I204" s="26"/>
      <c r="J204" s="27">
        <f t="shared" si="0"/>
        <v>237.6</v>
      </c>
      <c r="K204" s="28">
        <f t="shared" si="1"/>
        <v>154</v>
      </c>
      <c r="L204" s="29">
        <f t="shared" si="2"/>
        <v>391.6</v>
      </c>
      <c r="M204" s="28">
        <f t="shared" si="3"/>
        <v>35</v>
      </c>
      <c r="N204" s="27">
        <f t="shared" si="4"/>
        <v>272.60000000000002</v>
      </c>
    </row>
    <row r="205" spans="1:14" ht="14.4">
      <c r="A205" s="6" t="s">
        <v>1594</v>
      </c>
      <c r="B205" s="21" t="s">
        <v>1595</v>
      </c>
      <c r="E205" s="16" t="s">
        <v>1233</v>
      </c>
      <c r="F205" s="26" t="s">
        <v>1596</v>
      </c>
      <c r="G205" s="30">
        <v>350</v>
      </c>
      <c r="H205" s="30">
        <v>198</v>
      </c>
      <c r="I205" s="26"/>
      <c r="J205" s="27">
        <f t="shared" si="0"/>
        <v>237.6</v>
      </c>
      <c r="K205" s="28">
        <f t="shared" si="1"/>
        <v>154</v>
      </c>
      <c r="L205" s="29">
        <f t="shared" si="2"/>
        <v>391.6</v>
      </c>
      <c r="M205" s="28">
        <f t="shared" si="3"/>
        <v>35</v>
      </c>
      <c r="N205" s="27">
        <f t="shared" si="4"/>
        <v>272.60000000000002</v>
      </c>
    </row>
    <row r="206" spans="1:14" ht="14.4">
      <c r="A206" s="6" t="s">
        <v>1597</v>
      </c>
      <c r="B206" s="21" t="s">
        <v>1598</v>
      </c>
      <c r="E206" s="16" t="s">
        <v>1233</v>
      </c>
      <c r="F206" s="26" t="s">
        <v>1599</v>
      </c>
      <c r="G206" s="30">
        <v>350</v>
      </c>
      <c r="H206" s="30">
        <v>198</v>
      </c>
      <c r="I206" s="26"/>
      <c r="J206" s="27">
        <f t="shared" si="0"/>
        <v>237.6</v>
      </c>
      <c r="K206" s="28">
        <f t="shared" si="1"/>
        <v>154</v>
      </c>
      <c r="L206" s="29">
        <f t="shared" si="2"/>
        <v>391.6</v>
      </c>
      <c r="M206" s="28">
        <f t="shared" si="3"/>
        <v>35</v>
      </c>
      <c r="N206" s="27">
        <f t="shared" si="4"/>
        <v>272.60000000000002</v>
      </c>
    </row>
    <row r="207" spans="1:14" ht="14.4">
      <c r="A207" s="6" t="s">
        <v>1600</v>
      </c>
      <c r="B207" s="21" t="s">
        <v>1601</v>
      </c>
      <c r="E207" s="16" t="s">
        <v>1233</v>
      </c>
      <c r="F207" s="26" t="s">
        <v>1602</v>
      </c>
      <c r="G207" s="30">
        <v>350</v>
      </c>
      <c r="H207" s="30">
        <v>198</v>
      </c>
      <c r="I207" s="26"/>
      <c r="J207" s="27">
        <f t="shared" si="0"/>
        <v>237.6</v>
      </c>
      <c r="K207" s="28">
        <f t="shared" si="1"/>
        <v>154</v>
      </c>
      <c r="L207" s="29">
        <f t="shared" si="2"/>
        <v>391.6</v>
      </c>
      <c r="M207" s="28">
        <f t="shared" si="3"/>
        <v>35</v>
      </c>
      <c r="N207" s="27">
        <f t="shared" si="4"/>
        <v>272.60000000000002</v>
      </c>
    </row>
    <row r="208" spans="1:14" ht="14.4">
      <c r="A208" s="6" t="s">
        <v>1603</v>
      </c>
      <c r="B208" s="21" t="s">
        <v>1604</v>
      </c>
      <c r="E208" s="16" t="s">
        <v>1233</v>
      </c>
      <c r="F208" s="26" t="s">
        <v>1605</v>
      </c>
      <c r="G208" s="30">
        <v>350</v>
      </c>
      <c r="H208" s="30">
        <v>198</v>
      </c>
      <c r="I208" s="26"/>
      <c r="J208" s="27">
        <f t="shared" si="0"/>
        <v>237.6</v>
      </c>
      <c r="K208" s="28">
        <f t="shared" si="1"/>
        <v>154</v>
      </c>
      <c r="L208" s="29">
        <f t="shared" si="2"/>
        <v>391.6</v>
      </c>
      <c r="M208" s="28">
        <f t="shared" si="3"/>
        <v>35</v>
      </c>
      <c r="N208" s="27">
        <f t="shared" si="4"/>
        <v>272.60000000000002</v>
      </c>
    </row>
    <row r="209" spans="1:14" ht="14.4">
      <c r="A209" s="6" t="s">
        <v>1606</v>
      </c>
      <c r="B209" s="21" t="s">
        <v>1607</v>
      </c>
      <c r="E209" s="16" t="s">
        <v>1233</v>
      </c>
      <c r="F209" s="24" t="s">
        <v>1608</v>
      </c>
      <c r="G209" s="30">
        <v>350</v>
      </c>
      <c r="H209" s="30">
        <v>198</v>
      </c>
      <c r="I209" s="26"/>
      <c r="J209" s="27">
        <f t="shared" si="0"/>
        <v>237.6</v>
      </c>
      <c r="K209" s="28">
        <f t="shared" si="1"/>
        <v>154</v>
      </c>
      <c r="L209" s="29">
        <f t="shared" si="2"/>
        <v>391.6</v>
      </c>
      <c r="M209" s="28">
        <f t="shared" si="3"/>
        <v>35</v>
      </c>
      <c r="N209" s="27">
        <f t="shared" si="4"/>
        <v>272.60000000000002</v>
      </c>
    </row>
    <row r="210" spans="1:14" ht="14.4">
      <c r="A210" s="6" t="s">
        <v>1609</v>
      </c>
      <c r="B210" s="21" t="s">
        <v>1610</v>
      </c>
      <c r="E210" s="16" t="s">
        <v>1233</v>
      </c>
      <c r="F210" s="24" t="s">
        <v>1611</v>
      </c>
      <c r="G210" s="30">
        <v>350</v>
      </c>
      <c r="H210" s="30">
        <v>198</v>
      </c>
      <c r="I210" s="26"/>
      <c r="J210" s="27">
        <f t="shared" si="0"/>
        <v>237.6</v>
      </c>
      <c r="K210" s="28">
        <f t="shared" si="1"/>
        <v>154</v>
      </c>
      <c r="L210" s="29">
        <f t="shared" si="2"/>
        <v>391.6</v>
      </c>
      <c r="M210" s="28">
        <f t="shared" si="3"/>
        <v>35</v>
      </c>
      <c r="N210" s="27">
        <f t="shared" si="4"/>
        <v>272.60000000000002</v>
      </c>
    </row>
    <row r="211" spans="1:14" ht="14.4">
      <c r="A211" s="6" t="s">
        <v>115</v>
      </c>
      <c r="B211" s="21" t="s">
        <v>1612</v>
      </c>
      <c r="E211" s="16" t="s">
        <v>1233</v>
      </c>
      <c r="F211" s="24" t="s">
        <v>1613</v>
      </c>
      <c r="G211" s="30">
        <v>350</v>
      </c>
      <c r="H211" s="30">
        <v>198</v>
      </c>
      <c r="I211" s="26"/>
      <c r="J211" s="27">
        <f t="shared" si="0"/>
        <v>237.6</v>
      </c>
      <c r="K211" s="28">
        <f t="shared" si="1"/>
        <v>154</v>
      </c>
      <c r="L211" s="29">
        <f t="shared" si="2"/>
        <v>391.6</v>
      </c>
      <c r="M211" s="28">
        <f t="shared" si="3"/>
        <v>35</v>
      </c>
      <c r="N211" s="27">
        <f t="shared" si="4"/>
        <v>272.60000000000002</v>
      </c>
    </row>
    <row r="212" spans="1:14" ht="14.4">
      <c r="A212" s="6" t="s">
        <v>180</v>
      </c>
      <c r="B212" s="21" t="s">
        <v>1612</v>
      </c>
      <c r="E212" s="16" t="s">
        <v>1233</v>
      </c>
      <c r="F212" s="26" t="s">
        <v>1614</v>
      </c>
      <c r="G212" s="30">
        <v>350</v>
      </c>
      <c r="H212" s="30">
        <v>198</v>
      </c>
      <c r="I212" s="26"/>
      <c r="J212" s="27">
        <f t="shared" si="0"/>
        <v>237.6</v>
      </c>
      <c r="K212" s="28">
        <f t="shared" si="1"/>
        <v>154</v>
      </c>
      <c r="L212" s="29">
        <f t="shared" si="2"/>
        <v>391.6</v>
      </c>
      <c r="M212" s="28">
        <f t="shared" si="3"/>
        <v>35</v>
      </c>
      <c r="N212" s="27">
        <f t="shared" si="4"/>
        <v>272.60000000000002</v>
      </c>
    </row>
    <row r="213" spans="1:14" ht="14.4">
      <c r="A213" s="6" t="s">
        <v>1615</v>
      </c>
      <c r="B213" s="21" t="s">
        <v>1612</v>
      </c>
      <c r="E213" s="23" t="s">
        <v>1231</v>
      </c>
      <c r="F213" s="24" t="s">
        <v>1616</v>
      </c>
      <c r="G213" s="25">
        <v>350</v>
      </c>
      <c r="H213" s="25">
        <v>220</v>
      </c>
      <c r="I213" s="26"/>
      <c r="J213" s="27">
        <f t="shared" si="0"/>
        <v>264</v>
      </c>
      <c r="K213" s="28">
        <f t="shared" si="1"/>
        <v>154</v>
      </c>
      <c r="L213" s="29">
        <f t="shared" si="2"/>
        <v>418</v>
      </c>
      <c r="M213" s="28">
        <f t="shared" si="3"/>
        <v>35</v>
      </c>
      <c r="N213" s="27">
        <f t="shared" si="4"/>
        <v>299</v>
      </c>
    </row>
    <row r="214" spans="1:14" ht="14.4">
      <c r="A214" s="6" t="s">
        <v>1617</v>
      </c>
      <c r="B214" s="21" t="s">
        <v>1618</v>
      </c>
      <c r="E214" s="23" t="s">
        <v>1231</v>
      </c>
      <c r="F214" s="24" t="s">
        <v>1619</v>
      </c>
      <c r="G214" s="25">
        <v>350</v>
      </c>
      <c r="H214" s="25">
        <v>220</v>
      </c>
      <c r="I214" s="26"/>
      <c r="J214" s="27">
        <f t="shared" si="0"/>
        <v>264</v>
      </c>
      <c r="K214" s="28">
        <f t="shared" si="1"/>
        <v>154</v>
      </c>
      <c r="L214" s="29">
        <f t="shared" si="2"/>
        <v>418</v>
      </c>
      <c r="M214" s="28">
        <f t="shared" si="3"/>
        <v>35</v>
      </c>
      <c r="N214" s="27">
        <f t="shared" si="4"/>
        <v>299</v>
      </c>
    </row>
    <row r="215" spans="1:14" ht="14.4">
      <c r="A215" s="6" t="s">
        <v>727</v>
      </c>
      <c r="B215" s="21" t="s">
        <v>1620</v>
      </c>
      <c r="E215" s="23" t="s">
        <v>1231</v>
      </c>
      <c r="F215" s="24" t="s">
        <v>1621</v>
      </c>
      <c r="G215" s="25">
        <v>350</v>
      </c>
      <c r="H215" s="25">
        <v>220</v>
      </c>
      <c r="I215" s="26"/>
      <c r="J215" s="27">
        <f t="shared" si="0"/>
        <v>264</v>
      </c>
      <c r="K215" s="28">
        <f t="shared" si="1"/>
        <v>154</v>
      </c>
      <c r="L215" s="29">
        <f t="shared" si="2"/>
        <v>418</v>
      </c>
      <c r="M215" s="28">
        <f t="shared" si="3"/>
        <v>35</v>
      </c>
      <c r="N215" s="27">
        <f t="shared" si="4"/>
        <v>299</v>
      </c>
    </row>
    <row r="216" spans="1:14" ht="14.4">
      <c r="A216" s="6" t="s">
        <v>1622</v>
      </c>
      <c r="B216" s="21" t="s">
        <v>1623</v>
      </c>
      <c r="E216" s="23" t="s">
        <v>1231</v>
      </c>
      <c r="F216" s="24" t="s">
        <v>1624</v>
      </c>
      <c r="G216" s="25">
        <v>350</v>
      </c>
      <c r="H216" s="25">
        <v>220</v>
      </c>
      <c r="I216" s="26"/>
      <c r="J216" s="27">
        <f t="shared" si="0"/>
        <v>264</v>
      </c>
      <c r="K216" s="28">
        <f t="shared" si="1"/>
        <v>154</v>
      </c>
      <c r="L216" s="29">
        <f t="shared" si="2"/>
        <v>418</v>
      </c>
      <c r="M216" s="28">
        <f t="shared" si="3"/>
        <v>35</v>
      </c>
      <c r="N216" s="27">
        <f t="shared" si="4"/>
        <v>299</v>
      </c>
    </row>
    <row r="217" spans="1:14" ht="14.4">
      <c r="A217" s="6" t="s">
        <v>1615</v>
      </c>
      <c r="B217" s="21" t="s">
        <v>1623</v>
      </c>
      <c r="E217" s="23" t="s">
        <v>1231</v>
      </c>
      <c r="F217" s="26" t="s">
        <v>1625</v>
      </c>
      <c r="G217" s="25">
        <v>350</v>
      </c>
      <c r="H217" s="30">
        <v>196</v>
      </c>
      <c r="I217" s="26"/>
      <c r="J217" s="27">
        <f t="shared" si="0"/>
        <v>235.2</v>
      </c>
      <c r="K217" s="28">
        <f t="shared" si="1"/>
        <v>154</v>
      </c>
      <c r="L217" s="29">
        <f t="shared" si="2"/>
        <v>389.2</v>
      </c>
      <c r="M217" s="28">
        <f t="shared" si="3"/>
        <v>35</v>
      </c>
      <c r="N217" s="27">
        <f t="shared" si="4"/>
        <v>270.2</v>
      </c>
    </row>
    <row r="218" spans="1:14" ht="14.4">
      <c r="A218" s="6" t="s">
        <v>1626</v>
      </c>
      <c r="B218" s="21" t="s">
        <v>1627</v>
      </c>
      <c r="E218" s="23" t="s">
        <v>1231</v>
      </c>
      <c r="F218" s="26" t="s">
        <v>1628</v>
      </c>
      <c r="G218" s="36">
        <v>350</v>
      </c>
      <c r="H218" s="30">
        <v>285</v>
      </c>
      <c r="I218" s="26"/>
      <c r="J218" s="27">
        <f t="shared" si="0"/>
        <v>342</v>
      </c>
      <c r="K218" s="28">
        <f t="shared" si="1"/>
        <v>154</v>
      </c>
      <c r="L218" s="29">
        <f t="shared" si="2"/>
        <v>496</v>
      </c>
      <c r="M218" s="28">
        <f t="shared" si="3"/>
        <v>35</v>
      </c>
      <c r="N218" s="27">
        <f t="shared" si="4"/>
        <v>377</v>
      </c>
    </row>
    <row r="219" spans="1:14" ht="14.4">
      <c r="A219" s="6" t="s">
        <v>1629</v>
      </c>
      <c r="B219" s="21" t="s">
        <v>1630</v>
      </c>
      <c r="E219" s="33" t="s">
        <v>1233</v>
      </c>
      <c r="F219" s="24" t="s">
        <v>1631</v>
      </c>
      <c r="G219" s="25">
        <v>320</v>
      </c>
      <c r="H219" s="25">
        <v>86</v>
      </c>
      <c r="I219" s="26"/>
      <c r="J219" s="27">
        <f t="shared" si="0"/>
        <v>103.2</v>
      </c>
      <c r="K219" s="28">
        <f t="shared" si="1"/>
        <v>140.80000000000001</v>
      </c>
      <c r="L219" s="29">
        <f t="shared" si="2"/>
        <v>244</v>
      </c>
      <c r="M219" s="28">
        <f t="shared" si="3"/>
        <v>32</v>
      </c>
      <c r="N219" s="27">
        <f t="shared" si="4"/>
        <v>135.19999999999999</v>
      </c>
    </row>
    <row r="220" spans="1:14" ht="14.4">
      <c r="A220" s="6" t="s">
        <v>1632</v>
      </c>
      <c r="B220" s="21" t="s">
        <v>1630</v>
      </c>
      <c r="E220" s="23" t="s">
        <v>1233</v>
      </c>
      <c r="F220" s="24" t="s">
        <v>1623</v>
      </c>
      <c r="G220" s="30">
        <v>320</v>
      </c>
      <c r="H220" s="30">
        <v>175</v>
      </c>
      <c r="I220" s="26"/>
      <c r="J220" s="27">
        <f t="shared" si="0"/>
        <v>210</v>
      </c>
      <c r="K220" s="28">
        <f t="shared" si="1"/>
        <v>140.80000000000001</v>
      </c>
      <c r="L220" s="29">
        <f t="shared" si="2"/>
        <v>350.8</v>
      </c>
      <c r="M220" s="28">
        <f t="shared" si="3"/>
        <v>32</v>
      </c>
      <c r="N220" s="27">
        <f t="shared" si="4"/>
        <v>242</v>
      </c>
    </row>
    <row r="221" spans="1:14" ht="14.4">
      <c r="A221" s="6" t="s">
        <v>1633</v>
      </c>
      <c r="B221" s="21" t="s">
        <v>1630</v>
      </c>
      <c r="E221" s="23" t="s">
        <v>1231</v>
      </c>
      <c r="F221" s="26" t="s">
        <v>1634</v>
      </c>
      <c r="G221" s="30">
        <v>312</v>
      </c>
      <c r="H221" s="25">
        <v>173</v>
      </c>
      <c r="I221" s="26"/>
      <c r="J221" s="34">
        <f t="shared" si="0"/>
        <v>207.6</v>
      </c>
      <c r="K221" s="28">
        <f t="shared" si="1"/>
        <v>137.28</v>
      </c>
      <c r="L221" s="35">
        <f t="shared" si="2"/>
        <v>344.88</v>
      </c>
      <c r="M221" s="28">
        <f t="shared" si="3"/>
        <v>31.2</v>
      </c>
      <c r="N221" s="34">
        <f t="shared" si="4"/>
        <v>238.79999999999998</v>
      </c>
    </row>
    <row r="222" spans="1:14" ht="14.4">
      <c r="A222" s="6" t="s">
        <v>1635</v>
      </c>
      <c r="B222" s="21" t="s">
        <v>1630</v>
      </c>
      <c r="E222" s="23" t="s">
        <v>1231</v>
      </c>
      <c r="F222" s="26" t="s">
        <v>1636</v>
      </c>
      <c r="G222" s="36">
        <v>310</v>
      </c>
      <c r="H222" s="30">
        <v>320</v>
      </c>
      <c r="I222" s="26"/>
      <c r="J222" s="27">
        <f t="shared" si="0"/>
        <v>384</v>
      </c>
      <c r="K222" s="28">
        <f t="shared" si="1"/>
        <v>136.4</v>
      </c>
      <c r="L222" s="29">
        <f t="shared" si="2"/>
        <v>520.4</v>
      </c>
      <c r="M222" s="28">
        <f t="shared" si="3"/>
        <v>31</v>
      </c>
      <c r="N222" s="27">
        <f t="shared" si="4"/>
        <v>415</v>
      </c>
    </row>
    <row r="223" spans="1:14" ht="14.4">
      <c r="A223" s="6" t="s">
        <v>1125</v>
      </c>
      <c r="B223" s="21" t="s">
        <v>1630</v>
      </c>
      <c r="E223" s="23" t="s">
        <v>1231</v>
      </c>
      <c r="F223" s="24" t="s">
        <v>1637</v>
      </c>
      <c r="G223" s="36">
        <v>310</v>
      </c>
      <c r="H223" s="30">
        <v>279</v>
      </c>
      <c r="I223" s="26"/>
      <c r="J223" s="27">
        <f t="shared" si="0"/>
        <v>334.8</v>
      </c>
      <c r="K223" s="28">
        <f t="shared" si="1"/>
        <v>136.4</v>
      </c>
      <c r="L223" s="29">
        <f t="shared" si="2"/>
        <v>471.20000000000005</v>
      </c>
      <c r="M223" s="28">
        <f t="shared" si="3"/>
        <v>31</v>
      </c>
      <c r="N223" s="27">
        <f t="shared" si="4"/>
        <v>365.8</v>
      </c>
    </row>
    <row r="224" spans="1:14" ht="14.4">
      <c r="A224" s="6" t="s">
        <v>1626</v>
      </c>
      <c r="B224" s="21" t="s">
        <v>1630</v>
      </c>
      <c r="E224" s="33" t="s">
        <v>1233</v>
      </c>
      <c r="F224" s="24" t="s">
        <v>1638</v>
      </c>
      <c r="G224" s="25">
        <v>300</v>
      </c>
      <c r="H224" s="25">
        <v>60</v>
      </c>
      <c r="I224" s="26"/>
      <c r="J224" s="34">
        <f t="shared" si="0"/>
        <v>72</v>
      </c>
      <c r="K224" s="28">
        <f t="shared" si="1"/>
        <v>132</v>
      </c>
      <c r="L224" s="35">
        <f t="shared" si="2"/>
        <v>204</v>
      </c>
      <c r="M224" s="28">
        <f t="shared" si="3"/>
        <v>30</v>
      </c>
      <c r="N224" s="34">
        <f t="shared" si="4"/>
        <v>102</v>
      </c>
    </row>
    <row r="225" spans="1:14" ht="14.4">
      <c r="A225" s="6" t="s">
        <v>1154</v>
      </c>
      <c r="B225" s="21" t="s">
        <v>1639</v>
      </c>
      <c r="E225" s="33" t="s">
        <v>1233</v>
      </c>
      <c r="F225" s="24" t="s">
        <v>1640</v>
      </c>
      <c r="G225" s="30">
        <v>300</v>
      </c>
      <c r="H225" s="30">
        <v>650</v>
      </c>
      <c r="I225" s="26"/>
      <c r="J225" s="27">
        <f t="shared" si="0"/>
        <v>780</v>
      </c>
      <c r="K225" s="28">
        <f t="shared" si="1"/>
        <v>132</v>
      </c>
      <c r="L225" s="29">
        <f t="shared" si="2"/>
        <v>912</v>
      </c>
      <c r="M225" s="28">
        <f t="shared" si="3"/>
        <v>30</v>
      </c>
      <c r="N225" s="27">
        <f t="shared" si="4"/>
        <v>810</v>
      </c>
    </row>
    <row r="226" spans="1:14" ht="14.4">
      <c r="A226" s="6" t="s">
        <v>1641</v>
      </c>
      <c r="B226" s="21" t="s">
        <v>1642</v>
      </c>
      <c r="E226" s="33" t="s">
        <v>1233</v>
      </c>
      <c r="F226" s="24" t="s">
        <v>1643</v>
      </c>
      <c r="G226" s="30">
        <v>300</v>
      </c>
      <c r="H226" s="30">
        <v>650</v>
      </c>
      <c r="I226" s="26"/>
      <c r="J226" s="27">
        <f t="shared" si="0"/>
        <v>780</v>
      </c>
      <c r="K226" s="28">
        <f t="shared" si="1"/>
        <v>132</v>
      </c>
      <c r="L226" s="29">
        <f t="shared" si="2"/>
        <v>912</v>
      </c>
      <c r="M226" s="28">
        <f t="shared" si="3"/>
        <v>30</v>
      </c>
      <c r="N226" s="27">
        <f t="shared" si="4"/>
        <v>810</v>
      </c>
    </row>
    <row r="227" spans="1:14" ht="14.4">
      <c r="A227" s="6" t="s">
        <v>1644</v>
      </c>
      <c r="B227" s="21" t="s">
        <v>1645</v>
      </c>
      <c r="E227" s="33" t="s">
        <v>1233</v>
      </c>
      <c r="F227" s="24" t="s">
        <v>1646</v>
      </c>
      <c r="G227" s="30">
        <v>300</v>
      </c>
      <c r="H227" s="30">
        <v>650</v>
      </c>
      <c r="I227" s="26"/>
      <c r="J227" s="27">
        <f t="shared" si="0"/>
        <v>780</v>
      </c>
      <c r="K227" s="28">
        <f t="shared" si="1"/>
        <v>132</v>
      </c>
      <c r="L227" s="29">
        <f t="shared" si="2"/>
        <v>912</v>
      </c>
      <c r="M227" s="28">
        <f t="shared" si="3"/>
        <v>30</v>
      </c>
      <c r="N227" s="27">
        <f t="shared" si="4"/>
        <v>810</v>
      </c>
    </row>
    <row r="228" spans="1:14" ht="14.4">
      <c r="A228" s="6" t="s">
        <v>862</v>
      </c>
      <c r="B228" s="21" t="s">
        <v>1647</v>
      </c>
      <c r="E228" s="31" t="s">
        <v>1233</v>
      </c>
      <c r="F228" s="24" t="s">
        <v>1648</v>
      </c>
      <c r="G228" s="30">
        <v>264</v>
      </c>
      <c r="H228" s="30">
        <v>80</v>
      </c>
      <c r="I228" s="26"/>
      <c r="J228" s="27">
        <f t="shared" si="0"/>
        <v>96</v>
      </c>
      <c r="K228" s="28">
        <f t="shared" si="1"/>
        <v>116.16</v>
      </c>
      <c r="L228" s="29">
        <f t="shared" si="2"/>
        <v>212.16</v>
      </c>
      <c r="M228" s="28">
        <f t="shared" si="3"/>
        <v>26.4</v>
      </c>
      <c r="N228" s="27">
        <f t="shared" si="4"/>
        <v>122.4</v>
      </c>
    </row>
    <row r="229" spans="1:14" ht="14.4">
      <c r="A229" s="6" t="s">
        <v>1649</v>
      </c>
      <c r="B229" s="21" t="s">
        <v>1650</v>
      </c>
      <c r="E229" s="23" t="s">
        <v>1231</v>
      </c>
      <c r="F229" s="24" t="s">
        <v>246</v>
      </c>
      <c r="G229" s="30">
        <v>320</v>
      </c>
      <c r="H229" s="30">
        <v>255</v>
      </c>
      <c r="I229" s="26"/>
      <c r="J229" s="27">
        <f t="shared" si="0"/>
        <v>306</v>
      </c>
      <c r="K229" s="28">
        <f t="shared" si="1"/>
        <v>140.80000000000001</v>
      </c>
      <c r="L229" s="29">
        <f t="shared" si="2"/>
        <v>446.8</v>
      </c>
      <c r="M229" s="28">
        <f t="shared" si="3"/>
        <v>32</v>
      </c>
      <c r="N229" s="27">
        <f t="shared" si="4"/>
        <v>338</v>
      </c>
    </row>
    <row r="230" spans="1:14" ht="14.4">
      <c r="A230" s="6" t="s">
        <v>1651</v>
      </c>
      <c r="B230" s="21" t="s">
        <v>1652</v>
      </c>
      <c r="E230" s="31" t="s">
        <v>1233</v>
      </c>
      <c r="F230" s="24" t="s">
        <v>1653</v>
      </c>
      <c r="G230" s="25">
        <v>1020</v>
      </c>
      <c r="H230" s="25">
        <v>330</v>
      </c>
      <c r="I230" s="26"/>
      <c r="J230" s="27">
        <f t="shared" si="0"/>
        <v>396</v>
      </c>
      <c r="K230" s="28">
        <f t="shared" si="1"/>
        <v>448.8</v>
      </c>
      <c r="L230" s="29">
        <f t="shared" si="2"/>
        <v>844.8</v>
      </c>
      <c r="M230" s="28">
        <f t="shared" si="3"/>
        <v>102</v>
      </c>
      <c r="N230" s="27">
        <f t="shared" si="4"/>
        <v>498</v>
      </c>
    </row>
    <row r="231" spans="1:14" ht="14.4">
      <c r="A231" s="6" t="s">
        <v>1654</v>
      </c>
      <c r="B231" s="21" t="s">
        <v>1652</v>
      </c>
      <c r="E231" s="23" t="s">
        <v>1231</v>
      </c>
      <c r="F231" s="24" t="s">
        <v>1655</v>
      </c>
      <c r="G231" s="25">
        <v>390</v>
      </c>
      <c r="H231" s="25">
        <v>302</v>
      </c>
      <c r="I231" s="26"/>
      <c r="J231" s="27">
        <f t="shared" si="0"/>
        <v>362.4</v>
      </c>
      <c r="K231" s="28">
        <f t="shared" si="1"/>
        <v>171.6</v>
      </c>
      <c r="L231" s="29">
        <f t="shared" si="2"/>
        <v>534</v>
      </c>
      <c r="M231" s="28">
        <f t="shared" si="3"/>
        <v>39</v>
      </c>
      <c r="N231" s="27">
        <f t="shared" si="4"/>
        <v>401.4</v>
      </c>
    </row>
    <row r="232" spans="1:14" ht="14.4">
      <c r="A232" s="6" t="s">
        <v>1656</v>
      </c>
      <c r="B232" s="21" t="s">
        <v>1652</v>
      </c>
      <c r="E232" s="23" t="s">
        <v>1233</v>
      </c>
      <c r="F232" s="24" t="s">
        <v>1657</v>
      </c>
      <c r="G232" s="25">
        <v>284</v>
      </c>
      <c r="H232" s="25">
        <v>108</v>
      </c>
      <c r="I232" s="26"/>
      <c r="J232" s="34">
        <f t="shared" si="0"/>
        <v>129.6</v>
      </c>
      <c r="K232" s="28">
        <f t="shared" si="1"/>
        <v>124.96</v>
      </c>
      <c r="L232" s="35">
        <f t="shared" si="2"/>
        <v>254.56</v>
      </c>
      <c r="M232" s="28">
        <f t="shared" si="3"/>
        <v>28.4</v>
      </c>
      <c r="N232" s="34">
        <f t="shared" si="4"/>
        <v>158</v>
      </c>
    </row>
    <row r="233" spans="1:14" ht="14.4">
      <c r="A233" s="6" t="s">
        <v>1658</v>
      </c>
      <c r="B233" s="21" t="s">
        <v>1631</v>
      </c>
      <c r="E233" s="23" t="s">
        <v>1233</v>
      </c>
      <c r="F233" s="24" t="s">
        <v>1659</v>
      </c>
      <c r="G233" s="25">
        <v>284</v>
      </c>
      <c r="H233" s="25">
        <v>137</v>
      </c>
      <c r="I233" s="26"/>
      <c r="J233" s="27">
        <f t="shared" si="0"/>
        <v>164.4</v>
      </c>
      <c r="K233" s="28">
        <f t="shared" si="1"/>
        <v>124.96</v>
      </c>
      <c r="L233" s="29">
        <f t="shared" si="2"/>
        <v>289.36</v>
      </c>
      <c r="M233" s="28">
        <f t="shared" si="3"/>
        <v>28.4</v>
      </c>
      <c r="N233" s="27">
        <f t="shared" si="4"/>
        <v>192.8</v>
      </c>
    </row>
    <row r="234" spans="1:14" ht="14.4">
      <c r="A234" s="6" t="s">
        <v>1660</v>
      </c>
      <c r="B234" s="21" t="s">
        <v>1381</v>
      </c>
      <c r="E234" s="23" t="s">
        <v>1233</v>
      </c>
      <c r="F234" s="24" t="s">
        <v>1661</v>
      </c>
      <c r="G234" s="30">
        <v>284</v>
      </c>
      <c r="H234" s="30">
        <v>137</v>
      </c>
      <c r="I234" s="26"/>
      <c r="J234" s="27">
        <f t="shared" si="0"/>
        <v>164.4</v>
      </c>
      <c r="K234" s="28">
        <f t="shared" si="1"/>
        <v>124.96</v>
      </c>
      <c r="L234" s="29">
        <f t="shared" si="2"/>
        <v>289.36</v>
      </c>
      <c r="M234" s="28">
        <f t="shared" si="3"/>
        <v>28.4</v>
      </c>
      <c r="N234" s="27">
        <f t="shared" si="4"/>
        <v>192.8</v>
      </c>
    </row>
    <row r="235" spans="1:14" ht="14.4">
      <c r="A235" s="6" t="s">
        <v>1662</v>
      </c>
      <c r="B235" s="21" t="s">
        <v>1381</v>
      </c>
      <c r="E235" s="23" t="s">
        <v>1231</v>
      </c>
      <c r="F235" s="26" t="s">
        <v>1663</v>
      </c>
      <c r="G235" s="30">
        <v>284</v>
      </c>
      <c r="H235" s="30">
        <v>137</v>
      </c>
      <c r="I235" s="26"/>
      <c r="J235" s="27">
        <f t="shared" si="0"/>
        <v>164.4</v>
      </c>
      <c r="K235" s="28">
        <f t="shared" si="1"/>
        <v>124.96</v>
      </c>
      <c r="L235" s="29">
        <f t="shared" si="2"/>
        <v>289.36</v>
      </c>
      <c r="M235" s="28">
        <f t="shared" si="3"/>
        <v>28.4</v>
      </c>
      <c r="N235" s="27">
        <f t="shared" si="4"/>
        <v>192.8</v>
      </c>
    </row>
    <row r="236" spans="1:14" ht="14.4">
      <c r="A236" s="6" t="s">
        <v>1229</v>
      </c>
      <c r="B236" s="21" t="s">
        <v>1381</v>
      </c>
      <c r="E236" s="23" t="s">
        <v>1231</v>
      </c>
      <c r="F236" s="24" t="s">
        <v>1664</v>
      </c>
      <c r="G236" s="25">
        <v>280</v>
      </c>
      <c r="H236" s="25">
        <v>143</v>
      </c>
      <c r="I236" s="26"/>
      <c r="J236" s="27">
        <f t="shared" si="0"/>
        <v>171.6</v>
      </c>
      <c r="K236" s="28">
        <f t="shared" si="1"/>
        <v>123.2</v>
      </c>
      <c r="L236" s="29">
        <f t="shared" si="2"/>
        <v>294.8</v>
      </c>
      <c r="M236" s="28">
        <f t="shared" si="3"/>
        <v>28</v>
      </c>
      <c r="N236" s="27">
        <f t="shared" si="4"/>
        <v>199.6</v>
      </c>
    </row>
    <row r="237" spans="1:14" ht="14.4">
      <c r="A237" s="6" t="s">
        <v>764</v>
      </c>
      <c r="B237" s="21" t="s">
        <v>1544</v>
      </c>
      <c r="E237" s="16" t="s">
        <v>1233</v>
      </c>
      <c r="F237" s="32" t="s">
        <v>1665</v>
      </c>
      <c r="G237" s="25">
        <v>280</v>
      </c>
      <c r="H237" s="25">
        <v>137</v>
      </c>
      <c r="I237" s="26"/>
      <c r="J237" s="27">
        <f t="shared" si="0"/>
        <v>164.4</v>
      </c>
      <c r="K237" s="28">
        <f t="shared" si="1"/>
        <v>123.2</v>
      </c>
      <c r="L237" s="29">
        <f t="shared" si="2"/>
        <v>287.60000000000002</v>
      </c>
      <c r="M237" s="28">
        <f t="shared" si="3"/>
        <v>28</v>
      </c>
      <c r="N237" s="27">
        <f t="shared" si="4"/>
        <v>192.4</v>
      </c>
    </row>
    <row r="238" spans="1:14" ht="14.4">
      <c r="A238" s="6" t="s">
        <v>829</v>
      </c>
      <c r="B238" s="21" t="s">
        <v>1666</v>
      </c>
      <c r="E238" s="16" t="s">
        <v>1233</v>
      </c>
      <c r="F238" s="32" t="s">
        <v>1667</v>
      </c>
      <c r="G238" s="25">
        <v>280</v>
      </c>
      <c r="H238" s="25">
        <v>172</v>
      </c>
      <c r="I238" s="26"/>
      <c r="J238" s="27">
        <f t="shared" si="0"/>
        <v>206.4</v>
      </c>
      <c r="K238" s="28">
        <f t="shared" si="1"/>
        <v>123.2</v>
      </c>
      <c r="L238" s="29">
        <f t="shared" si="2"/>
        <v>329.6</v>
      </c>
      <c r="M238" s="28">
        <f t="shared" si="3"/>
        <v>28</v>
      </c>
      <c r="N238" s="27">
        <f t="shared" si="4"/>
        <v>234.4</v>
      </c>
    </row>
    <row r="239" spans="1:14" ht="14.4">
      <c r="A239" s="6" t="s">
        <v>447</v>
      </c>
      <c r="B239" s="21" t="s">
        <v>1666</v>
      </c>
      <c r="E239" s="23" t="s">
        <v>1231</v>
      </c>
      <c r="F239" s="26" t="s">
        <v>1668</v>
      </c>
      <c r="G239" s="30">
        <v>280</v>
      </c>
      <c r="H239" s="30">
        <v>187</v>
      </c>
      <c r="I239" s="26"/>
      <c r="J239" s="27">
        <f t="shared" si="0"/>
        <v>224.4</v>
      </c>
      <c r="K239" s="28">
        <f t="shared" si="1"/>
        <v>123.2</v>
      </c>
      <c r="L239" s="29">
        <f t="shared" si="2"/>
        <v>347.6</v>
      </c>
      <c r="M239" s="28">
        <f t="shared" si="3"/>
        <v>28</v>
      </c>
      <c r="N239" s="27">
        <f t="shared" si="4"/>
        <v>252.4</v>
      </c>
    </row>
    <row r="240" spans="1:14" ht="14.4">
      <c r="A240" s="6" t="s">
        <v>1669</v>
      </c>
      <c r="B240" s="21" t="s">
        <v>1670</v>
      </c>
      <c r="E240" s="23" t="s">
        <v>1233</v>
      </c>
      <c r="F240" s="24" t="s">
        <v>1671</v>
      </c>
      <c r="G240" s="30">
        <v>270</v>
      </c>
      <c r="H240" s="30">
        <v>350</v>
      </c>
      <c r="I240" s="26"/>
      <c r="J240" s="27">
        <f t="shared" si="0"/>
        <v>420</v>
      </c>
      <c r="K240" s="28">
        <f t="shared" si="1"/>
        <v>118.8</v>
      </c>
      <c r="L240" s="29">
        <f t="shared" si="2"/>
        <v>538.79999999999995</v>
      </c>
      <c r="M240" s="28">
        <f t="shared" si="3"/>
        <v>27</v>
      </c>
      <c r="N240" s="27">
        <f t="shared" si="4"/>
        <v>447</v>
      </c>
    </row>
    <row r="241" spans="1:14" ht="14.4">
      <c r="A241" s="6" t="s">
        <v>215</v>
      </c>
      <c r="B241" s="21" t="s">
        <v>1672</v>
      </c>
      <c r="E241" s="23" t="s">
        <v>1233</v>
      </c>
      <c r="F241" s="24" t="s">
        <v>1673</v>
      </c>
      <c r="G241" s="25">
        <v>265</v>
      </c>
      <c r="H241" s="25">
        <v>208</v>
      </c>
      <c r="I241" s="26"/>
      <c r="J241" s="27">
        <f t="shared" si="0"/>
        <v>249.6</v>
      </c>
      <c r="K241" s="28">
        <f t="shared" si="1"/>
        <v>116.6</v>
      </c>
      <c r="L241" s="29">
        <f t="shared" si="2"/>
        <v>366.2</v>
      </c>
      <c r="M241" s="28">
        <f t="shared" si="3"/>
        <v>26.5</v>
      </c>
      <c r="N241" s="27">
        <f t="shared" si="4"/>
        <v>276.10000000000002</v>
      </c>
    </row>
    <row r="242" spans="1:14" ht="14.4">
      <c r="A242" s="6" t="s">
        <v>605</v>
      </c>
      <c r="B242" s="21" t="s">
        <v>1201</v>
      </c>
      <c r="E242" s="23" t="s">
        <v>1233</v>
      </c>
      <c r="F242" s="24" t="s">
        <v>1563</v>
      </c>
      <c r="G242" s="25">
        <v>260</v>
      </c>
      <c r="H242" s="25">
        <v>128</v>
      </c>
      <c r="I242" s="26"/>
      <c r="J242" s="27">
        <f t="shared" si="0"/>
        <v>153.6</v>
      </c>
      <c r="K242" s="28">
        <f t="shared" si="1"/>
        <v>114.4</v>
      </c>
      <c r="L242" s="29">
        <f t="shared" si="2"/>
        <v>268</v>
      </c>
      <c r="M242" s="28">
        <f t="shared" si="3"/>
        <v>26</v>
      </c>
      <c r="N242" s="27">
        <f t="shared" si="4"/>
        <v>179.6</v>
      </c>
    </row>
    <row r="243" spans="1:14" ht="14.4">
      <c r="A243" s="6" t="s">
        <v>1049</v>
      </c>
      <c r="B243" s="21" t="s">
        <v>1674</v>
      </c>
      <c r="E243" s="23" t="s">
        <v>1233</v>
      </c>
      <c r="F243" s="24" t="s">
        <v>1571</v>
      </c>
      <c r="G243" s="25">
        <v>260</v>
      </c>
      <c r="H243" s="25">
        <v>128</v>
      </c>
      <c r="I243" s="26"/>
      <c r="J243" s="27">
        <f t="shared" si="0"/>
        <v>153.6</v>
      </c>
      <c r="K243" s="28">
        <f t="shared" si="1"/>
        <v>114.4</v>
      </c>
      <c r="L243" s="29">
        <f t="shared" si="2"/>
        <v>268</v>
      </c>
      <c r="M243" s="28">
        <f t="shared" si="3"/>
        <v>26</v>
      </c>
      <c r="N243" s="27">
        <f t="shared" si="4"/>
        <v>179.6</v>
      </c>
    </row>
    <row r="244" spans="1:14" ht="14.4">
      <c r="A244" s="6" t="s">
        <v>1675</v>
      </c>
      <c r="B244" s="21" t="s">
        <v>1676</v>
      </c>
      <c r="E244" s="23" t="s">
        <v>1233</v>
      </c>
      <c r="F244" s="24" t="s">
        <v>1577</v>
      </c>
      <c r="G244" s="25">
        <v>260</v>
      </c>
      <c r="H244" s="25">
        <v>128</v>
      </c>
      <c r="I244" s="26"/>
      <c r="J244" s="27">
        <f t="shared" si="0"/>
        <v>153.6</v>
      </c>
      <c r="K244" s="28">
        <f t="shared" si="1"/>
        <v>114.4</v>
      </c>
      <c r="L244" s="29">
        <f t="shared" si="2"/>
        <v>268</v>
      </c>
      <c r="M244" s="28">
        <f t="shared" si="3"/>
        <v>26</v>
      </c>
      <c r="N244" s="27">
        <f t="shared" si="4"/>
        <v>179.6</v>
      </c>
    </row>
    <row r="245" spans="1:14" ht="14.4">
      <c r="A245" s="6" t="s">
        <v>1094</v>
      </c>
      <c r="B245" s="21" t="s">
        <v>1677</v>
      </c>
      <c r="E245" s="23" t="s">
        <v>1233</v>
      </c>
      <c r="F245" s="24" t="s">
        <v>1580</v>
      </c>
      <c r="G245" s="25">
        <v>260</v>
      </c>
      <c r="H245" s="25">
        <v>128</v>
      </c>
      <c r="I245" s="26"/>
      <c r="J245" s="27">
        <f t="shared" si="0"/>
        <v>153.6</v>
      </c>
      <c r="K245" s="28">
        <f t="shared" si="1"/>
        <v>114.4</v>
      </c>
      <c r="L245" s="29">
        <f t="shared" si="2"/>
        <v>268</v>
      </c>
      <c r="M245" s="28">
        <f t="shared" si="3"/>
        <v>26</v>
      </c>
      <c r="N245" s="27">
        <f t="shared" si="4"/>
        <v>179.6</v>
      </c>
    </row>
    <row r="246" spans="1:14" ht="14.4">
      <c r="A246" s="6" t="s">
        <v>325</v>
      </c>
      <c r="B246" s="21" t="s">
        <v>1678</v>
      </c>
      <c r="E246" s="23" t="s">
        <v>1233</v>
      </c>
      <c r="F246" s="24" t="s">
        <v>1353</v>
      </c>
      <c r="G246" s="30">
        <v>260</v>
      </c>
      <c r="H246" s="30">
        <v>50</v>
      </c>
      <c r="I246" s="26"/>
      <c r="J246" s="27">
        <f t="shared" si="0"/>
        <v>60</v>
      </c>
      <c r="K246" s="28">
        <f t="shared" si="1"/>
        <v>114.4</v>
      </c>
      <c r="L246" s="29">
        <f t="shared" si="2"/>
        <v>174.4</v>
      </c>
      <c r="M246" s="28">
        <f t="shared" si="3"/>
        <v>26</v>
      </c>
      <c r="N246" s="27">
        <f t="shared" si="4"/>
        <v>86</v>
      </c>
    </row>
    <row r="247" spans="1:14" ht="14.4">
      <c r="A247" s="6" t="s">
        <v>424</v>
      </c>
      <c r="B247" s="21" t="s">
        <v>1679</v>
      </c>
      <c r="E247" s="23" t="s">
        <v>1231</v>
      </c>
      <c r="F247" s="24" t="s">
        <v>1680</v>
      </c>
      <c r="G247" s="30">
        <v>260</v>
      </c>
      <c r="H247" s="30">
        <v>255</v>
      </c>
      <c r="I247" s="26"/>
      <c r="J247" s="27">
        <f t="shared" si="0"/>
        <v>306</v>
      </c>
      <c r="K247" s="28">
        <f t="shared" si="1"/>
        <v>114.4</v>
      </c>
      <c r="L247" s="29">
        <f t="shared" si="2"/>
        <v>420.4</v>
      </c>
      <c r="M247" s="28">
        <f t="shared" si="3"/>
        <v>26</v>
      </c>
      <c r="N247" s="27">
        <f t="shared" si="4"/>
        <v>332</v>
      </c>
    </row>
    <row r="248" spans="1:14" ht="14.4">
      <c r="A248" s="6" t="s">
        <v>441</v>
      </c>
      <c r="B248" s="21" t="s">
        <v>1681</v>
      </c>
      <c r="E248" s="23" t="s">
        <v>1233</v>
      </c>
      <c r="F248" s="24" t="s">
        <v>1682</v>
      </c>
      <c r="G248" s="25">
        <v>250</v>
      </c>
      <c r="H248" s="25">
        <v>90</v>
      </c>
      <c r="I248" s="26"/>
      <c r="J248" s="27">
        <f t="shared" si="0"/>
        <v>108</v>
      </c>
      <c r="K248" s="28">
        <f t="shared" si="1"/>
        <v>110</v>
      </c>
      <c r="L248" s="29">
        <f t="shared" si="2"/>
        <v>218</v>
      </c>
      <c r="M248" s="28">
        <f t="shared" si="3"/>
        <v>25</v>
      </c>
      <c r="N248" s="27">
        <f t="shared" si="4"/>
        <v>133</v>
      </c>
    </row>
    <row r="249" spans="1:14" ht="14.4">
      <c r="A249" s="6" t="s">
        <v>450</v>
      </c>
      <c r="B249" s="21" t="s">
        <v>1683</v>
      </c>
      <c r="E249" s="23" t="s">
        <v>1231</v>
      </c>
      <c r="F249" s="24" t="s">
        <v>1684</v>
      </c>
      <c r="G249" s="25">
        <v>250</v>
      </c>
      <c r="H249" s="25">
        <v>119</v>
      </c>
      <c r="I249" s="26"/>
      <c r="J249" s="27">
        <f t="shared" si="0"/>
        <v>142.80000000000001</v>
      </c>
      <c r="K249" s="28">
        <f t="shared" si="1"/>
        <v>110</v>
      </c>
      <c r="L249" s="29">
        <f t="shared" si="2"/>
        <v>252.8</v>
      </c>
      <c r="M249" s="28">
        <f t="shared" si="3"/>
        <v>25</v>
      </c>
      <c r="N249" s="27">
        <f t="shared" si="4"/>
        <v>167.8</v>
      </c>
    </row>
    <row r="250" spans="1:14" ht="14.4">
      <c r="A250" s="6" t="s">
        <v>390</v>
      </c>
      <c r="B250" s="21" t="s">
        <v>1685</v>
      </c>
      <c r="E250" s="33" t="s">
        <v>1233</v>
      </c>
      <c r="F250" s="24" t="s">
        <v>1686</v>
      </c>
      <c r="G250" s="30">
        <v>200</v>
      </c>
      <c r="H250" s="30">
        <v>295.61</v>
      </c>
      <c r="I250" s="26"/>
      <c r="J250" s="27">
        <f t="shared" si="0"/>
        <v>354.73200000000003</v>
      </c>
      <c r="K250" s="28">
        <f t="shared" si="1"/>
        <v>88</v>
      </c>
      <c r="L250" s="29">
        <f t="shared" si="2"/>
        <v>442.73200000000003</v>
      </c>
      <c r="M250" s="28">
        <f t="shared" si="3"/>
        <v>20</v>
      </c>
      <c r="N250" s="27">
        <f t="shared" si="4"/>
        <v>374.73200000000003</v>
      </c>
    </row>
    <row r="251" spans="1:14" ht="14.4">
      <c r="A251" s="6" t="s">
        <v>328</v>
      </c>
      <c r="B251" s="21" t="s">
        <v>1687</v>
      </c>
      <c r="E251" s="23" t="s">
        <v>1231</v>
      </c>
      <c r="F251" s="26" t="s">
        <v>1688</v>
      </c>
      <c r="G251" s="36">
        <v>460</v>
      </c>
      <c r="H251" s="30">
        <v>118</v>
      </c>
      <c r="I251" s="26"/>
      <c r="J251" s="34">
        <f t="shared" si="0"/>
        <v>141.6</v>
      </c>
      <c r="K251" s="28">
        <f t="shared" si="1"/>
        <v>202.4</v>
      </c>
      <c r="L251" s="35">
        <f t="shared" si="2"/>
        <v>344</v>
      </c>
      <c r="M251" s="28">
        <f t="shared" si="3"/>
        <v>46</v>
      </c>
      <c r="N251" s="34">
        <f t="shared" si="4"/>
        <v>187.6</v>
      </c>
    </row>
    <row r="252" spans="1:14" ht="14.4">
      <c r="A252" s="6" t="s">
        <v>803</v>
      </c>
      <c r="B252" s="21" t="s">
        <v>1689</v>
      </c>
      <c r="E252" s="16" t="s">
        <v>1233</v>
      </c>
      <c r="F252" s="32" t="s">
        <v>1690</v>
      </c>
      <c r="G252" s="25">
        <v>245</v>
      </c>
      <c r="H252" s="25">
        <v>123.2</v>
      </c>
      <c r="I252" s="26"/>
      <c r="J252" s="27">
        <f t="shared" si="0"/>
        <v>147.84</v>
      </c>
      <c r="K252" s="28">
        <f t="shared" si="1"/>
        <v>107.8</v>
      </c>
      <c r="L252" s="29">
        <f t="shared" si="2"/>
        <v>255.64</v>
      </c>
      <c r="M252" s="28">
        <f t="shared" si="3"/>
        <v>24.5</v>
      </c>
      <c r="N252" s="27">
        <f t="shared" si="4"/>
        <v>172.34</v>
      </c>
    </row>
    <row r="253" spans="1:14" ht="14.4">
      <c r="A253" s="6" t="s">
        <v>313</v>
      </c>
      <c r="B253" s="21" t="s">
        <v>1691</v>
      </c>
      <c r="E253" s="16" t="s">
        <v>1233</v>
      </c>
      <c r="F253" s="24" t="s">
        <v>1642</v>
      </c>
      <c r="G253" s="30">
        <v>245</v>
      </c>
      <c r="H253" s="30">
        <v>50</v>
      </c>
      <c r="I253" s="26"/>
      <c r="J253" s="27">
        <f t="shared" si="0"/>
        <v>60</v>
      </c>
      <c r="K253" s="28">
        <f t="shared" si="1"/>
        <v>107.8</v>
      </c>
      <c r="L253" s="29">
        <f t="shared" si="2"/>
        <v>167.8</v>
      </c>
      <c r="M253" s="28">
        <f t="shared" si="3"/>
        <v>24.5</v>
      </c>
      <c r="N253" s="27">
        <f t="shared" si="4"/>
        <v>84.5</v>
      </c>
    </row>
    <row r="254" spans="1:14" ht="14.4">
      <c r="A254" s="6" t="s">
        <v>355</v>
      </c>
      <c r="B254" s="21" t="s">
        <v>1692</v>
      </c>
      <c r="E254" s="16" t="s">
        <v>1233</v>
      </c>
      <c r="F254" s="24" t="s">
        <v>1693</v>
      </c>
      <c r="G254" s="30">
        <v>245</v>
      </c>
      <c r="H254" s="30">
        <v>180</v>
      </c>
      <c r="I254" s="26"/>
      <c r="J254" s="27">
        <f t="shared" si="0"/>
        <v>216</v>
      </c>
      <c r="K254" s="28">
        <f t="shared" si="1"/>
        <v>107.8</v>
      </c>
      <c r="L254" s="29">
        <f t="shared" si="2"/>
        <v>323.8</v>
      </c>
      <c r="M254" s="28">
        <f t="shared" si="3"/>
        <v>24.5</v>
      </c>
      <c r="N254" s="27">
        <f t="shared" si="4"/>
        <v>240.5</v>
      </c>
    </row>
    <row r="255" spans="1:14" ht="14.4">
      <c r="A255" s="6" t="s">
        <v>415</v>
      </c>
      <c r="B255" s="21" t="s">
        <v>1694</v>
      </c>
      <c r="E255" s="23" t="s">
        <v>1231</v>
      </c>
      <c r="F255" s="24" t="s">
        <v>1695</v>
      </c>
      <c r="G255" s="25">
        <v>240</v>
      </c>
      <c r="H255" s="25">
        <v>186</v>
      </c>
      <c r="I255" s="26"/>
      <c r="J255" s="34">
        <f t="shared" si="0"/>
        <v>223.2</v>
      </c>
      <c r="K255" s="28">
        <f t="shared" si="1"/>
        <v>105.6</v>
      </c>
      <c r="L255" s="35">
        <f t="shared" si="2"/>
        <v>328.79999999999995</v>
      </c>
      <c r="M255" s="28">
        <f t="shared" si="3"/>
        <v>24</v>
      </c>
      <c r="N255" s="34">
        <f t="shared" si="4"/>
        <v>247.2</v>
      </c>
    </row>
    <row r="256" spans="1:14" ht="14.4">
      <c r="A256" s="6" t="s">
        <v>331</v>
      </c>
      <c r="B256" s="21" t="s">
        <v>1696</v>
      </c>
      <c r="E256" s="23" t="s">
        <v>1233</v>
      </c>
      <c r="F256" s="24" t="s">
        <v>1697</v>
      </c>
      <c r="G256" s="30">
        <v>240</v>
      </c>
      <c r="H256" s="30">
        <v>330</v>
      </c>
      <c r="I256" s="26"/>
      <c r="J256" s="27">
        <f t="shared" si="0"/>
        <v>396</v>
      </c>
      <c r="K256" s="28">
        <f t="shared" si="1"/>
        <v>105.6</v>
      </c>
      <c r="L256" s="29">
        <f t="shared" si="2"/>
        <v>501.6</v>
      </c>
      <c r="M256" s="28">
        <f t="shared" si="3"/>
        <v>24</v>
      </c>
      <c r="N256" s="27">
        <f t="shared" si="4"/>
        <v>420</v>
      </c>
    </row>
    <row r="257" spans="1:14" ht="14.4">
      <c r="A257" s="6" t="s">
        <v>470</v>
      </c>
      <c r="B257" s="21" t="s">
        <v>1698</v>
      </c>
      <c r="E257" s="23" t="s">
        <v>1231</v>
      </c>
      <c r="F257" s="24" t="s">
        <v>570</v>
      </c>
      <c r="G257" s="36">
        <v>240</v>
      </c>
      <c r="H257" s="30">
        <v>255</v>
      </c>
      <c r="I257" s="26"/>
      <c r="J257" s="27">
        <f t="shared" ref="J257:J511" si="5">SUM(H257*20%+H257)</f>
        <v>306</v>
      </c>
      <c r="K257" s="28">
        <f t="shared" ref="K257:K511" si="6">G257*440/1000</f>
        <v>105.6</v>
      </c>
      <c r="L257" s="29">
        <f t="shared" ref="L257:L511" si="7">J257+K257</f>
        <v>411.6</v>
      </c>
      <c r="M257" s="28">
        <f t="shared" ref="M257:M511" si="8">G257*100/1000</f>
        <v>24</v>
      </c>
      <c r="N257" s="27">
        <f t="shared" ref="N257:N511" si="9">J257+M257</f>
        <v>330</v>
      </c>
    </row>
    <row r="258" spans="1:14" ht="14.4">
      <c r="A258" s="6" t="s">
        <v>613</v>
      </c>
      <c r="B258" s="21" t="s">
        <v>1699</v>
      </c>
      <c r="E258" s="23" t="s">
        <v>1233</v>
      </c>
      <c r="F258" s="24" t="s">
        <v>1700</v>
      </c>
      <c r="G258" s="30">
        <v>235</v>
      </c>
      <c r="H258" s="30">
        <v>267</v>
      </c>
      <c r="I258" s="26"/>
      <c r="J258" s="27">
        <f t="shared" si="5"/>
        <v>320.39999999999998</v>
      </c>
      <c r="K258" s="28">
        <f t="shared" si="6"/>
        <v>103.4</v>
      </c>
      <c r="L258" s="29">
        <f t="shared" si="7"/>
        <v>423.79999999999995</v>
      </c>
      <c r="M258" s="28">
        <f t="shared" si="8"/>
        <v>23.5</v>
      </c>
      <c r="N258" s="27">
        <f t="shared" si="9"/>
        <v>343.9</v>
      </c>
    </row>
    <row r="259" spans="1:14" ht="14.4">
      <c r="A259" s="6" t="s">
        <v>515</v>
      </c>
      <c r="B259" s="21" t="s">
        <v>1701</v>
      </c>
      <c r="E259" s="23" t="s">
        <v>1233</v>
      </c>
      <c r="F259" s="32" t="s">
        <v>1666</v>
      </c>
      <c r="G259" s="25">
        <v>230</v>
      </c>
      <c r="H259" s="25">
        <v>255</v>
      </c>
      <c r="I259" s="26"/>
      <c r="J259" s="27">
        <f t="shared" si="5"/>
        <v>306</v>
      </c>
      <c r="K259" s="28">
        <f t="shared" si="6"/>
        <v>101.2</v>
      </c>
      <c r="L259" s="29">
        <f t="shared" si="7"/>
        <v>407.2</v>
      </c>
      <c r="M259" s="28">
        <f t="shared" si="8"/>
        <v>23</v>
      </c>
      <c r="N259" s="27">
        <f t="shared" si="9"/>
        <v>329</v>
      </c>
    </row>
    <row r="260" spans="1:14" ht="14.4">
      <c r="A260" s="6" t="s">
        <v>1702</v>
      </c>
      <c r="B260" s="21" t="s">
        <v>1703</v>
      </c>
      <c r="E260" s="23" t="s">
        <v>1233</v>
      </c>
      <c r="F260" s="24" t="s">
        <v>234</v>
      </c>
      <c r="G260" s="25">
        <v>230</v>
      </c>
      <c r="H260" s="25">
        <v>22</v>
      </c>
      <c r="I260" s="26"/>
      <c r="J260" s="34">
        <f t="shared" si="5"/>
        <v>26.4</v>
      </c>
      <c r="K260" s="28">
        <f t="shared" si="6"/>
        <v>101.2</v>
      </c>
      <c r="L260" s="35">
        <f t="shared" si="7"/>
        <v>127.6</v>
      </c>
      <c r="M260" s="28">
        <f t="shared" si="8"/>
        <v>23</v>
      </c>
      <c r="N260" s="34">
        <f t="shared" si="9"/>
        <v>49.4</v>
      </c>
    </row>
    <row r="261" spans="1:14" ht="14.4">
      <c r="A261" s="6" t="s">
        <v>956</v>
      </c>
      <c r="B261" s="21" t="s">
        <v>1200</v>
      </c>
      <c r="E261" s="23" t="s">
        <v>1233</v>
      </c>
      <c r="F261" s="24" t="s">
        <v>1704</v>
      </c>
      <c r="G261" s="30">
        <v>230</v>
      </c>
      <c r="H261" s="30">
        <v>550</v>
      </c>
      <c r="I261" s="26"/>
      <c r="J261" s="27">
        <f t="shared" si="5"/>
        <v>660</v>
      </c>
      <c r="K261" s="28">
        <f t="shared" si="6"/>
        <v>101.2</v>
      </c>
      <c r="L261" s="29">
        <f t="shared" si="7"/>
        <v>761.2</v>
      </c>
      <c r="M261" s="28">
        <f t="shared" si="8"/>
        <v>23</v>
      </c>
      <c r="N261" s="27">
        <f t="shared" si="9"/>
        <v>683</v>
      </c>
    </row>
    <row r="262" spans="1:14" ht="14.4">
      <c r="A262" s="6" t="s">
        <v>1705</v>
      </c>
      <c r="B262" s="21" t="s">
        <v>1706</v>
      </c>
      <c r="E262" s="23" t="s">
        <v>1233</v>
      </c>
      <c r="F262" s="24" t="s">
        <v>1707</v>
      </c>
      <c r="G262" s="30">
        <v>230</v>
      </c>
      <c r="H262" s="30">
        <v>550</v>
      </c>
      <c r="I262" s="26"/>
      <c r="J262" s="27">
        <f t="shared" si="5"/>
        <v>660</v>
      </c>
      <c r="K262" s="28">
        <f t="shared" si="6"/>
        <v>101.2</v>
      </c>
      <c r="L262" s="29">
        <f t="shared" si="7"/>
        <v>761.2</v>
      </c>
      <c r="M262" s="28">
        <f t="shared" si="8"/>
        <v>23</v>
      </c>
      <c r="N262" s="27">
        <f t="shared" si="9"/>
        <v>683</v>
      </c>
    </row>
    <row r="263" spans="1:14" ht="14.4">
      <c r="A263" s="6" t="s">
        <v>1708</v>
      </c>
      <c r="B263" s="21" t="s">
        <v>1709</v>
      </c>
      <c r="E263" s="23" t="s">
        <v>1233</v>
      </c>
      <c r="F263" s="24" t="s">
        <v>912</v>
      </c>
      <c r="G263" s="30">
        <v>230</v>
      </c>
      <c r="H263" s="30">
        <v>550</v>
      </c>
      <c r="I263" s="26"/>
      <c r="J263" s="27">
        <f t="shared" si="5"/>
        <v>660</v>
      </c>
      <c r="K263" s="28">
        <f t="shared" si="6"/>
        <v>101.2</v>
      </c>
      <c r="L263" s="29">
        <f t="shared" si="7"/>
        <v>761.2</v>
      </c>
      <c r="M263" s="28">
        <f t="shared" si="8"/>
        <v>23</v>
      </c>
      <c r="N263" s="27">
        <f t="shared" si="9"/>
        <v>683</v>
      </c>
    </row>
    <row r="264" spans="1:14" ht="14.4">
      <c r="A264" s="6" t="s">
        <v>1710</v>
      </c>
      <c r="B264" s="21" t="s">
        <v>1711</v>
      </c>
      <c r="E264" s="23" t="s">
        <v>1233</v>
      </c>
      <c r="F264" s="24" t="s">
        <v>1712</v>
      </c>
      <c r="G264" s="30">
        <v>230</v>
      </c>
      <c r="H264" s="30">
        <v>170</v>
      </c>
      <c r="I264" s="26"/>
      <c r="J264" s="27">
        <f t="shared" si="5"/>
        <v>204</v>
      </c>
      <c r="K264" s="28">
        <f t="shared" si="6"/>
        <v>101.2</v>
      </c>
      <c r="L264" s="29">
        <f t="shared" si="7"/>
        <v>305.2</v>
      </c>
      <c r="M264" s="28">
        <f t="shared" si="8"/>
        <v>23</v>
      </c>
      <c r="N264" s="27">
        <f t="shared" si="9"/>
        <v>227</v>
      </c>
    </row>
    <row r="265" spans="1:14" ht="14.4">
      <c r="A265" s="6" t="s">
        <v>1713</v>
      </c>
      <c r="B265" s="21" t="s">
        <v>1714</v>
      </c>
      <c r="E265" s="23" t="s">
        <v>1231</v>
      </c>
      <c r="F265" s="24" t="s">
        <v>1715</v>
      </c>
      <c r="G265" s="25">
        <v>220</v>
      </c>
      <c r="H265" s="25">
        <v>92</v>
      </c>
      <c r="I265" s="26"/>
      <c r="J265" s="34">
        <f t="shared" si="5"/>
        <v>110.4</v>
      </c>
      <c r="K265" s="28">
        <f t="shared" si="6"/>
        <v>96.8</v>
      </c>
      <c r="L265" s="35">
        <f t="shared" si="7"/>
        <v>207.2</v>
      </c>
      <c r="M265" s="28">
        <f t="shared" si="8"/>
        <v>22</v>
      </c>
      <c r="N265" s="34">
        <f t="shared" si="9"/>
        <v>132.4</v>
      </c>
    </row>
    <row r="266" spans="1:14" ht="14.4">
      <c r="A266" s="6" t="s">
        <v>1716</v>
      </c>
      <c r="B266" s="21" t="s">
        <v>1717</v>
      </c>
      <c r="E266" s="23" t="s">
        <v>1233</v>
      </c>
      <c r="F266" s="32" t="s">
        <v>1718</v>
      </c>
      <c r="G266" s="25">
        <v>220</v>
      </c>
      <c r="H266" s="25">
        <v>134.4</v>
      </c>
      <c r="I266" s="26"/>
      <c r="J266" s="27">
        <f t="shared" si="5"/>
        <v>161.28</v>
      </c>
      <c r="K266" s="28">
        <f t="shared" si="6"/>
        <v>96.8</v>
      </c>
      <c r="L266" s="29">
        <f t="shared" si="7"/>
        <v>258.08</v>
      </c>
      <c r="M266" s="28">
        <f t="shared" si="8"/>
        <v>22</v>
      </c>
      <c r="N266" s="27">
        <f t="shared" si="9"/>
        <v>183.28</v>
      </c>
    </row>
    <row r="267" spans="1:14" ht="14.4">
      <c r="A267" s="6" t="s">
        <v>1719</v>
      </c>
      <c r="B267" s="21" t="s">
        <v>1720</v>
      </c>
      <c r="E267" s="23" t="s">
        <v>1233</v>
      </c>
      <c r="F267" s="24" t="s">
        <v>678</v>
      </c>
      <c r="G267" s="25">
        <v>220</v>
      </c>
      <c r="H267" s="25">
        <v>97</v>
      </c>
      <c r="I267" s="26"/>
      <c r="J267" s="27">
        <f t="shared" si="5"/>
        <v>116.4</v>
      </c>
      <c r="K267" s="28">
        <f t="shared" si="6"/>
        <v>96.8</v>
      </c>
      <c r="L267" s="29">
        <f t="shared" si="7"/>
        <v>213.2</v>
      </c>
      <c r="M267" s="28">
        <f t="shared" si="8"/>
        <v>22</v>
      </c>
      <c r="N267" s="27">
        <f t="shared" si="9"/>
        <v>138.4</v>
      </c>
    </row>
    <row r="268" spans="1:14" ht="14.4">
      <c r="A268" s="6" t="s">
        <v>18</v>
      </c>
      <c r="B268" s="21" t="s">
        <v>1720</v>
      </c>
      <c r="E268" s="23" t="s">
        <v>1233</v>
      </c>
      <c r="F268" s="24" t="s">
        <v>690</v>
      </c>
      <c r="G268" s="25">
        <v>220</v>
      </c>
      <c r="H268" s="25">
        <v>97</v>
      </c>
      <c r="I268" s="26"/>
      <c r="J268" s="27">
        <f t="shared" si="5"/>
        <v>116.4</v>
      </c>
      <c r="K268" s="28">
        <f t="shared" si="6"/>
        <v>96.8</v>
      </c>
      <c r="L268" s="29">
        <f t="shared" si="7"/>
        <v>213.2</v>
      </c>
      <c r="M268" s="28">
        <f t="shared" si="8"/>
        <v>22</v>
      </c>
      <c r="N268" s="27">
        <f t="shared" si="9"/>
        <v>138.4</v>
      </c>
    </row>
    <row r="269" spans="1:14" ht="14.4">
      <c r="A269" s="6" t="s">
        <v>1721</v>
      </c>
      <c r="B269" s="21" t="s">
        <v>1720</v>
      </c>
      <c r="E269" s="23" t="s">
        <v>1233</v>
      </c>
      <c r="F269" s="24" t="s">
        <v>1722</v>
      </c>
      <c r="G269" s="25">
        <v>220</v>
      </c>
      <c r="H269" s="25">
        <v>97</v>
      </c>
      <c r="I269" s="26"/>
      <c r="J269" s="27">
        <f t="shared" si="5"/>
        <v>116.4</v>
      </c>
      <c r="K269" s="28">
        <f t="shared" si="6"/>
        <v>96.8</v>
      </c>
      <c r="L269" s="29">
        <f t="shared" si="7"/>
        <v>213.2</v>
      </c>
      <c r="M269" s="28">
        <f t="shared" si="8"/>
        <v>22</v>
      </c>
      <c r="N269" s="27">
        <f t="shared" si="9"/>
        <v>138.4</v>
      </c>
    </row>
    <row r="270" spans="1:14" ht="14.4">
      <c r="A270" s="6" t="s">
        <v>1723</v>
      </c>
      <c r="B270" s="21" t="s">
        <v>1724</v>
      </c>
      <c r="E270" s="23" t="s">
        <v>1233</v>
      </c>
      <c r="F270" s="24" t="s">
        <v>1725</v>
      </c>
      <c r="G270" s="25">
        <v>220</v>
      </c>
      <c r="H270" s="25">
        <v>97</v>
      </c>
      <c r="I270" s="26"/>
      <c r="J270" s="27">
        <f t="shared" si="5"/>
        <v>116.4</v>
      </c>
      <c r="K270" s="28">
        <f t="shared" si="6"/>
        <v>96.8</v>
      </c>
      <c r="L270" s="29">
        <f t="shared" si="7"/>
        <v>213.2</v>
      </c>
      <c r="M270" s="28">
        <f t="shared" si="8"/>
        <v>22</v>
      </c>
      <c r="N270" s="27">
        <f t="shared" si="9"/>
        <v>138.4</v>
      </c>
    </row>
    <row r="271" spans="1:14" ht="14.4">
      <c r="A271" s="6" t="s">
        <v>1726</v>
      </c>
      <c r="B271" s="21" t="s">
        <v>1707</v>
      </c>
      <c r="E271" s="23" t="s">
        <v>1233</v>
      </c>
      <c r="F271" s="24" t="s">
        <v>1727</v>
      </c>
      <c r="G271" s="25">
        <v>220</v>
      </c>
      <c r="H271" s="25">
        <v>97</v>
      </c>
      <c r="I271" s="26"/>
      <c r="J271" s="27">
        <f t="shared" si="5"/>
        <v>116.4</v>
      </c>
      <c r="K271" s="28">
        <f t="shared" si="6"/>
        <v>96.8</v>
      </c>
      <c r="L271" s="29">
        <f t="shared" si="7"/>
        <v>213.2</v>
      </c>
      <c r="M271" s="28">
        <f t="shared" si="8"/>
        <v>22</v>
      </c>
      <c r="N271" s="27">
        <f t="shared" si="9"/>
        <v>138.4</v>
      </c>
    </row>
    <row r="272" spans="1:14" ht="14.4">
      <c r="A272" s="6" t="s">
        <v>1728</v>
      </c>
      <c r="B272" s="21" t="s">
        <v>1707</v>
      </c>
      <c r="E272" s="23" t="s">
        <v>1233</v>
      </c>
      <c r="F272" s="24" t="s">
        <v>1729</v>
      </c>
      <c r="G272" s="25">
        <v>220</v>
      </c>
      <c r="H272" s="25">
        <v>83</v>
      </c>
      <c r="I272" s="26"/>
      <c r="J272" s="34">
        <f t="shared" si="5"/>
        <v>99.6</v>
      </c>
      <c r="K272" s="28">
        <f t="shared" si="6"/>
        <v>96.8</v>
      </c>
      <c r="L272" s="35">
        <f t="shared" si="7"/>
        <v>196.39999999999998</v>
      </c>
      <c r="M272" s="28">
        <f t="shared" si="8"/>
        <v>22</v>
      </c>
      <c r="N272" s="34">
        <f t="shared" si="9"/>
        <v>121.6</v>
      </c>
    </row>
    <row r="273" spans="1:14" ht="14.4">
      <c r="A273" s="6" t="s">
        <v>911</v>
      </c>
      <c r="B273" s="21" t="s">
        <v>912</v>
      </c>
      <c r="E273" s="23" t="s">
        <v>1233</v>
      </c>
      <c r="F273" s="24" t="s">
        <v>561</v>
      </c>
      <c r="G273" s="25">
        <v>220</v>
      </c>
      <c r="H273" s="25">
        <v>97</v>
      </c>
      <c r="I273" s="26"/>
      <c r="J273" s="27">
        <f t="shared" si="5"/>
        <v>116.4</v>
      </c>
      <c r="K273" s="28">
        <f t="shared" si="6"/>
        <v>96.8</v>
      </c>
      <c r="L273" s="29">
        <f t="shared" si="7"/>
        <v>213.2</v>
      </c>
      <c r="M273" s="28">
        <f t="shared" si="8"/>
        <v>22</v>
      </c>
      <c r="N273" s="27">
        <f t="shared" si="9"/>
        <v>138.4</v>
      </c>
    </row>
    <row r="274" spans="1:14" ht="14.4">
      <c r="A274" s="6" t="s">
        <v>1730</v>
      </c>
      <c r="B274" s="21" t="s">
        <v>1731</v>
      </c>
      <c r="E274" s="23" t="s">
        <v>1233</v>
      </c>
      <c r="F274" s="24" t="s">
        <v>1732</v>
      </c>
      <c r="G274" s="25">
        <v>220</v>
      </c>
      <c r="H274" s="25">
        <v>97</v>
      </c>
      <c r="I274" s="26"/>
      <c r="J274" s="27">
        <f t="shared" si="5"/>
        <v>116.4</v>
      </c>
      <c r="K274" s="28">
        <f t="shared" si="6"/>
        <v>96.8</v>
      </c>
      <c r="L274" s="29">
        <f t="shared" si="7"/>
        <v>213.2</v>
      </c>
      <c r="M274" s="28">
        <f t="shared" si="8"/>
        <v>22</v>
      </c>
      <c r="N274" s="27">
        <f t="shared" si="9"/>
        <v>138.4</v>
      </c>
    </row>
    <row r="275" spans="1:14" ht="14.4">
      <c r="A275" s="6" t="s">
        <v>1040</v>
      </c>
      <c r="B275" s="21" t="s">
        <v>1041</v>
      </c>
      <c r="E275" s="23" t="s">
        <v>1233</v>
      </c>
      <c r="F275" s="24" t="s">
        <v>843</v>
      </c>
      <c r="G275" s="25">
        <v>220</v>
      </c>
      <c r="H275" s="25">
        <v>97</v>
      </c>
      <c r="I275" s="26"/>
      <c r="J275" s="27">
        <f t="shared" si="5"/>
        <v>116.4</v>
      </c>
      <c r="K275" s="28">
        <f t="shared" si="6"/>
        <v>96.8</v>
      </c>
      <c r="L275" s="29">
        <f t="shared" si="7"/>
        <v>213.2</v>
      </c>
      <c r="M275" s="28">
        <f t="shared" si="8"/>
        <v>22</v>
      </c>
      <c r="N275" s="27">
        <f t="shared" si="9"/>
        <v>138.4</v>
      </c>
    </row>
    <row r="276" spans="1:14" ht="14.4">
      <c r="A276" s="6" t="s">
        <v>977</v>
      </c>
      <c r="B276" s="21" t="s">
        <v>978</v>
      </c>
      <c r="E276" s="23" t="s">
        <v>1233</v>
      </c>
      <c r="F276" s="24" t="s">
        <v>1733</v>
      </c>
      <c r="G276" s="25">
        <v>220</v>
      </c>
      <c r="H276" s="25">
        <v>97</v>
      </c>
      <c r="I276" s="26"/>
      <c r="J276" s="27">
        <f t="shared" si="5"/>
        <v>116.4</v>
      </c>
      <c r="K276" s="28">
        <f t="shared" si="6"/>
        <v>96.8</v>
      </c>
      <c r="L276" s="29">
        <f t="shared" si="7"/>
        <v>213.2</v>
      </c>
      <c r="M276" s="28">
        <f t="shared" si="8"/>
        <v>22</v>
      </c>
      <c r="N276" s="27">
        <f t="shared" si="9"/>
        <v>138.4</v>
      </c>
    </row>
    <row r="277" spans="1:14" ht="14.4">
      <c r="A277" s="6" t="s">
        <v>1734</v>
      </c>
      <c r="B277" s="21" t="s">
        <v>1735</v>
      </c>
      <c r="E277" s="23" t="s">
        <v>1233</v>
      </c>
      <c r="F277" s="24" t="s">
        <v>1736</v>
      </c>
      <c r="G277" s="25">
        <v>220</v>
      </c>
      <c r="H277" s="25">
        <v>97</v>
      </c>
      <c r="I277" s="26"/>
      <c r="J277" s="27">
        <f t="shared" si="5"/>
        <v>116.4</v>
      </c>
      <c r="K277" s="28">
        <f t="shared" si="6"/>
        <v>96.8</v>
      </c>
      <c r="L277" s="29">
        <f t="shared" si="7"/>
        <v>213.2</v>
      </c>
      <c r="M277" s="28">
        <f t="shared" si="8"/>
        <v>22</v>
      </c>
      <c r="N277" s="27">
        <f t="shared" si="9"/>
        <v>138.4</v>
      </c>
    </row>
    <row r="278" spans="1:14" ht="14.4">
      <c r="A278" s="6" t="s">
        <v>1737</v>
      </c>
      <c r="B278" s="21" t="s">
        <v>1735</v>
      </c>
      <c r="E278" s="23" t="s">
        <v>1233</v>
      </c>
      <c r="F278" s="24" t="s">
        <v>1738</v>
      </c>
      <c r="G278" s="25">
        <v>220</v>
      </c>
      <c r="H278" s="25">
        <v>97</v>
      </c>
      <c r="I278" s="26"/>
      <c r="J278" s="27">
        <f t="shared" si="5"/>
        <v>116.4</v>
      </c>
      <c r="K278" s="28">
        <f t="shared" si="6"/>
        <v>96.8</v>
      </c>
      <c r="L278" s="29">
        <f t="shared" si="7"/>
        <v>213.2</v>
      </c>
      <c r="M278" s="28">
        <f t="shared" si="8"/>
        <v>22</v>
      </c>
      <c r="N278" s="27">
        <f t="shared" si="9"/>
        <v>138.4</v>
      </c>
    </row>
    <row r="279" spans="1:14" ht="14.4">
      <c r="A279" s="6" t="s">
        <v>925</v>
      </c>
      <c r="B279" s="21" t="s">
        <v>926</v>
      </c>
      <c r="E279" s="23" t="s">
        <v>1233</v>
      </c>
      <c r="F279" s="24" t="s">
        <v>1739</v>
      </c>
      <c r="G279" s="25">
        <v>218</v>
      </c>
      <c r="H279" s="25">
        <v>97</v>
      </c>
      <c r="I279" s="26"/>
      <c r="J279" s="27">
        <f t="shared" si="5"/>
        <v>116.4</v>
      </c>
      <c r="K279" s="28">
        <f t="shared" si="6"/>
        <v>95.92</v>
      </c>
      <c r="L279" s="29">
        <f t="shared" si="7"/>
        <v>212.32</v>
      </c>
      <c r="M279" s="28">
        <f t="shared" si="8"/>
        <v>21.8</v>
      </c>
      <c r="N279" s="27">
        <f t="shared" si="9"/>
        <v>138.20000000000002</v>
      </c>
    </row>
    <row r="280" spans="1:14" ht="14.4">
      <c r="A280" s="6" t="s">
        <v>1019</v>
      </c>
      <c r="B280" s="21" t="s">
        <v>1020</v>
      </c>
      <c r="E280" s="23" t="s">
        <v>1233</v>
      </c>
      <c r="F280" s="24" t="s">
        <v>1740</v>
      </c>
      <c r="G280" s="25">
        <v>218</v>
      </c>
      <c r="H280" s="25">
        <v>85</v>
      </c>
      <c r="I280" s="26"/>
      <c r="J280" s="34">
        <f t="shared" si="5"/>
        <v>102</v>
      </c>
      <c r="K280" s="28">
        <f t="shared" si="6"/>
        <v>95.92</v>
      </c>
      <c r="L280" s="35">
        <f t="shared" si="7"/>
        <v>197.92000000000002</v>
      </c>
      <c r="M280" s="28">
        <f t="shared" si="8"/>
        <v>21.8</v>
      </c>
      <c r="N280" s="34">
        <f t="shared" si="9"/>
        <v>123.8</v>
      </c>
    </row>
    <row r="281" spans="1:14" ht="14.4">
      <c r="A281" s="6" t="s">
        <v>1741</v>
      </c>
      <c r="B281" s="38" t="s">
        <v>1643</v>
      </c>
      <c r="E281" s="23" t="s">
        <v>1233</v>
      </c>
      <c r="F281" s="24" t="s">
        <v>1742</v>
      </c>
      <c r="G281" s="30">
        <v>218</v>
      </c>
      <c r="H281" s="30">
        <v>57.1</v>
      </c>
      <c r="I281" s="26"/>
      <c r="J281" s="27">
        <f t="shared" si="5"/>
        <v>68.52000000000001</v>
      </c>
      <c r="K281" s="28">
        <f t="shared" si="6"/>
        <v>95.92</v>
      </c>
      <c r="L281" s="29">
        <f t="shared" si="7"/>
        <v>164.44</v>
      </c>
      <c r="M281" s="28">
        <f t="shared" si="8"/>
        <v>21.8</v>
      </c>
      <c r="N281" s="27">
        <f t="shared" si="9"/>
        <v>90.320000000000007</v>
      </c>
    </row>
    <row r="282" spans="1:14" ht="14.4">
      <c r="A282" s="6" t="s">
        <v>1743</v>
      </c>
      <c r="B282" s="38" t="s">
        <v>1646</v>
      </c>
      <c r="E282" s="23" t="s">
        <v>1233</v>
      </c>
      <c r="F282" s="24" t="s">
        <v>1744</v>
      </c>
      <c r="G282" s="25">
        <v>215</v>
      </c>
      <c r="H282" s="25">
        <v>130</v>
      </c>
      <c r="I282" s="26"/>
      <c r="J282" s="27">
        <f t="shared" si="5"/>
        <v>156</v>
      </c>
      <c r="K282" s="28">
        <f t="shared" si="6"/>
        <v>94.6</v>
      </c>
      <c r="L282" s="29">
        <f t="shared" si="7"/>
        <v>250.6</v>
      </c>
      <c r="M282" s="28">
        <f t="shared" si="8"/>
        <v>21.5</v>
      </c>
      <c r="N282" s="27">
        <f t="shared" si="9"/>
        <v>177.5</v>
      </c>
    </row>
    <row r="283" spans="1:14" ht="14.4">
      <c r="A283" s="6" t="s">
        <v>1745</v>
      </c>
      <c r="B283" s="38" t="s">
        <v>1646</v>
      </c>
      <c r="E283" s="23" t="s">
        <v>1233</v>
      </c>
      <c r="F283" s="24" t="s">
        <v>1746</v>
      </c>
      <c r="G283" s="25">
        <v>210</v>
      </c>
      <c r="H283" s="25">
        <v>80</v>
      </c>
      <c r="I283" s="26"/>
      <c r="J283" s="27">
        <f t="shared" si="5"/>
        <v>96</v>
      </c>
      <c r="K283" s="28">
        <f t="shared" si="6"/>
        <v>92.4</v>
      </c>
      <c r="L283" s="29">
        <f t="shared" si="7"/>
        <v>188.4</v>
      </c>
      <c r="M283" s="28">
        <f t="shared" si="8"/>
        <v>21</v>
      </c>
      <c r="N283" s="27">
        <f t="shared" si="9"/>
        <v>117</v>
      </c>
    </row>
    <row r="284" spans="1:14" ht="14.4">
      <c r="A284" s="6" t="s">
        <v>1747</v>
      </c>
      <c r="B284" s="21" t="s">
        <v>1748</v>
      </c>
      <c r="E284" s="23" t="s">
        <v>1233</v>
      </c>
      <c r="F284" s="24" t="s">
        <v>1749</v>
      </c>
      <c r="G284" s="25">
        <v>210</v>
      </c>
      <c r="H284" s="25">
        <v>104</v>
      </c>
      <c r="I284" s="26"/>
      <c r="J284" s="27">
        <f t="shared" si="5"/>
        <v>124.8</v>
      </c>
      <c r="K284" s="28">
        <f t="shared" si="6"/>
        <v>92.4</v>
      </c>
      <c r="L284" s="29">
        <f t="shared" si="7"/>
        <v>217.2</v>
      </c>
      <c r="M284" s="28">
        <f t="shared" si="8"/>
        <v>21</v>
      </c>
      <c r="N284" s="27">
        <f t="shared" si="9"/>
        <v>145.80000000000001</v>
      </c>
    </row>
    <row r="285" spans="1:14" ht="14.4">
      <c r="A285" s="6" t="s">
        <v>839</v>
      </c>
      <c r="B285" s="21" t="s">
        <v>1748</v>
      </c>
      <c r="E285" s="23" t="s">
        <v>1233</v>
      </c>
      <c r="F285" s="24" t="s">
        <v>1750</v>
      </c>
      <c r="G285" s="25">
        <v>200</v>
      </c>
      <c r="H285" s="25">
        <v>200</v>
      </c>
      <c r="I285" s="26"/>
      <c r="J285" s="27">
        <f t="shared" si="5"/>
        <v>240</v>
      </c>
      <c r="K285" s="28">
        <f t="shared" si="6"/>
        <v>88</v>
      </c>
      <c r="L285" s="29">
        <f t="shared" si="7"/>
        <v>328</v>
      </c>
      <c r="M285" s="28">
        <f t="shared" si="8"/>
        <v>20</v>
      </c>
      <c r="N285" s="27">
        <f t="shared" si="9"/>
        <v>260</v>
      </c>
    </row>
    <row r="286" spans="1:14" ht="14.4">
      <c r="A286" s="6" t="s">
        <v>1751</v>
      </c>
      <c r="B286" s="21" t="s">
        <v>1748</v>
      </c>
      <c r="E286" s="23" t="s">
        <v>1231</v>
      </c>
      <c r="F286" s="24" t="s">
        <v>1752</v>
      </c>
      <c r="G286" s="25">
        <v>200</v>
      </c>
      <c r="H286" s="25">
        <v>149</v>
      </c>
      <c r="I286" s="26"/>
      <c r="J286" s="27">
        <f t="shared" si="5"/>
        <v>178.8</v>
      </c>
      <c r="K286" s="28">
        <f t="shared" si="6"/>
        <v>88</v>
      </c>
      <c r="L286" s="29">
        <f t="shared" si="7"/>
        <v>266.8</v>
      </c>
      <c r="M286" s="28">
        <f t="shared" si="8"/>
        <v>20</v>
      </c>
      <c r="N286" s="27">
        <f t="shared" si="9"/>
        <v>198.8</v>
      </c>
    </row>
    <row r="287" spans="1:14" ht="14.4">
      <c r="A287" s="6" t="s">
        <v>1753</v>
      </c>
      <c r="B287" s="21" t="s">
        <v>1754</v>
      </c>
      <c r="E287" s="23" t="s">
        <v>1231</v>
      </c>
      <c r="F287" s="24" t="s">
        <v>1755</v>
      </c>
      <c r="G287" s="25">
        <v>200</v>
      </c>
      <c r="H287" s="25">
        <v>122</v>
      </c>
      <c r="I287" s="26"/>
      <c r="J287" s="34">
        <f t="shared" si="5"/>
        <v>146.4</v>
      </c>
      <c r="K287" s="28">
        <f t="shared" si="6"/>
        <v>88</v>
      </c>
      <c r="L287" s="35">
        <f t="shared" si="7"/>
        <v>234.4</v>
      </c>
      <c r="M287" s="28">
        <f t="shared" si="8"/>
        <v>20</v>
      </c>
      <c r="N287" s="34">
        <f t="shared" si="9"/>
        <v>166.4</v>
      </c>
    </row>
    <row r="288" spans="1:14" ht="14.4">
      <c r="A288" s="6" t="s">
        <v>1756</v>
      </c>
      <c r="B288" s="21" t="s">
        <v>1757</v>
      </c>
      <c r="E288" s="23" t="s">
        <v>1233</v>
      </c>
      <c r="F288" s="24" t="s">
        <v>1758</v>
      </c>
      <c r="G288" s="25">
        <v>200</v>
      </c>
      <c r="H288" s="25">
        <v>200</v>
      </c>
      <c r="I288" s="26"/>
      <c r="J288" s="27">
        <f t="shared" si="5"/>
        <v>240</v>
      </c>
      <c r="K288" s="28">
        <f t="shared" si="6"/>
        <v>88</v>
      </c>
      <c r="L288" s="29">
        <f t="shared" si="7"/>
        <v>328</v>
      </c>
      <c r="M288" s="28">
        <f t="shared" si="8"/>
        <v>20</v>
      </c>
      <c r="N288" s="27">
        <f t="shared" si="9"/>
        <v>260</v>
      </c>
    </row>
    <row r="289" spans="1:14" ht="14.4">
      <c r="A289" s="6" t="s">
        <v>1759</v>
      </c>
      <c r="B289" s="21" t="s">
        <v>1757</v>
      </c>
      <c r="E289" s="23" t="s">
        <v>1233</v>
      </c>
      <c r="F289" s="24" t="s">
        <v>840</v>
      </c>
      <c r="G289" s="30">
        <v>200</v>
      </c>
      <c r="H289" s="30">
        <v>600</v>
      </c>
      <c r="I289" s="26"/>
      <c r="J289" s="27">
        <f t="shared" si="5"/>
        <v>720</v>
      </c>
      <c r="K289" s="28">
        <f t="shared" si="6"/>
        <v>88</v>
      </c>
      <c r="L289" s="29">
        <f t="shared" si="7"/>
        <v>808</v>
      </c>
      <c r="M289" s="28">
        <f t="shared" si="8"/>
        <v>20</v>
      </c>
      <c r="N289" s="27">
        <f t="shared" si="9"/>
        <v>740</v>
      </c>
    </row>
    <row r="290" spans="1:14" ht="14.4">
      <c r="A290" s="6" t="s">
        <v>1760</v>
      </c>
      <c r="B290" s="21" t="s">
        <v>1757</v>
      </c>
      <c r="E290" s="23" t="s">
        <v>1233</v>
      </c>
      <c r="F290" s="26" t="s">
        <v>1647</v>
      </c>
      <c r="G290" s="30">
        <v>200</v>
      </c>
      <c r="H290" s="30">
        <v>120</v>
      </c>
      <c r="I290" s="26"/>
      <c r="J290" s="27">
        <f t="shared" si="5"/>
        <v>144</v>
      </c>
      <c r="K290" s="28">
        <f t="shared" si="6"/>
        <v>88</v>
      </c>
      <c r="L290" s="29">
        <f t="shared" si="7"/>
        <v>232</v>
      </c>
      <c r="M290" s="28">
        <f t="shared" si="8"/>
        <v>20</v>
      </c>
      <c r="N290" s="27">
        <f t="shared" si="9"/>
        <v>164</v>
      </c>
    </row>
    <row r="291" spans="1:14" ht="14.4">
      <c r="A291" s="6" t="s">
        <v>1761</v>
      </c>
      <c r="B291" s="21" t="s">
        <v>1757</v>
      </c>
      <c r="E291" s="23" t="s">
        <v>1233</v>
      </c>
      <c r="F291" s="24" t="s">
        <v>1762</v>
      </c>
      <c r="G291" s="30">
        <v>200</v>
      </c>
      <c r="H291" s="30">
        <v>120</v>
      </c>
      <c r="I291" s="26"/>
      <c r="J291" s="27">
        <f t="shared" si="5"/>
        <v>144</v>
      </c>
      <c r="K291" s="28">
        <f t="shared" si="6"/>
        <v>88</v>
      </c>
      <c r="L291" s="29">
        <f t="shared" si="7"/>
        <v>232</v>
      </c>
      <c r="M291" s="28">
        <f t="shared" si="8"/>
        <v>20</v>
      </c>
      <c r="N291" s="27">
        <f t="shared" si="9"/>
        <v>164</v>
      </c>
    </row>
    <row r="292" spans="1:14" ht="14.4">
      <c r="A292" s="6" t="s">
        <v>1763</v>
      </c>
      <c r="B292" s="21" t="s">
        <v>1757</v>
      </c>
      <c r="E292" s="23" t="s">
        <v>1231</v>
      </c>
      <c r="F292" s="26" t="s">
        <v>1764</v>
      </c>
      <c r="G292" s="25">
        <v>210</v>
      </c>
      <c r="H292" s="25">
        <v>177</v>
      </c>
      <c r="I292" s="26"/>
      <c r="J292" s="27">
        <f t="shared" si="5"/>
        <v>212.4</v>
      </c>
      <c r="K292" s="28">
        <f t="shared" si="6"/>
        <v>92.4</v>
      </c>
      <c r="L292" s="29">
        <f t="shared" si="7"/>
        <v>304.8</v>
      </c>
      <c r="M292" s="28">
        <f t="shared" si="8"/>
        <v>21</v>
      </c>
      <c r="N292" s="27">
        <f t="shared" si="9"/>
        <v>233.4</v>
      </c>
    </row>
    <row r="293" spans="1:14" ht="14.4">
      <c r="A293" s="6" t="s">
        <v>1765</v>
      </c>
      <c r="B293" s="21" t="s">
        <v>1757</v>
      </c>
      <c r="E293" s="23" t="s">
        <v>1231</v>
      </c>
      <c r="F293" s="24" t="s">
        <v>1766</v>
      </c>
      <c r="G293" s="30">
        <v>210</v>
      </c>
      <c r="H293" s="30">
        <v>177</v>
      </c>
      <c r="I293" s="26"/>
      <c r="J293" s="27">
        <f t="shared" si="5"/>
        <v>212.4</v>
      </c>
      <c r="K293" s="28">
        <f t="shared" si="6"/>
        <v>92.4</v>
      </c>
      <c r="L293" s="29">
        <f t="shared" si="7"/>
        <v>304.8</v>
      </c>
      <c r="M293" s="28">
        <f t="shared" si="8"/>
        <v>21</v>
      </c>
      <c r="N293" s="27">
        <f t="shared" si="9"/>
        <v>233.4</v>
      </c>
    </row>
    <row r="294" spans="1:14" ht="14.4">
      <c r="A294" s="6" t="s">
        <v>1767</v>
      </c>
      <c r="B294" s="21" t="s">
        <v>1757</v>
      </c>
      <c r="E294" s="33" t="s">
        <v>1233</v>
      </c>
      <c r="F294" s="24" t="s">
        <v>1768</v>
      </c>
      <c r="G294" s="30">
        <v>200</v>
      </c>
      <c r="H294" s="30">
        <v>200</v>
      </c>
      <c r="I294" s="26"/>
      <c r="J294" s="27">
        <f t="shared" si="5"/>
        <v>240</v>
      </c>
      <c r="K294" s="28">
        <f t="shared" si="6"/>
        <v>88</v>
      </c>
      <c r="L294" s="29">
        <f t="shared" si="7"/>
        <v>328</v>
      </c>
      <c r="M294" s="28">
        <f t="shared" si="8"/>
        <v>20</v>
      </c>
      <c r="N294" s="27">
        <f t="shared" si="9"/>
        <v>260</v>
      </c>
    </row>
    <row r="295" spans="1:14" ht="14.4">
      <c r="A295" s="6" t="s">
        <v>1769</v>
      </c>
      <c r="B295" s="21" t="s">
        <v>1327</v>
      </c>
      <c r="E295" s="33" t="s">
        <v>1233</v>
      </c>
      <c r="F295" s="24" t="s">
        <v>1770</v>
      </c>
      <c r="G295" s="30">
        <v>200</v>
      </c>
      <c r="H295" s="30">
        <v>200</v>
      </c>
      <c r="I295" s="26"/>
      <c r="J295" s="27">
        <f t="shared" si="5"/>
        <v>240</v>
      </c>
      <c r="K295" s="28">
        <f t="shared" si="6"/>
        <v>88</v>
      </c>
      <c r="L295" s="29">
        <f t="shared" si="7"/>
        <v>328</v>
      </c>
      <c r="M295" s="28">
        <f t="shared" si="8"/>
        <v>20</v>
      </c>
      <c r="N295" s="27">
        <f t="shared" si="9"/>
        <v>260</v>
      </c>
    </row>
    <row r="296" spans="1:14" ht="14.4">
      <c r="A296" s="6" t="s">
        <v>1771</v>
      </c>
      <c r="B296" s="21" t="s">
        <v>1467</v>
      </c>
      <c r="E296" s="33" t="s">
        <v>1233</v>
      </c>
      <c r="F296" s="24" t="s">
        <v>1772</v>
      </c>
      <c r="G296" s="30">
        <v>200</v>
      </c>
      <c r="H296" s="30">
        <v>180</v>
      </c>
      <c r="I296" s="26"/>
      <c r="J296" s="27">
        <f t="shared" si="5"/>
        <v>216</v>
      </c>
      <c r="K296" s="28">
        <f t="shared" si="6"/>
        <v>88</v>
      </c>
      <c r="L296" s="29">
        <f t="shared" si="7"/>
        <v>304</v>
      </c>
      <c r="M296" s="28">
        <f t="shared" si="8"/>
        <v>20</v>
      </c>
      <c r="N296" s="27">
        <f t="shared" si="9"/>
        <v>236</v>
      </c>
    </row>
    <row r="297" spans="1:14" ht="14.4">
      <c r="A297" s="6" t="s">
        <v>168</v>
      </c>
      <c r="B297" s="21" t="s">
        <v>1467</v>
      </c>
      <c r="E297" s="23" t="s">
        <v>1231</v>
      </c>
      <c r="F297" s="26" t="s">
        <v>1773</v>
      </c>
      <c r="G297" s="36">
        <v>200</v>
      </c>
      <c r="H297" s="30">
        <v>203</v>
      </c>
      <c r="I297" s="26"/>
      <c r="J297" s="27">
        <f t="shared" si="5"/>
        <v>243.6</v>
      </c>
      <c r="K297" s="28">
        <f t="shared" si="6"/>
        <v>88</v>
      </c>
      <c r="L297" s="29">
        <f t="shared" si="7"/>
        <v>331.6</v>
      </c>
      <c r="M297" s="28">
        <f t="shared" si="8"/>
        <v>20</v>
      </c>
      <c r="N297" s="27">
        <f t="shared" si="9"/>
        <v>263.60000000000002</v>
      </c>
    </row>
    <row r="298" spans="1:14" ht="14.4">
      <c r="A298" s="6" t="s">
        <v>683</v>
      </c>
      <c r="B298" s="21" t="s">
        <v>1467</v>
      </c>
      <c r="E298" s="33" t="s">
        <v>1233</v>
      </c>
      <c r="F298" s="24" t="s">
        <v>1774</v>
      </c>
      <c r="G298" s="36">
        <v>200</v>
      </c>
      <c r="H298" s="30">
        <v>250</v>
      </c>
      <c r="I298" s="26"/>
      <c r="J298" s="27">
        <f t="shared" si="5"/>
        <v>300</v>
      </c>
      <c r="K298" s="28">
        <f t="shared" si="6"/>
        <v>88</v>
      </c>
      <c r="L298" s="29">
        <f t="shared" si="7"/>
        <v>388</v>
      </c>
      <c r="M298" s="28">
        <f t="shared" si="8"/>
        <v>20</v>
      </c>
      <c r="N298" s="27">
        <f t="shared" si="9"/>
        <v>320</v>
      </c>
    </row>
    <row r="299" spans="1:14" ht="14.4">
      <c r="A299" s="6" t="s">
        <v>1775</v>
      </c>
      <c r="B299" s="21" t="s">
        <v>1395</v>
      </c>
      <c r="E299" s="33" t="s">
        <v>1233</v>
      </c>
      <c r="F299" s="24" t="s">
        <v>1211</v>
      </c>
      <c r="G299" s="36">
        <v>200</v>
      </c>
      <c r="H299" s="30">
        <v>250</v>
      </c>
      <c r="I299" s="26"/>
      <c r="J299" s="27">
        <f t="shared" si="5"/>
        <v>300</v>
      </c>
      <c r="K299" s="28">
        <f t="shared" si="6"/>
        <v>88</v>
      </c>
      <c r="L299" s="29">
        <f t="shared" si="7"/>
        <v>388</v>
      </c>
      <c r="M299" s="28">
        <f t="shared" si="8"/>
        <v>20</v>
      </c>
      <c r="N299" s="27">
        <f t="shared" si="9"/>
        <v>320</v>
      </c>
    </row>
    <row r="300" spans="1:14" ht="14.4">
      <c r="A300" s="6" t="s">
        <v>1776</v>
      </c>
      <c r="B300" s="21" t="s">
        <v>1395</v>
      </c>
      <c r="E300" s="33" t="s">
        <v>1233</v>
      </c>
      <c r="F300" s="32" t="s">
        <v>1777</v>
      </c>
      <c r="G300" s="25">
        <v>195</v>
      </c>
      <c r="H300" s="25">
        <v>123.2</v>
      </c>
      <c r="I300" s="26"/>
      <c r="J300" s="27">
        <f t="shared" si="5"/>
        <v>147.84</v>
      </c>
      <c r="K300" s="28">
        <f t="shared" si="6"/>
        <v>85.8</v>
      </c>
      <c r="L300" s="29">
        <f t="shared" si="7"/>
        <v>233.64</v>
      </c>
      <c r="M300" s="28">
        <f t="shared" si="8"/>
        <v>19.5</v>
      </c>
      <c r="N300" s="27">
        <f t="shared" si="9"/>
        <v>167.34</v>
      </c>
    </row>
    <row r="301" spans="1:14" ht="14.4">
      <c r="A301" s="6" t="s">
        <v>127</v>
      </c>
      <c r="B301" s="21" t="s">
        <v>1395</v>
      </c>
      <c r="E301" s="33" t="s">
        <v>1233</v>
      </c>
      <c r="F301" s="24" t="s">
        <v>1735</v>
      </c>
      <c r="G301" s="30">
        <v>185</v>
      </c>
      <c r="H301" s="30">
        <v>450</v>
      </c>
      <c r="I301" s="26"/>
      <c r="J301" s="27">
        <f t="shared" si="5"/>
        <v>540</v>
      </c>
      <c r="K301" s="28">
        <f t="shared" si="6"/>
        <v>81.400000000000006</v>
      </c>
      <c r="L301" s="29">
        <f t="shared" si="7"/>
        <v>621.4</v>
      </c>
      <c r="M301" s="28">
        <f t="shared" si="8"/>
        <v>18.5</v>
      </c>
      <c r="N301" s="27">
        <f t="shared" si="9"/>
        <v>558.5</v>
      </c>
    </row>
    <row r="302" spans="1:14" ht="14.4">
      <c r="A302" s="6" t="s">
        <v>1778</v>
      </c>
      <c r="B302" s="21" t="s">
        <v>1395</v>
      </c>
      <c r="E302" s="33" t="s">
        <v>1233</v>
      </c>
      <c r="F302" s="24" t="s">
        <v>926</v>
      </c>
      <c r="G302" s="30">
        <v>185</v>
      </c>
      <c r="H302" s="30">
        <v>450</v>
      </c>
      <c r="I302" s="26"/>
      <c r="J302" s="27">
        <f t="shared" si="5"/>
        <v>540</v>
      </c>
      <c r="K302" s="28">
        <f t="shared" si="6"/>
        <v>81.400000000000006</v>
      </c>
      <c r="L302" s="29">
        <f t="shared" si="7"/>
        <v>621.4</v>
      </c>
      <c r="M302" s="28">
        <f t="shared" si="8"/>
        <v>18.5</v>
      </c>
      <c r="N302" s="27">
        <f t="shared" si="9"/>
        <v>558.5</v>
      </c>
    </row>
    <row r="303" spans="1:14" ht="14.4">
      <c r="A303" s="6" t="s">
        <v>1779</v>
      </c>
      <c r="B303" s="21" t="s">
        <v>1330</v>
      </c>
      <c r="E303" s="33" t="s">
        <v>1233</v>
      </c>
      <c r="F303" s="24" t="s">
        <v>1020</v>
      </c>
      <c r="G303" s="30">
        <v>185</v>
      </c>
      <c r="H303" s="30">
        <v>450</v>
      </c>
      <c r="I303" s="26"/>
      <c r="J303" s="27">
        <f t="shared" si="5"/>
        <v>540</v>
      </c>
      <c r="K303" s="28">
        <f t="shared" si="6"/>
        <v>81.400000000000006</v>
      </c>
      <c r="L303" s="29">
        <f t="shared" si="7"/>
        <v>621.4</v>
      </c>
      <c r="M303" s="28">
        <f t="shared" si="8"/>
        <v>18.5</v>
      </c>
      <c r="N303" s="27">
        <f t="shared" si="9"/>
        <v>558.5</v>
      </c>
    </row>
    <row r="304" spans="1:14" ht="14.4">
      <c r="A304" s="6" t="s">
        <v>1780</v>
      </c>
      <c r="B304" s="21" t="s">
        <v>1330</v>
      </c>
      <c r="E304" s="23" t="s">
        <v>1231</v>
      </c>
      <c r="F304" s="24" t="s">
        <v>1781</v>
      </c>
      <c r="G304" s="25">
        <v>180</v>
      </c>
      <c r="H304" s="25">
        <v>100</v>
      </c>
      <c r="I304" s="26"/>
      <c r="J304" s="27">
        <f t="shared" si="5"/>
        <v>120</v>
      </c>
      <c r="K304" s="28">
        <f t="shared" si="6"/>
        <v>79.2</v>
      </c>
      <c r="L304" s="29">
        <f t="shared" si="7"/>
        <v>199.2</v>
      </c>
      <c r="M304" s="28">
        <f t="shared" si="8"/>
        <v>18</v>
      </c>
      <c r="N304" s="27">
        <f t="shared" si="9"/>
        <v>138</v>
      </c>
    </row>
    <row r="305" spans="1:14" ht="14.4">
      <c r="A305" s="6" t="s">
        <v>43</v>
      </c>
      <c r="B305" s="21" t="s">
        <v>1330</v>
      </c>
      <c r="E305" s="33" t="s">
        <v>1233</v>
      </c>
      <c r="F305" s="24" t="s">
        <v>1782</v>
      </c>
      <c r="G305" s="25">
        <v>200</v>
      </c>
      <c r="H305" s="25">
        <v>150</v>
      </c>
      <c r="I305" s="26"/>
      <c r="J305" s="27">
        <f t="shared" si="5"/>
        <v>180</v>
      </c>
      <c r="K305" s="28">
        <f t="shared" si="6"/>
        <v>88</v>
      </c>
      <c r="L305" s="29">
        <f t="shared" si="7"/>
        <v>268</v>
      </c>
      <c r="M305" s="28">
        <f t="shared" si="8"/>
        <v>20</v>
      </c>
      <c r="N305" s="27">
        <f t="shared" si="9"/>
        <v>200</v>
      </c>
    </row>
    <row r="306" spans="1:14" ht="14.4">
      <c r="A306" s="6" t="s">
        <v>1783</v>
      </c>
      <c r="B306" s="21" t="s">
        <v>1330</v>
      </c>
      <c r="E306" s="33" t="s">
        <v>1233</v>
      </c>
      <c r="F306" s="24" t="s">
        <v>1784</v>
      </c>
      <c r="G306" s="30">
        <v>180</v>
      </c>
      <c r="H306" s="30">
        <v>70</v>
      </c>
      <c r="I306" s="26"/>
      <c r="J306" s="27">
        <f t="shared" si="5"/>
        <v>84</v>
      </c>
      <c r="K306" s="28">
        <f t="shared" si="6"/>
        <v>79.2</v>
      </c>
      <c r="L306" s="29">
        <f t="shared" si="7"/>
        <v>163.19999999999999</v>
      </c>
      <c r="M306" s="28">
        <f t="shared" si="8"/>
        <v>18</v>
      </c>
      <c r="N306" s="27">
        <f t="shared" si="9"/>
        <v>102</v>
      </c>
    </row>
    <row r="307" spans="1:14" ht="14.4">
      <c r="A307" s="6" t="s">
        <v>1785</v>
      </c>
      <c r="B307" s="21" t="s">
        <v>1786</v>
      </c>
      <c r="E307" s="33" t="s">
        <v>1233</v>
      </c>
      <c r="F307" s="24" t="s">
        <v>1787</v>
      </c>
      <c r="G307" s="36">
        <v>180</v>
      </c>
      <c r="H307" s="30">
        <v>150</v>
      </c>
      <c r="I307" s="26"/>
      <c r="J307" s="27">
        <f t="shared" si="5"/>
        <v>180</v>
      </c>
      <c r="K307" s="28">
        <f t="shared" si="6"/>
        <v>79.2</v>
      </c>
      <c r="L307" s="29">
        <f t="shared" si="7"/>
        <v>259.2</v>
      </c>
      <c r="M307" s="28">
        <f t="shared" si="8"/>
        <v>18</v>
      </c>
      <c r="N307" s="27">
        <f t="shared" si="9"/>
        <v>198</v>
      </c>
    </row>
    <row r="308" spans="1:14" ht="14.4">
      <c r="A308" s="6" t="s">
        <v>58</v>
      </c>
      <c r="B308" s="21" t="s">
        <v>1251</v>
      </c>
      <c r="E308" s="23" t="s">
        <v>1231</v>
      </c>
      <c r="F308" s="24" t="s">
        <v>1788</v>
      </c>
      <c r="G308" s="30">
        <v>170</v>
      </c>
      <c r="H308" s="30">
        <v>177</v>
      </c>
      <c r="I308" s="26"/>
      <c r="J308" s="27">
        <f t="shared" si="5"/>
        <v>212.4</v>
      </c>
      <c r="K308" s="28">
        <f t="shared" si="6"/>
        <v>74.8</v>
      </c>
      <c r="L308" s="29">
        <f t="shared" si="7"/>
        <v>287.2</v>
      </c>
      <c r="M308" s="28">
        <f t="shared" si="8"/>
        <v>17</v>
      </c>
      <c r="N308" s="27">
        <f t="shared" si="9"/>
        <v>229.4</v>
      </c>
    </row>
    <row r="309" spans="1:14" ht="14.4">
      <c r="A309" s="6" t="s">
        <v>1789</v>
      </c>
      <c r="B309" s="21" t="s">
        <v>1251</v>
      </c>
      <c r="E309" s="33" t="s">
        <v>1233</v>
      </c>
      <c r="F309" s="26" t="s">
        <v>1484</v>
      </c>
      <c r="G309" s="30">
        <v>170</v>
      </c>
      <c r="H309" s="30">
        <v>90</v>
      </c>
      <c r="I309" s="26"/>
      <c r="J309" s="27">
        <f t="shared" si="5"/>
        <v>108</v>
      </c>
      <c r="K309" s="28">
        <f t="shared" si="6"/>
        <v>74.8</v>
      </c>
      <c r="L309" s="29">
        <f t="shared" si="7"/>
        <v>182.8</v>
      </c>
      <c r="M309" s="28">
        <f t="shared" si="8"/>
        <v>17</v>
      </c>
      <c r="N309" s="27">
        <f t="shared" si="9"/>
        <v>125</v>
      </c>
    </row>
    <row r="310" spans="1:14" ht="14.4">
      <c r="A310" s="6" t="s">
        <v>1790</v>
      </c>
      <c r="B310" s="21" t="s">
        <v>1445</v>
      </c>
      <c r="E310" s="33" t="s">
        <v>1233</v>
      </c>
      <c r="F310" s="26" t="s">
        <v>1499</v>
      </c>
      <c r="G310" s="30">
        <v>170</v>
      </c>
      <c r="H310" s="30">
        <v>90</v>
      </c>
      <c r="I310" s="26"/>
      <c r="J310" s="27">
        <f t="shared" si="5"/>
        <v>108</v>
      </c>
      <c r="K310" s="28">
        <f t="shared" si="6"/>
        <v>74.8</v>
      </c>
      <c r="L310" s="29">
        <f t="shared" si="7"/>
        <v>182.8</v>
      </c>
      <c r="M310" s="28">
        <f t="shared" si="8"/>
        <v>17</v>
      </c>
      <c r="N310" s="27">
        <f t="shared" si="9"/>
        <v>125</v>
      </c>
    </row>
    <row r="311" spans="1:14" ht="14.4">
      <c r="A311" s="6" t="s">
        <v>133</v>
      </c>
      <c r="B311" s="21" t="s">
        <v>1445</v>
      </c>
      <c r="E311" s="33" t="s">
        <v>1233</v>
      </c>
      <c r="F311" s="24" t="s">
        <v>1791</v>
      </c>
      <c r="G311" s="30">
        <v>170</v>
      </c>
      <c r="H311" s="30">
        <v>90</v>
      </c>
      <c r="I311" s="26"/>
      <c r="J311" s="27">
        <f t="shared" si="5"/>
        <v>108</v>
      </c>
      <c r="K311" s="28">
        <f t="shared" si="6"/>
        <v>74.8</v>
      </c>
      <c r="L311" s="29">
        <f t="shared" si="7"/>
        <v>182.8</v>
      </c>
      <c r="M311" s="28">
        <f t="shared" si="8"/>
        <v>17</v>
      </c>
      <c r="N311" s="27">
        <f t="shared" si="9"/>
        <v>125</v>
      </c>
    </row>
    <row r="312" spans="1:14" ht="14.4">
      <c r="A312" s="6" t="s">
        <v>1792</v>
      </c>
      <c r="B312" s="21" t="s">
        <v>1445</v>
      </c>
      <c r="E312" s="33" t="s">
        <v>1233</v>
      </c>
      <c r="F312" s="26" t="s">
        <v>1793</v>
      </c>
      <c r="G312" s="30">
        <v>170</v>
      </c>
      <c r="H312" s="30">
        <v>90</v>
      </c>
      <c r="I312" s="26"/>
      <c r="J312" s="27">
        <f t="shared" si="5"/>
        <v>108</v>
      </c>
      <c r="K312" s="28">
        <f t="shared" si="6"/>
        <v>74.8</v>
      </c>
      <c r="L312" s="29">
        <f t="shared" si="7"/>
        <v>182.8</v>
      </c>
      <c r="M312" s="28">
        <f t="shared" si="8"/>
        <v>17</v>
      </c>
      <c r="N312" s="27">
        <f t="shared" si="9"/>
        <v>125</v>
      </c>
    </row>
    <row r="313" spans="1:14" ht="14.4">
      <c r="A313" s="6" t="s">
        <v>1792</v>
      </c>
      <c r="B313" s="21" t="s">
        <v>1445</v>
      </c>
      <c r="E313" s="33" t="s">
        <v>1233</v>
      </c>
      <c r="F313" s="26" t="s">
        <v>1794</v>
      </c>
      <c r="G313" s="30">
        <v>170</v>
      </c>
      <c r="H313" s="30">
        <v>90</v>
      </c>
      <c r="I313" s="26"/>
      <c r="J313" s="27">
        <f t="shared" si="5"/>
        <v>108</v>
      </c>
      <c r="K313" s="28">
        <f t="shared" si="6"/>
        <v>74.8</v>
      </c>
      <c r="L313" s="29">
        <f t="shared" si="7"/>
        <v>182.8</v>
      </c>
      <c r="M313" s="28">
        <f t="shared" si="8"/>
        <v>17</v>
      </c>
      <c r="N313" s="27">
        <f t="shared" si="9"/>
        <v>125</v>
      </c>
    </row>
    <row r="314" spans="1:14" ht="14.4">
      <c r="A314" s="6" t="s">
        <v>1795</v>
      </c>
      <c r="B314" s="21" t="s">
        <v>1402</v>
      </c>
      <c r="E314" s="33" t="s">
        <v>1233</v>
      </c>
      <c r="F314" s="26" t="s">
        <v>1796</v>
      </c>
      <c r="G314" s="30">
        <v>170</v>
      </c>
      <c r="H314" s="30">
        <v>90</v>
      </c>
      <c r="I314" s="26"/>
      <c r="J314" s="27">
        <f t="shared" si="5"/>
        <v>108</v>
      </c>
      <c r="K314" s="28">
        <f t="shared" si="6"/>
        <v>74.8</v>
      </c>
      <c r="L314" s="29">
        <f t="shared" si="7"/>
        <v>182.8</v>
      </c>
      <c r="M314" s="28">
        <f t="shared" si="8"/>
        <v>17</v>
      </c>
      <c r="N314" s="27">
        <f t="shared" si="9"/>
        <v>125</v>
      </c>
    </row>
    <row r="315" spans="1:14" ht="14.4">
      <c r="A315" s="6" t="s">
        <v>277</v>
      </c>
      <c r="B315" s="21" t="s">
        <v>1402</v>
      </c>
      <c r="E315" s="33" t="s">
        <v>1233</v>
      </c>
      <c r="F315" s="26" t="s">
        <v>1797</v>
      </c>
      <c r="G315" s="30">
        <v>170</v>
      </c>
      <c r="H315" s="30">
        <v>90</v>
      </c>
      <c r="I315" s="26"/>
      <c r="J315" s="27">
        <f t="shared" si="5"/>
        <v>108</v>
      </c>
      <c r="K315" s="28">
        <f t="shared" si="6"/>
        <v>74.8</v>
      </c>
      <c r="L315" s="29">
        <f t="shared" si="7"/>
        <v>182.8</v>
      </c>
      <c r="M315" s="28">
        <f t="shared" si="8"/>
        <v>17</v>
      </c>
      <c r="N315" s="27">
        <f t="shared" si="9"/>
        <v>125</v>
      </c>
    </row>
    <row r="316" spans="1:14" ht="14.4">
      <c r="A316" s="6" t="s">
        <v>1798</v>
      </c>
      <c r="B316" s="21" t="s">
        <v>1402</v>
      </c>
      <c r="E316" s="33" t="s">
        <v>1233</v>
      </c>
      <c r="F316" s="26" t="s">
        <v>1799</v>
      </c>
      <c r="G316" s="30">
        <v>170</v>
      </c>
      <c r="H316" s="30">
        <v>90</v>
      </c>
      <c r="I316" s="26"/>
      <c r="J316" s="27">
        <f t="shared" si="5"/>
        <v>108</v>
      </c>
      <c r="K316" s="28">
        <f t="shared" si="6"/>
        <v>74.8</v>
      </c>
      <c r="L316" s="29">
        <f t="shared" si="7"/>
        <v>182.8</v>
      </c>
      <c r="M316" s="28">
        <f t="shared" si="8"/>
        <v>17</v>
      </c>
      <c r="N316" s="27">
        <f t="shared" si="9"/>
        <v>125</v>
      </c>
    </row>
    <row r="317" spans="1:14" ht="14.4">
      <c r="A317" s="6" t="s">
        <v>1800</v>
      </c>
      <c r="B317" s="21" t="s">
        <v>1402</v>
      </c>
      <c r="E317" s="33" t="s">
        <v>1233</v>
      </c>
      <c r="F317" s="26" t="s">
        <v>1801</v>
      </c>
      <c r="G317" s="30">
        <v>170</v>
      </c>
      <c r="H317" s="30">
        <v>90</v>
      </c>
      <c r="I317" s="26"/>
      <c r="J317" s="27">
        <f t="shared" si="5"/>
        <v>108</v>
      </c>
      <c r="K317" s="28">
        <f t="shared" si="6"/>
        <v>74.8</v>
      </c>
      <c r="L317" s="29">
        <f t="shared" si="7"/>
        <v>182.8</v>
      </c>
      <c r="M317" s="28">
        <f t="shared" si="8"/>
        <v>17</v>
      </c>
      <c r="N317" s="27">
        <f t="shared" si="9"/>
        <v>125</v>
      </c>
    </row>
    <row r="318" spans="1:14" ht="14.4">
      <c r="A318" s="6" t="s">
        <v>1802</v>
      </c>
      <c r="B318" s="21" t="s">
        <v>1402</v>
      </c>
      <c r="E318" s="33" t="s">
        <v>1233</v>
      </c>
      <c r="F318" s="26" t="s">
        <v>1803</v>
      </c>
      <c r="G318" s="30">
        <v>170</v>
      </c>
      <c r="H318" s="30">
        <v>90</v>
      </c>
      <c r="I318" s="26"/>
      <c r="J318" s="27">
        <f t="shared" si="5"/>
        <v>108</v>
      </c>
      <c r="K318" s="28">
        <f t="shared" si="6"/>
        <v>74.8</v>
      </c>
      <c r="L318" s="29">
        <f t="shared" si="7"/>
        <v>182.8</v>
      </c>
      <c r="M318" s="28">
        <f t="shared" si="8"/>
        <v>17</v>
      </c>
      <c r="N318" s="27">
        <f t="shared" si="9"/>
        <v>125</v>
      </c>
    </row>
    <row r="319" spans="1:14" ht="14.4">
      <c r="A319" s="6" t="s">
        <v>268</v>
      </c>
      <c r="B319" s="21" t="s">
        <v>1377</v>
      </c>
      <c r="E319" s="33" t="s">
        <v>1233</v>
      </c>
      <c r="F319" s="26" t="s">
        <v>1804</v>
      </c>
      <c r="G319" s="30">
        <v>170</v>
      </c>
      <c r="H319" s="30">
        <v>90</v>
      </c>
      <c r="I319" s="26"/>
      <c r="J319" s="27">
        <f t="shared" si="5"/>
        <v>108</v>
      </c>
      <c r="K319" s="28">
        <f t="shared" si="6"/>
        <v>74.8</v>
      </c>
      <c r="L319" s="29">
        <f t="shared" si="7"/>
        <v>182.8</v>
      </c>
      <c r="M319" s="28">
        <f t="shared" si="8"/>
        <v>17</v>
      </c>
      <c r="N319" s="27">
        <f t="shared" si="9"/>
        <v>125</v>
      </c>
    </row>
    <row r="320" spans="1:14" ht="14.4">
      <c r="A320" s="6" t="s">
        <v>1148</v>
      </c>
      <c r="B320" s="21" t="s">
        <v>1375</v>
      </c>
      <c r="E320" s="33" t="s">
        <v>1233</v>
      </c>
      <c r="F320" s="26" t="s">
        <v>1805</v>
      </c>
      <c r="G320" s="30">
        <v>170</v>
      </c>
      <c r="H320" s="30">
        <v>90</v>
      </c>
      <c r="I320" s="26"/>
      <c r="J320" s="27">
        <f t="shared" si="5"/>
        <v>108</v>
      </c>
      <c r="K320" s="28">
        <f t="shared" si="6"/>
        <v>74.8</v>
      </c>
      <c r="L320" s="29">
        <f t="shared" si="7"/>
        <v>182.8</v>
      </c>
      <c r="M320" s="28">
        <f t="shared" si="8"/>
        <v>17</v>
      </c>
      <c r="N320" s="27">
        <f t="shared" si="9"/>
        <v>125</v>
      </c>
    </row>
    <row r="321" spans="1:14" ht="14.4">
      <c r="A321" s="6" t="s">
        <v>1806</v>
      </c>
      <c r="B321" s="21" t="s">
        <v>1274</v>
      </c>
      <c r="E321" s="33" t="s">
        <v>1233</v>
      </c>
      <c r="F321" s="24" t="s">
        <v>1807</v>
      </c>
      <c r="G321" s="30">
        <v>170</v>
      </c>
      <c r="H321" s="30">
        <v>90</v>
      </c>
      <c r="I321" s="26"/>
      <c r="J321" s="27">
        <f t="shared" si="5"/>
        <v>108</v>
      </c>
      <c r="K321" s="28">
        <f t="shared" si="6"/>
        <v>74.8</v>
      </c>
      <c r="L321" s="29">
        <f t="shared" si="7"/>
        <v>182.8</v>
      </c>
      <c r="M321" s="28">
        <f t="shared" si="8"/>
        <v>17</v>
      </c>
      <c r="N321" s="27">
        <f t="shared" si="9"/>
        <v>125</v>
      </c>
    </row>
    <row r="322" spans="1:14" ht="14.4">
      <c r="A322" s="6" t="s">
        <v>1177</v>
      </c>
      <c r="B322" s="21" t="s">
        <v>1274</v>
      </c>
      <c r="E322" s="33" t="s">
        <v>1233</v>
      </c>
      <c r="F322" s="26" t="s">
        <v>1808</v>
      </c>
      <c r="G322" s="30">
        <v>170</v>
      </c>
      <c r="H322" s="30">
        <v>90</v>
      </c>
      <c r="I322" s="26"/>
      <c r="J322" s="27">
        <f t="shared" si="5"/>
        <v>108</v>
      </c>
      <c r="K322" s="28">
        <f t="shared" si="6"/>
        <v>74.8</v>
      </c>
      <c r="L322" s="29">
        <f t="shared" si="7"/>
        <v>182.8</v>
      </c>
      <c r="M322" s="28">
        <f t="shared" si="8"/>
        <v>17</v>
      </c>
      <c r="N322" s="27">
        <f t="shared" si="9"/>
        <v>125</v>
      </c>
    </row>
    <row r="323" spans="1:14" ht="14.4">
      <c r="A323" s="6" t="s">
        <v>1809</v>
      </c>
      <c r="B323" s="21" t="s">
        <v>1274</v>
      </c>
      <c r="E323" s="33" t="s">
        <v>1233</v>
      </c>
      <c r="F323" s="26" t="s">
        <v>1810</v>
      </c>
      <c r="G323" s="30">
        <v>170</v>
      </c>
      <c r="H323" s="30">
        <v>90</v>
      </c>
      <c r="I323" s="26"/>
      <c r="J323" s="27">
        <f t="shared" si="5"/>
        <v>108</v>
      </c>
      <c r="K323" s="28">
        <f t="shared" si="6"/>
        <v>74.8</v>
      </c>
      <c r="L323" s="29">
        <f t="shared" si="7"/>
        <v>182.8</v>
      </c>
      <c r="M323" s="28">
        <f t="shared" si="8"/>
        <v>17</v>
      </c>
      <c r="N323" s="27">
        <f t="shared" si="9"/>
        <v>125</v>
      </c>
    </row>
    <row r="324" spans="1:14" ht="14.4">
      <c r="A324" s="6" t="s">
        <v>1811</v>
      </c>
      <c r="B324" s="21" t="s">
        <v>1274</v>
      </c>
      <c r="E324" s="33" t="s">
        <v>1233</v>
      </c>
      <c r="F324" s="26" t="s">
        <v>1812</v>
      </c>
      <c r="G324" s="30">
        <v>170</v>
      </c>
      <c r="H324" s="30">
        <v>90</v>
      </c>
      <c r="I324" s="26"/>
      <c r="J324" s="27">
        <f t="shared" si="5"/>
        <v>108</v>
      </c>
      <c r="K324" s="28">
        <f t="shared" si="6"/>
        <v>74.8</v>
      </c>
      <c r="L324" s="29">
        <f t="shared" si="7"/>
        <v>182.8</v>
      </c>
      <c r="M324" s="28">
        <f t="shared" si="8"/>
        <v>17</v>
      </c>
      <c r="N324" s="27">
        <f t="shared" si="9"/>
        <v>125</v>
      </c>
    </row>
    <row r="325" spans="1:14" ht="14.4">
      <c r="A325" s="6" t="s">
        <v>1813</v>
      </c>
      <c r="B325" s="21" t="s">
        <v>1274</v>
      </c>
      <c r="E325" s="33" t="s">
        <v>1233</v>
      </c>
      <c r="F325" s="26" t="s">
        <v>1814</v>
      </c>
      <c r="G325" s="30">
        <v>170</v>
      </c>
      <c r="H325" s="30">
        <v>90</v>
      </c>
      <c r="I325" s="26"/>
      <c r="J325" s="27">
        <f t="shared" si="5"/>
        <v>108</v>
      </c>
      <c r="K325" s="28">
        <f t="shared" si="6"/>
        <v>74.8</v>
      </c>
      <c r="L325" s="29">
        <f t="shared" si="7"/>
        <v>182.8</v>
      </c>
      <c r="M325" s="28">
        <f t="shared" si="8"/>
        <v>17</v>
      </c>
      <c r="N325" s="27">
        <f t="shared" si="9"/>
        <v>125</v>
      </c>
    </row>
    <row r="326" spans="1:14" ht="14.4">
      <c r="A326" s="6" t="s">
        <v>1815</v>
      </c>
      <c r="B326" s="21" t="s">
        <v>1274</v>
      </c>
      <c r="E326" s="33" t="s">
        <v>1233</v>
      </c>
      <c r="F326" s="26" t="s">
        <v>1816</v>
      </c>
      <c r="G326" s="30">
        <v>170</v>
      </c>
      <c r="H326" s="30">
        <v>90</v>
      </c>
      <c r="I326" s="26"/>
      <c r="J326" s="27">
        <f t="shared" si="5"/>
        <v>108</v>
      </c>
      <c r="K326" s="28">
        <f t="shared" si="6"/>
        <v>74.8</v>
      </c>
      <c r="L326" s="29">
        <f t="shared" si="7"/>
        <v>182.8</v>
      </c>
      <c r="M326" s="28">
        <f t="shared" si="8"/>
        <v>17</v>
      </c>
      <c r="N326" s="27">
        <f t="shared" si="9"/>
        <v>125</v>
      </c>
    </row>
    <row r="327" spans="1:14" ht="14.4">
      <c r="A327" s="6" t="s">
        <v>1802</v>
      </c>
      <c r="B327" s="21" t="s">
        <v>1274</v>
      </c>
      <c r="E327" s="33" t="s">
        <v>1233</v>
      </c>
      <c r="F327" s="26" t="s">
        <v>1817</v>
      </c>
      <c r="G327" s="30">
        <v>170</v>
      </c>
      <c r="H327" s="30">
        <v>90</v>
      </c>
      <c r="I327" s="26"/>
      <c r="J327" s="27">
        <f t="shared" si="5"/>
        <v>108</v>
      </c>
      <c r="K327" s="28">
        <f t="shared" si="6"/>
        <v>74.8</v>
      </c>
      <c r="L327" s="29">
        <f t="shared" si="7"/>
        <v>182.8</v>
      </c>
      <c r="M327" s="28">
        <f t="shared" si="8"/>
        <v>17</v>
      </c>
      <c r="N327" s="27">
        <f t="shared" si="9"/>
        <v>125</v>
      </c>
    </row>
    <row r="328" spans="1:14" ht="14.4">
      <c r="A328" s="6" t="s">
        <v>165</v>
      </c>
      <c r="B328" s="21" t="s">
        <v>1255</v>
      </c>
      <c r="E328" s="33" t="s">
        <v>1233</v>
      </c>
      <c r="F328" s="26" t="s">
        <v>1818</v>
      </c>
      <c r="G328" s="30">
        <v>170</v>
      </c>
      <c r="H328" s="30">
        <v>90</v>
      </c>
      <c r="I328" s="26"/>
      <c r="J328" s="27">
        <f t="shared" si="5"/>
        <v>108</v>
      </c>
      <c r="K328" s="28">
        <f t="shared" si="6"/>
        <v>74.8</v>
      </c>
      <c r="L328" s="29">
        <f t="shared" si="7"/>
        <v>182.8</v>
      </c>
      <c r="M328" s="28">
        <f t="shared" si="8"/>
        <v>17</v>
      </c>
      <c r="N328" s="27">
        <f t="shared" si="9"/>
        <v>125</v>
      </c>
    </row>
    <row r="329" spans="1:14" ht="14.4">
      <c r="A329" s="6" t="s">
        <v>1819</v>
      </c>
      <c r="B329" s="21" t="s">
        <v>1244</v>
      </c>
      <c r="E329" s="33" t="s">
        <v>1233</v>
      </c>
      <c r="F329" s="26" t="s">
        <v>1820</v>
      </c>
      <c r="G329" s="30">
        <v>170</v>
      </c>
      <c r="H329" s="30">
        <v>90</v>
      </c>
      <c r="I329" s="26"/>
      <c r="J329" s="27">
        <f t="shared" si="5"/>
        <v>108</v>
      </c>
      <c r="K329" s="28">
        <f t="shared" si="6"/>
        <v>74.8</v>
      </c>
      <c r="L329" s="29">
        <f t="shared" si="7"/>
        <v>182.8</v>
      </c>
      <c r="M329" s="28">
        <f t="shared" si="8"/>
        <v>17</v>
      </c>
      <c r="N329" s="27">
        <f t="shared" si="9"/>
        <v>125</v>
      </c>
    </row>
    <row r="330" spans="1:14" ht="14.4">
      <c r="A330" s="6" t="s">
        <v>1821</v>
      </c>
      <c r="B330" s="21" t="s">
        <v>1244</v>
      </c>
      <c r="E330" s="33" t="s">
        <v>1233</v>
      </c>
      <c r="F330" s="26" t="s">
        <v>1822</v>
      </c>
      <c r="G330" s="30">
        <v>170</v>
      </c>
      <c r="H330" s="30">
        <v>90</v>
      </c>
      <c r="I330" s="26"/>
      <c r="J330" s="27">
        <f t="shared" si="5"/>
        <v>108</v>
      </c>
      <c r="K330" s="28">
        <f t="shared" si="6"/>
        <v>74.8</v>
      </c>
      <c r="L330" s="29">
        <f t="shared" si="7"/>
        <v>182.8</v>
      </c>
      <c r="M330" s="28">
        <f t="shared" si="8"/>
        <v>17</v>
      </c>
      <c r="N330" s="27">
        <f t="shared" si="9"/>
        <v>125</v>
      </c>
    </row>
    <row r="331" spans="1:14" ht="14.4">
      <c r="A331" s="6" t="s">
        <v>485</v>
      </c>
      <c r="B331" s="21" t="s">
        <v>1482</v>
      </c>
      <c r="E331" s="33" t="s">
        <v>1233</v>
      </c>
      <c r="F331" s="26" t="s">
        <v>1823</v>
      </c>
      <c r="G331" s="30">
        <v>170</v>
      </c>
      <c r="H331" s="30">
        <v>90</v>
      </c>
      <c r="I331" s="26"/>
      <c r="J331" s="27">
        <f t="shared" si="5"/>
        <v>108</v>
      </c>
      <c r="K331" s="28">
        <f t="shared" si="6"/>
        <v>74.8</v>
      </c>
      <c r="L331" s="29">
        <f t="shared" si="7"/>
        <v>182.8</v>
      </c>
      <c r="M331" s="28">
        <f t="shared" si="8"/>
        <v>17</v>
      </c>
      <c r="N331" s="27">
        <f t="shared" si="9"/>
        <v>125</v>
      </c>
    </row>
    <row r="332" spans="1:14" ht="14.4">
      <c r="A332" s="6" t="s">
        <v>1109</v>
      </c>
      <c r="B332" s="21" t="s">
        <v>1481</v>
      </c>
      <c r="E332" s="33" t="s">
        <v>1233</v>
      </c>
      <c r="F332" s="26" t="s">
        <v>1824</v>
      </c>
      <c r="G332" s="30">
        <v>170</v>
      </c>
      <c r="H332" s="30">
        <v>90</v>
      </c>
      <c r="I332" s="26"/>
      <c r="J332" s="27">
        <f t="shared" si="5"/>
        <v>108</v>
      </c>
      <c r="K332" s="28">
        <f t="shared" si="6"/>
        <v>74.8</v>
      </c>
      <c r="L332" s="29">
        <f t="shared" si="7"/>
        <v>182.8</v>
      </c>
      <c r="M332" s="28">
        <f t="shared" si="8"/>
        <v>17</v>
      </c>
      <c r="N332" s="27">
        <f t="shared" si="9"/>
        <v>125</v>
      </c>
    </row>
    <row r="333" spans="1:14" ht="14.4">
      <c r="A333" s="6" t="s">
        <v>461</v>
      </c>
      <c r="B333" s="21" t="s">
        <v>1485</v>
      </c>
      <c r="E333" s="33" t="s">
        <v>1233</v>
      </c>
      <c r="F333" s="24" t="s">
        <v>1825</v>
      </c>
      <c r="G333" s="30">
        <v>170</v>
      </c>
      <c r="H333" s="30">
        <v>90</v>
      </c>
      <c r="I333" s="26"/>
      <c r="J333" s="27">
        <f t="shared" si="5"/>
        <v>108</v>
      </c>
      <c r="K333" s="28">
        <f t="shared" si="6"/>
        <v>74.8</v>
      </c>
      <c r="L333" s="29">
        <f t="shared" si="7"/>
        <v>182.8</v>
      </c>
      <c r="M333" s="28">
        <f t="shared" si="8"/>
        <v>17</v>
      </c>
      <c r="N333" s="27">
        <f t="shared" si="9"/>
        <v>125</v>
      </c>
    </row>
    <row r="334" spans="1:14" ht="14.4">
      <c r="A334" s="6" t="s">
        <v>1826</v>
      </c>
      <c r="B334" s="21" t="s">
        <v>1485</v>
      </c>
      <c r="E334" s="33" t="s">
        <v>1233</v>
      </c>
      <c r="F334" s="26" t="s">
        <v>1827</v>
      </c>
      <c r="G334" s="30">
        <v>170</v>
      </c>
      <c r="H334" s="30">
        <v>90</v>
      </c>
      <c r="I334" s="26"/>
      <c r="J334" s="27">
        <f t="shared" si="5"/>
        <v>108</v>
      </c>
      <c r="K334" s="28">
        <f t="shared" si="6"/>
        <v>74.8</v>
      </c>
      <c r="L334" s="29">
        <f t="shared" si="7"/>
        <v>182.8</v>
      </c>
      <c r="M334" s="28">
        <f t="shared" si="8"/>
        <v>17</v>
      </c>
      <c r="N334" s="27">
        <f t="shared" si="9"/>
        <v>125</v>
      </c>
    </row>
    <row r="335" spans="1:14" ht="14.4">
      <c r="A335" s="6" t="s">
        <v>393</v>
      </c>
      <c r="B335" s="21" t="s">
        <v>1405</v>
      </c>
      <c r="E335" s="33" t="s">
        <v>1233</v>
      </c>
      <c r="F335" s="26" t="s">
        <v>1828</v>
      </c>
      <c r="G335" s="30">
        <v>170</v>
      </c>
      <c r="H335" s="30">
        <v>90</v>
      </c>
      <c r="I335" s="26"/>
      <c r="J335" s="27">
        <f t="shared" si="5"/>
        <v>108</v>
      </c>
      <c r="K335" s="28">
        <f t="shared" si="6"/>
        <v>74.8</v>
      </c>
      <c r="L335" s="29">
        <f t="shared" si="7"/>
        <v>182.8</v>
      </c>
      <c r="M335" s="28">
        <f t="shared" si="8"/>
        <v>17</v>
      </c>
      <c r="N335" s="27">
        <f t="shared" si="9"/>
        <v>125</v>
      </c>
    </row>
    <row r="336" spans="1:14" ht="14.4">
      <c r="A336" s="6" t="s">
        <v>1829</v>
      </c>
      <c r="B336" s="21" t="s">
        <v>1405</v>
      </c>
      <c r="E336" s="33" t="s">
        <v>1233</v>
      </c>
      <c r="F336" s="26" t="s">
        <v>1830</v>
      </c>
      <c r="G336" s="30">
        <v>170</v>
      </c>
      <c r="H336" s="30">
        <v>90</v>
      </c>
      <c r="I336" s="26"/>
      <c r="J336" s="27">
        <f t="shared" si="5"/>
        <v>108</v>
      </c>
      <c r="K336" s="28">
        <f t="shared" si="6"/>
        <v>74.8</v>
      </c>
      <c r="L336" s="29">
        <f t="shared" si="7"/>
        <v>182.8</v>
      </c>
      <c r="M336" s="28">
        <f t="shared" si="8"/>
        <v>17</v>
      </c>
      <c r="N336" s="27">
        <f t="shared" si="9"/>
        <v>125</v>
      </c>
    </row>
    <row r="337" spans="1:14" ht="14.4">
      <c r="A337" s="6" t="s">
        <v>518</v>
      </c>
      <c r="B337" s="21" t="s">
        <v>1404</v>
      </c>
      <c r="E337" s="33" t="s">
        <v>1233</v>
      </c>
      <c r="F337" s="26" t="s">
        <v>1831</v>
      </c>
      <c r="G337" s="30">
        <v>170</v>
      </c>
      <c r="H337" s="30">
        <v>90</v>
      </c>
      <c r="I337" s="26"/>
      <c r="J337" s="27">
        <f t="shared" si="5"/>
        <v>108</v>
      </c>
      <c r="K337" s="28">
        <f t="shared" si="6"/>
        <v>74.8</v>
      </c>
      <c r="L337" s="29">
        <f t="shared" si="7"/>
        <v>182.8</v>
      </c>
      <c r="M337" s="28">
        <f t="shared" si="8"/>
        <v>17</v>
      </c>
      <c r="N337" s="27">
        <f t="shared" si="9"/>
        <v>125</v>
      </c>
    </row>
    <row r="338" spans="1:14" ht="14.4">
      <c r="A338" s="6" t="s">
        <v>1832</v>
      </c>
      <c r="B338" s="21" t="s">
        <v>1277</v>
      </c>
      <c r="E338" s="23" t="s">
        <v>1231</v>
      </c>
      <c r="F338" s="24" t="s">
        <v>1833</v>
      </c>
      <c r="G338" s="30">
        <v>170</v>
      </c>
      <c r="H338" s="30">
        <v>128</v>
      </c>
      <c r="I338" s="26"/>
      <c r="J338" s="34">
        <f t="shared" si="5"/>
        <v>153.6</v>
      </c>
      <c r="K338" s="28">
        <f t="shared" si="6"/>
        <v>74.8</v>
      </c>
      <c r="L338" s="35">
        <f t="shared" si="7"/>
        <v>228.39999999999998</v>
      </c>
      <c r="M338" s="28">
        <f t="shared" si="8"/>
        <v>17</v>
      </c>
      <c r="N338" s="34">
        <f t="shared" si="9"/>
        <v>170.6</v>
      </c>
    </row>
    <row r="339" spans="1:14" ht="14.4">
      <c r="A339" s="6" t="s">
        <v>1834</v>
      </c>
      <c r="B339" s="21" t="s">
        <v>1406</v>
      </c>
      <c r="E339" s="23" t="s">
        <v>1231</v>
      </c>
      <c r="F339" s="26" t="s">
        <v>1835</v>
      </c>
      <c r="G339" s="36">
        <v>170</v>
      </c>
      <c r="H339" s="30">
        <v>193</v>
      </c>
      <c r="I339" s="26"/>
      <c r="J339" s="27">
        <f t="shared" si="5"/>
        <v>231.6</v>
      </c>
      <c r="K339" s="28">
        <f t="shared" si="6"/>
        <v>74.8</v>
      </c>
      <c r="L339" s="29">
        <f t="shared" si="7"/>
        <v>306.39999999999998</v>
      </c>
      <c r="M339" s="28">
        <f t="shared" si="8"/>
        <v>17</v>
      </c>
      <c r="N339" s="27">
        <f t="shared" si="9"/>
        <v>248.6</v>
      </c>
    </row>
    <row r="340" spans="1:14" ht="14.4">
      <c r="A340" s="6" t="s">
        <v>403</v>
      </c>
      <c r="B340" s="21" t="s">
        <v>1406</v>
      </c>
      <c r="E340" s="33" t="s">
        <v>1233</v>
      </c>
      <c r="F340" s="24" t="s">
        <v>1836</v>
      </c>
      <c r="G340" s="25">
        <v>165</v>
      </c>
      <c r="H340" s="25">
        <v>168</v>
      </c>
      <c r="I340" s="26"/>
      <c r="J340" s="34">
        <f t="shared" si="5"/>
        <v>201.6</v>
      </c>
      <c r="K340" s="28">
        <f t="shared" si="6"/>
        <v>72.599999999999994</v>
      </c>
      <c r="L340" s="35">
        <f t="shared" si="7"/>
        <v>274.2</v>
      </c>
      <c r="M340" s="28">
        <f t="shared" si="8"/>
        <v>16.5</v>
      </c>
      <c r="N340" s="34">
        <f t="shared" si="9"/>
        <v>218.1</v>
      </c>
    </row>
    <row r="341" spans="1:14" ht="14.4">
      <c r="A341" s="6" t="s">
        <v>730</v>
      </c>
      <c r="B341" s="21" t="s">
        <v>1378</v>
      </c>
      <c r="E341" s="33" t="s">
        <v>1233</v>
      </c>
      <c r="F341" s="24" t="s">
        <v>1837</v>
      </c>
      <c r="G341" s="25">
        <v>200</v>
      </c>
      <c r="H341" s="37">
        <v>296</v>
      </c>
      <c r="I341" s="26"/>
      <c r="J341" s="34">
        <f t="shared" si="5"/>
        <v>355.2</v>
      </c>
      <c r="K341" s="28">
        <f t="shared" si="6"/>
        <v>88</v>
      </c>
      <c r="L341" s="35">
        <f t="shared" si="7"/>
        <v>443.2</v>
      </c>
      <c r="M341" s="28">
        <f t="shared" si="8"/>
        <v>20</v>
      </c>
      <c r="N341" s="34">
        <f t="shared" si="9"/>
        <v>375.2</v>
      </c>
    </row>
    <row r="342" spans="1:14" ht="14.4">
      <c r="A342" s="6" t="s">
        <v>209</v>
      </c>
      <c r="B342" s="21" t="s">
        <v>1400</v>
      </c>
      <c r="E342" s="23" t="s">
        <v>1231</v>
      </c>
      <c r="F342" s="26" t="s">
        <v>1838</v>
      </c>
      <c r="G342" s="25">
        <v>164</v>
      </c>
      <c r="H342" s="25">
        <v>248</v>
      </c>
      <c r="I342" s="26"/>
      <c r="J342" s="27">
        <f t="shared" si="5"/>
        <v>297.60000000000002</v>
      </c>
      <c r="K342" s="28">
        <f t="shared" si="6"/>
        <v>72.16</v>
      </c>
      <c r="L342" s="29">
        <f t="shared" si="7"/>
        <v>369.76</v>
      </c>
      <c r="M342" s="28">
        <f t="shared" si="8"/>
        <v>16.399999999999999</v>
      </c>
      <c r="N342" s="27">
        <f t="shared" si="9"/>
        <v>314</v>
      </c>
    </row>
    <row r="343" spans="1:14" ht="14.4">
      <c r="A343" s="6" t="s">
        <v>1839</v>
      </c>
      <c r="B343" s="21" t="s">
        <v>1384</v>
      </c>
      <c r="E343" s="23" t="s">
        <v>1231</v>
      </c>
      <c r="F343" s="24" t="s">
        <v>1840</v>
      </c>
      <c r="G343" s="25">
        <v>160</v>
      </c>
      <c r="H343" s="25">
        <v>118</v>
      </c>
      <c r="I343" s="26"/>
      <c r="J343" s="27">
        <f t="shared" si="5"/>
        <v>141.6</v>
      </c>
      <c r="K343" s="28">
        <f t="shared" si="6"/>
        <v>70.400000000000006</v>
      </c>
      <c r="L343" s="29">
        <f t="shared" si="7"/>
        <v>212</v>
      </c>
      <c r="M343" s="28">
        <f t="shared" si="8"/>
        <v>16</v>
      </c>
      <c r="N343" s="27">
        <f t="shared" si="9"/>
        <v>157.6</v>
      </c>
    </row>
    <row r="344" spans="1:14" ht="14.4">
      <c r="A344" s="6" t="s">
        <v>109</v>
      </c>
      <c r="B344" s="21" t="s">
        <v>1271</v>
      </c>
      <c r="E344" s="23" t="s">
        <v>1233</v>
      </c>
      <c r="F344" s="24" t="s">
        <v>237</v>
      </c>
      <c r="G344" s="25">
        <v>200</v>
      </c>
      <c r="H344" s="37">
        <v>296</v>
      </c>
      <c r="I344" s="26"/>
      <c r="J344" s="34">
        <f t="shared" si="5"/>
        <v>355.2</v>
      </c>
      <c r="K344" s="28">
        <f t="shared" si="6"/>
        <v>88</v>
      </c>
      <c r="L344" s="35">
        <f t="shared" si="7"/>
        <v>443.2</v>
      </c>
      <c r="M344" s="28">
        <f t="shared" si="8"/>
        <v>20</v>
      </c>
      <c r="N344" s="34">
        <f t="shared" si="9"/>
        <v>375.2</v>
      </c>
    </row>
    <row r="345" spans="1:14" ht="14.4">
      <c r="A345" s="6" t="s">
        <v>1841</v>
      </c>
      <c r="B345" s="21" t="s">
        <v>1271</v>
      </c>
      <c r="E345" s="23" t="s">
        <v>1231</v>
      </c>
      <c r="F345" s="24" t="s">
        <v>1842</v>
      </c>
      <c r="G345" s="30">
        <v>160</v>
      </c>
      <c r="H345" s="30">
        <v>142</v>
      </c>
      <c r="I345" s="26"/>
      <c r="J345" s="27">
        <f t="shared" si="5"/>
        <v>170.4</v>
      </c>
      <c r="K345" s="28">
        <f t="shared" si="6"/>
        <v>70.400000000000006</v>
      </c>
      <c r="L345" s="29">
        <f t="shared" si="7"/>
        <v>240.8</v>
      </c>
      <c r="M345" s="28">
        <f t="shared" si="8"/>
        <v>16</v>
      </c>
      <c r="N345" s="27">
        <f t="shared" si="9"/>
        <v>186.4</v>
      </c>
    </row>
    <row r="346" spans="1:14" ht="14.4">
      <c r="A346" s="6" t="s">
        <v>1829</v>
      </c>
      <c r="B346" s="21" t="s">
        <v>1271</v>
      </c>
      <c r="E346" s="23" t="s">
        <v>1233</v>
      </c>
      <c r="F346" s="24" t="s">
        <v>1843</v>
      </c>
      <c r="G346" s="30">
        <v>200</v>
      </c>
      <c r="H346" s="30">
        <v>180</v>
      </c>
      <c r="I346" s="26"/>
      <c r="J346" s="27">
        <f t="shared" si="5"/>
        <v>216</v>
      </c>
      <c r="K346" s="28">
        <f t="shared" si="6"/>
        <v>88</v>
      </c>
      <c r="L346" s="29">
        <f t="shared" si="7"/>
        <v>304</v>
      </c>
      <c r="M346" s="28">
        <f t="shared" si="8"/>
        <v>20</v>
      </c>
      <c r="N346" s="27">
        <f t="shared" si="9"/>
        <v>236</v>
      </c>
    </row>
    <row r="347" spans="1:14" ht="14.4">
      <c r="A347" s="6" t="s">
        <v>49</v>
      </c>
      <c r="B347" s="21" t="s">
        <v>1240</v>
      </c>
      <c r="E347" s="23" t="s">
        <v>1233</v>
      </c>
      <c r="F347" s="24" t="s">
        <v>1844</v>
      </c>
      <c r="G347" s="30">
        <v>200</v>
      </c>
      <c r="H347" s="30">
        <v>170</v>
      </c>
      <c r="I347" s="26"/>
      <c r="J347" s="27">
        <f t="shared" si="5"/>
        <v>204</v>
      </c>
      <c r="K347" s="28">
        <f t="shared" si="6"/>
        <v>88</v>
      </c>
      <c r="L347" s="29">
        <f t="shared" si="7"/>
        <v>292</v>
      </c>
      <c r="M347" s="28">
        <f t="shared" si="8"/>
        <v>20</v>
      </c>
      <c r="N347" s="27">
        <f t="shared" si="9"/>
        <v>224</v>
      </c>
    </row>
    <row r="348" spans="1:14" ht="14.4">
      <c r="A348" s="6" t="s">
        <v>1845</v>
      </c>
      <c r="B348" s="21" t="s">
        <v>1240</v>
      </c>
      <c r="E348" s="23" t="s">
        <v>1233</v>
      </c>
      <c r="F348" s="24" t="s">
        <v>1846</v>
      </c>
      <c r="G348" s="25">
        <v>152</v>
      </c>
      <c r="H348" s="25">
        <v>59</v>
      </c>
      <c r="I348" s="26"/>
      <c r="J348" s="34">
        <f t="shared" si="5"/>
        <v>70.8</v>
      </c>
      <c r="K348" s="28">
        <f t="shared" si="6"/>
        <v>66.88</v>
      </c>
      <c r="L348" s="35">
        <f t="shared" si="7"/>
        <v>137.68</v>
      </c>
      <c r="M348" s="28">
        <f t="shared" si="8"/>
        <v>15.2</v>
      </c>
      <c r="N348" s="34">
        <f t="shared" si="9"/>
        <v>86</v>
      </c>
    </row>
    <row r="349" spans="1:14" ht="14.4">
      <c r="A349" s="6" t="s">
        <v>177</v>
      </c>
      <c r="B349" s="21" t="s">
        <v>1257</v>
      </c>
      <c r="E349" s="23" t="s">
        <v>1233</v>
      </c>
      <c r="F349" s="24" t="s">
        <v>1847</v>
      </c>
      <c r="G349" s="25">
        <v>152</v>
      </c>
      <c r="H349" s="25">
        <v>83</v>
      </c>
      <c r="I349" s="26"/>
      <c r="J349" s="27">
        <f t="shared" si="5"/>
        <v>99.6</v>
      </c>
      <c r="K349" s="28">
        <f t="shared" si="6"/>
        <v>66.88</v>
      </c>
      <c r="L349" s="29">
        <f t="shared" si="7"/>
        <v>166.48</v>
      </c>
      <c r="M349" s="28">
        <f t="shared" si="8"/>
        <v>15.2</v>
      </c>
      <c r="N349" s="27">
        <f t="shared" si="9"/>
        <v>114.8</v>
      </c>
    </row>
    <row r="350" spans="1:14" ht="14.4">
      <c r="A350" s="6" t="s">
        <v>1848</v>
      </c>
      <c r="B350" s="21" t="s">
        <v>1257</v>
      </c>
      <c r="E350" s="23" t="s">
        <v>1233</v>
      </c>
      <c r="F350" s="24" t="s">
        <v>1849</v>
      </c>
      <c r="G350" s="30">
        <v>152</v>
      </c>
      <c r="H350" s="30">
        <v>83</v>
      </c>
      <c r="I350" s="26"/>
      <c r="J350" s="27">
        <f t="shared" si="5"/>
        <v>99.6</v>
      </c>
      <c r="K350" s="28">
        <f t="shared" si="6"/>
        <v>66.88</v>
      </c>
      <c r="L350" s="29">
        <f t="shared" si="7"/>
        <v>166.48</v>
      </c>
      <c r="M350" s="28">
        <f t="shared" si="8"/>
        <v>15.2</v>
      </c>
      <c r="N350" s="27">
        <f t="shared" si="9"/>
        <v>114.8</v>
      </c>
    </row>
    <row r="351" spans="1:14" ht="14.4">
      <c r="A351" s="6" t="s">
        <v>1848</v>
      </c>
      <c r="B351" s="21" t="s">
        <v>1257</v>
      </c>
      <c r="E351" s="23" t="s">
        <v>1231</v>
      </c>
      <c r="F351" s="24" t="s">
        <v>1850</v>
      </c>
      <c r="G351" s="30">
        <v>152</v>
      </c>
      <c r="H351" s="30">
        <v>116</v>
      </c>
      <c r="I351" s="26"/>
      <c r="J351" s="34">
        <f t="shared" si="5"/>
        <v>139.19999999999999</v>
      </c>
      <c r="K351" s="28">
        <f t="shared" si="6"/>
        <v>66.88</v>
      </c>
      <c r="L351" s="35">
        <f t="shared" si="7"/>
        <v>206.07999999999998</v>
      </c>
      <c r="M351" s="28">
        <f t="shared" si="8"/>
        <v>15.2</v>
      </c>
      <c r="N351" s="34">
        <f t="shared" si="9"/>
        <v>154.39999999999998</v>
      </c>
    </row>
    <row r="352" spans="1:14" ht="14.4">
      <c r="A352" s="6" t="s">
        <v>1851</v>
      </c>
      <c r="B352" s="21" t="s">
        <v>1254</v>
      </c>
      <c r="E352" s="23" t="s">
        <v>1231</v>
      </c>
      <c r="F352" s="24" t="s">
        <v>1852</v>
      </c>
      <c r="G352" s="25">
        <v>150</v>
      </c>
      <c r="H352" s="25">
        <v>112</v>
      </c>
      <c r="I352" s="26"/>
      <c r="J352" s="27">
        <f t="shared" si="5"/>
        <v>134.4</v>
      </c>
      <c r="K352" s="28">
        <f t="shared" si="6"/>
        <v>66</v>
      </c>
      <c r="L352" s="29">
        <f t="shared" si="7"/>
        <v>200.4</v>
      </c>
      <c r="M352" s="28">
        <f t="shared" si="8"/>
        <v>15</v>
      </c>
      <c r="N352" s="27">
        <f t="shared" si="9"/>
        <v>149.4</v>
      </c>
    </row>
    <row r="353" spans="1:14" ht="14.4">
      <c r="A353" s="6" t="s">
        <v>55</v>
      </c>
      <c r="B353" s="21" t="s">
        <v>1254</v>
      </c>
      <c r="E353" s="23" t="s">
        <v>1233</v>
      </c>
      <c r="F353" s="24" t="s">
        <v>1853</v>
      </c>
      <c r="G353" s="25">
        <v>150</v>
      </c>
      <c r="H353" s="25">
        <v>154</v>
      </c>
      <c r="I353" s="26"/>
      <c r="J353" s="27">
        <f t="shared" si="5"/>
        <v>184.8</v>
      </c>
      <c r="K353" s="28">
        <f t="shared" si="6"/>
        <v>66</v>
      </c>
      <c r="L353" s="29">
        <f t="shared" si="7"/>
        <v>250.8</v>
      </c>
      <c r="M353" s="28">
        <f t="shared" si="8"/>
        <v>15</v>
      </c>
      <c r="N353" s="27">
        <f t="shared" si="9"/>
        <v>199.8</v>
      </c>
    </row>
    <row r="354" spans="1:14" ht="14.4">
      <c r="A354" s="6" t="s">
        <v>1854</v>
      </c>
      <c r="B354" s="21" t="s">
        <v>1254</v>
      </c>
      <c r="E354" s="23" t="s">
        <v>1233</v>
      </c>
      <c r="F354" s="24" t="s">
        <v>612</v>
      </c>
      <c r="G354" s="25">
        <v>150</v>
      </c>
      <c r="H354" s="25">
        <v>113</v>
      </c>
      <c r="I354" s="26"/>
      <c r="J354" s="34">
        <f t="shared" si="5"/>
        <v>135.6</v>
      </c>
      <c r="K354" s="28">
        <f t="shared" si="6"/>
        <v>66</v>
      </c>
      <c r="L354" s="35">
        <f t="shared" si="7"/>
        <v>201.6</v>
      </c>
      <c r="M354" s="28">
        <f t="shared" si="8"/>
        <v>15</v>
      </c>
      <c r="N354" s="34">
        <f t="shared" si="9"/>
        <v>150.6</v>
      </c>
    </row>
    <row r="355" spans="1:14" ht="14.4">
      <c r="A355" s="6" t="s">
        <v>1855</v>
      </c>
      <c r="B355" s="21" t="s">
        <v>1254</v>
      </c>
      <c r="E355" s="23" t="s">
        <v>1233</v>
      </c>
      <c r="F355" s="24" t="s">
        <v>1856</v>
      </c>
      <c r="G355" s="25">
        <v>150</v>
      </c>
      <c r="H355" s="25">
        <v>113</v>
      </c>
      <c r="I355" s="26"/>
      <c r="J355" s="34">
        <f t="shared" si="5"/>
        <v>135.6</v>
      </c>
      <c r="K355" s="28">
        <f t="shared" si="6"/>
        <v>66</v>
      </c>
      <c r="L355" s="35">
        <f t="shared" si="7"/>
        <v>201.6</v>
      </c>
      <c r="M355" s="28">
        <f t="shared" si="8"/>
        <v>15</v>
      </c>
      <c r="N355" s="34">
        <f t="shared" si="9"/>
        <v>150.6</v>
      </c>
    </row>
    <row r="356" spans="1:14" ht="14.4">
      <c r="A356" s="6" t="s">
        <v>1857</v>
      </c>
      <c r="B356" s="21" t="s">
        <v>1254</v>
      </c>
      <c r="E356" s="23" t="s">
        <v>1233</v>
      </c>
      <c r="F356" s="24" t="s">
        <v>1858</v>
      </c>
      <c r="G356" s="25">
        <v>150</v>
      </c>
      <c r="H356" s="25">
        <v>113</v>
      </c>
      <c r="I356" s="26"/>
      <c r="J356" s="34">
        <f t="shared" si="5"/>
        <v>135.6</v>
      </c>
      <c r="K356" s="28">
        <f t="shared" si="6"/>
        <v>66</v>
      </c>
      <c r="L356" s="35">
        <f t="shared" si="7"/>
        <v>201.6</v>
      </c>
      <c r="M356" s="28">
        <f t="shared" si="8"/>
        <v>15</v>
      </c>
      <c r="N356" s="34">
        <f t="shared" si="9"/>
        <v>150.6</v>
      </c>
    </row>
    <row r="357" spans="1:14" ht="14.4">
      <c r="A357" s="6" t="s">
        <v>1859</v>
      </c>
      <c r="B357" s="21" t="s">
        <v>1254</v>
      </c>
      <c r="E357" s="23" t="s">
        <v>1233</v>
      </c>
      <c r="F357" s="24" t="s">
        <v>1860</v>
      </c>
      <c r="G357" s="25">
        <v>150</v>
      </c>
      <c r="H357" s="25">
        <v>113</v>
      </c>
      <c r="I357" s="26"/>
      <c r="J357" s="34">
        <f t="shared" si="5"/>
        <v>135.6</v>
      </c>
      <c r="K357" s="28">
        <f t="shared" si="6"/>
        <v>66</v>
      </c>
      <c r="L357" s="35">
        <f t="shared" si="7"/>
        <v>201.6</v>
      </c>
      <c r="M357" s="28">
        <f t="shared" si="8"/>
        <v>15</v>
      </c>
      <c r="N357" s="34">
        <f t="shared" si="9"/>
        <v>150.6</v>
      </c>
    </row>
    <row r="358" spans="1:14" ht="14.4">
      <c r="A358" s="6" t="s">
        <v>1859</v>
      </c>
      <c r="B358" s="21" t="s">
        <v>1254</v>
      </c>
      <c r="E358" s="23" t="s">
        <v>1233</v>
      </c>
      <c r="F358" s="24" t="s">
        <v>1861</v>
      </c>
      <c r="G358" s="25">
        <v>150</v>
      </c>
      <c r="H358" s="25">
        <v>113</v>
      </c>
      <c r="I358" s="26"/>
      <c r="J358" s="34">
        <f t="shared" si="5"/>
        <v>135.6</v>
      </c>
      <c r="K358" s="28">
        <f t="shared" si="6"/>
        <v>66</v>
      </c>
      <c r="L358" s="35">
        <f t="shared" si="7"/>
        <v>201.6</v>
      </c>
      <c r="M358" s="28">
        <f t="shared" si="8"/>
        <v>15</v>
      </c>
      <c r="N358" s="34">
        <f t="shared" si="9"/>
        <v>150.6</v>
      </c>
    </row>
    <row r="359" spans="1:14" ht="14.4">
      <c r="A359" s="6" t="s">
        <v>1088</v>
      </c>
      <c r="B359" s="21" t="s">
        <v>1862</v>
      </c>
      <c r="E359" s="23" t="s">
        <v>1233</v>
      </c>
      <c r="F359" s="24" t="s">
        <v>1863</v>
      </c>
      <c r="G359" s="25">
        <v>150</v>
      </c>
      <c r="H359" s="25">
        <v>113</v>
      </c>
      <c r="I359" s="26"/>
      <c r="J359" s="34">
        <f t="shared" si="5"/>
        <v>135.6</v>
      </c>
      <c r="K359" s="28">
        <f t="shared" si="6"/>
        <v>66</v>
      </c>
      <c r="L359" s="35">
        <f t="shared" si="7"/>
        <v>201.6</v>
      </c>
      <c r="M359" s="28">
        <f t="shared" si="8"/>
        <v>15</v>
      </c>
      <c r="N359" s="34">
        <f t="shared" si="9"/>
        <v>150.6</v>
      </c>
    </row>
    <row r="360" spans="1:14" ht="14.4">
      <c r="A360" s="6" t="s">
        <v>922</v>
      </c>
      <c r="B360" s="21" t="s">
        <v>1864</v>
      </c>
      <c r="E360" s="23" t="s">
        <v>1233</v>
      </c>
      <c r="F360" s="24" t="s">
        <v>1748</v>
      </c>
      <c r="G360" s="30">
        <v>150</v>
      </c>
      <c r="H360" s="36">
        <v>500</v>
      </c>
      <c r="I360" s="26"/>
      <c r="J360" s="27">
        <f t="shared" si="5"/>
        <v>600</v>
      </c>
      <c r="K360" s="28">
        <f t="shared" si="6"/>
        <v>66</v>
      </c>
      <c r="L360" s="29">
        <f t="shared" si="7"/>
        <v>666</v>
      </c>
      <c r="M360" s="28">
        <f t="shared" si="8"/>
        <v>15</v>
      </c>
      <c r="N360" s="27">
        <f t="shared" si="9"/>
        <v>615</v>
      </c>
    </row>
    <row r="361" spans="1:14" ht="14.4">
      <c r="A361" s="6" t="s">
        <v>1076</v>
      </c>
      <c r="B361" s="21" t="s">
        <v>1865</v>
      </c>
      <c r="E361" s="23" t="s">
        <v>1233</v>
      </c>
      <c r="F361" s="24" t="s">
        <v>1754</v>
      </c>
      <c r="G361" s="30">
        <v>150</v>
      </c>
      <c r="H361" s="36">
        <v>500</v>
      </c>
      <c r="I361" s="26"/>
      <c r="J361" s="27">
        <f t="shared" si="5"/>
        <v>600</v>
      </c>
      <c r="K361" s="28">
        <f t="shared" si="6"/>
        <v>66</v>
      </c>
      <c r="L361" s="29">
        <f t="shared" si="7"/>
        <v>666</v>
      </c>
      <c r="M361" s="28">
        <f t="shared" si="8"/>
        <v>15</v>
      </c>
      <c r="N361" s="27">
        <f t="shared" si="9"/>
        <v>615</v>
      </c>
    </row>
    <row r="362" spans="1:14" ht="14.4">
      <c r="A362" s="6" t="s">
        <v>1085</v>
      </c>
      <c r="B362" s="21" t="s">
        <v>1866</v>
      </c>
      <c r="E362" s="23" t="s">
        <v>1233</v>
      </c>
      <c r="F362" s="24" t="s">
        <v>1757</v>
      </c>
      <c r="G362" s="30">
        <v>150</v>
      </c>
      <c r="H362" s="36">
        <v>500</v>
      </c>
      <c r="I362" s="26"/>
      <c r="J362" s="27">
        <f t="shared" si="5"/>
        <v>600</v>
      </c>
      <c r="K362" s="28">
        <f t="shared" si="6"/>
        <v>66</v>
      </c>
      <c r="L362" s="29">
        <f t="shared" si="7"/>
        <v>666</v>
      </c>
      <c r="M362" s="28">
        <f t="shared" si="8"/>
        <v>15</v>
      </c>
      <c r="N362" s="27">
        <f t="shared" si="9"/>
        <v>615</v>
      </c>
    </row>
    <row r="363" spans="1:14" ht="14.4">
      <c r="A363" s="6" t="s">
        <v>1091</v>
      </c>
      <c r="B363" s="21" t="s">
        <v>1867</v>
      </c>
      <c r="E363" s="23" t="s">
        <v>1233</v>
      </c>
      <c r="F363" s="24" t="s">
        <v>1868</v>
      </c>
      <c r="G363" s="30">
        <v>150</v>
      </c>
      <c r="H363" s="36">
        <v>400</v>
      </c>
      <c r="I363" s="26"/>
      <c r="J363" s="27">
        <f t="shared" si="5"/>
        <v>480</v>
      </c>
      <c r="K363" s="28">
        <f t="shared" si="6"/>
        <v>66</v>
      </c>
      <c r="L363" s="29">
        <f t="shared" si="7"/>
        <v>546</v>
      </c>
      <c r="M363" s="28">
        <f t="shared" si="8"/>
        <v>15</v>
      </c>
      <c r="N363" s="27">
        <f t="shared" si="9"/>
        <v>495</v>
      </c>
    </row>
    <row r="364" spans="1:14" ht="14.4">
      <c r="A364" s="6" t="s">
        <v>1869</v>
      </c>
      <c r="B364" s="21" t="s">
        <v>1870</v>
      </c>
      <c r="E364" s="23" t="s">
        <v>1233</v>
      </c>
      <c r="F364" s="24" t="s">
        <v>1871</v>
      </c>
      <c r="G364" s="30">
        <v>150</v>
      </c>
      <c r="H364" s="36">
        <v>400</v>
      </c>
      <c r="I364" s="26"/>
      <c r="J364" s="27">
        <f t="shared" si="5"/>
        <v>480</v>
      </c>
      <c r="K364" s="28">
        <f t="shared" si="6"/>
        <v>66</v>
      </c>
      <c r="L364" s="29">
        <f t="shared" si="7"/>
        <v>546</v>
      </c>
      <c r="M364" s="28">
        <f t="shared" si="8"/>
        <v>15</v>
      </c>
      <c r="N364" s="27">
        <f t="shared" si="9"/>
        <v>495</v>
      </c>
    </row>
    <row r="365" spans="1:14" ht="14.4">
      <c r="A365" s="6" t="s">
        <v>1056</v>
      </c>
      <c r="B365" s="21" t="s">
        <v>1872</v>
      </c>
      <c r="E365" s="23" t="s">
        <v>1233</v>
      </c>
      <c r="F365" s="24" t="s">
        <v>1873</v>
      </c>
      <c r="G365" s="30">
        <v>150</v>
      </c>
      <c r="H365" s="36">
        <v>400</v>
      </c>
      <c r="I365" s="26"/>
      <c r="J365" s="27">
        <f t="shared" si="5"/>
        <v>480</v>
      </c>
      <c r="K365" s="28">
        <f t="shared" si="6"/>
        <v>66</v>
      </c>
      <c r="L365" s="29">
        <f t="shared" si="7"/>
        <v>546</v>
      </c>
      <c r="M365" s="28">
        <f t="shared" si="8"/>
        <v>15</v>
      </c>
      <c r="N365" s="27">
        <f t="shared" si="9"/>
        <v>495</v>
      </c>
    </row>
    <row r="366" spans="1:14" ht="14.4">
      <c r="A366" s="6" t="s">
        <v>1874</v>
      </c>
      <c r="B366" s="21" t="s">
        <v>1872</v>
      </c>
      <c r="E366" s="23" t="s">
        <v>1233</v>
      </c>
      <c r="F366" s="24" t="s">
        <v>1875</v>
      </c>
      <c r="G366" s="30">
        <v>150</v>
      </c>
      <c r="H366" s="36">
        <v>400</v>
      </c>
      <c r="I366" s="26"/>
      <c r="J366" s="27">
        <f t="shared" si="5"/>
        <v>480</v>
      </c>
      <c r="K366" s="28">
        <f t="shared" si="6"/>
        <v>66</v>
      </c>
      <c r="L366" s="29">
        <f t="shared" si="7"/>
        <v>546</v>
      </c>
      <c r="M366" s="28">
        <f t="shared" si="8"/>
        <v>15</v>
      </c>
      <c r="N366" s="27">
        <f t="shared" si="9"/>
        <v>495</v>
      </c>
    </row>
    <row r="367" spans="1:14" ht="14.4">
      <c r="A367" s="6" t="s">
        <v>1876</v>
      </c>
      <c r="B367" s="21" t="s">
        <v>1877</v>
      </c>
      <c r="E367" s="23" t="s">
        <v>1233</v>
      </c>
      <c r="F367" s="24" t="s">
        <v>1878</v>
      </c>
      <c r="G367" s="30">
        <v>150</v>
      </c>
      <c r="H367" s="36">
        <v>400</v>
      </c>
      <c r="I367" s="26"/>
      <c r="J367" s="27">
        <f t="shared" si="5"/>
        <v>480</v>
      </c>
      <c r="K367" s="28">
        <f t="shared" si="6"/>
        <v>66</v>
      </c>
      <c r="L367" s="29">
        <f t="shared" si="7"/>
        <v>546</v>
      </c>
      <c r="M367" s="28">
        <f t="shared" si="8"/>
        <v>15</v>
      </c>
      <c r="N367" s="27">
        <f t="shared" si="9"/>
        <v>495</v>
      </c>
    </row>
    <row r="368" spans="1:14" ht="14.4">
      <c r="A368" s="6" t="s">
        <v>1879</v>
      </c>
      <c r="B368" s="21" t="s">
        <v>1389</v>
      </c>
      <c r="E368" s="23" t="s">
        <v>1233</v>
      </c>
      <c r="F368" s="24" t="s">
        <v>1880</v>
      </c>
      <c r="G368" s="30">
        <v>150</v>
      </c>
      <c r="H368" s="36">
        <v>400</v>
      </c>
      <c r="I368" s="26"/>
      <c r="J368" s="27">
        <f t="shared" si="5"/>
        <v>480</v>
      </c>
      <c r="K368" s="28">
        <f t="shared" si="6"/>
        <v>66</v>
      </c>
      <c r="L368" s="29">
        <f t="shared" si="7"/>
        <v>546</v>
      </c>
      <c r="M368" s="28">
        <f t="shared" si="8"/>
        <v>15</v>
      </c>
      <c r="N368" s="27">
        <f t="shared" si="9"/>
        <v>495</v>
      </c>
    </row>
    <row r="369" spans="1:14" ht="14.4">
      <c r="A369" s="6" t="s">
        <v>578</v>
      </c>
      <c r="B369" s="21" t="s">
        <v>1389</v>
      </c>
      <c r="E369" s="23" t="s">
        <v>1233</v>
      </c>
      <c r="F369" s="24" t="s">
        <v>1881</v>
      </c>
      <c r="G369" s="30">
        <v>150</v>
      </c>
      <c r="H369" s="37">
        <v>154</v>
      </c>
      <c r="I369" s="26"/>
      <c r="J369" s="27">
        <f t="shared" si="5"/>
        <v>184.8</v>
      </c>
      <c r="K369" s="28">
        <f t="shared" si="6"/>
        <v>66</v>
      </c>
      <c r="L369" s="29">
        <f t="shared" si="7"/>
        <v>250.8</v>
      </c>
      <c r="M369" s="28">
        <f t="shared" si="8"/>
        <v>15</v>
      </c>
      <c r="N369" s="27">
        <f t="shared" si="9"/>
        <v>199.8</v>
      </c>
    </row>
    <row r="370" spans="1:14" ht="14.4">
      <c r="A370" s="6" t="s">
        <v>94</v>
      </c>
      <c r="B370" s="21" t="s">
        <v>1451</v>
      </c>
      <c r="E370" s="23" t="s">
        <v>1233</v>
      </c>
      <c r="F370" s="24" t="s">
        <v>1882</v>
      </c>
      <c r="G370" s="30">
        <v>150</v>
      </c>
      <c r="H370" s="37">
        <v>154</v>
      </c>
      <c r="I370" s="26"/>
      <c r="J370" s="27">
        <f t="shared" si="5"/>
        <v>184.8</v>
      </c>
      <c r="K370" s="28">
        <f t="shared" si="6"/>
        <v>66</v>
      </c>
      <c r="L370" s="29">
        <f t="shared" si="7"/>
        <v>250.8</v>
      </c>
      <c r="M370" s="28">
        <f t="shared" si="8"/>
        <v>15</v>
      </c>
      <c r="N370" s="27">
        <f t="shared" si="9"/>
        <v>199.8</v>
      </c>
    </row>
    <row r="371" spans="1:14" ht="14.4">
      <c r="A371" s="6" t="s">
        <v>1883</v>
      </c>
      <c r="B371" s="21" t="s">
        <v>1451</v>
      </c>
      <c r="E371" s="23" t="s">
        <v>1233</v>
      </c>
      <c r="F371" s="24" t="s">
        <v>1884</v>
      </c>
      <c r="G371" s="30">
        <v>150</v>
      </c>
      <c r="H371" s="37">
        <v>154</v>
      </c>
      <c r="I371" s="26"/>
      <c r="J371" s="27">
        <f t="shared" si="5"/>
        <v>184.8</v>
      </c>
      <c r="K371" s="28">
        <f t="shared" si="6"/>
        <v>66</v>
      </c>
      <c r="L371" s="29">
        <f t="shared" si="7"/>
        <v>250.8</v>
      </c>
      <c r="M371" s="28">
        <f t="shared" si="8"/>
        <v>15</v>
      </c>
      <c r="N371" s="27">
        <f t="shared" si="9"/>
        <v>199.8</v>
      </c>
    </row>
    <row r="372" spans="1:14" ht="14.4">
      <c r="A372" s="6" t="s">
        <v>76</v>
      </c>
      <c r="B372" s="21" t="s">
        <v>1397</v>
      </c>
      <c r="E372" s="23" t="s">
        <v>1233</v>
      </c>
      <c r="F372" s="24" t="s">
        <v>1199</v>
      </c>
      <c r="G372" s="30">
        <v>150</v>
      </c>
      <c r="H372" s="37">
        <v>154</v>
      </c>
      <c r="I372" s="26"/>
      <c r="J372" s="27">
        <f t="shared" si="5"/>
        <v>184.8</v>
      </c>
      <c r="K372" s="28">
        <f t="shared" si="6"/>
        <v>66</v>
      </c>
      <c r="L372" s="29">
        <f t="shared" si="7"/>
        <v>250.8</v>
      </c>
      <c r="M372" s="28">
        <f t="shared" si="8"/>
        <v>15</v>
      </c>
      <c r="N372" s="27">
        <f t="shared" si="9"/>
        <v>199.8</v>
      </c>
    </row>
    <row r="373" spans="1:14" ht="14.4">
      <c r="A373" s="6" t="s">
        <v>100</v>
      </c>
      <c r="B373" s="21" t="s">
        <v>1462</v>
      </c>
      <c r="E373" s="23" t="s">
        <v>1233</v>
      </c>
      <c r="F373" s="24" t="s">
        <v>1885</v>
      </c>
      <c r="G373" s="30">
        <v>150</v>
      </c>
      <c r="H373" s="25">
        <v>154</v>
      </c>
      <c r="I373" s="26"/>
      <c r="J373" s="27">
        <f t="shared" si="5"/>
        <v>184.8</v>
      </c>
      <c r="K373" s="28">
        <f t="shared" si="6"/>
        <v>66</v>
      </c>
      <c r="L373" s="29">
        <f t="shared" si="7"/>
        <v>250.8</v>
      </c>
      <c r="M373" s="28">
        <f t="shared" si="8"/>
        <v>15</v>
      </c>
      <c r="N373" s="27">
        <f t="shared" si="9"/>
        <v>199.8</v>
      </c>
    </row>
    <row r="374" spans="1:14" ht="14.4">
      <c r="A374" s="6" t="s">
        <v>1886</v>
      </c>
      <c r="B374" s="21" t="s">
        <v>1462</v>
      </c>
      <c r="E374" s="23" t="s">
        <v>1233</v>
      </c>
      <c r="F374" s="24" t="s">
        <v>1887</v>
      </c>
      <c r="G374" s="25">
        <v>150</v>
      </c>
      <c r="H374" s="25">
        <v>154</v>
      </c>
      <c r="I374" s="26"/>
      <c r="J374" s="27">
        <f t="shared" si="5"/>
        <v>184.8</v>
      </c>
      <c r="K374" s="28">
        <f t="shared" si="6"/>
        <v>66</v>
      </c>
      <c r="L374" s="29">
        <f t="shared" si="7"/>
        <v>250.8</v>
      </c>
      <c r="M374" s="28">
        <f t="shared" si="8"/>
        <v>15</v>
      </c>
      <c r="N374" s="27">
        <f t="shared" si="9"/>
        <v>199.8</v>
      </c>
    </row>
    <row r="375" spans="1:14" ht="14.4">
      <c r="A375" s="6" t="s">
        <v>171</v>
      </c>
      <c r="B375" s="21" t="s">
        <v>1394</v>
      </c>
      <c r="E375" s="23" t="s">
        <v>1231</v>
      </c>
      <c r="F375" s="24" t="s">
        <v>1888</v>
      </c>
      <c r="G375" s="25">
        <v>150</v>
      </c>
      <c r="H375" s="25">
        <v>112</v>
      </c>
      <c r="I375" s="26"/>
      <c r="J375" s="27">
        <f t="shared" si="5"/>
        <v>134.4</v>
      </c>
      <c r="K375" s="28">
        <f t="shared" si="6"/>
        <v>66</v>
      </c>
      <c r="L375" s="29">
        <f t="shared" si="7"/>
        <v>200.4</v>
      </c>
      <c r="M375" s="28">
        <f t="shared" si="8"/>
        <v>15</v>
      </c>
      <c r="N375" s="27">
        <f t="shared" si="9"/>
        <v>149.4</v>
      </c>
    </row>
    <row r="376" spans="1:14" ht="14.4">
      <c r="A376" s="6" t="s">
        <v>1171</v>
      </c>
      <c r="B376" s="21" t="s">
        <v>1391</v>
      </c>
      <c r="E376" s="23" t="s">
        <v>1231</v>
      </c>
      <c r="F376" s="24" t="s">
        <v>1889</v>
      </c>
      <c r="G376" s="25">
        <v>150</v>
      </c>
      <c r="H376" s="25">
        <v>112</v>
      </c>
      <c r="I376" s="26"/>
      <c r="J376" s="27">
        <f t="shared" si="5"/>
        <v>134.4</v>
      </c>
      <c r="K376" s="28">
        <f t="shared" si="6"/>
        <v>66</v>
      </c>
      <c r="L376" s="29">
        <f t="shared" si="7"/>
        <v>200.4</v>
      </c>
      <c r="M376" s="28">
        <f t="shared" si="8"/>
        <v>15</v>
      </c>
      <c r="N376" s="27">
        <f t="shared" si="9"/>
        <v>149.4</v>
      </c>
    </row>
    <row r="377" spans="1:14" ht="14.4">
      <c r="A377" s="6" t="s">
        <v>188</v>
      </c>
      <c r="B377" s="21" t="s">
        <v>1398</v>
      </c>
      <c r="E377" s="23" t="s">
        <v>1231</v>
      </c>
      <c r="F377" s="24" t="s">
        <v>1890</v>
      </c>
      <c r="G377" s="25">
        <v>150</v>
      </c>
      <c r="H377" s="25">
        <v>112</v>
      </c>
      <c r="I377" s="26"/>
      <c r="J377" s="27">
        <f t="shared" si="5"/>
        <v>134.4</v>
      </c>
      <c r="K377" s="28">
        <f t="shared" si="6"/>
        <v>66</v>
      </c>
      <c r="L377" s="29">
        <f t="shared" si="7"/>
        <v>200.4</v>
      </c>
      <c r="M377" s="28">
        <f t="shared" si="8"/>
        <v>15</v>
      </c>
      <c r="N377" s="27">
        <f t="shared" si="9"/>
        <v>149.4</v>
      </c>
    </row>
    <row r="378" spans="1:14" ht="14.4">
      <c r="A378" s="6" t="s">
        <v>1883</v>
      </c>
      <c r="B378" s="21" t="s">
        <v>1398</v>
      </c>
      <c r="E378" s="23" t="s">
        <v>1233</v>
      </c>
      <c r="F378" s="24" t="s">
        <v>1891</v>
      </c>
      <c r="G378" s="30">
        <v>150</v>
      </c>
      <c r="H378" s="30">
        <v>100</v>
      </c>
      <c r="I378" s="26"/>
      <c r="J378" s="27">
        <f t="shared" si="5"/>
        <v>120</v>
      </c>
      <c r="K378" s="28">
        <f t="shared" si="6"/>
        <v>66</v>
      </c>
      <c r="L378" s="29">
        <f t="shared" si="7"/>
        <v>186</v>
      </c>
      <c r="M378" s="28">
        <f t="shared" si="8"/>
        <v>15</v>
      </c>
      <c r="N378" s="27">
        <f t="shared" si="9"/>
        <v>135</v>
      </c>
    </row>
    <row r="379" spans="1:14" ht="14.4">
      <c r="A379" s="6" t="s">
        <v>1168</v>
      </c>
      <c r="B379" s="21" t="s">
        <v>1393</v>
      </c>
      <c r="E379" s="23" t="s">
        <v>1233</v>
      </c>
      <c r="F379" s="24" t="s">
        <v>1892</v>
      </c>
      <c r="G379" s="30">
        <v>200</v>
      </c>
      <c r="H379" s="30">
        <v>155</v>
      </c>
      <c r="I379" s="26"/>
      <c r="J379" s="27">
        <f t="shared" si="5"/>
        <v>186</v>
      </c>
      <c r="K379" s="28">
        <f t="shared" si="6"/>
        <v>88</v>
      </c>
      <c r="L379" s="29">
        <f t="shared" si="7"/>
        <v>274</v>
      </c>
      <c r="M379" s="28">
        <f t="shared" si="8"/>
        <v>20</v>
      </c>
      <c r="N379" s="27">
        <f t="shared" si="9"/>
        <v>206</v>
      </c>
    </row>
    <row r="380" spans="1:14" ht="14.4">
      <c r="A380" s="6" t="s">
        <v>1893</v>
      </c>
      <c r="B380" s="21" t="s">
        <v>1648</v>
      </c>
      <c r="E380" s="23" t="s">
        <v>1233</v>
      </c>
      <c r="F380" s="24" t="s">
        <v>1894</v>
      </c>
      <c r="G380" s="30">
        <v>200</v>
      </c>
      <c r="H380" s="30">
        <v>205</v>
      </c>
      <c r="I380" s="26"/>
      <c r="J380" s="27">
        <f t="shared" si="5"/>
        <v>246</v>
      </c>
      <c r="K380" s="28">
        <f t="shared" si="6"/>
        <v>88</v>
      </c>
      <c r="L380" s="29">
        <f t="shared" si="7"/>
        <v>334</v>
      </c>
      <c r="M380" s="28">
        <f t="shared" si="8"/>
        <v>20</v>
      </c>
      <c r="N380" s="27">
        <f t="shared" si="9"/>
        <v>266</v>
      </c>
    </row>
    <row r="381" spans="1:14" ht="14.4">
      <c r="A381" s="6" t="s">
        <v>749</v>
      </c>
      <c r="B381" s="21" t="s">
        <v>1648</v>
      </c>
      <c r="E381" s="23" t="s">
        <v>1233</v>
      </c>
      <c r="F381" s="24" t="s">
        <v>1895</v>
      </c>
      <c r="G381" s="30">
        <v>200</v>
      </c>
      <c r="H381" s="30">
        <v>185</v>
      </c>
      <c r="I381" s="26"/>
      <c r="J381" s="27">
        <f t="shared" si="5"/>
        <v>222</v>
      </c>
      <c r="K381" s="28">
        <f t="shared" si="6"/>
        <v>88</v>
      </c>
      <c r="L381" s="29">
        <f t="shared" si="7"/>
        <v>310</v>
      </c>
      <c r="M381" s="28">
        <f t="shared" si="8"/>
        <v>20</v>
      </c>
      <c r="N381" s="27">
        <f t="shared" si="9"/>
        <v>242</v>
      </c>
    </row>
    <row r="382" spans="1:14" ht="14.4">
      <c r="A382" s="6" t="s">
        <v>1896</v>
      </c>
      <c r="B382" s="21" t="s">
        <v>1449</v>
      </c>
      <c r="E382" s="23" t="s">
        <v>1233</v>
      </c>
      <c r="F382" s="24" t="s">
        <v>1897</v>
      </c>
      <c r="G382" s="30">
        <v>200</v>
      </c>
      <c r="H382" s="30">
        <v>185</v>
      </c>
      <c r="I382" s="26"/>
      <c r="J382" s="27">
        <f t="shared" si="5"/>
        <v>222</v>
      </c>
      <c r="K382" s="28">
        <f t="shared" si="6"/>
        <v>88</v>
      </c>
      <c r="L382" s="29">
        <f t="shared" si="7"/>
        <v>310</v>
      </c>
      <c r="M382" s="28">
        <f t="shared" si="8"/>
        <v>20</v>
      </c>
      <c r="N382" s="27">
        <f t="shared" si="9"/>
        <v>242</v>
      </c>
    </row>
    <row r="383" spans="1:14" ht="14.4">
      <c r="A383" s="6" t="s">
        <v>37</v>
      </c>
      <c r="B383" s="21" t="s">
        <v>1449</v>
      </c>
      <c r="E383" s="23" t="s">
        <v>1233</v>
      </c>
      <c r="F383" s="26" t="s">
        <v>1898</v>
      </c>
      <c r="G383" s="36">
        <v>150</v>
      </c>
      <c r="H383" s="30">
        <v>154</v>
      </c>
      <c r="I383" s="26"/>
      <c r="J383" s="27">
        <f t="shared" si="5"/>
        <v>184.8</v>
      </c>
      <c r="K383" s="28">
        <f t="shared" si="6"/>
        <v>66</v>
      </c>
      <c r="L383" s="29">
        <f t="shared" si="7"/>
        <v>250.8</v>
      </c>
      <c r="M383" s="28">
        <f t="shared" si="8"/>
        <v>15</v>
      </c>
      <c r="N383" s="27">
        <f t="shared" si="9"/>
        <v>199.8</v>
      </c>
    </row>
    <row r="384" spans="1:14" ht="14.4">
      <c r="A384" s="6" t="s">
        <v>1899</v>
      </c>
      <c r="B384" s="21" t="s">
        <v>1900</v>
      </c>
      <c r="E384" s="23" t="s">
        <v>1233</v>
      </c>
      <c r="F384" s="26" t="s">
        <v>1901</v>
      </c>
      <c r="G384" s="36">
        <v>150</v>
      </c>
      <c r="H384" s="30">
        <v>154</v>
      </c>
      <c r="I384" s="26"/>
      <c r="J384" s="27">
        <f t="shared" si="5"/>
        <v>184.8</v>
      </c>
      <c r="K384" s="28">
        <f t="shared" si="6"/>
        <v>66</v>
      </c>
      <c r="L384" s="29">
        <f t="shared" si="7"/>
        <v>250.8</v>
      </c>
      <c r="M384" s="28">
        <f t="shared" si="8"/>
        <v>15</v>
      </c>
      <c r="N384" s="27">
        <f t="shared" si="9"/>
        <v>199.8</v>
      </c>
    </row>
    <row r="385" spans="1:14" ht="14.4">
      <c r="A385" s="6" t="s">
        <v>1902</v>
      </c>
      <c r="B385" s="21" t="s">
        <v>1903</v>
      </c>
      <c r="E385" s="23" t="s">
        <v>1233</v>
      </c>
      <c r="F385" s="26" t="s">
        <v>1904</v>
      </c>
      <c r="G385" s="36">
        <v>150</v>
      </c>
      <c r="H385" s="30">
        <v>154</v>
      </c>
      <c r="I385" s="26"/>
      <c r="J385" s="27">
        <f t="shared" si="5"/>
        <v>184.8</v>
      </c>
      <c r="K385" s="28">
        <f t="shared" si="6"/>
        <v>66</v>
      </c>
      <c r="L385" s="29">
        <f t="shared" si="7"/>
        <v>250.8</v>
      </c>
      <c r="M385" s="28">
        <f t="shared" si="8"/>
        <v>15</v>
      </c>
      <c r="N385" s="27">
        <f t="shared" si="9"/>
        <v>199.8</v>
      </c>
    </row>
    <row r="386" spans="1:14" ht="14.4">
      <c r="A386" s="6" t="s">
        <v>1905</v>
      </c>
      <c r="B386" s="21" t="s">
        <v>1906</v>
      </c>
      <c r="E386" s="23" t="s">
        <v>1233</v>
      </c>
      <c r="F386" s="26" t="s">
        <v>1907</v>
      </c>
      <c r="G386" s="36">
        <v>150</v>
      </c>
      <c r="H386" s="30">
        <v>154</v>
      </c>
      <c r="I386" s="26"/>
      <c r="J386" s="27">
        <f t="shared" si="5"/>
        <v>184.8</v>
      </c>
      <c r="K386" s="28">
        <f t="shared" si="6"/>
        <v>66</v>
      </c>
      <c r="L386" s="29">
        <f t="shared" si="7"/>
        <v>250.8</v>
      </c>
      <c r="M386" s="28">
        <f t="shared" si="8"/>
        <v>15</v>
      </c>
      <c r="N386" s="27">
        <f t="shared" si="9"/>
        <v>199.8</v>
      </c>
    </row>
    <row r="387" spans="1:14" ht="14.4">
      <c r="A387" s="6" t="s">
        <v>1908</v>
      </c>
      <c r="B387" s="21" t="s">
        <v>1909</v>
      </c>
      <c r="E387" s="23" t="s">
        <v>1233</v>
      </c>
      <c r="F387" s="26" t="s">
        <v>1910</v>
      </c>
      <c r="G387" s="36">
        <v>150</v>
      </c>
      <c r="H387" s="30">
        <v>154</v>
      </c>
      <c r="I387" s="26"/>
      <c r="J387" s="27">
        <f t="shared" si="5"/>
        <v>184.8</v>
      </c>
      <c r="K387" s="28">
        <f t="shared" si="6"/>
        <v>66</v>
      </c>
      <c r="L387" s="29">
        <f t="shared" si="7"/>
        <v>250.8</v>
      </c>
      <c r="M387" s="28">
        <f t="shared" si="8"/>
        <v>15</v>
      </c>
      <c r="N387" s="27">
        <f t="shared" si="9"/>
        <v>199.8</v>
      </c>
    </row>
    <row r="388" spans="1:14" ht="14.4">
      <c r="A388" s="6" t="s">
        <v>1905</v>
      </c>
      <c r="B388" s="21" t="s">
        <v>1909</v>
      </c>
      <c r="E388" s="23" t="s">
        <v>1233</v>
      </c>
      <c r="F388" s="26" t="s">
        <v>1911</v>
      </c>
      <c r="G388" s="36">
        <v>150</v>
      </c>
      <c r="H388" s="30">
        <v>154</v>
      </c>
      <c r="I388" s="26"/>
      <c r="J388" s="27">
        <f t="shared" si="5"/>
        <v>184.8</v>
      </c>
      <c r="K388" s="28">
        <f t="shared" si="6"/>
        <v>66</v>
      </c>
      <c r="L388" s="29">
        <f t="shared" si="7"/>
        <v>250.8</v>
      </c>
      <c r="M388" s="28">
        <f t="shared" si="8"/>
        <v>15</v>
      </c>
      <c r="N388" s="27">
        <f t="shared" si="9"/>
        <v>199.8</v>
      </c>
    </row>
    <row r="389" spans="1:14" ht="14.4">
      <c r="A389" s="6" t="s">
        <v>1912</v>
      </c>
      <c r="B389" s="21" t="s">
        <v>1913</v>
      </c>
      <c r="E389" s="23" t="s">
        <v>1233</v>
      </c>
      <c r="F389" s="26" t="s">
        <v>1914</v>
      </c>
      <c r="G389" s="36">
        <v>150</v>
      </c>
      <c r="H389" s="30">
        <v>154</v>
      </c>
      <c r="I389" s="26"/>
      <c r="J389" s="27">
        <f t="shared" si="5"/>
        <v>184.8</v>
      </c>
      <c r="K389" s="28">
        <f t="shared" si="6"/>
        <v>66</v>
      </c>
      <c r="L389" s="29">
        <f t="shared" si="7"/>
        <v>250.8</v>
      </c>
      <c r="M389" s="28">
        <f t="shared" si="8"/>
        <v>15</v>
      </c>
      <c r="N389" s="27">
        <f t="shared" si="9"/>
        <v>199.8</v>
      </c>
    </row>
    <row r="390" spans="1:14" ht="14.4">
      <c r="A390" s="6" t="s">
        <v>1915</v>
      </c>
      <c r="B390" s="21" t="s">
        <v>1916</v>
      </c>
      <c r="E390" s="23" t="s">
        <v>1233</v>
      </c>
      <c r="F390" s="26" t="s">
        <v>1917</v>
      </c>
      <c r="G390" s="36">
        <v>150</v>
      </c>
      <c r="H390" s="30">
        <v>154</v>
      </c>
      <c r="I390" s="26"/>
      <c r="J390" s="27">
        <f t="shared" si="5"/>
        <v>184.8</v>
      </c>
      <c r="K390" s="28">
        <f t="shared" si="6"/>
        <v>66</v>
      </c>
      <c r="L390" s="29">
        <f t="shared" si="7"/>
        <v>250.8</v>
      </c>
      <c r="M390" s="28">
        <f t="shared" si="8"/>
        <v>15</v>
      </c>
      <c r="N390" s="27">
        <f t="shared" si="9"/>
        <v>199.8</v>
      </c>
    </row>
    <row r="391" spans="1:14" ht="14.4">
      <c r="A391" s="6" t="s">
        <v>1918</v>
      </c>
      <c r="B391" s="21" t="s">
        <v>1919</v>
      </c>
      <c r="E391" s="23" t="s">
        <v>1233</v>
      </c>
      <c r="F391" s="26" t="s">
        <v>1920</v>
      </c>
      <c r="G391" s="36">
        <v>150</v>
      </c>
      <c r="H391" s="30">
        <v>154</v>
      </c>
      <c r="I391" s="26"/>
      <c r="J391" s="27">
        <f t="shared" si="5"/>
        <v>184.8</v>
      </c>
      <c r="K391" s="28">
        <f t="shared" si="6"/>
        <v>66</v>
      </c>
      <c r="L391" s="29">
        <f t="shared" si="7"/>
        <v>250.8</v>
      </c>
      <c r="M391" s="28">
        <f t="shared" si="8"/>
        <v>15</v>
      </c>
      <c r="N391" s="27">
        <f t="shared" si="9"/>
        <v>199.8</v>
      </c>
    </row>
    <row r="392" spans="1:14" ht="14.4">
      <c r="A392" s="6" t="s">
        <v>1921</v>
      </c>
      <c r="B392" s="21" t="s">
        <v>1922</v>
      </c>
      <c r="E392" s="23" t="s">
        <v>1233</v>
      </c>
      <c r="F392" s="26" t="s">
        <v>1923</v>
      </c>
      <c r="G392" s="36">
        <v>150</v>
      </c>
      <c r="H392" s="30">
        <v>154</v>
      </c>
      <c r="I392" s="26"/>
      <c r="J392" s="27">
        <f t="shared" si="5"/>
        <v>184.8</v>
      </c>
      <c r="K392" s="28">
        <f t="shared" si="6"/>
        <v>66</v>
      </c>
      <c r="L392" s="29">
        <f t="shared" si="7"/>
        <v>250.8</v>
      </c>
      <c r="M392" s="28">
        <f t="shared" si="8"/>
        <v>15</v>
      </c>
      <c r="N392" s="27">
        <f t="shared" si="9"/>
        <v>199.8</v>
      </c>
    </row>
    <row r="393" spans="1:14" ht="14.4">
      <c r="A393" s="6" t="s">
        <v>1924</v>
      </c>
      <c r="B393" s="21" t="s">
        <v>1925</v>
      </c>
      <c r="E393" s="23" t="s">
        <v>1233</v>
      </c>
      <c r="F393" s="24" t="s">
        <v>1926</v>
      </c>
      <c r="G393" s="36">
        <v>200</v>
      </c>
      <c r="H393" s="30">
        <v>210</v>
      </c>
      <c r="I393" s="26"/>
      <c r="J393" s="27">
        <f t="shared" si="5"/>
        <v>252</v>
      </c>
      <c r="K393" s="28">
        <f t="shared" si="6"/>
        <v>88</v>
      </c>
      <c r="L393" s="29">
        <f t="shared" si="7"/>
        <v>340</v>
      </c>
      <c r="M393" s="28">
        <f t="shared" si="8"/>
        <v>20</v>
      </c>
      <c r="N393" s="27">
        <f t="shared" si="9"/>
        <v>272</v>
      </c>
    </row>
    <row r="394" spans="1:14" ht="14.4">
      <c r="A394" s="6" t="s">
        <v>1927</v>
      </c>
      <c r="B394" s="21" t="s">
        <v>1928</v>
      </c>
      <c r="E394" s="23" t="s">
        <v>1233</v>
      </c>
      <c r="F394" s="24" t="s">
        <v>1639</v>
      </c>
      <c r="G394" s="36">
        <v>150</v>
      </c>
      <c r="H394" s="30">
        <v>226</v>
      </c>
      <c r="I394" s="26"/>
      <c r="J394" s="27">
        <f t="shared" si="5"/>
        <v>271.2</v>
      </c>
      <c r="K394" s="28">
        <f t="shared" si="6"/>
        <v>66</v>
      </c>
      <c r="L394" s="29">
        <f t="shared" si="7"/>
        <v>337.2</v>
      </c>
      <c r="M394" s="28">
        <f t="shared" si="8"/>
        <v>15</v>
      </c>
      <c r="N394" s="27">
        <f t="shared" si="9"/>
        <v>286.2</v>
      </c>
    </row>
    <row r="395" spans="1:14" ht="14.4">
      <c r="A395" s="6" t="s">
        <v>1929</v>
      </c>
      <c r="B395" s="21" t="s">
        <v>1930</v>
      </c>
      <c r="E395" s="23" t="s">
        <v>1231</v>
      </c>
      <c r="F395" s="24" t="s">
        <v>1931</v>
      </c>
      <c r="G395" s="25">
        <v>140</v>
      </c>
      <c r="H395" s="25">
        <v>112</v>
      </c>
      <c r="I395" s="26"/>
      <c r="J395" s="27">
        <f t="shared" si="5"/>
        <v>134.4</v>
      </c>
      <c r="K395" s="28">
        <f t="shared" si="6"/>
        <v>61.6</v>
      </c>
      <c r="L395" s="29">
        <f t="shared" si="7"/>
        <v>196</v>
      </c>
      <c r="M395" s="28">
        <f t="shared" si="8"/>
        <v>14</v>
      </c>
      <c r="N395" s="27">
        <f t="shared" si="9"/>
        <v>148.4</v>
      </c>
    </row>
    <row r="396" spans="1:14" ht="14.4">
      <c r="A396" s="6" t="s">
        <v>1932</v>
      </c>
      <c r="B396" s="21" t="s">
        <v>1933</v>
      </c>
      <c r="E396" s="23" t="s">
        <v>1233</v>
      </c>
      <c r="F396" s="24" t="s">
        <v>1934</v>
      </c>
      <c r="G396" s="30">
        <v>140</v>
      </c>
      <c r="H396" s="25">
        <v>110</v>
      </c>
      <c r="I396" s="26"/>
      <c r="J396" s="27">
        <f t="shared" si="5"/>
        <v>132</v>
      </c>
      <c r="K396" s="28">
        <f t="shared" si="6"/>
        <v>61.6</v>
      </c>
      <c r="L396" s="29">
        <f t="shared" si="7"/>
        <v>193.6</v>
      </c>
      <c r="M396" s="28">
        <f t="shared" si="8"/>
        <v>14</v>
      </c>
      <c r="N396" s="27">
        <f t="shared" si="9"/>
        <v>146</v>
      </c>
    </row>
    <row r="397" spans="1:14" ht="14.4">
      <c r="A397" s="6" t="s">
        <v>1935</v>
      </c>
      <c r="B397" s="21" t="s">
        <v>1936</v>
      </c>
      <c r="E397" s="23" t="s">
        <v>1233</v>
      </c>
      <c r="F397" s="24" t="s">
        <v>1620</v>
      </c>
      <c r="G397" s="30">
        <v>140</v>
      </c>
      <c r="H397" s="30">
        <v>90</v>
      </c>
      <c r="I397" s="26"/>
      <c r="J397" s="27">
        <f t="shared" si="5"/>
        <v>108</v>
      </c>
      <c r="K397" s="28">
        <f t="shared" si="6"/>
        <v>61.6</v>
      </c>
      <c r="L397" s="29">
        <f t="shared" si="7"/>
        <v>169.6</v>
      </c>
      <c r="M397" s="39">
        <f t="shared" si="8"/>
        <v>14</v>
      </c>
      <c r="N397" s="27">
        <f t="shared" si="9"/>
        <v>122</v>
      </c>
    </row>
    <row r="398" spans="1:14" ht="14.4">
      <c r="A398" s="6" t="s">
        <v>1937</v>
      </c>
      <c r="B398" s="21" t="s">
        <v>1938</v>
      </c>
      <c r="E398" s="23" t="s">
        <v>1231</v>
      </c>
      <c r="F398" s="24" t="s">
        <v>1939</v>
      </c>
      <c r="G398" s="25">
        <v>130</v>
      </c>
      <c r="H398" s="25">
        <v>95</v>
      </c>
      <c r="I398" s="26"/>
      <c r="J398" s="27">
        <f t="shared" si="5"/>
        <v>114</v>
      </c>
      <c r="K398" s="39">
        <f t="shared" si="6"/>
        <v>57.2</v>
      </c>
      <c r="L398" s="29">
        <f t="shared" si="7"/>
        <v>171.2</v>
      </c>
      <c r="M398" s="39">
        <f t="shared" si="8"/>
        <v>13</v>
      </c>
      <c r="N398" s="27">
        <f t="shared" si="9"/>
        <v>127</v>
      </c>
    </row>
    <row r="399" spans="1:14" ht="14.4">
      <c r="A399" s="6" t="s">
        <v>1940</v>
      </c>
      <c r="B399" s="21" t="s">
        <v>1941</v>
      </c>
      <c r="E399" s="23" t="s">
        <v>1233</v>
      </c>
      <c r="F399" s="24" t="s">
        <v>1942</v>
      </c>
      <c r="G399" s="25">
        <v>200</v>
      </c>
      <c r="H399" s="25">
        <v>183</v>
      </c>
      <c r="I399" s="26"/>
      <c r="J399" s="34">
        <f t="shared" si="5"/>
        <v>219.6</v>
      </c>
      <c r="K399" s="39">
        <f t="shared" si="6"/>
        <v>88</v>
      </c>
      <c r="L399" s="35">
        <f t="shared" si="7"/>
        <v>307.60000000000002</v>
      </c>
      <c r="M399" s="39">
        <f t="shared" si="8"/>
        <v>20</v>
      </c>
      <c r="N399" s="34">
        <f t="shared" si="9"/>
        <v>239.6</v>
      </c>
    </row>
    <row r="400" spans="1:14" ht="14.4">
      <c r="A400" s="6" t="s">
        <v>1943</v>
      </c>
      <c r="B400" s="21" t="s">
        <v>1944</v>
      </c>
      <c r="E400" s="23" t="s">
        <v>1233</v>
      </c>
      <c r="F400" s="24" t="s">
        <v>1945</v>
      </c>
      <c r="G400" s="25">
        <v>200</v>
      </c>
      <c r="H400" s="25">
        <v>183</v>
      </c>
      <c r="I400" s="26"/>
      <c r="J400" s="34">
        <f t="shared" si="5"/>
        <v>219.6</v>
      </c>
      <c r="K400" s="39">
        <f t="shared" si="6"/>
        <v>88</v>
      </c>
      <c r="L400" s="35">
        <f t="shared" si="7"/>
        <v>307.60000000000002</v>
      </c>
      <c r="M400" s="39">
        <f t="shared" si="8"/>
        <v>20</v>
      </c>
      <c r="N400" s="34">
        <f t="shared" si="9"/>
        <v>239.6</v>
      </c>
    </row>
    <row r="401" spans="1:14" ht="14.4">
      <c r="A401" s="6" t="s">
        <v>1946</v>
      </c>
      <c r="B401" s="21" t="s">
        <v>1947</v>
      </c>
      <c r="E401" s="23" t="s">
        <v>1231</v>
      </c>
      <c r="F401" s="24" t="s">
        <v>1948</v>
      </c>
      <c r="G401" s="30">
        <v>130</v>
      </c>
      <c r="H401" s="30">
        <v>142</v>
      </c>
      <c r="I401" s="26"/>
      <c r="J401" s="27">
        <f t="shared" si="5"/>
        <v>170.4</v>
      </c>
      <c r="K401" s="39">
        <f t="shared" si="6"/>
        <v>57.2</v>
      </c>
      <c r="L401" s="29">
        <f t="shared" si="7"/>
        <v>227.60000000000002</v>
      </c>
      <c r="M401" s="39">
        <f t="shared" si="8"/>
        <v>13</v>
      </c>
      <c r="N401" s="27">
        <f t="shared" si="9"/>
        <v>183.4</v>
      </c>
    </row>
    <row r="402" spans="1:14" ht="14.4">
      <c r="A402" s="6" t="s">
        <v>1949</v>
      </c>
      <c r="B402" s="21" t="s">
        <v>1950</v>
      </c>
      <c r="E402" s="23" t="s">
        <v>1233</v>
      </c>
      <c r="F402" s="24" t="s">
        <v>1951</v>
      </c>
      <c r="G402" s="25">
        <v>200</v>
      </c>
      <c r="H402" s="25">
        <v>210</v>
      </c>
      <c r="I402" s="26"/>
      <c r="J402" s="27">
        <f t="shared" si="5"/>
        <v>252</v>
      </c>
      <c r="K402" s="28">
        <f t="shared" si="6"/>
        <v>88</v>
      </c>
      <c r="L402" s="29">
        <f t="shared" si="7"/>
        <v>340</v>
      </c>
      <c r="M402" s="28">
        <f t="shared" si="8"/>
        <v>20</v>
      </c>
      <c r="N402" s="27">
        <f t="shared" si="9"/>
        <v>272</v>
      </c>
    </row>
    <row r="403" spans="1:14" ht="14.4">
      <c r="A403" s="6" t="s">
        <v>1952</v>
      </c>
      <c r="B403" s="21" t="s">
        <v>1953</v>
      </c>
      <c r="E403" s="23" t="s">
        <v>1233</v>
      </c>
      <c r="F403" s="24" t="s">
        <v>1954</v>
      </c>
      <c r="G403" s="30">
        <v>200</v>
      </c>
      <c r="H403" s="30">
        <v>155</v>
      </c>
      <c r="I403" s="26"/>
      <c r="J403" s="27">
        <f t="shared" si="5"/>
        <v>186</v>
      </c>
      <c r="K403" s="28">
        <f t="shared" si="6"/>
        <v>88</v>
      </c>
      <c r="L403" s="29">
        <f t="shared" si="7"/>
        <v>274</v>
      </c>
      <c r="M403" s="28">
        <f t="shared" si="8"/>
        <v>20</v>
      </c>
      <c r="N403" s="27">
        <f t="shared" si="9"/>
        <v>206</v>
      </c>
    </row>
    <row r="404" spans="1:14" ht="14.4">
      <c r="A404" s="6" t="s">
        <v>1955</v>
      </c>
      <c r="B404" s="21" t="s">
        <v>1956</v>
      </c>
      <c r="E404" s="23" t="s">
        <v>1233</v>
      </c>
      <c r="F404" s="24" t="s">
        <v>1957</v>
      </c>
      <c r="G404" s="30">
        <v>200</v>
      </c>
      <c r="H404" s="30">
        <v>155</v>
      </c>
      <c r="I404" s="26"/>
      <c r="J404" s="27">
        <f t="shared" si="5"/>
        <v>186</v>
      </c>
      <c r="K404" s="28">
        <f t="shared" si="6"/>
        <v>88</v>
      </c>
      <c r="L404" s="29">
        <f t="shared" si="7"/>
        <v>274</v>
      </c>
      <c r="M404" s="28">
        <f t="shared" si="8"/>
        <v>20</v>
      </c>
      <c r="N404" s="27">
        <f t="shared" si="9"/>
        <v>206</v>
      </c>
    </row>
    <row r="405" spans="1:14" ht="14.4">
      <c r="A405" s="6" t="s">
        <v>1958</v>
      </c>
      <c r="B405" s="21" t="s">
        <v>1959</v>
      </c>
      <c r="E405" s="23" t="s">
        <v>1233</v>
      </c>
      <c r="F405" s="24" t="s">
        <v>1960</v>
      </c>
      <c r="G405" s="30">
        <v>200</v>
      </c>
      <c r="H405" s="30">
        <v>185</v>
      </c>
      <c r="I405" s="26"/>
      <c r="J405" s="27">
        <f t="shared" si="5"/>
        <v>222</v>
      </c>
      <c r="K405" s="28">
        <f t="shared" si="6"/>
        <v>88</v>
      </c>
      <c r="L405" s="29">
        <f t="shared" si="7"/>
        <v>310</v>
      </c>
      <c r="M405" s="28">
        <f t="shared" si="8"/>
        <v>20</v>
      </c>
      <c r="N405" s="27">
        <f t="shared" si="9"/>
        <v>242</v>
      </c>
    </row>
    <row r="406" spans="1:14" ht="14.4">
      <c r="A406" s="6" t="s">
        <v>1961</v>
      </c>
      <c r="B406" s="21" t="s">
        <v>1962</v>
      </c>
      <c r="E406" s="23" t="s">
        <v>1233</v>
      </c>
      <c r="F406" s="24" t="s">
        <v>1963</v>
      </c>
      <c r="G406" s="30">
        <v>200</v>
      </c>
      <c r="H406" s="30">
        <v>155</v>
      </c>
      <c r="I406" s="26"/>
      <c r="J406" s="27">
        <f t="shared" si="5"/>
        <v>186</v>
      </c>
      <c r="K406" s="28">
        <f t="shared" si="6"/>
        <v>88</v>
      </c>
      <c r="L406" s="29">
        <f t="shared" si="7"/>
        <v>274</v>
      </c>
      <c r="M406" s="28">
        <f t="shared" si="8"/>
        <v>20</v>
      </c>
      <c r="N406" s="27">
        <f t="shared" si="9"/>
        <v>206</v>
      </c>
    </row>
    <row r="407" spans="1:14" ht="14.4">
      <c r="A407" s="6" t="s">
        <v>1964</v>
      </c>
      <c r="B407" s="21" t="s">
        <v>1965</v>
      </c>
      <c r="E407" s="23" t="s">
        <v>1233</v>
      </c>
      <c r="F407" s="24" t="s">
        <v>1966</v>
      </c>
      <c r="G407" s="30">
        <v>200</v>
      </c>
      <c r="H407" s="30">
        <v>200</v>
      </c>
      <c r="I407" s="26"/>
      <c r="J407" s="27">
        <f t="shared" si="5"/>
        <v>240</v>
      </c>
      <c r="K407" s="28">
        <f t="shared" si="6"/>
        <v>88</v>
      </c>
      <c r="L407" s="29">
        <f t="shared" si="7"/>
        <v>328</v>
      </c>
      <c r="M407" s="28">
        <f t="shared" si="8"/>
        <v>20</v>
      </c>
      <c r="N407" s="27">
        <f t="shared" si="9"/>
        <v>260</v>
      </c>
    </row>
    <row r="408" spans="1:14" ht="14.4">
      <c r="A408" s="6" t="s">
        <v>1967</v>
      </c>
      <c r="B408" s="21" t="s">
        <v>1968</v>
      </c>
      <c r="E408" s="23" t="s">
        <v>1231</v>
      </c>
      <c r="F408" s="24" t="s">
        <v>1969</v>
      </c>
      <c r="G408" s="30">
        <v>128</v>
      </c>
      <c r="H408" s="30">
        <v>100</v>
      </c>
      <c r="I408" s="26"/>
      <c r="J408" s="34">
        <f t="shared" si="5"/>
        <v>120</v>
      </c>
      <c r="K408" s="28">
        <f t="shared" si="6"/>
        <v>56.32</v>
      </c>
      <c r="L408" s="35">
        <f t="shared" si="7"/>
        <v>176.32</v>
      </c>
      <c r="M408" s="28">
        <f t="shared" si="8"/>
        <v>12.8</v>
      </c>
      <c r="N408" s="34">
        <f t="shared" si="9"/>
        <v>132.80000000000001</v>
      </c>
    </row>
    <row r="409" spans="1:14" ht="14.4">
      <c r="A409" s="6" t="s">
        <v>1970</v>
      </c>
      <c r="B409" s="21" t="s">
        <v>1971</v>
      </c>
      <c r="E409" s="23" t="s">
        <v>1233</v>
      </c>
      <c r="F409" s="24" t="s">
        <v>1558</v>
      </c>
      <c r="G409" s="25">
        <v>120</v>
      </c>
      <c r="H409" s="25">
        <v>82</v>
      </c>
      <c r="I409" s="26"/>
      <c r="J409" s="27">
        <f t="shared" si="5"/>
        <v>98.4</v>
      </c>
      <c r="K409" s="28">
        <f t="shared" si="6"/>
        <v>52.8</v>
      </c>
      <c r="L409" s="29">
        <f t="shared" si="7"/>
        <v>151.19999999999999</v>
      </c>
      <c r="M409" s="28">
        <f t="shared" si="8"/>
        <v>12</v>
      </c>
      <c r="N409" s="27">
        <f t="shared" si="9"/>
        <v>110.4</v>
      </c>
    </row>
    <row r="410" spans="1:14" ht="14.4">
      <c r="A410" s="6" t="s">
        <v>1972</v>
      </c>
      <c r="B410" s="21" t="s">
        <v>1238</v>
      </c>
      <c r="E410" s="23" t="s">
        <v>1233</v>
      </c>
      <c r="F410" s="24" t="s">
        <v>1567</v>
      </c>
      <c r="G410" s="25">
        <v>120</v>
      </c>
      <c r="H410" s="25">
        <v>82</v>
      </c>
      <c r="I410" s="26"/>
      <c r="J410" s="27">
        <f t="shared" si="5"/>
        <v>98.4</v>
      </c>
      <c r="K410" s="28">
        <f t="shared" si="6"/>
        <v>52.8</v>
      </c>
      <c r="L410" s="29">
        <f t="shared" si="7"/>
        <v>151.19999999999999</v>
      </c>
      <c r="M410" s="28">
        <f t="shared" si="8"/>
        <v>12</v>
      </c>
      <c r="N410" s="27">
        <f t="shared" si="9"/>
        <v>110.4</v>
      </c>
    </row>
    <row r="411" spans="1:14" ht="14.4">
      <c r="A411" s="6" t="s">
        <v>1973</v>
      </c>
      <c r="B411" s="21" t="s">
        <v>1238</v>
      </c>
      <c r="E411" s="23" t="s">
        <v>1233</v>
      </c>
      <c r="F411" s="24" t="s">
        <v>1574</v>
      </c>
      <c r="G411" s="25">
        <v>120</v>
      </c>
      <c r="H411" s="25">
        <v>82</v>
      </c>
      <c r="I411" s="26"/>
      <c r="J411" s="27">
        <f t="shared" si="5"/>
        <v>98.4</v>
      </c>
      <c r="K411" s="28">
        <f t="shared" si="6"/>
        <v>52.8</v>
      </c>
      <c r="L411" s="29">
        <f t="shared" si="7"/>
        <v>151.19999999999999</v>
      </c>
      <c r="M411" s="28">
        <f t="shared" si="8"/>
        <v>12</v>
      </c>
      <c r="N411" s="27">
        <f t="shared" si="9"/>
        <v>110.4</v>
      </c>
    </row>
    <row r="412" spans="1:14" ht="14.4">
      <c r="A412" s="6" t="s">
        <v>1974</v>
      </c>
      <c r="B412" s="21" t="s">
        <v>1238</v>
      </c>
      <c r="E412" s="23" t="s">
        <v>1233</v>
      </c>
      <c r="F412" s="24" t="s">
        <v>1975</v>
      </c>
      <c r="G412" s="25">
        <v>120</v>
      </c>
      <c r="H412" s="25">
        <v>82</v>
      </c>
      <c r="I412" s="26"/>
      <c r="J412" s="27">
        <f t="shared" si="5"/>
        <v>98.4</v>
      </c>
      <c r="K412" s="28">
        <f t="shared" si="6"/>
        <v>52.8</v>
      </c>
      <c r="L412" s="29">
        <f t="shared" si="7"/>
        <v>151.19999999999999</v>
      </c>
      <c r="M412" s="28">
        <f t="shared" si="8"/>
        <v>12</v>
      </c>
      <c r="N412" s="27">
        <f t="shared" si="9"/>
        <v>110.4</v>
      </c>
    </row>
    <row r="413" spans="1:14" ht="14.4">
      <c r="A413" s="6" t="s">
        <v>346</v>
      </c>
      <c r="B413" s="21" t="s">
        <v>1976</v>
      </c>
      <c r="E413" s="23" t="s">
        <v>1233</v>
      </c>
      <c r="F413" s="24" t="s">
        <v>1388</v>
      </c>
      <c r="G413" s="25">
        <v>120</v>
      </c>
      <c r="H413" s="25">
        <v>192</v>
      </c>
      <c r="I413" s="26"/>
      <c r="J413" s="34">
        <f t="shared" si="5"/>
        <v>230.4</v>
      </c>
      <c r="K413" s="28">
        <f t="shared" si="6"/>
        <v>52.8</v>
      </c>
      <c r="L413" s="35">
        <f t="shared" si="7"/>
        <v>283.2</v>
      </c>
      <c r="M413" s="28">
        <f t="shared" si="8"/>
        <v>12</v>
      </c>
      <c r="N413" s="34">
        <f t="shared" si="9"/>
        <v>242.4</v>
      </c>
    </row>
    <row r="414" spans="1:14" ht="14.4">
      <c r="A414" s="6" t="s">
        <v>1977</v>
      </c>
      <c r="B414" s="21" t="s">
        <v>1424</v>
      </c>
      <c r="E414" s="23" t="s">
        <v>1233</v>
      </c>
      <c r="F414" s="24" t="s">
        <v>1731</v>
      </c>
      <c r="G414" s="30">
        <v>120</v>
      </c>
      <c r="H414" s="30">
        <v>450</v>
      </c>
      <c r="I414" s="26"/>
      <c r="J414" s="27">
        <f t="shared" si="5"/>
        <v>540</v>
      </c>
      <c r="K414" s="28">
        <f t="shared" si="6"/>
        <v>52.8</v>
      </c>
      <c r="L414" s="29">
        <f t="shared" si="7"/>
        <v>592.79999999999995</v>
      </c>
      <c r="M414" s="28">
        <f t="shared" si="8"/>
        <v>12</v>
      </c>
      <c r="N414" s="27">
        <f t="shared" si="9"/>
        <v>552</v>
      </c>
    </row>
    <row r="415" spans="1:14" ht="14.4">
      <c r="A415" s="6" t="s">
        <v>1978</v>
      </c>
      <c r="B415" s="21" t="s">
        <v>1424</v>
      </c>
      <c r="E415" s="23" t="s">
        <v>1233</v>
      </c>
      <c r="F415" s="24" t="s">
        <v>1041</v>
      </c>
      <c r="G415" s="30">
        <v>120</v>
      </c>
      <c r="H415" s="30">
        <v>450</v>
      </c>
      <c r="I415" s="26"/>
      <c r="J415" s="27">
        <f t="shared" si="5"/>
        <v>540</v>
      </c>
      <c r="K415" s="28">
        <f t="shared" si="6"/>
        <v>52.8</v>
      </c>
      <c r="L415" s="29">
        <f t="shared" si="7"/>
        <v>592.79999999999995</v>
      </c>
      <c r="M415" s="28">
        <f t="shared" si="8"/>
        <v>12</v>
      </c>
      <c r="N415" s="27">
        <f t="shared" si="9"/>
        <v>552</v>
      </c>
    </row>
    <row r="416" spans="1:14" ht="14.4">
      <c r="A416" s="6" t="s">
        <v>1979</v>
      </c>
      <c r="B416" s="21" t="s">
        <v>1425</v>
      </c>
      <c r="E416" s="23" t="s">
        <v>1233</v>
      </c>
      <c r="F416" s="24" t="s">
        <v>978</v>
      </c>
      <c r="G416" s="30">
        <v>120</v>
      </c>
      <c r="H416" s="30">
        <v>450</v>
      </c>
      <c r="I416" s="26"/>
      <c r="J416" s="27">
        <f t="shared" si="5"/>
        <v>540</v>
      </c>
      <c r="K416" s="28">
        <f t="shared" si="6"/>
        <v>52.8</v>
      </c>
      <c r="L416" s="29">
        <f t="shared" si="7"/>
        <v>592.79999999999995</v>
      </c>
      <c r="M416" s="28">
        <f t="shared" si="8"/>
        <v>12</v>
      </c>
      <c r="N416" s="27">
        <f t="shared" si="9"/>
        <v>552</v>
      </c>
    </row>
    <row r="417" spans="1:14" ht="14.4">
      <c r="A417" s="6" t="s">
        <v>1145</v>
      </c>
      <c r="B417" s="21" t="s">
        <v>1431</v>
      </c>
      <c r="E417" s="23" t="s">
        <v>1233</v>
      </c>
      <c r="F417" s="24" t="s">
        <v>1980</v>
      </c>
      <c r="G417" s="30">
        <v>240</v>
      </c>
      <c r="H417" s="30">
        <v>180</v>
      </c>
      <c r="I417" s="26"/>
      <c r="J417" s="27">
        <f t="shared" si="5"/>
        <v>216</v>
      </c>
      <c r="K417" s="28">
        <f t="shared" si="6"/>
        <v>105.6</v>
      </c>
      <c r="L417" s="29">
        <f t="shared" si="7"/>
        <v>321.60000000000002</v>
      </c>
      <c r="M417" s="28">
        <f t="shared" si="8"/>
        <v>24</v>
      </c>
      <c r="N417" s="27">
        <f t="shared" si="9"/>
        <v>240</v>
      </c>
    </row>
    <row r="418" spans="1:14" ht="14.4">
      <c r="A418" s="6" t="s">
        <v>1163</v>
      </c>
      <c r="B418" s="21" t="s">
        <v>1433</v>
      </c>
      <c r="E418" s="23" t="s">
        <v>1233</v>
      </c>
      <c r="F418" s="24" t="s">
        <v>1981</v>
      </c>
      <c r="G418" s="25">
        <v>120</v>
      </c>
      <c r="H418" s="25">
        <v>90</v>
      </c>
      <c r="I418" s="26"/>
      <c r="J418" s="27">
        <f t="shared" si="5"/>
        <v>108</v>
      </c>
      <c r="K418" s="28">
        <f t="shared" si="6"/>
        <v>52.8</v>
      </c>
      <c r="L418" s="29">
        <f t="shared" si="7"/>
        <v>160.80000000000001</v>
      </c>
      <c r="M418" s="28">
        <f t="shared" si="8"/>
        <v>12</v>
      </c>
      <c r="N418" s="27">
        <f t="shared" si="9"/>
        <v>120</v>
      </c>
    </row>
    <row r="419" spans="1:14" ht="14.4">
      <c r="A419" s="6" t="s">
        <v>1122</v>
      </c>
      <c r="B419" s="21" t="s">
        <v>1434</v>
      </c>
      <c r="E419" s="23" t="s">
        <v>1231</v>
      </c>
      <c r="F419" s="24" t="s">
        <v>1982</v>
      </c>
      <c r="G419" s="30">
        <v>120</v>
      </c>
      <c r="H419" s="30">
        <v>205</v>
      </c>
      <c r="I419" s="26"/>
      <c r="J419" s="27">
        <f t="shared" si="5"/>
        <v>246</v>
      </c>
      <c r="K419" s="28">
        <f t="shared" si="6"/>
        <v>52.8</v>
      </c>
      <c r="L419" s="29">
        <f t="shared" si="7"/>
        <v>298.8</v>
      </c>
      <c r="M419" s="28">
        <f t="shared" si="8"/>
        <v>12</v>
      </c>
      <c r="N419" s="27">
        <f t="shared" si="9"/>
        <v>258</v>
      </c>
    </row>
    <row r="420" spans="1:14" ht="14.4">
      <c r="A420" s="6" t="s">
        <v>1978</v>
      </c>
      <c r="B420" s="21" t="s">
        <v>1434</v>
      </c>
      <c r="E420" s="23" t="s">
        <v>1233</v>
      </c>
      <c r="F420" s="26" t="s">
        <v>1983</v>
      </c>
      <c r="G420" s="36">
        <v>120</v>
      </c>
      <c r="H420" s="30">
        <v>280.5</v>
      </c>
      <c r="I420" s="26"/>
      <c r="J420" s="27">
        <f t="shared" si="5"/>
        <v>336.6</v>
      </c>
      <c r="K420" s="28">
        <f t="shared" si="6"/>
        <v>52.8</v>
      </c>
      <c r="L420" s="29">
        <f t="shared" si="7"/>
        <v>389.40000000000003</v>
      </c>
      <c r="M420" s="28">
        <f t="shared" si="8"/>
        <v>12</v>
      </c>
      <c r="N420" s="27">
        <f t="shared" si="9"/>
        <v>348.6</v>
      </c>
    </row>
    <row r="421" spans="1:14" ht="14.4">
      <c r="A421" s="6" t="s">
        <v>1133</v>
      </c>
      <c r="B421" s="21" t="s">
        <v>1435</v>
      </c>
      <c r="E421" s="23" t="s">
        <v>1233</v>
      </c>
      <c r="F421" s="32" t="s">
        <v>1984</v>
      </c>
      <c r="G421" s="36">
        <v>120</v>
      </c>
      <c r="H421" s="30">
        <v>290</v>
      </c>
      <c r="I421" s="26"/>
      <c r="J421" s="27">
        <f t="shared" si="5"/>
        <v>348</v>
      </c>
      <c r="K421" s="28">
        <f t="shared" si="6"/>
        <v>52.8</v>
      </c>
      <c r="L421" s="29">
        <f t="shared" si="7"/>
        <v>400.8</v>
      </c>
      <c r="M421" s="28">
        <f t="shared" si="8"/>
        <v>12</v>
      </c>
      <c r="N421" s="27">
        <f t="shared" si="9"/>
        <v>360</v>
      </c>
    </row>
    <row r="422" spans="1:14" ht="14.4">
      <c r="A422" s="6" t="s">
        <v>1117</v>
      </c>
      <c r="B422" s="21" t="s">
        <v>1437</v>
      </c>
      <c r="E422" s="23" t="s">
        <v>1233</v>
      </c>
      <c r="F422" s="26" t="s">
        <v>1985</v>
      </c>
      <c r="G422" s="36">
        <v>120</v>
      </c>
      <c r="H422" s="30">
        <v>203.8</v>
      </c>
      <c r="I422" s="26"/>
      <c r="J422" s="27">
        <f t="shared" si="5"/>
        <v>244.56</v>
      </c>
      <c r="K422" s="28">
        <f t="shared" si="6"/>
        <v>52.8</v>
      </c>
      <c r="L422" s="29">
        <f t="shared" si="7"/>
        <v>297.36</v>
      </c>
      <c r="M422" s="28">
        <f t="shared" si="8"/>
        <v>12</v>
      </c>
      <c r="N422" s="27">
        <f t="shared" si="9"/>
        <v>256.56</v>
      </c>
    </row>
    <row r="423" spans="1:14" ht="14.4">
      <c r="A423" s="6" t="s">
        <v>1130</v>
      </c>
      <c r="B423" s="21" t="s">
        <v>1439</v>
      </c>
      <c r="E423" s="23" t="s">
        <v>1233</v>
      </c>
      <c r="F423" s="24" t="s">
        <v>1986</v>
      </c>
      <c r="G423" s="36">
        <v>120</v>
      </c>
      <c r="H423" s="30">
        <v>90</v>
      </c>
      <c r="I423" s="26"/>
      <c r="J423" s="34">
        <f t="shared" si="5"/>
        <v>108</v>
      </c>
      <c r="K423" s="28">
        <f t="shared" si="6"/>
        <v>52.8</v>
      </c>
      <c r="L423" s="35">
        <f t="shared" si="7"/>
        <v>160.80000000000001</v>
      </c>
      <c r="M423" s="28">
        <f t="shared" si="8"/>
        <v>12</v>
      </c>
      <c r="N423" s="34">
        <f t="shared" si="9"/>
        <v>120</v>
      </c>
    </row>
    <row r="424" spans="1:14" ht="14.4">
      <c r="A424" s="6" t="s">
        <v>1139</v>
      </c>
      <c r="B424" s="21" t="s">
        <v>1440</v>
      </c>
      <c r="E424" s="23" t="s">
        <v>1233</v>
      </c>
      <c r="F424" s="24" t="s">
        <v>1699</v>
      </c>
      <c r="G424" s="36">
        <v>120</v>
      </c>
      <c r="H424" s="30">
        <v>110</v>
      </c>
      <c r="I424" s="26"/>
      <c r="J424" s="27">
        <f t="shared" si="5"/>
        <v>132</v>
      </c>
      <c r="K424" s="28">
        <f t="shared" si="6"/>
        <v>52.8</v>
      </c>
      <c r="L424" s="29">
        <f t="shared" si="7"/>
        <v>184.8</v>
      </c>
      <c r="M424" s="28">
        <f t="shared" si="8"/>
        <v>12</v>
      </c>
      <c r="N424" s="27">
        <f t="shared" si="9"/>
        <v>144</v>
      </c>
    </row>
    <row r="425" spans="1:14" ht="14.4">
      <c r="A425" s="6" t="s">
        <v>1151</v>
      </c>
      <c r="B425" s="21" t="s">
        <v>1441</v>
      </c>
      <c r="E425" s="23" t="s">
        <v>1233</v>
      </c>
      <c r="F425" s="24" t="s">
        <v>1683</v>
      </c>
      <c r="G425" s="36">
        <v>120</v>
      </c>
      <c r="H425" s="30">
        <v>110</v>
      </c>
      <c r="I425" s="26"/>
      <c r="J425" s="27">
        <f t="shared" si="5"/>
        <v>132</v>
      </c>
      <c r="K425" s="28">
        <f t="shared" si="6"/>
        <v>52.8</v>
      </c>
      <c r="L425" s="29">
        <f t="shared" si="7"/>
        <v>184.8</v>
      </c>
      <c r="M425" s="28">
        <f t="shared" si="8"/>
        <v>12</v>
      </c>
      <c r="N425" s="27">
        <f t="shared" si="9"/>
        <v>144</v>
      </c>
    </row>
    <row r="426" spans="1:14" ht="14.4">
      <c r="A426" s="6" t="s">
        <v>545</v>
      </c>
      <c r="B426" s="21" t="s">
        <v>1987</v>
      </c>
      <c r="E426" s="23" t="s">
        <v>1233</v>
      </c>
      <c r="F426" s="24" t="s">
        <v>1701</v>
      </c>
      <c r="G426" s="36">
        <v>120</v>
      </c>
      <c r="H426" s="30">
        <v>110</v>
      </c>
      <c r="I426" s="26"/>
      <c r="J426" s="27">
        <f t="shared" si="5"/>
        <v>132</v>
      </c>
      <c r="K426" s="28">
        <f t="shared" si="6"/>
        <v>52.8</v>
      </c>
      <c r="L426" s="29">
        <f t="shared" si="7"/>
        <v>184.8</v>
      </c>
      <c r="M426" s="28">
        <f t="shared" si="8"/>
        <v>12</v>
      </c>
      <c r="N426" s="27">
        <f t="shared" si="9"/>
        <v>144</v>
      </c>
    </row>
    <row r="427" spans="1:14" ht="14.4">
      <c r="A427" s="6" t="s">
        <v>854</v>
      </c>
      <c r="B427" s="21" t="s">
        <v>1988</v>
      </c>
      <c r="E427" s="23" t="s">
        <v>1233</v>
      </c>
      <c r="F427" s="24" t="s">
        <v>1685</v>
      </c>
      <c r="G427" s="36">
        <v>120</v>
      </c>
      <c r="H427" s="30">
        <v>110</v>
      </c>
      <c r="I427" s="26"/>
      <c r="J427" s="27">
        <f t="shared" si="5"/>
        <v>132</v>
      </c>
      <c r="K427" s="28">
        <f t="shared" si="6"/>
        <v>52.8</v>
      </c>
      <c r="L427" s="29">
        <f t="shared" si="7"/>
        <v>184.8</v>
      </c>
      <c r="M427" s="28">
        <f t="shared" si="8"/>
        <v>12</v>
      </c>
      <c r="N427" s="27">
        <f t="shared" si="9"/>
        <v>144</v>
      </c>
    </row>
    <row r="428" spans="1:14" ht="14.4">
      <c r="A428" s="6" t="s">
        <v>1669</v>
      </c>
      <c r="B428" s="21" t="s">
        <v>1981</v>
      </c>
      <c r="E428" s="23" t="s">
        <v>1231</v>
      </c>
      <c r="F428" s="26" t="s">
        <v>584</v>
      </c>
      <c r="G428" s="25">
        <v>116</v>
      </c>
      <c r="H428" s="25">
        <v>177</v>
      </c>
      <c r="I428" s="26"/>
      <c r="J428" s="27">
        <f t="shared" si="5"/>
        <v>212.4</v>
      </c>
      <c r="K428" s="28">
        <f t="shared" si="6"/>
        <v>51.04</v>
      </c>
      <c r="L428" s="29">
        <f t="shared" si="7"/>
        <v>263.44</v>
      </c>
      <c r="M428" s="28">
        <f t="shared" si="8"/>
        <v>11.6</v>
      </c>
      <c r="N428" s="27">
        <f t="shared" si="9"/>
        <v>224</v>
      </c>
    </row>
    <row r="429" spans="1:14" ht="14.4">
      <c r="A429" s="6" t="s">
        <v>1989</v>
      </c>
      <c r="B429" s="21" t="s">
        <v>1980</v>
      </c>
      <c r="E429" s="23" t="s">
        <v>1231</v>
      </c>
      <c r="F429" s="26" t="s">
        <v>1990</v>
      </c>
      <c r="G429" s="25">
        <v>115</v>
      </c>
      <c r="H429" s="25">
        <v>81</v>
      </c>
      <c r="I429" s="26"/>
      <c r="J429" s="34">
        <f t="shared" si="5"/>
        <v>97.2</v>
      </c>
      <c r="K429" s="28">
        <f t="shared" si="6"/>
        <v>50.6</v>
      </c>
      <c r="L429" s="35">
        <f t="shared" si="7"/>
        <v>147.80000000000001</v>
      </c>
      <c r="M429" s="28">
        <f t="shared" si="8"/>
        <v>11.5</v>
      </c>
      <c r="N429" s="34">
        <f t="shared" si="9"/>
        <v>108.7</v>
      </c>
    </row>
    <row r="430" spans="1:14" ht="14.4">
      <c r="A430" s="6" t="s">
        <v>1991</v>
      </c>
      <c r="B430" s="21" t="s">
        <v>1784</v>
      </c>
      <c r="E430" s="23" t="s">
        <v>1233</v>
      </c>
      <c r="F430" s="24" t="s">
        <v>1652</v>
      </c>
      <c r="G430" s="25">
        <v>110</v>
      </c>
      <c r="H430" s="25">
        <v>35</v>
      </c>
      <c r="I430" s="26"/>
      <c r="J430" s="27">
        <f t="shared" si="5"/>
        <v>42</v>
      </c>
      <c r="K430" s="28">
        <f t="shared" si="6"/>
        <v>48.4</v>
      </c>
      <c r="L430" s="29">
        <f t="shared" si="7"/>
        <v>90.4</v>
      </c>
      <c r="M430" s="28">
        <f t="shared" si="8"/>
        <v>11</v>
      </c>
      <c r="N430" s="27">
        <f t="shared" si="9"/>
        <v>53</v>
      </c>
    </row>
    <row r="431" spans="1:14" ht="14.4">
      <c r="A431" s="6" t="s">
        <v>1992</v>
      </c>
      <c r="B431" s="21" t="s">
        <v>1993</v>
      </c>
      <c r="E431" s="23" t="s">
        <v>1233</v>
      </c>
      <c r="F431" s="32" t="s">
        <v>1994</v>
      </c>
      <c r="G431" s="25">
        <v>110</v>
      </c>
      <c r="H431" s="25">
        <v>295</v>
      </c>
      <c r="I431" s="26"/>
      <c r="J431" s="27">
        <f t="shared" si="5"/>
        <v>354</v>
      </c>
      <c r="K431" s="28">
        <f t="shared" si="6"/>
        <v>48.4</v>
      </c>
      <c r="L431" s="29">
        <f t="shared" si="7"/>
        <v>402.4</v>
      </c>
      <c r="M431" s="28">
        <f t="shared" si="8"/>
        <v>11</v>
      </c>
      <c r="N431" s="27">
        <f t="shared" si="9"/>
        <v>365</v>
      </c>
    </row>
    <row r="432" spans="1:14" ht="14.4">
      <c r="A432" s="6" t="s">
        <v>1995</v>
      </c>
      <c r="B432" s="21" t="s">
        <v>1540</v>
      </c>
      <c r="E432" s="23" t="s">
        <v>1231</v>
      </c>
      <c r="F432" s="24" t="s">
        <v>1996</v>
      </c>
      <c r="G432" s="30">
        <v>115</v>
      </c>
      <c r="H432" s="30">
        <v>86</v>
      </c>
      <c r="I432" s="26"/>
      <c r="J432" s="34">
        <f t="shared" si="5"/>
        <v>103.2</v>
      </c>
      <c r="K432" s="28">
        <f t="shared" si="6"/>
        <v>50.6</v>
      </c>
      <c r="L432" s="35">
        <f t="shared" si="7"/>
        <v>153.80000000000001</v>
      </c>
      <c r="M432" s="28">
        <f t="shared" si="8"/>
        <v>11.5</v>
      </c>
      <c r="N432" s="34">
        <f t="shared" si="9"/>
        <v>114.7</v>
      </c>
    </row>
    <row r="433" spans="1:14" ht="14.4">
      <c r="A433" s="6" t="s">
        <v>406</v>
      </c>
      <c r="B433" s="21" t="s">
        <v>407</v>
      </c>
      <c r="E433" s="23" t="s">
        <v>1231</v>
      </c>
      <c r="F433" s="24" t="s">
        <v>1997</v>
      </c>
      <c r="G433" s="30">
        <v>115</v>
      </c>
      <c r="H433" s="30">
        <v>106</v>
      </c>
      <c r="I433" s="26"/>
      <c r="J433" s="27">
        <f t="shared" si="5"/>
        <v>127.2</v>
      </c>
      <c r="K433" s="28">
        <f t="shared" si="6"/>
        <v>50.6</v>
      </c>
      <c r="L433" s="29">
        <f t="shared" si="7"/>
        <v>177.8</v>
      </c>
      <c r="M433" s="28">
        <f t="shared" si="8"/>
        <v>11.5</v>
      </c>
      <c r="N433" s="27">
        <f t="shared" si="9"/>
        <v>138.69999999999999</v>
      </c>
    </row>
    <row r="434" spans="1:14" ht="14.4">
      <c r="A434" s="6" t="s">
        <v>191</v>
      </c>
      <c r="B434" s="21" t="s">
        <v>407</v>
      </c>
      <c r="E434" s="23" t="s">
        <v>1233</v>
      </c>
      <c r="F434" s="24" t="s">
        <v>1998</v>
      </c>
      <c r="G434" s="25">
        <v>105</v>
      </c>
      <c r="H434" s="25">
        <v>150</v>
      </c>
      <c r="I434" s="26"/>
      <c r="J434" s="27">
        <f t="shared" si="5"/>
        <v>180</v>
      </c>
      <c r="K434" s="28">
        <f t="shared" si="6"/>
        <v>46.2</v>
      </c>
      <c r="L434" s="29">
        <f t="shared" si="7"/>
        <v>226.2</v>
      </c>
      <c r="M434" s="28">
        <f t="shared" si="8"/>
        <v>10.5</v>
      </c>
      <c r="N434" s="27">
        <f t="shared" si="9"/>
        <v>190.5</v>
      </c>
    </row>
    <row r="435" spans="1:14" ht="14.4">
      <c r="A435" s="6" t="s">
        <v>1999</v>
      </c>
      <c r="B435" s="21" t="s">
        <v>407</v>
      </c>
      <c r="E435" s="23" t="s">
        <v>1233</v>
      </c>
      <c r="F435" s="24" t="s">
        <v>2000</v>
      </c>
      <c r="G435" s="25">
        <v>105</v>
      </c>
      <c r="H435" s="25">
        <v>150</v>
      </c>
      <c r="I435" s="26"/>
      <c r="J435" s="27">
        <f t="shared" si="5"/>
        <v>180</v>
      </c>
      <c r="K435" s="28">
        <f t="shared" si="6"/>
        <v>46.2</v>
      </c>
      <c r="L435" s="29">
        <f t="shared" si="7"/>
        <v>226.2</v>
      </c>
      <c r="M435" s="28">
        <f t="shared" si="8"/>
        <v>10.5</v>
      </c>
      <c r="N435" s="27">
        <f t="shared" si="9"/>
        <v>190.5</v>
      </c>
    </row>
    <row r="436" spans="1:14" ht="14.4">
      <c r="A436" s="6" t="s">
        <v>640</v>
      </c>
      <c r="B436" s="21" t="s">
        <v>641</v>
      </c>
      <c r="E436" s="23" t="s">
        <v>1233</v>
      </c>
      <c r="F436" s="24" t="s">
        <v>2001</v>
      </c>
      <c r="G436" s="25">
        <v>105</v>
      </c>
      <c r="H436" s="25">
        <v>200</v>
      </c>
      <c r="I436" s="26"/>
      <c r="J436" s="27">
        <f t="shared" si="5"/>
        <v>240</v>
      </c>
      <c r="K436" s="28">
        <f t="shared" si="6"/>
        <v>46.2</v>
      </c>
      <c r="L436" s="29">
        <f t="shared" si="7"/>
        <v>286.2</v>
      </c>
      <c r="M436" s="28">
        <f t="shared" si="8"/>
        <v>10.5</v>
      </c>
      <c r="N436" s="27">
        <f t="shared" si="9"/>
        <v>250.5</v>
      </c>
    </row>
    <row r="437" spans="1:14" ht="14.4">
      <c r="A437" s="6" t="s">
        <v>352</v>
      </c>
      <c r="B437" s="21" t="s">
        <v>641</v>
      </c>
      <c r="E437" s="23" t="s">
        <v>1233</v>
      </c>
      <c r="F437" s="24" t="s">
        <v>1720</v>
      </c>
      <c r="G437" s="25">
        <v>105</v>
      </c>
      <c r="H437" s="25">
        <v>175</v>
      </c>
      <c r="I437" s="26"/>
      <c r="J437" s="34">
        <f t="shared" si="5"/>
        <v>210</v>
      </c>
      <c r="K437" s="28">
        <f t="shared" si="6"/>
        <v>46.2</v>
      </c>
      <c r="L437" s="35">
        <f t="shared" si="7"/>
        <v>256.2</v>
      </c>
      <c r="M437" s="28">
        <f t="shared" si="8"/>
        <v>10.5</v>
      </c>
      <c r="N437" s="34">
        <f t="shared" si="9"/>
        <v>220.5</v>
      </c>
    </row>
    <row r="438" spans="1:14" ht="14.4">
      <c r="A438" s="6" t="s">
        <v>1999</v>
      </c>
      <c r="B438" s="21" t="s">
        <v>641</v>
      </c>
      <c r="E438" s="23" t="s">
        <v>1233</v>
      </c>
      <c r="F438" s="26" t="s">
        <v>2002</v>
      </c>
      <c r="G438" s="30">
        <v>105</v>
      </c>
      <c r="H438" s="30">
        <v>90</v>
      </c>
      <c r="I438" s="26"/>
      <c r="J438" s="27">
        <f t="shared" si="5"/>
        <v>108</v>
      </c>
      <c r="K438" s="28">
        <f t="shared" si="6"/>
        <v>46.2</v>
      </c>
      <c r="L438" s="29">
        <f t="shared" si="7"/>
        <v>154.19999999999999</v>
      </c>
      <c r="M438" s="28">
        <f t="shared" si="8"/>
        <v>10.5</v>
      </c>
      <c r="N438" s="27">
        <f t="shared" si="9"/>
        <v>118.5</v>
      </c>
    </row>
    <row r="439" spans="1:14" ht="14.4">
      <c r="A439" s="6" t="s">
        <v>456</v>
      </c>
      <c r="B439" s="21" t="s">
        <v>2003</v>
      </c>
      <c r="E439" s="23" t="s">
        <v>1231</v>
      </c>
      <c r="F439" s="26" t="s">
        <v>2004</v>
      </c>
      <c r="G439" s="36">
        <v>105</v>
      </c>
      <c r="H439" s="30">
        <v>132</v>
      </c>
      <c r="I439" s="26"/>
      <c r="J439" s="27">
        <f t="shared" si="5"/>
        <v>158.4</v>
      </c>
      <c r="K439" s="28">
        <f t="shared" si="6"/>
        <v>46.2</v>
      </c>
      <c r="L439" s="29">
        <f t="shared" si="7"/>
        <v>204.60000000000002</v>
      </c>
      <c r="M439" s="28">
        <f t="shared" si="8"/>
        <v>10.5</v>
      </c>
      <c r="N439" s="27">
        <f t="shared" si="9"/>
        <v>168.9</v>
      </c>
    </row>
    <row r="440" spans="1:14" ht="14.4">
      <c r="A440" s="6" t="s">
        <v>2005</v>
      </c>
      <c r="B440" s="21" t="s">
        <v>2003</v>
      </c>
      <c r="E440" s="23" t="s">
        <v>1233</v>
      </c>
      <c r="F440" s="24" t="s">
        <v>2006</v>
      </c>
      <c r="G440" s="25">
        <v>100</v>
      </c>
      <c r="H440" s="25">
        <v>50</v>
      </c>
      <c r="I440" s="26"/>
      <c r="J440" s="27">
        <f t="shared" si="5"/>
        <v>60</v>
      </c>
      <c r="K440" s="28">
        <f t="shared" si="6"/>
        <v>44</v>
      </c>
      <c r="L440" s="29">
        <f t="shared" si="7"/>
        <v>104</v>
      </c>
      <c r="M440" s="28">
        <f t="shared" si="8"/>
        <v>10</v>
      </c>
      <c r="N440" s="27">
        <f t="shared" si="9"/>
        <v>70</v>
      </c>
    </row>
    <row r="441" spans="1:14" ht="14.4">
      <c r="A441" s="6" t="s">
        <v>2007</v>
      </c>
      <c r="B441" s="21" t="s">
        <v>2008</v>
      </c>
      <c r="E441" s="23" t="s">
        <v>1233</v>
      </c>
      <c r="F441" s="24" t="s">
        <v>2009</v>
      </c>
      <c r="G441" s="25">
        <v>100</v>
      </c>
      <c r="H441" s="25">
        <v>130</v>
      </c>
      <c r="I441" s="26"/>
      <c r="J441" s="27">
        <f t="shared" si="5"/>
        <v>156</v>
      </c>
      <c r="K441" s="28">
        <f t="shared" si="6"/>
        <v>44</v>
      </c>
      <c r="L441" s="29">
        <f t="shared" si="7"/>
        <v>200</v>
      </c>
      <c r="M441" s="28">
        <f t="shared" si="8"/>
        <v>10</v>
      </c>
      <c r="N441" s="27">
        <f t="shared" si="9"/>
        <v>166</v>
      </c>
    </row>
    <row r="442" spans="1:14" ht="14.4">
      <c r="A442" s="6" t="s">
        <v>2010</v>
      </c>
      <c r="B442" s="21" t="s">
        <v>2008</v>
      </c>
      <c r="E442" s="23" t="s">
        <v>1233</v>
      </c>
      <c r="F442" s="24" t="s">
        <v>2011</v>
      </c>
      <c r="G442" s="25">
        <v>100</v>
      </c>
      <c r="H442" s="25">
        <v>120</v>
      </c>
      <c r="I442" s="26"/>
      <c r="J442" s="27">
        <f t="shared" si="5"/>
        <v>144</v>
      </c>
      <c r="K442" s="28">
        <f t="shared" si="6"/>
        <v>44</v>
      </c>
      <c r="L442" s="29">
        <f t="shared" si="7"/>
        <v>188</v>
      </c>
      <c r="M442" s="28">
        <f t="shared" si="8"/>
        <v>10</v>
      </c>
      <c r="N442" s="27">
        <f t="shared" si="9"/>
        <v>154</v>
      </c>
    </row>
    <row r="443" spans="1:14" ht="14.4">
      <c r="A443" s="6" t="s">
        <v>2012</v>
      </c>
      <c r="B443" s="21" t="s">
        <v>1846</v>
      </c>
      <c r="E443" s="23" t="s">
        <v>1233</v>
      </c>
      <c r="F443" s="24" t="s">
        <v>1988</v>
      </c>
      <c r="G443" s="25">
        <v>100</v>
      </c>
      <c r="H443" s="25">
        <v>179</v>
      </c>
      <c r="I443" s="26"/>
      <c r="J443" s="27">
        <f t="shared" si="5"/>
        <v>214.8</v>
      </c>
      <c r="K443" s="28">
        <f t="shared" si="6"/>
        <v>44</v>
      </c>
      <c r="L443" s="29">
        <f t="shared" si="7"/>
        <v>258.8</v>
      </c>
      <c r="M443" s="28">
        <f t="shared" si="8"/>
        <v>10</v>
      </c>
      <c r="N443" s="27">
        <f t="shared" si="9"/>
        <v>224.8</v>
      </c>
    </row>
    <row r="444" spans="1:14" ht="14.4">
      <c r="A444" s="6" t="s">
        <v>265</v>
      </c>
      <c r="B444" s="21" t="s">
        <v>1846</v>
      </c>
      <c r="E444" s="23" t="s">
        <v>1233</v>
      </c>
      <c r="F444" s="24" t="s">
        <v>2013</v>
      </c>
      <c r="G444" s="25">
        <v>100</v>
      </c>
      <c r="H444" s="25">
        <v>241</v>
      </c>
      <c r="I444" s="26"/>
      <c r="J444" s="27">
        <f t="shared" si="5"/>
        <v>289.2</v>
      </c>
      <c r="K444" s="28">
        <f t="shared" si="6"/>
        <v>44</v>
      </c>
      <c r="L444" s="29">
        <f t="shared" si="7"/>
        <v>333.2</v>
      </c>
      <c r="M444" s="28">
        <f t="shared" si="8"/>
        <v>10</v>
      </c>
      <c r="N444" s="27">
        <f t="shared" si="9"/>
        <v>299.2</v>
      </c>
    </row>
    <row r="445" spans="1:14" ht="14.4">
      <c r="A445" s="6" t="s">
        <v>2014</v>
      </c>
      <c r="B445" s="21" t="s">
        <v>1846</v>
      </c>
      <c r="E445" s="23" t="s">
        <v>1233</v>
      </c>
      <c r="F445" s="24" t="s">
        <v>2015</v>
      </c>
      <c r="G445" s="25">
        <v>100</v>
      </c>
      <c r="H445" s="25">
        <v>190</v>
      </c>
      <c r="I445" s="26"/>
      <c r="J445" s="27">
        <f t="shared" si="5"/>
        <v>228</v>
      </c>
      <c r="K445" s="28">
        <f t="shared" si="6"/>
        <v>44</v>
      </c>
      <c r="L445" s="29">
        <f t="shared" si="7"/>
        <v>272</v>
      </c>
      <c r="M445" s="28">
        <f t="shared" si="8"/>
        <v>10</v>
      </c>
      <c r="N445" s="27">
        <f t="shared" si="9"/>
        <v>238</v>
      </c>
    </row>
    <row r="446" spans="1:14" ht="14.4">
      <c r="A446" s="6" t="s">
        <v>677</v>
      </c>
      <c r="B446" s="21" t="s">
        <v>678</v>
      </c>
      <c r="E446" s="23" t="s">
        <v>1231</v>
      </c>
      <c r="F446" s="24" t="s">
        <v>2016</v>
      </c>
      <c r="G446" s="25">
        <v>100</v>
      </c>
      <c r="H446" s="25">
        <v>110</v>
      </c>
      <c r="I446" s="26"/>
      <c r="J446" s="34">
        <f t="shared" si="5"/>
        <v>132</v>
      </c>
      <c r="K446" s="28">
        <f t="shared" si="6"/>
        <v>44</v>
      </c>
      <c r="L446" s="35">
        <f t="shared" si="7"/>
        <v>176</v>
      </c>
      <c r="M446" s="28">
        <f t="shared" si="8"/>
        <v>10</v>
      </c>
      <c r="N446" s="34">
        <f t="shared" si="9"/>
        <v>142</v>
      </c>
    </row>
    <row r="447" spans="1:14" ht="14.4">
      <c r="A447" s="6" t="s">
        <v>2017</v>
      </c>
      <c r="B447" s="21" t="s">
        <v>690</v>
      </c>
      <c r="E447" s="23" t="s">
        <v>1233</v>
      </c>
      <c r="F447" s="26" t="s">
        <v>2018</v>
      </c>
      <c r="G447" s="30">
        <v>100</v>
      </c>
      <c r="H447" s="30">
        <v>200</v>
      </c>
      <c r="I447" s="26"/>
      <c r="J447" s="27">
        <f t="shared" si="5"/>
        <v>240</v>
      </c>
      <c r="K447" s="28">
        <f t="shared" si="6"/>
        <v>44</v>
      </c>
      <c r="L447" s="29">
        <f t="shared" si="7"/>
        <v>284</v>
      </c>
      <c r="M447" s="28">
        <f t="shared" si="8"/>
        <v>10</v>
      </c>
      <c r="N447" s="27">
        <f t="shared" si="9"/>
        <v>250</v>
      </c>
    </row>
    <row r="448" spans="1:14" ht="14.4">
      <c r="A448" s="6" t="s">
        <v>689</v>
      </c>
      <c r="B448" s="21" t="s">
        <v>690</v>
      </c>
      <c r="E448" s="23" t="s">
        <v>1233</v>
      </c>
      <c r="F448" s="24" t="s">
        <v>1906</v>
      </c>
      <c r="G448" s="30">
        <v>100</v>
      </c>
      <c r="H448" s="25">
        <v>70</v>
      </c>
      <c r="I448" s="26"/>
      <c r="J448" s="27">
        <f t="shared" si="5"/>
        <v>84</v>
      </c>
      <c r="K448" s="28">
        <f t="shared" si="6"/>
        <v>44</v>
      </c>
      <c r="L448" s="29">
        <f t="shared" si="7"/>
        <v>128</v>
      </c>
      <c r="M448" s="28">
        <f t="shared" si="8"/>
        <v>10</v>
      </c>
      <c r="N448" s="27">
        <f t="shared" si="9"/>
        <v>94</v>
      </c>
    </row>
    <row r="449" spans="1:14" ht="14.4">
      <c r="A449" s="6" t="s">
        <v>560</v>
      </c>
      <c r="B449" s="21" t="s">
        <v>1722</v>
      </c>
      <c r="E449" s="23" t="s">
        <v>1233</v>
      </c>
      <c r="F449" s="24" t="s">
        <v>2019</v>
      </c>
      <c r="G449" s="30">
        <v>100</v>
      </c>
      <c r="H449" s="30">
        <v>50</v>
      </c>
      <c r="I449" s="26"/>
      <c r="J449" s="27">
        <f t="shared" si="5"/>
        <v>60</v>
      </c>
      <c r="K449" s="28">
        <f t="shared" si="6"/>
        <v>44</v>
      </c>
      <c r="L449" s="29">
        <f t="shared" si="7"/>
        <v>104</v>
      </c>
      <c r="M449" s="28">
        <f t="shared" si="8"/>
        <v>10</v>
      </c>
      <c r="N449" s="27">
        <f t="shared" si="9"/>
        <v>70</v>
      </c>
    </row>
    <row r="450" spans="1:14" ht="14.4">
      <c r="A450" s="6" t="s">
        <v>130</v>
      </c>
      <c r="B450" s="21" t="s">
        <v>1729</v>
      </c>
      <c r="E450" s="23" t="s">
        <v>1233</v>
      </c>
      <c r="F450" s="24" t="s">
        <v>1677</v>
      </c>
      <c r="G450" s="36">
        <v>100</v>
      </c>
      <c r="H450" s="30">
        <v>170</v>
      </c>
      <c r="I450" s="26"/>
      <c r="J450" s="27">
        <f t="shared" si="5"/>
        <v>204</v>
      </c>
      <c r="K450" s="28">
        <f t="shared" si="6"/>
        <v>44</v>
      </c>
      <c r="L450" s="29">
        <f t="shared" si="7"/>
        <v>248</v>
      </c>
      <c r="M450" s="28">
        <f t="shared" si="8"/>
        <v>10</v>
      </c>
      <c r="N450" s="27">
        <f t="shared" si="9"/>
        <v>214</v>
      </c>
    </row>
    <row r="451" spans="1:14" ht="14.4">
      <c r="A451" s="6" t="s">
        <v>2020</v>
      </c>
      <c r="B451" s="21" t="s">
        <v>843</v>
      </c>
      <c r="E451" s="23" t="s">
        <v>1233</v>
      </c>
      <c r="F451" s="24" t="s">
        <v>1698</v>
      </c>
      <c r="G451" s="36">
        <v>100</v>
      </c>
      <c r="H451" s="30">
        <v>130</v>
      </c>
      <c r="I451" s="26"/>
      <c r="J451" s="27">
        <f t="shared" si="5"/>
        <v>156</v>
      </c>
      <c r="K451" s="28">
        <f t="shared" si="6"/>
        <v>44</v>
      </c>
      <c r="L451" s="29">
        <f t="shared" si="7"/>
        <v>200</v>
      </c>
      <c r="M451" s="28">
        <f t="shared" si="8"/>
        <v>10</v>
      </c>
      <c r="N451" s="27">
        <f t="shared" si="9"/>
        <v>166</v>
      </c>
    </row>
    <row r="452" spans="1:14" ht="14.4">
      <c r="A452" s="6" t="s">
        <v>631</v>
      </c>
      <c r="B452" s="21" t="s">
        <v>843</v>
      </c>
      <c r="E452" s="23" t="s">
        <v>1233</v>
      </c>
      <c r="F452" s="24" t="s">
        <v>1689</v>
      </c>
      <c r="G452" s="36">
        <v>100</v>
      </c>
      <c r="H452" s="30">
        <v>110</v>
      </c>
      <c r="I452" s="26"/>
      <c r="J452" s="27">
        <f t="shared" si="5"/>
        <v>132</v>
      </c>
      <c r="K452" s="28">
        <f t="shared" si="6"/>
        <v>44</v>
      </c>
      <c r="L452" s="29">
        <f t="shared" si="7"/>
        <v>176</v>
      </c>
      <c r="M452" s="28">
        <f t="shared" si="8"/>
        <v>10</v>
      </c>
      <c r="N452" s="27">
        <f t="shared" si="9"/>
        <v>142</v>
      </c>
    </row>
    <row r="453" spans="1:14" ht="14.4">
      <c r="A453" s="6" t="s">
        <v>467</v>
      </c>
      <c r="B453" s="21" t="s">
        <v>843</v>
      </c>
      <c r="E453" s="23" t="s">
        <v>1233</v>
      </c>
      <c r="F453" s="24" t="s">
        <v>1674</v>
      </c>
      <c r="G453" s="36">
        <v>100</v>
      </c>
      <c r="H453" s="30">
        <v>170</v>
      </c>
      <c r="I453" s="26"/>
      <c r="J453" s="27">
        <f t="shared" si="5"/>
        <v>204</v>
      </c>
      <c r="K453" s="28">
        <f t="shared" si="6"/>
        <v>44</v>
      </c>
      <c r="L453" s="29">
        <f t="shared" si="7"/>
        <v>248</v>
      </c>
      <c r="M453" s="28">
        <f t="shared" si="8"/>
        <v>10</v>
      </c>
      <c r="N453" s="27">
        <f t="shared" si="9"/>
        <v>214</v>
      </c>
    </row>
    <row r="454" spans="1:14" ht="14.4">
      <c r="A454" s="6" t="s">
        <v>944</v>
      </c>
      <c r="B454" s="21" t="s">
        <v>843</v>
      </c>
      <c r="E454" s="23" t="s">
        <v>1233</v>
      </c>
      <c r="F454" s="24" t="s">
        <v>1691</v>
      </c>
      <c r="G454" s="36">
        <v>100</v>
      </c>
      <c r="H454" s="30">
        <v>145</v>
      </c>
      <c r="I454" s="26"/>
      <c r="J454" s="27">
        <f t="shared" si="5"/>
        <v>174</v>
      </c>
      <c r="K454" s="28">
        <f t="shared" si="6"/>
        <v>44</v>
      </c>
      <c r="L454" s="29">
        <f t="shared" si="7"/>
        <v>218</v>
      </c>
      <c r="M454" s="28">
        <f t="shared" si="8"/>
        <v>10</v>
      </c>
      <c r="N454" s="27">
        <f t="shared" si="9"/>
        <v>184</v>
      </c>
    </row>
    <row r="455" spans="1:14" ht="14.4">
      <c r="A455" s="6" t="s">
        <v>842</v>
      </c>
      <c r="B455" s="21" t="s">
        <v>843</v>
      </c>
      <c r="E455" s="23" t="s">
        <v>1233</v>
      </c>
      <c r="F455" s="24" t="s">
        <v>1694</v>
      </c>
      <c r="G455" s="36">
        <v>100</v>
      </c>
      <c r="H455" s="30">
        <v>130</v>
      </c>
      <c r="I455" s="26"/>
      <c r="J455" s="27">
        <f t="shared" si="5"/>
        <v>156</v>
      </c>
      <c r="K455" s="28">
        <f t="shared" si="6"/>
        <v>44</v>
      </c>
      <c r="L455" s="29">
        <f t="shared" si="7"/>
        <v>200</v>
      </c>
      <c r="M455" s="28">
        <f t="shared" si="8"/>
        <v>10</v>
      </c>
      <c r="N455" s="27">
        <f t="shared" si="9"/>
        <v>166</v>
      </c>
    </row>
    <row r="456" spans="1:14" ht="14.4">
      <c r="A456" s="6" t="s">
        <v>2021</v>
      </c>
      <c r="B456" s="21" t="s">
        <v>1739</v>
      </c>
      <c r="E456" s="23" t="s">
        <v>1233</v>
      </c>
      <c r="F456" s="24" t="s">
        <v>1696</v>
      </c>
      <c r="G456" s="36">
        <v>100</v>
      </c>
      <c r="H456" s="30">
        <v>130</v>
      </c>
      <c r="I456" s="26"/>
      <c r="J456" s="27">
        <f t="shared" si="5"/>
        <v>156</v>
      </c>
      <c r="K456" s="28">
        <f t="shared" si="6"/>
        <v>44</v>
      </c>
      <c r="L456" s="29">
        <f t="shared" si="7"/>
        <v>200</v>
      </c>
      <c r="M456" s="28">
        <f t="shared" si="8"/>
        <v>10</v>
      </c>
      <c r="N456" s="27">
        <f t="shared" si="9"/>
        <v>166</v>
      </c>
    </row>
    <row r="457" spans="1:14" ht="14.4">
      <c r="A457" s="6" t="s">
        <v>148</v>
      </c>
      <c r="B457" s="21" t="s">
        <v>1739</v>
      </c>
      <c r="E457" s="23" t="s">
        <v>1233</v>
      </c>
      <c r="F457" s="24" t="s">
        <v>1687</v>
      </c>
      <c r="G457" s="36">
        <v>100</v>
      </c>
      <c r="H457" s="30">
        <v>170</v>
      </c>
      <c r="I457" s="26"/>
      <c r="J457" s="27">
        <f t="shared" si="5"/>
        <v>204</v>
      </c>
      <c r="K457" s="28">
        <f t="shared" si="6"/>
        <v>44</v>
      </c>
      <c r="L457" s="29">
        <f t="shared" si="7"/>
        <v>248</v>
      </c>
      <c r="M457" s="28">
        <f t="shared" si="8"/>
        <v>10</v>
      </c>
      <c r="N457" s="27">
        <f t="shared" si="9"/>
        <v>214</v>
      </c>
    </row>
    <row r="458" spans="1:14" ht="14.4">
      <c r="A458" s="6" t="s">
        <v>381</v>
      </c>
      <c r="B458" s="21" t="s">
        <v>1638</v>
      </c>
      <c r="E458" s="23" t="s">
        <v>1233</v>
      </c>
      <c r="F458" s="24" t="s">
        <v>1672</v>
      </c>
      <c r="G458" s="36">
        <v>100</v>
      </c>
      <c r="H458" s="30">
        <v>170</v>
      </c>
      <c r="I458" s="26"/>
      <c r="J458" s="27">
        <f t="shared" si="5"/>
        <v>204</v>
      </c>
      <c r="K458" s="28">
        <f t="shared" si="6"/>
        <v>44</v>
      </c>
      <c r="L458" s="29">
        <f t="shared" si="7"/>
        <v>248</v>
      </c>
      <c r="M458" s="28">
        <f t="shared" si="8"/>
        <v>10</v>
      </c>
      <c r="N458" s="27">
        <f t="shared" si="9"/>
        <v>214</v>
      </c>
    </row>
    <row r="459" spans="1:14" ht="14.4">
      <c r="A459" s="6" t="s">
        <v>194</v>
      </c>
      <c r="B459" s="21" t="s">
        <v>1657</v>
      </c>
      <c r="E459" s="23" t="s">
        <v>1231</v>
      </c>
      <c r="F459" s="26" t="s">
        <v>2022</v>
      </c>
      <c r="G459" s="25">
        <v>96</v>
      </c>
      <c r="H459" s="25">
        <v>132</v>
      </c>
      <c r="I459" s="26"/>
      <c r="J459" s="27">
        <f t="shared" si="5"/>
        <v>158.4</v>
      </c>
      <c r="K459" s="28">
        <f t="shared" si="6"/>
        <v>42.24</v>
      </c>
      <c r="L459" s="29">
        <f t="shared" si="7"/>
        <v>200.64000000000001</v>
      </c>
      <c r="M459" s="28">
        <f t="shared" si="8"/>
        <v>9.6</v>
      </c>
      <c r="N459" s="27">
        <f t="shared" si="9"/>
        <v>168</v>
      </c>
    </row>
    <row r="460" spans="1:14" ht="14.4">
      <c r="A460" s="6" t="s">
        <v>619</v>
      </c>
      <c r="B460" s="21" t="s">
        <v>1657</v>
      </c>
      <c r="E460" s="23" t="s">
        <v>1233</v>
      </c>
      <c r="F460" s="24" t="s">
        <v>1630</v>
      </c>
      <c r="G460" s="25">
        <v>95</v>
      </c>
      <c r="H460" s="25">
        <v>90</v>
      </c>
      <c r="I460" s="26"/>
      <c r="J460" s="27">
        <f t="shared" si="5"/>
        <v>108</v>
      </c>
      <c r="K460" s="28">
        <f t="shared" si="6"/>
        <v>41.8</v>
      </c>
      <c r="L460" s="29">
        <f t="shared" si="7"/>
        <v>149.80000000000001</v>
      </c>
      <c r="M460" s="28">
        <f t="shared" si="8"/>
        <v>9.5</v>
      </c>
      <c r="N460" s="27">
        <f t="shared" si="9"/>
        <v>117.5</v>
      </c>
    </row>
    <row r="461" spans="1:14" ht="14.4">
      <c r="A461" s="6" t="s">
        <v>2010</v>
      </c>
      <c r="B461" s="21" t="s">
        <v>1787</v>
      </c>
      <c r="E461" s="23" t="s">
        <v>1233</v>
      </c>
      <c r="F461" s="24" t="s">
        <v>2023</v>
      </c>
      <c r="G461" s="25">
        <v>95</v>
      </c>
      <c r="H461" s="25">
        <v>300</v>
      </c>
      <c r="I461" s="26"/>
      <c r="J461" s="27">
        <f t="shared" si="5"/>
        <v>360</v>
      </c>
      <c r="K461" s="28">
        <f t="shared" si="6"/>
        <v>41.8</v>
      </c>
      <c r="L461" s="29">
        <f t="shared" si="7"/>
        <v>401.8</v>
      </c>
      <c r="M461" s="28">
        <f t="shared" si="8"/>
        <v>9.5</v>
      </c>
      <c r="N461" s="27">
        <f t="shared" si="9"/>
        <v>369.5</v>
      </c>
    </row>
    <row r="462" spans="1:14" ht="14.4">
      <c r="A462" s="6" t="s">
        <v>628</v>
      </c>
      <c r="B462" s="21" t="s">
        <v>629</v>
      </c>
      <c r="E462" s="23" t="s">
        <v>1231</v>
      </c>
      <c r="F462" s="24" t="s">
        <v>2024</v>
      </c>
      <c r="G462" s="30">
        <v>95</v>
      </c>
      <c r="H462" s="30">
        <v>74</v>
      </c>
      <c r="I462" s="26"/>
      <c r="J462" s="34">
        <f t="shared" si="5"/>
        <v>88.8</v>
      </c>
      <c r="K462" s="28">
        <f t="shared" si="6"/>
        <v>41.8</v>
      </c>
      <c r="L462" s="35">
        <f t="shared" si="7"/>
        <v>130.6</v>
      </c>
      <c r="M462" s="28">
        <f t="shared" si="8"/>
        <v>9.5</v>
      </c>
      <c r="N462" s="34">
        <f t="shared" si="9"/>
        <v>98.3</v>
      </c>
    </row>
    <row r="463" spans="1:14" ht="14.4">
      <c r="A463" s="6" t="s">
        <v>836</v>
      </c>
      <c r="B463" s="21" t="s">
        <v>629</v>
      </c>
      <c r="E463" s="23" t="s">
        <v>1231</v>
      </c>
      <c r="F463" s="24" t="s">
        <v>638</v>
      </c>
      <c r="G463" s="30">
        <v>92</v>
      </c>
      <c r="H463" s="30">
        <v>96</v>
      </c>
      <c r="I463" s="26"/>
      <c r="J463" s="27">
        <f t="shared" si="5"/>
        <v>115.2</v>
      </c>
      <c r="K463" s="28">
        <f t="shared" si="6"/>
        <v>40.479999999999997</v>
      </c>
      <c r="L463" s="29">
        <f t="shared" si="7"/>
        <v>155.68</v>
      </c>
      <c r="M463" s="28">
        <f t="shared" si="8"/>
        <v>9.1999999999999993</v>
      </c>
      <c r="N463" s="27">
        <f t="shared" si="9"/>
        <v>124.4</v>
      </c>
    </row>
    <row r="464" spans="1:14" ht="14.4">
      <c r="A464" s="6" t="s">
        <v>2025</v>
      </c>
      <c r="B464" s="21" t="s">
        <v>2026</v>
      </c>
      <c r="E464" s="23" t="s">
        <v>1233</v>
      </c>
      <c r="F464" s="24" t="s">
        <v>1612</v>
      </c>
      <c r="G464" s="25">
        <v>90</v>
      </c>
      <c r="H464" s="25">
        <v>134</v>
      </c>
      <c r="I464" s="26"/>
      <c r="J464" s="34">
        <f t="shared" si="5"/>
        <v>160.80000000000001</v>
      </c>
      <c r="K464" s="28">
        <f t="shared" si="6"/>
        <v>39.6</v>
      </c>
      <c r="L464" s="35">
        <f t="shared" si="7"/>
        <v>200.4</v>
      </c>
      <c r="M464" s="28">
        <f t="shared" si="8"/>
        <v>9</v>
      </c>
      <c r="N464" s="34">
        <f t="shared" si="9"/>
        <v>169.8</v>
      </c>
    </row>
    <row r="465" spans="1:14" ht="14.4">
      <c r="A465" s="6" t="s">
        <v>931</v>
      </c>
      <c r="B465" s="21" t="s">
        <v>1508</v>
      </c>
      <c r="E465" s="23" t="s">
        <v>1233</v>
      </c>
      <c r="F465" s="24" t="s">
        <v>2027</v>
      </c>
      <c r="G465" s="25">
        <v>90</v>
      </c>
      <c r="H465" s="25">
        <v>300</v>
      </c>
      <c r="I465" s="26"/>
      <c r="J465" s="27">
        <f t="shared" si="5"/>
        <v>360</v>
      </c>
      <c r="K465" s="28">
        <f t="shared" si="6"/>
        <v>39.6</v>
      </c>
      <c r="L465" s="29">
        <f t="shared" si="7"/>
        <v>399.6</v>
      </c>
      <c r="M465" s="28">
        <f t="shared" si="8"/>
        <v>9</v>
      </c>
      <c r="N465" s="27">
        <f t="shared" si="9"/>
        <v>369</v>
      </c>
    </row>
    <row r="466" spans="1:14" ht="14.4">
      <c r="A466" s="6" t="s">
        <v>2028</v>
      </c>
      <c r="B466" s="21" t="s">
        <v>1508</v>
      </c>
      <c r="E466" s="23" t="s">
        <v>1233</v>
      </c>
      <c r="F466" s="32" t="s">
        <v>2029</v>
      </c>
      <c r="G466" s="25">
        <v>90</v>
      </c>
      <c r="H466" s="25">
        <v>250</v>
      </c>
      <c r="I466" s="26"/>
      <c r="J466" s="27">
        <f t="shared" si="5"/>
        <v>300</v>
      </c>
      <c r="K466" s="28">
        <f t="shared" si="6"/>
        <v>39.6</v>
      </c>
      <c r="L466" s="29">
        <f t="shared" si="7"/>
        <v>339.6</v>
      </c>
      <c r="M466" s="28">
        <f t="shared" si="8"/>
        <v>9</v>
      </c>
      <c r="N466" s="27">
        <f t="shared" si="9"/>
        <v>309</v>
      </c>
    </row>
    <row r="467" spans="1:14" ht="14.4">
      <c r="A467" s="6" t="s">
        <v>2030</v>
      </c>
      <c r="B467" s="21" t="s">
        <v>1508</v>
      </c>
      <c r="E467" s="23" t="s">
        <v>1233</v>
      </c>
      <c r="F467" s="24" t="s">
        <v>1903</v>
      </c>
      <c r="G467" s="25">
        <v>90</v>
      </c>
      <c r="H467" s="25">
        <v>70</v>
      </c>
      <c r="I467" s="26"/>
      <c r="J467" s="27">
        <f t="shared" si="5"/>
        <v>84</v>
      </c>
      <c r="K467" s="28">
        <f t="shared" si="6"/>
        <v>39.6</v>
      </c>
      <c r="L467" s="29">
        <f t="shared" si="7"/>
        <v>123.6</v>
      </c>
      <c r="M467" s="28">
        <f t="shared" si="8"/>
        <v>9</v>
      </c>
      <c r="N467" s="27">
        <f t="shared" si="9"/>
        <v>93</v>
      </c>
    </row>
    <row r="468" spans="1:14" ht="14.4">
      <c r="A468" s="6" t="s">
        <v>174</v>
      </c>
      <c r="B468" s="21" t="s">
        <v>1508</v>
      </c>
      <c r="E468" s="23" t="s">
        <v>1233</v>
      </c>
      <c r="F468" s="24" t="s">
        <v>2031</v>
      </c>
      <c r="G468" s="30">
        <v>90</v>
      </c>
      <c r="H468" s="30">
        <v>120</v>
      </c>
      <c r="I468" s="26"/>
      <c r="J468" s="27">
        <f t="shared" si="5"/>
        <v>144</v>
      </c>
      <c r="K468" s="28">
        <f t="shared" si="6"/>
        <v>39.6</v>
      </c>
      <c r="L468" s="29">
        <f t="shared" si="7"/>
        <v>183.6</v>
      </c>
      <c r="M468" s="28">
        <f t="shared" si="8"/>
        <v>9</v>
      </c>
      <c r="N468" s="27">
        <f t="shared" si="9"/>
        <v>153</v>
      </c>
    </row>
    <row r="469" spans="1:14" ht="14.4">
      <c r="A469" s="6" t="s">
        <v>2032</v>
      </c>
      <c r="B469" s="21" t="s">
        <v>1847</v>
      </c>
      <c r="E469" s="23" t="s">
        <v>1233</v>
      </c>
      <c r="F469" s="24" t="s">
        <v>1618</v>
      </c>
      <c r="G469" s="25">
        <v>90</v>
      </c>
      <c r="H469" s="25">
        <v>150</v>
      </c>
      <c r="I469" s="26"/>
      <c r="J469" s="27">
        <f t="shared" si="5"/>
        <v>180</v>
      </c>
      <c r="K469" s="28">
        <f t="shared" si="6"/>
        <v>39.6</v>
      </c>
      <c r="L469" s="29">
        <f t="shared" si="7"/>
        <v>219.6</v>
      </c>
      <c r="M469" s="28">
        <f t="shared" si="8"/>
        <v>9</v>
      </c>
      <c r="N469" s="27">
        <f t="shared" si="9"/>
        <v>189</v>
      </c>
    </row>
    <row r="470" spans="1:14" ht="14.4">
      <c r="A470" s="6" t="s">
        <v>2033</v>
      </c>
      <c r="B470" s="21" t="s">
        <v>1847</v>
      </c>
      <c r="E470" s="23" t="s">
        <v>1233</v>
      </c>
      <c r="F470" s="24" t="s">
        <v>1724</v>
      </c>
      <c r="G470" s="25">
        <v>80</v>
      </c>
      <c r="H470" s="25">
        <v>144</v>
      </c>
      <c r="I470" s="26"/>
      <c r="J470" s="27">
        <f t="shared" si="5"/>
        <v>172.8</v>
      </c>
      <c r="K470" s="28">
        <f t="shared" si="6"/>
        <v>35.200000000000003</v>
      </c>
      <c r="L470" s="29">
        <f t="shared" si="7"/>
        <v>208</v>
      </c>
      <c r="M470" s="28">
        <f t="shared" si="8"/>
        <v>8</v>
      </c>
      <c r="N470" s="27">
        <f t="shared" si="9"/>
        <v>180.8</v>
      </c>
    </row>
    <row r="471" spans="1:14" ht="14.4">
      <c r="A471" s="6" t="s">
        <v>1160</v>
      </c>
      <c r="B471" s="21" t="s">
        <v>1847</v>
      </c>
      <c r="E471" s="23" t="s">
        <v>1231</v>
      </c>
      <c r="F471" s="24" t="s">
        <v>2034</v>
      </c>
      <c r="G471" s="30">
        <v>80</v>
      </c>
      <c r="H471" s="30">
        <v>96</v>
      </c>
      <c r="I471" s="26"/>
      <c r="J471" s="27">
        <f t="shared" si="5"/>
        <v>115.2</v>
      </c>
      <c r="K471" s="28">
        <f t="shared" si="6"/>
        <v>35.200000000000003</v>
      </c>
      <c r="L471" s="29">
        <f t="shared" si="7"/>
        <v>150.4</v>
      </c>
      <c r="M471" s="28">
        <f t="shared" si="8"/>
        <v>8</v>
      </c>
      <c r="N471" s="27">
        <f t="shared" si="9"/>
        <v>123.2</v>
      </c>
    </row>
    <row r="472" spans="1:14" ht="14.4">
      <c r="A472" s="6" t="s">
        <v>2035</v>
      </c>
      <c r="B472" s="21" t="s">
        <v>1740</v>
      </c>
      <c r="E472" s="23" t="s">
        <v>1231</v>
      </c>
      <c r="F472" s="26" t="s">
        <v>762</v>
      </c>
      <c r="G472" s="36">
        <v>80</v>
      </c>
      <c r="H472" s="30">
        <v>96</v>
      </c>
      <c r="I472" s="26"/>
      <c r="J472" s="27">
        <f t="shared" si="5"/>
        <v>115.2</v>
      </c>
      <c r="K472" s="28">
        <f t="shared" si="6"/>
        <v>35.200000000000003</v>
      </c>
      <c r="L472" s="29">
        <f t="shared" si="7"/>
        <v>150.4</v>
      </c>
      <c r="M472" s="28">
        <f t="shared" si="8"/>
        <v>8</v>
      </c>
      <c r="N472" s="27">
        <f t="shared" si="9"/>
        <v>123.2</v>
      </c>
    </row>
    <row r="473" spans="1:14" ht="14.4">
      <c r="A473" s="6" t="s">
        <v>103</v>
      </c>
      <c r="B473" s="21" t="s">
        <v>1740</v>
      </c>
      <c r="E473" s="23" t="s">
        <v>1233</v>
      </c>
      <c r="F473" s="24" t="s">
        <v>2036</v>
      </c>
      <c r="G473" s="25">
        <v>90</v>
      </c>
      <c r="H473" s="25">
        <v>250</v>
      </c>
      <c r="I473" s="26"/>
      <c r="J473" s="27">
        <f t="shared" si="5"/>
        <v>300</v>
      </c>
      <c r="K473" s="28">
        <f t="shared" si="6"/>
        <v>39.6</v>
      </c>
      <c r="L473" s="29">
        <f t="shared" si="7"/>
        <v>339.6</v>
      </c>
      <c r="M473" s="28">
        <f t="shared" si="8"/>
        <v>9</v>
      </c>
      <c r="N473" s="27">
        <f t="shared" si="9"/>
        <v>309</v>
      </c>
    </row>
    <row r="474" spans="1:14" ht="14.4">
      <c r="A474" s="6" t="s">
        <v>2037</v>
      </c>
      <c r="B474" s="21" t="s">
        <v>1740</v>
      </c>
      <c r="E474" s="23" t="s">
        <v>1233</v>
      </c>
      <c r="F474" s="24" t="s">
        <v>1218</v>
      </c>
      <c r="G474" s="25">
        <v>90</v>
      </c>
      <c r="H474" s="25">
        <v>359</v>
      </c>
      <c r="I474" s="26"/>
      <c r="J474" s="27">
        <f t="shared" si="5"/>
        <v>430.8</v>
      </c>
      <c r="K474" s="28">
        <f t="shared" si="6"/>
        <v>39.6</v>
      </c>
      <c r="L474" s="29">
        <f t="shared" si="7"/>
        <v>470.40000000000003</v>
      </c>
      <c r="M474" s="28">
        <f t="shared" si="8"/>
        <v>9</v>
      </c>
      <c r="N474" s="27">
        <f t="shared" si="9"/>
        <v>439.8</v>
      </c>
    </row>
    <row r="475" spans="1:14" ht="14.4">
      <c r="A475" s="6" t="s">
        <v>2038</v>
      </c>
      <c r="B475" s="21" t="s">
        <v>1659</v>
      </c>
      <c r="E475" s="23" t="s">
        <v>1233</v>
      </c>
      <c r="F475" s="24" t="s">
        <v>2039</v>
      </c>
      <c r="G475" s="25">
        <v>90</v>
      </c>
      <c r="H475" s="25">
        <v>220</v>
      </c>
      <c r="I475" s="26"/>
      <c r="J475" s="27">
        <f t="shared" si="5"/>
        <v>264</v>
      </c>
      <c r="K475" s="28">
        <f t="shared" si="6"/>
        <v>39.6</v>
      </c>
      <c r="L475" s="29">
        <f t="shared" si="7"/>
        <v>303.60000000000002</v>
      </c>
      <c r="M475" s="28">
        <f t="shared" si="8"/>
        <v>9</v>
      </c>
      <c r="N475" s="27">
        <f t="shared" si="9"/>
        <v>273</v>
      </c>
    </row>
    <row r="476" spans="1:14" ht="14.4">
      <c r="A476" s="6" t="s">
        <v>779</v>
      </c>
      <c r="B476" s="21" t="s">
        <v>1659</v>
      </c>
      <c r="E476" s="23" t="s">
        <v>1233</v>
      </c>
      <c r="F476" s="24" t="s">
        <v>2040</v>
      </c>
      <c r="G476" s="25">
        <v>90</v>
      </c>
      <c r="H476" s="25">
        <v>359</v>
      </c>
      <c r="I476" s="26"/>
      <c r="J476" s="27">
        <f t="shared" si="5"/>
        <v>430.8</v>
      </c>
      <c r="K476" s="28">
        <f t="shared" si="6"/>
        <v>39.6</v>
      </c>
      <c r="L476" s="29">
        <f t="shared" si="7"/>
        <v>470.40000000000003</v>
      </c>
      <c r="M476" s="28">
        <f t="shared" si="8"/>
        <v>9</v>
      </c>
      <c r="N476" s="27">
        <f t="shared" si="9"/>
        <v>439.8</v>
      </c>
    </row>
    <row r="477" spans="1:14" ht="14.4">
      <c r="A477" s="6" t="s">
        <v>254</v>
      </c>
      <c r="B477" s="21" t="s">
        <v>1659</v>
      </c>
      <c r="E477" s="23" t="s">
        <v>1233</v>
      </c>
      <c r="F477" s="32" t="s">
        <v>2041</v>
      </c>
      <c r="G477" s="25">
        <v>90</v>
      </c>
      <c r="H477" s="25">
        <v>290</v>
      </c>
      <c r="I477" s="26"/>
      <c r="J477" s="27">
        <f t="shared" si="5"/>
        <v>348</v>
      </c>
      <c r="K477" s="28">
        <f t="shared" si="6"/>
        <v>39.6</v>
      </c>
      <c r="L477" s="29">
        <f t="shared" si="7"/>
        <v>387.6</v>
      </c>
      <c r="M477" s="28">
        <f t="shared" si="8"/>
        <v>9</v>
      </c>
      <c r="N477" s="27">
        <f t="shared" si="9"/>
        <v>357</v>
      </c>
    </row>
    <row r="478" spans="1:14" ht="14.4">
      <c r="A478" s="6" t="s">
        <v>2042</v>
      </c>
      <c r="B478" s="21" t="s">
        <v>1659</v>
      </c>
      <c r="E478" s="23" t="s">
        <v>1233</v>
      </c>
      <c r="F478" s="32" t="s">
        <v>2043</v>
      </c>
      <c r="G478" s="25">
        <v>90</v>
      </c>
      <c r="H478" s="25">
        <v>290</v>
      </c>
      <c r="I478" s="26"/>
      <c r="J478" s="27">
        <f t="shared" si="5"/>
        <v>348</v>
      </c>
      <c r="K478" s="28">
        <f t="shared" si="6"/>
        <v>39.6</v>
      </c>
      <c r="L478" s="29">
        <f t="shared" si="7"/>
        <v>387.6</v>
      </c>
      <c r="M478" s="28">
        <f t="shared" si="8"/>
        <v>9</v>
      </c>
      <c r="N478" s="27">
        <f t="shared" si="9"/>
        <v>357</v>
      </c>
    </row>
    <row r="479" spans="1:14" ht="14.4">
      <c r="A479" s="6" t="s">
        <v>2044</v>
      </c>
      <c r="B479" s="21" t="s">
        <v>1659</v>
      </c>
      <c r="E479" s="23" t="s">
        <v>1233</v>
      </c>
      <c r="F479" s="24" t="s">
        <v>2045</v>
      </c>
      <c r="G479" s="30">
        <v>90</v>
      </c>
      <c r="H479" s="25">
        <v>80</v>
      </c>
      <c r="I479" s="26"/>
      <c r="J479" s="27">
        <f t="shared" si="5"/>
        <v>96</v>
      </c>
      <c r="K479" s="28">
        <f t="shared" si="6"/>
        <v>39.6</v>
      </c>
      <c r="L479" s="29">
        <f t="shared" si="7"/>
        <v>135.6</v>
      </c>
      <c r="M479" s="28">
        <f t="shared" si="8"/>
        <v>9</v>
      </c>
      <c r="N479" s="27">
        <f t="shared" si="9"/>
        <v>105</v>
      </c>
    </row>
    <row r="480" spans="1:14" ht="14.4">
      <c r="A480" s="6" t="s">
        <v>2046</v>
      </c>
      <c r="B480" s="21" t="s">
        <v>1510</v>
      </c>
      <c r="E480" s="23" t="s">
        <v>1231</v>
      </c>
      <c r="F480" s="26" t="s">
        <v>2047</v>
      </c>
      <c r="G480" s="30">
        <v>68</v>
      </c>
      <c r="H480" s="25">
        <v>90</v>
      </c>
      <c r="I480" s="26"/>
      <c r="J480" s="27">
        <f t="shared" si="5"/>
        <v>108</v>
      </c>
      <c r="K480" s="28">
        <f t="shared" si="6"/>
        <v>29.92</v>
      </c>
      <c r="L480" s="29">
        <f t="shared" si="7"/>
        <v>137.92000000000002</v>
      </c>
      <c r="M480" s="28">
        <f t="shared" si="8"/>
        <v>6.8</v>
      </c>
      <c r="N480" s="27">
        <f t="shared" si="9"/>
        <v>114.8</v>
      </c>
    </row>
    <row r="481" spans="1:14" ht="14.4">
      <c r="A481" s="6" t="s">
        <v>301</v>
      </c>
      <c r="B481" s="21" t="s">
        <v>1510</v>
      </c>
      <c r="E481" s="23" t="s">
        <v>1233</v>
      </c>
      <c r="F481" s="24" t="s">
        <v>1981</v>
      </c>
      <c r="G481" s="25">
        <v>70</v>
      </c>
      <c r="H481" s="25">
        <v>25</v>
      </c>
      <c r="I481" s="26"/>
      <c r="J481" s="27">
        <f t="shared" si="5"/>
        <v>30</v>
      </c>
      <c r="K481" s="28">
        <f t="shared" si="6"/>
        <v>30.8</v>
      </c>
      <c r="L481" s="29">
        <f t="shared" si="7"/>
        <v>60.8</v>
      </c>
      <c r="M481" s="28">
        <f t="shared" si="8"/>
        <v>7</v>
      </c>
      <c r="N481" s="27">
        <f t="shared" si="9"/>
        <v>37</v>
      </c>
    </row>
    <row r="482" spans="1:14" ht="14.4">
      <c r="A482" s="6" t="s">
        <v>1769</v>
      </c>
      <c r="B482" s="21" t="s">
        <v>981</v>
      </c>
      <c r="E482" s="23" t="s">
        <v>1233</v>
      </c>
      <c r="F482" s="24" t="s">
        <v>2048</v>
      </c>
      <c r="G482" s="25">
        <v>70</v>
      </c>
      <c r="H482" s="25">
        <v>80</v>
      </c>
      <c r="I482" s="26"/>
      <c r="J482" s="27">
        <f t="shared" si="5"/>
        <v>96</v>
      </c>
      <c r="K482" s="28">
        <f t="shared" si="6"/>
        <v>30.8</v>
      </c>
      <c r="L482" s="29">
        <f t="shared" si="7"/>
        <v>126.8</v>
      </c>
      <c r="M482" s="28">
        <f t="shared" si="8"/>
        <v>7</v>
      </c>
      <c r="N482" s="27">
        <f t="shared" si="9"/>
        <v>103</v>
      </c>
    </row>
    <row r="483" spans="1:14" ht="14.4">
      <c r="A483" s="6" t="s">
        <v>2049</v>
      </c>
      <c r="B483" s="21" t="s">
        <v>2050</v>
      </c>
      <c r="E483" s="23" t="s">
        <v>1233</v>
      </c>
      <c r="F483" s="24" t="s">
        <v>2051</v>
      </c>
      <c r="G483" s="30">
        <v>70</v>
      </c>
      <c r="H483" s="30">
        <v>50</v>
      </c>
      <c r="I483" s="26"/>
      <c r="J483" s="27">
        <f t="shared" si="5"/>
        <v>60</v>
      </c>
      <c r="K483" s="28">
        <f t="shared" si="6"/>
        <v>30.8</v>
      </c>
      <c r="L483" s="29">
        <f t="shared" si="7"/>
        <v>90.8</v>
      </c>
      <c r="M483" s="28">
        <f t="shared" si="8"/>
        <v>7</v>
      </c>
      <c r="N483" s="27">
        <f t="shared" si="9"/>
        <v>67</v>
      </c>
    </row>
    <row r="484" spans="1:14" ht="14.4">
      <c r="A484" s="6" t="s">
        <v>2052</v>
      </c>
      <c r="B484" s="21" t="s">
        <v>2039</v>
      </c>
      <c r="E484" s="23" t="s">
        <v>1233</v>
      </c>
      <c r="F484" s="26" t="s">
        <v>2053</v>
      </c>
      <c r="G484" s="30">
        <v>80</v>
      </c>
      <c r="H484" s="30">
        <v>50</v>
      </c>
      <c r="I484" s="26"/>
      <c r="J484" s="27">
        <f t="shared" si="5"/>
        <v>60</v>
      </c>
      <c r="K484" s="28">
        <f t="shared" si="6"/>
        <v>35.200000000000003</v>
      </c>
      <c r="L484" s="29">
        <f t="shared" si="7"/>
        <v>95.2</v>
      </c>
      <c r="M484" s="28">
        <f t="shared" si="8"/>
        <v>8</v>
      </c>
      <c r="N484" s="27">
        <f t="shared" si="9"/>
        <v>68</v>
      </c>
    </row>
    <row r="485" spans="1:14" ht="14.4">
      <c r="A485" s="6" t="s">
        <v>2054</v>
      </c>
      <c r="B485" s="21" t="s">
        <v>2039</v>
      </c>
      <c r="E485" s="23" t="s">
        <v>1233</v>
      </c>
      <c r="F485" s="32" t="s">
        <v>2055</v>
      </c>
      <c r="G485" s="25">
        <v>90</v>
      </c>
      <c r="H485" s="25">
        <v>218</v>
      </c>
      <c r="I485" s="26"/>
      <c r="J485" s="34">
        <f t="shared" si="5"/>
        <v>261.60000000000002</v>
      </c>
      <c r="K485" s="28">
        <f t="shared" si="6"/>
        <v>39.6</v>
      </c>
      <c r="L485" s="35">
        <f t="shared" si="7"/>
        <v>301.20000000000005</v>
      </c>
      <c r="M485" s="28">
        <f t="shared" si="8"/>
        <v>9</v>
      </c>
      <c r="N485" s="34">
        <f t="shared" si="9"/>
        <v>270.60000000000002</v>
      </c>
    </row>
    <row r="486" spans="1:14" ht="14.4">
      <c r="A486" s="6" t="s">
        <v>2056</v>
      </c>
      <c r="B486" s="21" t="s">
        <v>2039</v>
      </c>
      <c r="E486" s="23" t="s">
        <v>1233</v>
      </c>
      <c r="F486" s="26" t="s">
        <v>1237</v>
      </c>
      <c r="G486" s="36">
        <v>60</v>
      </c>
      <c r="H486" s="30">
        <v>145</v>
      </c>
      <c r="I486" s="26"/>
      <c r="J486" s="27">
        <f t="shared" si="5"/>
        <v>174</v>
      </c>
      <c r="K486" s="28">
        <f t="shared" si="6"/>
        <v>26.4</v>
      </c>
      <c r="L486" s="29">
        <f t="shared" si="7"/>
        <v>200.4</v>
      </c>
      <c r="M486" s="28">
        <f t="shared" si="8"/>
        <v>6</v>
      </c>
      <c r="N486" s="27">
        <f t="shared" si="9"/>
        <v>180</v>
      </c>
    </row>
    <row r="487" spans="1:14" ht="14.4">
      <c r="A487" s="6" t="s">
        <v>2057</v>
      </c>
      <c r="B487" s="21" t="s">
        <v>2039</v>
      </c>
      <c r="E487" s="23" t="s">
        <v>1233</v>
      </c>
      <c r="F487" s="26" t="s">
        <v>1239</v>
      </c>
      <c r="G487" s="36">
        <v>60</v>
      </c>
      <c r="H487" s="30">
        <v>145</v>
      </c>
      <c r="I487" s="26"/>
      <c r="J487" s="27">
        <f t="shared" si="5"/>
        <v>174</v>
      </c>
      <c r="K487" s="28">
        <f t="shared" si="6"/>
        <v>26.4</v>
      </c>
      <c r="L487" s="29">
        <f t="shared" si="7"/>
        <v>200.4</v>
      </c>
      <c r="M487" s="28">
        <f t="shared" si="8"/>
        <v>6</v>
      </c>
      <c r="N487" s="27">
        <f t="shared" si="9"/>
        <v>180</v>
      </c>
    </row>
    <row r="488" spans="1:14" ht="14.4">
      <c r="A488" s="6" t="s">
        <v>2058</v>
      </c>
      <c r="B488" s="21" t="s">
        <v>2039</v>
      </c>
      <c r="E488" s="23" t="s">
        <v>1233</v>
      </c>
      <c r="F488" s="26" t="s">
        <v>1241</v>
      </c>
      <c r="G488" s="36">
        <v>60</v>
      </c>
      <c r="H488" s="30">
        <v>145</v>
      </c>
      <c r="I488" s="26"/>
      <c r="J488" s="27">
        <f t="shared" si="5"/>
        <v>174</v>
      </c>
      <c r="K488" s="28">
        <f t="shared" si="6"/>
        <v>26.4</v>
      </c>
      <c r="L488" s="29">
        <f t="shared" si="7"/>
        <v>200.4</v>
      </c>
      <c r="M488" s="28">
        <f t="shared" si="8"/>
        <v>6</v>
      </c>
      <c r="N488" s="27">
        <f t="shared" si="9"/>
        <v>180</v>
      </c>
    </row>
    <row r="489" spans="1:14" ht="14.4">
      <c r="A489" s="6" t="s">
        <v>2059</v>
      </c>
      <c r="B489" s="21" t="s">
        <v>2039</v>
      </c>
      <c r="E489" s="23" t="s">
        <v>1233</v>
      </c>
      <c r="F489" s="26" t="s">
        <v>1245</v>
      </c>
      <c r="G489" s="36">
        <v>60</v>
      </c>
      <c r="H489" s="30">
        <v>145</v>
      </c>
      <c r="I489" s="26"/>
      <c r="J489" s="27">
        <f t="shared" si="5"/>
        <v>174</v>
      </c>
      <c r="K489" s="28">
        <f t="shared" si="6"/>
        <v>26.4</v>
      </c>
      <c r="L489" s="29">
        <f t="shared" si="7"/>
        <v>200.4</v>
      </c>
      <c r="M489" s="28">
        <f t="shared" si="8"/>
        <v>6</v>
      </c>
      <c r="N489" s="27">
        <f t="shared" si="9"/>
        <v>180</v>
      </c>
    </row>
    <row r="490" spans="1:14" ht="14.4">
      <c r="A490" s="6" t="s">
        <v>2060</v>
      </c>
      <c r="B490" s="21" t="s">
        <v>2039</v>
      </c>
      <c r="E490" s="23" t="s">
        <v>1233</v>
      </c>
      <c r="F490" s="26" t="s">
        <v>1247</v>
      </c>
      <c r="G490" s="36">
        <v>60</v>
      </c>
      <c r="H490" s="30">
        <v>145</v>
      </c>
      <c r="I490" s="26"/>
      <c r="J490" s="27">
        <f t="shared" si="5"/>
        <v>174</v>
      </c>
      <c r="K490" s="28">
        <f t="shared" si="6"/>
        <v>26.4</v>
      </c>
      <c r="L490" s="29">
        <f t="shared" si="7"/>
        <v>200.4</v>
      </c>
      <c r="M490" s="28">
        <f t="shared" si="8"/>
        <v>6</v>
      </c>
      <c r="N490" s="27">
        <f t="shared" si="9"/>
        <v>180</v>
      </c>
    </row>
    <row r="491" spans="1:14" ht="14.4">
      <c r="A491" s="6" t="s">
        <v>2061</v>
      </c>
      <c r="B491" s="21" t="s">
        <v>2039</v>
      </c>
      <c r="E491" s="23" t="s">
        <v>1233</v>
      </c>
      <c r="F491" s="26" t="s">
        <v>756</v>
      </c>
      <c r="G491" s="36">
        <v>60</v>
      </c>
      <c r="H491" s="30">
        <v>145</v>
      </c>
      <c r="I491" s="26"/>
      <c r="J491" s="27">
        <f t="shared" si="5"/>
        <v>174</v>
      </c>
      <c r="K491" s="28">
        <f t="shared" si="6"/>
        <v>26.4</v>
      </c>
      <c r="L491" s="29">
        <f t="shared" si="7"/>
        <v>200.4</v>
      </c>
      <c r="M491" s="28">
        <f t="shared" si="8"/>
        <v>6</v>
      </c>
      <c r="N491" s="27">
        <f t="shared" si="9"/>
        <v>180</v>
      </c>
    </row>
    <row r="492" spans="1:14" ht="14.4">
      <c r="A492" s="6" t="s">
        <v>2062</v>
      </c>
      <c r="B492" s="21" t="s">
        <v>2039</v>
      </c>
      <c r="E492" s="23" t="s">
        <v>1233</v>
      </c>
      <c r="F492" s="26" t="s">
        <v>1250</v>
      </c>
      <c r="G492" s="36">
        <v>60</v>
      </c>
      <c r="H492" s="30">
        <v>145</v>
      </c>
      <c r="I492" s="26"/>
      <c r="J492" s="27">
        <f t="shared" si="5"/>
        <v>174</v>
      </c>
      <c r="K492" s="28">
        <f t="shared" si="6"/>
        <v>26.4</v>
      </c>
      <c r="L492" s="29">
        <f t="shared" si="7"/>
        <v>200.4</v>
      </c>
      <c r="M492" s="28">
        <f t="shared" si="8"/>
        <v>6</v>
      </c>
      <c r="N492" s="27">
        <f t="shared" si="9"/>
        <v>180</v>
      </c>
    </row>
    <row r="493" spans="1:14" ht="14.4">
      <c r="A493" s="6" t="s">
        <v>2063</v>
      </c>
      <c r="B493" s="21" t="s">
        <v>2039</v>
      </c>
      <c r="E493" s="23" t="s">
        <v>1233</v>
      </c>
      <c r="F493" s="26" t="s">
        <v>1252</v>
      </c>
      <c r="G493" s="36">
        <v>60</v>
      </c>
      <c r="H493" s="30">
        <v>145</v>
      </c>
      <c r="I493" s="26"/>
      <c r="J493" s="27">
        <f t="shared" si="5"/>
        <v>174</v>
      </c>
      <c r="K493" s="28">
        <f t="shared" si="6"/>
        <v>26.4</v>
      </c>
      <c r="L493" s="29">
        <f t="shared" si="7"/>
        <v>200.4</v>
      </c>
      <c r="M493" s="28">
        <f t="shared" si="8"/>
        <v>6</v>
      </c>
      <c r="N493" s="27">
        <f t="shared" si="9"/>
        <v>180</v>
      </c>
    </row>
    <row r="494" spans="1:14" ht="14.4">
      <c r="A494" s="6" t="s">
        <v>2064</v>
      </c>
      <c r="B494" s="21" t="s">
        <v>2039</v>
      </c>
      <c r="E494" s="23" t="s">
        <v>1233</v>
      </c>
      <c r="F494" s="26" t="s">
        <v>1256</v>
      </c>
      <c r="G494" s="36">
        <v>60</v>
      </c>
      <c r="H494" s="30">
        <v>145</v>
      </c>
      <c r="I494" s="26"/>
      <c r="J494" s="27">
        <f t="shared" si="5"/>
        <v>174</v>
      </c>
      <c r="K494" s="28">
        <f t="shared" si="6"/>
        <v>26.4</v>
      </c>
      <c r="L494" s="29">
        <f t="shared" si="7"/>
        <v>200.4</v>
      </c>
      <c r="M494" s="28">
        <f t="shared" si="8"/>
        <v>6</v>
      </c>
      <c r="N494" s="27">
        <f t="shared" si="9"/>
        <v>180</v>
      </c>
    </row>
    <row r="495" spans="1:14" ht="14.4">
      <c r="A495" s="6" t="s">
        <v>2065</v>
      </c>
      <c r="B495" s="21" t="s">
        <v>2039</v>
      </c>
      <c r="E495" s="23" t="s">
        <v>1233</v>
      </c>
      <c r="F495" s="26" t="s">
        <v>1258</v>
      </c>
      <c r="G495" s="36">
        <v>60</v>
      </c>
      <c r="H495" s="30">
        <v>145</v>
      </c>
      <c r="I495" s="26"/>
      <c r="J495" s="27">
        <f t="shared" si="5"/>
        <v>174</v>
      </c>
      <c r="K495" s="28">
        <f t="shared" si="6"/>
        <v>26.4</v>
      </c>
      <c r="L495" s="29">
        <f t="shared" si="7"/>
        <v>200.4</v>
      </c>
      <c r="M495" s="28">
        <f t="shared" si="8"/>
        <v>6</v>
      </c>
      <c r="N495" s="27">
        <f t="shared" si="9"/>
        <v>180</v>
      </c>
    </row>
    <row r="496" spans="1:14" ht="14.4">
      <c r="A496" s="6" t="s">
        <v>2066</v>
      </c>
      <c r="B496" s="21" t="s">
        <v>2039</v>
      </c>
      <c r="E496" s="23" t="s">
        <v>1233</v>
      </c>
      <c r="F496" s="26" t="s">
        <v>1260</v>
      </c>
      <c r="G496" s="36">
        <v>60</v>
      </c>
      <c r="H496" s="30">
        <v>145</v>
      </c>
      <c r="I496" s="26"/>
      <c r="J496" s="27">
        <f t="shared" si="5"/>
        <v>174</v>
      </c>
      <c r="K496" s="28">
        <f t="shared" si="6"/>
        <v>26.4</v>
      </c>
      <c r="L496" s="29">
        <f t="shared" si="7"/>
        <v>200.4</v>
      </c>
      <c r="M496" s="28">
        <f t="shared" si="8"/>
        <v>6</v>
      </c>
      <c r="N496" s="27">
        <f t="shared" si="9"/>
        <v>180</v>
      </c>
    </row>
    <row r="497" spans="1:14" ht="14.4">
      <c r="A497" s="6" t="s">
        <v>2067</v>
      </c>
      <c r="B497" s="21" t="s">
        <v>2039</v>
      </c>
      <c r="E497" s="23" t="s">
        <v>1233</v>
      </c>
      <c r="F497" s="26" t="s">
        <v>1262</v>
      </c>
      <c r="G497" s="36">
        <v>60</v>
      </c>
      <c r="H497" s="30">
        <v>145</v>
      </c>
      <c r="I497" s="26"/>
      <c r="J497" s="27">
        <f t="shared" si="5"/>
        <v>174</v>
      </c>
      <c r="K497" s="28">
        <f t="shared" si="6"/>
        <v>26.4</v>
      </c>
      <c r="L497" s="29">
        <f t="shared" si="7"/>
        <v>200.4</v>
      </c>
      <c r="M497" s="28">
        <f t="shared" si="8"/>
        <v>6</v>
      </c>
      <c r="N497" s="27">
        <f t="shared" si="9"/>
        <v>180</v>
      </c>
    </row>
    <row r="498" spans="1:14" ht="14.4">
      <c r="A498" s="6" t="s">
        <v>2068</v>
      </c>
      <c r="B498" s="21" t="s">
        <v>2039</v>
      </c>
      <c r="E498" s="23" t="s">
        <v>1233</v>
      </c>
      <c r="F498" s="26" t="s">
        <v>1265</v>
      </c>
      <c r="G498" s="36">
        <v>60</v>
      </c>
      <c r="H498" s="30">
        <v>145</v>
      </c>
      <c r="I498" s="26"/>
      <c r="J498" s="27">
        <f t="shared" si="5"/>
        <v>174</v>
      </c>
      <c r="K498" s="28">
        <f t="shared" si="6"/>
        <v>26.4</v>
      </c>
      <c r="L498" s="29">
        <f t="shared" si="7"/>
        <v>200.4</v>
      </c>
      <c r="M498" s="28">
        <f t="shared" si="8"/>
        <v>6</v>
      </c>
      <c r="N498" s="27">
        <f t="shared" si="9"/>
        <v>180</v>
      </c>
    </row>
    <row r="499" spans="1:14" ht="14.4">
      <c r="A499" s="6" t="s">
        <v>2069</v>
      </c>
      <c r="B499" s="21" t="s">
        <v>2039</v>
      </c>
      <c r="E499" s="23" t="s">
        <v>1233</v>
      </c>
      <c r="F499" s="24" t="s">
        <v>2070</v>
      </c>
      <c r="G499" s="25">
        <v>50</v>
      </c>
      <c r="H499" s="25">
        <v>60</v>
      </c>
      <c r="I499" s="26"/>
      <c r="J499" s="34">
        <f t="shared" si="5"/>
        <v>72</v>
      </c>
      <c r="K499" s="28">
        <f t="shared" si="6"/>
        <v>22</v>
      </c>
      <c r="L499" s="35">
        <f t="shared" si="7"/>
        <v>94</v>
      </c>
      <c r="M499" s="28">
        <f t="shared" si="8"/>
        <v>5</v>
      </c>
      <c r="N499" s="34">
        <f t="shared" si="9"/>
        <v>77</v>
      </c>
    </row>
    <row r="500" spans="1:14" ht="14.4">
      <c r="A500" s="6" t="s">
        <v>2071</v>
      </c>
      <c r="B500" s="21" t="s">
        <v>2039</v>
      </c>
      <c r="E500" s="23" t="s">
        <v>1233</v>
      </c>
      <c r="F500" s="24" t="s">
        <v>2072</v>
      </c>
      <c r="G500" s="25">
        <v>50</v>
      </c>
      <c r="H500" s="25">
        <v>60</v>
      </c>
      <c r="I500" s="26"/>
      <c r="J500" s="34">
        <f t="shared" si="5"/>
        <v>72</v>
      </c>
      <c r="K500" s="28">
        <f t="shared" si="6"/>
        <v>22</v>
      </c>
      <c r="L500" s="35">
        <f t="shared" si="7"/>
        <v>94</v>
      </c>
      <c r="M500" s="28">
        <f t="shared" si="8"/>
        <v>5</v>
      </c>
      <c r="N500" s="34">
        <f t="shared" si="9"/>
        <v>77</v>
      </c>
    </row>
    <row r="501" spans="1:14" ht="14.4">
      <c r="A501" s="6" t="s">
        <v>2073</v>
      </c>
      <c r="B501" s="21" t="s">
        <v>2039</v>
      </c>
      <c r="E501" s="23" t="s">
        <v>1233</v>
      </c>
      <c r="F501" s="24" t="s">
        <v>2074</v>
      </c>
      <c r="G501" s="25">
        <v>50</v>
      </c>
      <c r="H501" s="25">
        <v>60</v>
      </c>
      <c r="I501" s="26"/>
      <c r="J501" s="34">
        <f t="shared" si="5"/>
        <v>72</v>
      </c>
      <c r="K501" s="28">
        <f t="shared" si="6"/>
        <v>22</v>
      </c>
      <c r="L501" s="35">
        <f t="shared" si="7"/>
        <v>94</v>
      </c>
      <c r="M501" s="28">
        <f t="shared" si="8"/>
        <v>5</v>
      </c>
      <c r="N501" s="34">
        <f t="shared" si="9"/>
        <v>77</v>
      </c>
    </row>
    <row r="502" spans="1:14" ht="14.4">
      <c r="A502" s="6" t="s">
        <v>2075</v>
      </c>
      <c r="B502" s="21" t="s">
        <v>2039</v>
      </c>
      <c r="E502" s="23" t="s">
        <v>1233</v>
      </c>
      <c r="F502" s="24" t="s">
        <v>2076</v>
      </c>
      <c r="G502" s="25">
        <v>50</v>
      </c>
      <c r="H502" s="25">
        <v>60</v>
      </c>
      <c r="I502" s="26"/>
      <c r="J502" s="34">
        <f t="shared" si="5"/>
        <v>72</v>
      </c>
      <c r="K502" s="28">
        <f t="shared" si="6"/>
        <v>22</v>
      </c>
      <c r="L502" s="35">
        <f t="shared" si="7"/>
        <v>94</v>
      </c>
      <c r="M502" s="28">
        <f t="shared" si="8"/>
        <v>5</v>
      </c>
      <c r="N502" s="34">
        <f t="shared" si="9"/>
        <v>77</v>
      </c>
    </row>
    <row r="503" spans="1:14" ht="14.4">
      <c r="A503" s="6" t="s">
        <v>2077</v>
      </c>
      <c r="B503" s="21" t="s">
        <v>2039</v>
      </c>
      <c r="E503" s="23" t="s">
        <v>1233</v>
      </c>
      <c r="F503" s="24" t="s">
        <v>2078</v>
      </c>
      <c r="G503" s="25">
        <v>90</v>
      </c>
      <c r="H503" s="25">
        <v>200</v>
      </c>
      <c r="I503" s="26"/>
      <c r="J503" s="27">
        <f t="shared" si="5"/>
        <v>240</v>
      </c>
      <c r="K503" s="28">
        <f t="shared" si="6"/>
        <v>39.6</v>
      </c>
      <c r="L503" s="29">
        <f t="shared" si="7"/>
        <v>279.60000000000002</v>
      </c>
      <c r="M503" s="28">
        <f t="shared" si="8"/>
        <v>9</v>
      </c>
      <c r="N503" s="27">
        <f t="shared" si="9"/>
        <v>249</v>
      </c>
    </row>
    <row r="504" spans="1:14" ht="14.4">
      <c r="A504" s="6" t="s">
        <v>2079</v>
      </c>
      <c r="B504" s="21" t="s">
        <v>2039</v>
      </c>
      <c r="E504" s="23" t="s">
        <v>1233</v>
      </c>
      <c r="F504" s="26" t="s">
        <v>2080</v>
      </c>
      <c r="G504" s="25">
        <v>50</v>
      </c>
      <c r="H504" s="25">
        <v>60</v>
      </c>
      <c r="I504" s="26"/>
      <c r="J504" s="34">
        <f t="shared" si="5"/>
        <v>72</v>
      </c>
      <c r="K504" s="28">
        <f t="shared" si="6"/>
        <v>22</v>
      </c>
      <c r="L504" s="35">
        <f t="shared" si="7"/>
        <v>94</v>
      </c>
      <c r="M504" s="28">
        <f t="shared" si="8"/>
        <v>5</v>
      </c>
      <c r="N504" s="34">
        <f t="shared" si="9"/>
        <v>77</v>
      </c>
    </row>
    <row r="505" spans="1:14" ht="14.4">
      <c r="A505" s="6" t="s">
        <v>812</v>
      </c>
      <c r="B505" s="21" t="s">
        <v>2039</v>
      </c>
      <c r="E505" s="23" t="s">
        <v>1233</v>
      </c>
      <c r="F505" s="24" t="s">
        <v>2081</v>
      </c>
      <c r="G505" s="25">
        <v>50</v>
      </c>
      <c r="H505" s="25">
        <v>60</v>
      </c>
      <c r="I505" s="26"/>
      <c r="J505" s="34">
        <f t="shared" si="5"/>
        <v>72</v>
      </c>
      <c r="K505" s="28">
        <f t="shared" si="6"/>
        <v>22</v>
      </c>
      <c r="L505" s="35">
        <f t="shared" si="7"/>
        <v>94</v>
      </c>
      <c r="M505" s="28">
        <f t="shared" si="8"/>
        <v>5</v>
      </c>
      <c r="N505" s="34">
        <f t="shared" si="9"/>
        <v>77</v>
      </c>
    </row>
    <row r="506" spans="1:14" ht="14.4">
      <c r="A506" s="6" t="s">
        <v>2082</v>
      </c>
      <c r="B506" s="21" t="s">
        <v>2039</v>
      </c>
      <c r="E506" s="23" t="s">
        <v>1233</v>
      </c>
      <c r="F506" s="24" t="s">
        <v>1900</v>
      </c>
      <c r="G506" s="25">
        <v>40</v>
      </c>
      <c r="H506" s="25">
        <v>30</v>
      </c>
      <c r="I506" s="26"/>
      <c r="J506" s="27">
        <f t="shared" si="5"/>
        <v>36</v>
      </c>
      <c r="K506" s="28">
        <f t="shared" si="6"/>
        <v>17.600000000000001</v>
      </c>
      <c r="L506" s="29">
        <f t="shared" si="7"/>
        <v>53.6</v>
      </c>
      <c r="M506" s="28">
        <f t="shared" si="8"/>
        <v>4</v>
      </c>
      <c r="N506" s="27">
        <f t="shared" si="9"/>
        <v>40</v>
      </c>
    </row>
    <row r="507" spans="1:14" ht="14.4">
      <c r="A507" s="6" t="s">
        <v>2083</v>
      </c>
      <c r="B507" s="21" t="s">
        <v>2039</v>
      </c>
      <c r="E507" s="23" t="s">
        <v>1233</v>
      </c>
      <c r="F507" s="24" t="s">
        <v>2084</v>
      </c>
      <c r="G507" s="25">
        <v>50</v>
      </c>
      <c r="H507" s="25">
        <v>60</v>
      </c>
      <c r="I507" s="26"/>
      <c r="J507" s="34">
        <f t="shared" si="5"/>
        <v>72</v>
      </c>
      <c r="K507" s="28">
        <f t="shared" si="6"/>
        <v>22</v>
      </c>
      <c r="L507" s="35">
        <f t="shared" si="7"/>
        <v>94</v>
      </c>
      <c r="M507" s="28">
        <f t="shared" si="8"/>
        <v>5</v>
      </c>
      <c r="N507" s="34">
        <f t="shared" si="9"/>
        <v>77</v>
      </c>
    </row>
    <row r="508" spans="1:14" ht="14.4">
      <c r="A508" s="6" t="s">
        <v>2085</v>
      </c>
      <c r="B508" s="21" t="s">
        <v>2039</v>
      </c>
      <c r="E508" s="23" t="s">
        <v>1233</v>
      </c>
      <c r="F508" s="24" t="s">
        <v>2086</v>
      </c>
      <c r="G508" s="25">
        <v>50</v>
      </c>
      <c r="H508" s="25">
        <v>60</v>
      </c>
      <c r="I508" s="26"/>
      <c r="J508" s="34">
        <f t="shared" si="5"/>
        <v>72</v>
      </c>
      <c r="K508" s="28">
        <f t="shared" si="6"/>
        <v>22</v>
      </c>
      <c r="L508" s="35">
        <f t="shared" si="7"/>
        <v>94</v>
      </c>
      <c r="M508" s="28">
        <f t="shared" si="8"/>
        <v>5</v>
      </c>
      <c r="N508" s="34">
        <f t="shared" si="9"/>
        <v>77</v>
      </c>
    </row>
    <row r="509" spans="1:14" ht="14.4">
      <c r="A509" s="6" t="s">
        <v>2087</v>
      </c>
      <c r="B509" s="21" t="s">
        <v>2039</v>
      </c>
      <c r="E509" s="23" t="s">
        <v>1233</v>
      </c>
      <c r="F509" s="24" t="s">
        <v>2088</v>
      </c>
      <c r="G509" s="25">
        <v>50</v>
      </c>
      <c r="H509" s="25">
        <v>60</v>
      </c>
      <c r="I509" s="26"/>
      <c r="J509" s="34">
        <f t="shared" si="5"/>
        <v>72</v>
      </c>
      <c r="K509" s="28">
        <f t="shared" si="6"/>
        <v>22</v>
      </c>
      <c r="L509" s="35">
        <f t="shared" si="7"/>
        <v>94</v>
      </c>
      <c r="M509" s="28">
        <f t="shared" si="8"/>
        <v>5</v>
      </c>
      <c r="N509" s="34">
        <f t="shared" si="9"/>
        <v>77</v>
      </c>
    </row>
    <row r="510" spans="1:14" ht="14.4">
      <c r="A510" s="6" t="s">
        <v>2089</v>
      </c>
      <c r="B510" s="21" t="s">
        <v>2039</v>
      </c>
      <c r="E510" s="23" t="s">
        <v>1233</v>
      </c>
      <c r="F510" s="24" t="s">
        <v>2090</v>
      </c>
      <c r="G510" s="25">
        <v>50</v>
      </c>
      <c r="H510" s="25">
        <v>60</v>
      </c>
      <c r="I510" s="26"/>
      <c r="J510" s="34">
        <f t="shared" si="5"/>
        <v>72</v>
      </c>
      <c r="K510" s="28">
        <f t="shared" si="6"/>
        <v>22</v>
      </c>
      <c r="L510" s="35">
        <f t="shared" si="7"/>
        <v>94</v>
      </c>
      <c r="M510" s="28">
        <f t="shared" si="8"/>
        <v>5</v>
      </c>
      <c r="N510" s="34">
        <f t="shared" si="9"/>
        <v>77</v>
      </c>
    </row>
    <row r="511" spans="1:14" ht="14.4">
      <c r="A511" s="6" t="s">
        <v>557</v>
      </c>
      <c r="B511" s="21" t="s">
        <v>2039</v>
      </c>
      <c r="E511" s="23" t="s">
        <v>1233</v>
      </c>
      <c r="F511" s="24" t="s">
        <v>2091</v>
      </c>
      <c r="G511" s="25">
        <v>50</v>
      </c>
      <c r="H511" s="25">
        <v>60</v>
      </c>
      <c r="I511" s="26"/>
      <c r="J511" s="34">
        <f t="shared" si="5"/>
        <v>72</v>
      </c>
      <c r="K511" s="28">
        <f t="shared" si="6"/>
        <v>22</v>
      </c>
      <c r="L511" s="35">
        <f t="shared" si="7"/>
        <v>94</v>
      </c>
      <c r="M511" s="28">
        <f t="shared" si="8"/>
        <v>5</v>
      </c>
      <c r="N511" s="34">
        <f t="shared" si="9"/>
        <v>77</v>
      </c>
    </row>
    <row r="512" spans="1:14" ht="14.4">
      <c r="A512" s="6" t="s">
        <v>2092</v>
      </c>
      <c r="B512" s="21" t="s">
        <v>2039</v>
      </c>
      <c r="E512" s="23" t="s">
        <v>1233</v>
      </c>
      <c r="F512" s="24" t="s">
        <v>1212</v>
      </c>
      <c r="G512" s="25">
        <v>50</v>
      </c>
      <c r="H512" s="25">
        <v>60</v>
      </c>
      <c r="I512" s="26"/>
      <c r="J512" s="34">
        <f t="shared" ref="J512:J586" si="10">SUM(H512*20%+H512)</f>
        <v>72</v>
      </c>
      <c r="K512" s="28">
        <f t="shared" ref="K512:K586" si="11">G512*440/1000</f>
        <v>22</v>
      </c>
      <c r="L512" s="35">
        <f t="shared" ref="L512:L586" si="12">J512+K512</f>
        <v>94</v>
      </c>
      <c r="M512" s="28">
        <f t="shared" ref="M512:M586" si="13">G512*100/1000</f>
        <v>5</v>
      </c>
      <c r="N512" s="34">
        <f t="shared" ref="N512:N586" si="14">J512+M512</f>
        <v>77</v>
      </c>
    </row>
    <row r="513" spans="1:14" ht="14.4">
      <c r="A513" s="6" t="s">
        <v>524</v>
      </c>
      <c r="B513" s="21" t="s">
        <v>2039</v>
      </c>
      <c r="E513" s="23" t="s">
        <v>1233</v>
      </c>
      <c r="F513" s="24" t="s">
        <v>2093</v>
      </c>
      <c r="G513" s="25">
        <v>50</v>
      </c>
      <c r="H513" s="25">
        <v>60</v>
      </c>
      <c r="I513" s="26"/>
      <c r="J513" s="34">
        <f t="shared" si="10"/>
        <v>72</v>
      </c>
      <c r="K513" s="28">
        <f t="shared" si="11"/>
        <v>22</v>
      </c>
      <c r="L513" s="35">
        <f t="shared" si="12"/>
        <v>94</v>
      </c>
      <c r="M513" s="28">
        <f t="shared" si="13"/>
        <v>5</v>
      </c>
      <c r="N513" s="34">
        <f t="shared" si="14"/>
        <v>77</v>
      </c>
    </row>
    <row r="514" spans="1:14" ht="14.4">
      <c r="A514" s="6" t="s">
        <v>2094</v>
      </c>
      <c r="B514" s="21" t="s">
        <v>2039</v>
      </c>
      <c r="E514" s="23" t="s">
        <v>1233</v>
      </c>
      <c r="F514" s="24" t="s">
        <v>1213</v>
      </c>
      <c r="G514" s="25">
        <v>50</v>
      </c>
      <c r="H514" s="25">
        <v>60</v>
      </c>
      <c r="I514" s="26"/>
      <c r="J514" s="34">
        <f t="shared" si="10"/>
        <v>72</v>
      </c>
      <c r="K514" s="28">
        <f t="shared" si="11"/>
        <v>22</v>
      </c>
      <c r="L514" s="35">
        <f t="shared" si="12"/>
        <v>94</v>
      </c>
      <c r="M514" s="28">
        <f t="shared" si="13"/>
        <v>5</v>
      </c>
      <c r="N514" s="34">
        <f t="shared" si="14"/>
        <v>77</v>
      </c>
    </row>
    <row r="515" spans="1:14" ht="14.4">
      <c r="A515" s="6" t="s">
        <v>2095</v>
      </c>
      <c r="B515" s="21" t="s">
        <v>2039</v>
      </c>
      <c r="E515" s="23" t="s">
        <v>1233</v>
      </c>
      <c r="F515" s="24" t="s">
        <v>2096</v>
      </c>
      <c r="G515" s="25">
        <v>50</v>
      </c>
      <c r="H515" s="25">
        <v>60</v>
      </c>
      <c r="I515" s="26"/>
      <c r="J515" s="34">
        <f t="shared" si="10"/>
        <v>72</v>
      </c>
      <c r="K515" s="28">
        <f t="shared" si="11"/>
        <v>22</v>
      </c>
      <c r="L515" s="35">
        <f t="shared" si="12"/>
        <v>94</v>
      </c>
      <c r="M515" s="28">
        <f t="shared" si="13"/>
        <v>5</v>
      </c>
      <c r="N515" s="34">
        <f t="shared" si="14"/>
        <v>77</v>
      </c>
    </row>
    <row r="516" spans="1:14" ht="14.4">
      <c r="A516" s="6" t="s">
        <v>2097</v>
      </c>
      <c r="B516" s="21" t="s">
        <v>2039</v>
      </c>
      <c r="E516" s="23" t="s">
        <v>1233</v>
      </c>
      <c r="F516" s="24" t="s">
        <v>2098</v>
      </c>
      <c r="G516" s="25">
        <v>50</v>
      </c>
      <c r="H516" s="25">
        <v>60</v>
      </c>
      <c r="I516" s="26"/>
      <c r="J516" s="34">
        <f t="shared" si="10"/>
        <v>72</v>
      </c>
      <c r="K516" s="28">
        <f t="shared" si="11"/>
        <v>22</v>
      </c>
      <c r="L516" s="35">
        <f t="shared" si="12"/>
        <v>94</v>
      </c>
      <c r="M516" s="28">
        <f t="shared" si="13"/>
        <v>5</v>
      </c>
      <c r="N516" s="34">
        <f t="shared" si="14"/>
        <v>77</v>
      </c>
    </row>
    <row r="517" spans="1:14" ht="14.4">
      <c r="A517" s="6" t="s">
        <v>497</v>
      </c>
      <c r="B517" s="21" t="s">
        <v>2039</v>
      </c>
      <c r="E517" s="23" t="s">
        <v>1233</v>
      </c>
      <c r="F517" s="24" t="s">
        <v>2099</v>
      </c>
      <c r="G517" s="25">
        <v>50</v>
      </c>
      <c r="H517" s="25">
        <v>60</v>
      </c>
      <c r="I517" s="26"/>
      <c r="J517" s="34">
        <f t="shared" si="10"/>
        <v>72</v>
      </c>
      <c r="K517" s="28">
        <f t="shared" si="11"/>
        <v>22</v>
      </c>
      <c r="L517" s="35">
        <f t="shared" si="12"/>
        <v>94</v>
      </c>
      <c r="M517" s="28">
        <f t="shared" si="13"/>
        <v>5</v>
      </c>
      <c r="N517" s="34">
        <f t="shared" si="14"/>
        <v>77</v>
      </c>
    </row>
    <row r="518" spans="1:14" ht="14.4">
      <c r="A518" s="6" t="s">
        <v>832</v>
      </c>
      <c r="B518" s="21" t="s">
        <v>2039</v>
      </c>
      <c r="E518" s="23" t="s">
        <v>1233</v>
      </c>
      <c r="F518" s="24" t="s">
        <v>2100</v>
      </c>
      <c r="G518" s="25">
        <v>50</v>
      </c>
      <c r="H518" s="25">
        <v>60</v>
      </c>
      <c r="I518" s="26"/>
      <c r="J518" s="34">
        <f t="shared" si="10"/>
        <v>72</v>
      </c>
      <c r="K518" s="28">
        <f t="shared" si="11"/>
        <v>22</v>
      </c>
      <c r="L518" s="35">
        <f t="shared" si="12"/>
        <v>94</v>
      </c>
      <c r="M518" s="28">
        <f t="shared" si="13"/>
        <v>5</v>
      </c>
      <c r="N518" s="34">
        <f t="shared" si="14"/>
        <v>77</v>
      </c>
    </row>
    <row r="519" spans="1:14" ht="14.4">
      <c r="A519" s="6" t="s">
        <v>2101</v>
      </c>
      <c r="B519" s="21" t="s">
        <v>2039</v>
      </c>
      <c r="E519" s="23" t="s">
        <v>1233</v>
      </c>
      <c r="F519" s="24" t="s">
        <v>2102</v>
      </c>
      <c r="G519" s="25">
        <v>50</v>
      </c>
      <c r="H519" s="25">
        <v>60</v>
      </c>
      <c r="I519" s="26"/>
      <c r="J519" s="34">
        <f t="shared" si="10"/>
        <v>72</v>
      </c>
      <c r="K519" s="28">
        <f t="shared" si="11"/>
        <v>22</v>
      </c>
      <c r="L519" s="35">
        <f t="shared" si="12"/>
        <v>94</v>
      </c>
      <c r="M519" s="28">
        <f t="shared" si="13"/>
        <v>5</v>
      </c>
      <c r="N519" s="34">
        <f t="shared" si="14"/>
        <v>77</v>
      </c>
    </row>
    <row r="520" spans="1:14" ht="14.4">
      <c r="A520" s="6" t="s">
        <v>2103</v>
      </c>
      <c r="B520" s="21" t="s">
        <v>2039</v>
      </c>
      <c r="E520" s="23" t="s">
        <v>1233</v>
      </c>
      <c r="F520" s="24" t="s">
        <v>2104</v>
      </c>
      <c r="G520" s="25">
        <v>50</v>
      </c>
      <c r="H520" s="25">
        <v>60</v>
      </c>
      <c r="I520" s="26"/>
      <c r="J520" s="34">
        <f t="shared" si="10"/>
        <v>72</v>
      </c>
      <c r="K520" s="28">
        <f t="shared" si="11"/>
        <v>22</v>
      </c>
      <c r="L520" s="35">
        <f t="shared" si="12"/>
        <v>94</v>
      </c>
      <c r="M520" s="28">
        <f t="shared" si="13"/>
        <v>5</v>
      </c>
      <c r="N520" s="34">
        <f t="shared" si="14"/>
        <v>77</v>
      </c>
    </row>
    <row r="521" spans="1:14" ht="14.4">
      <c r="A521" s="6" t="s">
        <v>297</v>
      </c>
      <c r="B521" s="21" t="s">
        <v>2039</v>
      </c>
      <c r="E521" s="23" t="s">
        <v>1233</v>
      </c>
      <c r="F521" s="24" t="s">
        <v>2105</v>
      </c>
      <c r="G521" s="25">
        <v>50</v>
      </c>
      <c r="H521" s="25">
        <v>60</v>
      </c>
      <c r="I521" s="26"/>
      <c r="J521" s="34">
        <f t="shared" si="10"/>
        <v>72</v>
      </c>
      <c r="K521" s="28">
        <f t="shared" si="11"/>
        <v>22</v>
      </c>
      <c r="L521" s="35">
        <f t="shared" si="12"/>
        <v>94</v>
      </c>
      <c r="M521" s="28">
        <f t="shared" si="13"/>
        <v>5</v>
      </c>
      <c r="N521" s="34">
        <f t="shared" si="14"/>
        <v>77</v>
      </c>
    </row>
    <row r="522" spans="1:14" ht="14.4">
      <c r="A522" s="6" t="s">
        <v>2106</v>
      </c>
      <c r="B522" s="21" t="s">
        <v>2039</v>
      </c>
      <c r="E522" s="23" t="s">
        <v>1233</v>
      </c>
      <c r="F522" s="24" t="s">
        <v>2107</v>
      </c>
      <c r="G522" s="25">
        <v>50</v>
      </c>
      <c r="H522" s="25">
        <v>60</v>
      </c>
      <c r="I522" s="26"/>
      <c r="J522" s="34">
        <f t="shared" si="10"/>
        <v>72</v>
      </c>
      <c r="K522" s="28">
        <f t="shared" si="11"/>
        <v>22</v>
      </c>
      <c r="L522" s="35">
        <f t="shared" si="12"/>
        <v>94</v>
      </c>
      <c r="M522" s="28">
        <f t="shared" si="13"/>
        <v>5</v>
      </c>
      <c r="N522" s="34">
        <f t="shared" si="14"/>
        <v>77</v>
      </c>
    </row>
    <row r="523" spans="1:14" ht="14.4">
      <c r="A523" s="6" t="s">
        <v>2108</v>
      </c>
      <c r="B523" s="21" t="s">
        <v>2039</v>
      </c>
      <c r="E523" s="23" t="s">
        <v>1233</v>
      </c>
      <c r="F523" s="24" t="s">
        <v>2109</v>
      </c>
      <c r="G523" s="25">
        <v>50</v>
      </c>
      <c r="H523" s="25">
        <v>60</v>
      </c>
      <c r="I523" s="26"/>
      <c r="J523" s="34">
        <f t="shared" si="10"/>
        <v>72</v>
      </c>
      <c r="K523" s="28">
        <f t="shared" si="11"/>
        <v>22</v>
      </c>
      <c r="L523" s="35">
        <f t="shared" si="12"/>
        <v>94</v>
      </c>
      <c r="M523" s="28">
        <f t="shared" si="13"/>
        <v>5</v>
      </c>
      <c r="N523" s="34">
        <f t="shared" si="14"/>
        <v>77</v>
      </c>
    </row>
    <row r="524" spans="1:14" ht="14.4">
      <c r="A524" s="6" t="s">
        <v>2110</v>
      </c>
      <c r="B524" s="21" t="s">
        <v>2039</v>
      </c>
      <c r="E524" s="23" t="s">
        <v>1233</v>
      </c>
      <c r="F524" s="24" t="s">
        <v>2111</v>
      </c>
      <c r="G524" s="25">
        <v>25</v>
      </c>
      <c r="H524" s="25">
        <v>70</v>
      </c>
      <c r="I524" s="26"/>
      <c r="J524" s="27">
        <f t="shared" si="10"/>
        <v>84</v>
      </c>
      <c r="K524" s="28">
        <f t="shared" si="11"/>
        <v>11</v>
      </c>
      <c r="L524" s="29">
        <f t="shared" si="12"/>
        <v>95</v>
      </c>
      <c r="M524" s="28">
        <f t="shared" si="13"/>
        <v>2.5</v>
      </c>
      <c r="N524" s="27">
        <f t="shared" si="14"/>
        <v>86.5</v>
      </c>
    </row>
    <row r="525" spans="1:14" ht="14.4">
      <c r="A525" s="6" t="s">
        <v>2112</v>
      </c>
      <c r="B525" s="21" t="s">
        <v>2039</v>
      </c>
      <c r="E525" s="23" t="s">
        <v>1233</v>
      </c>
      <c r="F525" s="24" t="s">
        <v>2113</v>
      </c>
      <c r="G525" s="25">
        <v>25</v>
      </c>
      <c r="H525" s="25">
        <v>30</v>
      </c>
      <c r="I525" s="26"/>
      <c r="J525" s="27">
        <f t="shared" si="10"/>
        <v>36</v>
      </c>
      <c r="K525" s="28">
        <f t="shared" si="11"/>
        <v>11</v>
      </c>
      <c r="L525" s="29">
        <f t="shared" si="12"/>
        <v>47</v>
      </c>
      <c r="M525" s="28">
        <f t="shared" si="13"/>
        <v>2.5</v>
      </c>
      <c r="N525" s="27">
        <f t="shared" si="14"/>
        <v>38.5</v>
      </c>
    </row>
    <row r="526" spans="1:14" ht="14.4">
      <c r="A526" s="6" t="s">
        <v>2114</v>
      </c>
      <c r="B526" s="21" t="s">
        <v>2039</v>
      </c>
      <c r="E526" s="23" t="s">
        <v>1233</v>
      </c>
      <c r="F526" s="24" t="s">
        <v>1976</v>
      </c>
      <c r="G526" s="25">
        <v>25</v>
      </c>
      <c r="H526" s="25">
        <v>100</v>
      </c>
      <c r="I526" s="26"/>
      <c r="J526" s="27">
        <f t="shared" si="10"/>
        <v>120</v>
      </c>
      <c r="K526" s="28">
        <f t="shared" si="11"/>
        <v>11</v>
      </c>
      <c r="L526" s="29">
        <f t="shared" si="12"/>
        <v>131</v>
      </c>
      <c r="M526" s="28">
        <f t="shared" si="13"/>
        <v>2.5</v>
      </c>
      <c r="N526" s="27">
        <f t="shared" si="14"/>
        <v>122.5</v>
      </c>
    </row>
    <row r="527" spans="1:14" ht="14.4">
      <c r="A527" s="6" t="s">
        <v>2115</v>
      </c>
      <c r="B527" s="21" t="s">
        <v>2039</v>
      </c>
      <c r="E527" s="23" t="s">
        <v>1233</v>
      </c>
      <c r="F527" s="24" t="s">
        <v>2116</v>
      </c>
      <c r="G527" s="25">
        <v>15</v>
      </c>
      <c r="H527" s="25">
        <v>15</v>
      </c>
      <c r="I527" s="26"/>
      <c r="J527" s="27">
        <f t="shared" si="10"/>
        <v>18</v>
      </c>
      <c r="K527" s="28">
        <f t="shared" si="11"/>
        <v>6.6</v>
      </c>
      <c r="L527" s="29">
        <f t="shared" si="12"/>
        <v>24.6</v>
      </c>
      <c r="M527" s="28">
        <f t="shared" si="13"/>
        <v>1.5</v>
      </c>
      <c r="N527" s="27">
        <f t="shared" si="14"/>
        <v>19.5</v>
      </c>
    </row>
    <row r="528" spans="1:14" ht="14.4">
      <c r="A528" s="6" t="s">
        <v>2117</v>
      </c>
      <c r="B528" s="21" t="s">
        <v>2039</v>
      </c>
      <c r="E528" s="23" t="s">
        <v>1231</v>
      </c>
      <c r="F528" s="24" t="s">
        <v>2118</v>
      </c>
      <c r="G528" s="30">
        <v>480</v>
      </c>
      <c r="H528" s="30">
        <v>220</v>
      </c>
      <c r="I528" s="26"/>
      <c r="J528" s="27">
        <f t="shared" si="10"/>
        <v>264</v>
      </c>
      <c r="K528" s="28">
        <f t="shared" si="11"/>
        <v>211.2</v>
      </c>
      <c r="L528" s="29">
        <f t="shared" si="12"/>
        <v>475.2</v>
      </c>
      <c r="M528" s="28">
        <f t="shared" si="13"/>
        <v>48</v>
      </c>
      <c r="N528" s="27">
        <f t="shared" si="14"/>
        <v>312</v>
      </c>
    </row>
    <row r="529" spans="1:14" ht="14.4">
      <c r="A529" s="6" t="s">
        <v>2119</v>
      </c>
      <c r="B529" s="21" t="s">
        <v>2039</v>
      </c>
      <c r="E529" s="23" t="s">
        <v>1231</v>
      </c>
      <c r="F529" s="26" t="s">
        <v>2120</v>
      </c>
      <c r="G529" s="36">
        <v>500</v>
      </c>
      <c r="H529" s="30">
        <v>300</v>
      </c>
      <c r="I529" s="26"/>
      <c r="J529" s="27">
        <f t="shared" si="10"/>
        <v>360</v>
      </c>
      <c r="K529" s="28">
        <f t="shared" si="11"/>
        <v>220</v>
      </c>
      <c r="L529" s="29">
        <f t="shared" si="12"/>
        <v>580</v>
      </c>
      <c r="M529" s="28">
        <f t="shared" si="13"/>
        <v>50</v>
      </c>
      <c r="N529" s="27">
        <f t="shared" si="14"/>
        <v>410</v>
      </c>
    </row>
    <row r="530" spans="1:14" ht="14.4">
      <c r="A530" s="6" t="s">
        <v>2121</v>
      </c>
      <c r="B530" s="21" t="s">
        <v>2039</v>
      </c>
      <c r="E530" s="23" t="s">
        <v>1231</v>
      </c>
      <c r="F530" s="26" t="s">
        <v>2122</v>
      </c>
      <c r="G530" s="36">
        <v>400</v>
      </c>
      <c r="H530" s="30">
        <v>300</v>
      </c>
      <c r="I530" s="26"/>
      <c r="J530" s="27">
        <f t="shared" si="10"/>
        <v>360</v>
      </c>
      <c r="K530" s="28">
        <f t="shared" si="11"/>
        <v>176</v>
      </c>
      <c r="L530" s="29">
        <f t="shared" si="12"/>
        <v>536</v>
      </c>
      <c r="M530" s="28">
        <f t="shared" si="13"/>
        <v>40</v>
      </c>
      <c r="N530" s="27">
        <f t="shared" si="14"/>
        <v>400</v>
      </c>
    </row>
    <row r="531" spans="1:14" ht="14.4">
      <c r="A531" s="6" t="s">
        <v>797</v>
      </c>
      <c r="B531" s="21" t="s">
        <v>2039</v>
      </c>
      <c r="E531" s="23" t="s">
        <v>1233</v>
      </c>
      <c r="F531" s="26" t="s">
        <v>83</v>
      </c>
      <c r="G531" s="36">
        <v>500</v>
      </c>
      <c r="H531" s="30">
        <v>73</v>
      </c>
      <c r="I531" s="26"/>
      <c r="J531" s="27">
        <f t="shared" si="10"/>
        <v>87.6</v>
      </c>
      <c r="K531" s="28">
        <f t="shared" si="11"/>
        <v>220</v>
      </c>
      <c r="L531" s="29">
        <f t="shared" si="12"/>
        <v>307.60000000000002</v>
      </c>
      <c r="M531" s="28">
        <f t="shared" si="13"/>
        <v>50</v>
      </c>
      <c r="N531" s="27">
        <f t="shared" si="14"/>
        <v>137.6</v>
      </c>
    </row>
    <row r="532" spans="1:14" ht="14.4">
      <c r="A532" s="6" t="s">
        <v>2123</v>
      </c>
      <c r="B532" s="21" t="s">
        <v>2039</v>
      </c>
      <c r="E532" s="23" t="s">
        <v>1233</v>
      </c>
      <c r="F532" s="24" t="s">
        <v>2124</v>
      </c>
      <c r="G532" s="36">
        <v>100</v>
      </c>
      <c r="H532" s="30">
        <v>30</v>
      </c>
      <c r="I532" s="26"/>
      <c r="J532" s="27">
        <f t="shared" si="10"/>
        <v>36</v>
      </c>
      <c r="K532" s="28">
        <f t="shared" si="11"/>
        <v>44</v>
      </c>
      <c r="L532" s="29">
        <f t="shared" si="12"/>
        <v>80</v>
      </c>
      <c r="M532" s="28">
        <f t="shared" si="13"/>
        <v>10</v>
      </c>
      <c r="N532" s="27">
        <f t="shared" si="14"/>
        <v>46</v>
      </c>
    </row>
    <row r="533" spans="1:14" ht="14.4">
      <c r="A533" s="6" t="s">
        <v>596</v>
      </c>
      <c r="B533" s="21" t="s">
        <v>2039</v>
      </c>
      <c r="E533" s="23" t="s">
        <v>1233</v>
      </c>
      <c r="F533" s="26" t="s">
        <v>2003</v>
      </c>
      <c r="G533" s="36">
        <v>1000</v>
      </c>
      <c r="H533" s="30">
        <v>1577</v>
      </c>
      <c r="I533" s="26"/>
      <c r="J533" s="27">
        <f t="shared" si="10"/>
        <v>1892.4</v>
      </c>
      <c r="K533" s="28">
        <f t="shared" si="11"/>
        <v>440</v>
      </c>
      <c r="L533" s="29">
        <f t="shared" si="12"/>
        <v>2332.4</v>
      </c>
      <c r="M533" s="28">
        <f t="shared" si="13"/>
        <v>100</v>
      </c>
      <c r="N533" s="27">
        <f t="shared" si="14"/>
        <v>1992.4</v>
      </c>
    </row>
    <row r="534" spans="1:14" ht="14.4">
      <c r="A534" s="6" t="s">
        <v>412</v>
      </c>
      <c r="B534" s="21" t="s">
        <v>2039</v>
      </c>
      <c r="E534" s="23" t="s">
        <v>1233</v>
      </c>
      <c r="F534" s="26" t="s">
        <v>2125</v>
      </c>
      <c r="G534" s="36">
        <v>300</v>
      </c>
      <c r="H534" s="30">
        <v>500</v>
      </c>
      <c r="I534" s="26"/>
      <c r="J534" s="27">
        <f t="shared" si="10"/>
        <v>600</v>
      </c>
      <c r="K534" s="28">
        <f t="shared" si="11"/>
        <v>132</v>
      </c>
      <c r="L534" s="29">
        <f t="shared" si="12"/>
        <v>732</v>
      </c>
      <c r="M534" s="28">
        <f t="shared" si="13"/>
        <v>30</v>
      </c>
      <c r="N534" s="27">
        <f t="shared" si="14"/>
        <v>630</v>
      </c>
    </row>
    <row r="535" spans="1:14" ht="14.4">
      <c r="A535" s="6" t="s">
        <v>2126</v>
      </c>
      <c r="B535" s="21" t="s">
        <v>2039</v>
      </c>
      <c r="E535" s="23" t="s">
        <v>1233</v>
      </c>
      <c r="F535" s="26" t="s">
        <v>2127</v>
      </c>
      <c r="G535" s="36">
        <v>300</v>
      </c>
      <c r="H535" s="30">
        <v>500</v>
      </c>
      <c r="I535" s="26"/>
      <c r="J535" s="27">
        <f t="shared" si="10"/>
        <v>600</v>
      </c>
      <c r="K535" s="28">
        <f t="shared" si="11"/>
        <v>132</v>
      </c>
      <c r="L535" s="29">
        <f t="shared" si="12"/>
        <v>732</v>
      </c>
      <c r="M535" s="28">
        <f t="shared" si="13"/>
        <v>30</v>
      </c>
      <c r="N535" s="27">
        <f t="shared" si="14"/>
        <v>630</v>
      </c>
    </row>
    <row r="536" spans="1:14" ht="14.4">
      <c r="A536" s="6" t="s">
        <v>806</v>
      </c>
      <c r="B536" s="21" t="s">
        <v>2039</v>
      </c>
      <c r="E536" s="23" t="s">
        <v>1233</v>
      </c>
      <c r="F536" s="26" t="s">
        <v>2128</v>
      </c>
      <c r="G536" s="36">
        <v>300</v>
      </c>
      <c r="H536" s="30">
        <v>500</v>
      </c>
      <c r="I536" s="26"/>
      <c r="J536" s="27">
        <f t="shared" si="10"/>
        <v>600</v>
      </c>
      <c r="K536" s="28">
        <f t="shared" si="11"/>
        <v>132</v>
      </c>
      <c r="L536" s="29">
        <f t="shared" si="12"/>
        <v>732</v>
      </c>
      <c r="M536" s="28">
        <f t="shared" si="13"/>
        <v>30</v>
      </c>
      <c r="N536" s="27">
        <f t="shared" si="14"/>
        <v>630</v>
      </c>
    </row>
    <row r="537" spans="1:14" ht="14.4">
      <c r="A537" s="6" t="s">
        <v>809</v>
      </c>
      <c r="B537" s="21" t="s">
        <v>2039</v>
      </c>
      <c r="E537" s="23" t="s">
        <v>1233</v>
      </c>
      <c r="F537" s="26" t="s">
        <v>2129</v>
      </c>
      <c r="G537" s="36">
        <v>300</v>
      </c>
      <c r="H537" s="30">
        <v>500</v>
      </c>
      <c r="I537" s="26"/>
      <c r="J537" s="27">
        <f t="shared" si="10"/>
        <v>600</v>
      </c>
      <c r="K537" s="28">
        <f t="shared" si="11"/>
        <v>132</v>
      </c>
      <c r="L537" s="29">
        <f t="shared" si="12"/>
        <v>732</v>
      </c>
      <c r="M537" s="28">
        <f t="shared" si="13"/>
        <v>30</v>
      </c>
      <c r="N537" s="27">
        <f t="shared" si="14"/>
        <v>630</v>
      </c>
    </row>
    <row r="538" spans="1:14" ht="14.4">
      <c r="A538" s="6" t="s">
        <v>794</v>
      </c>
      <c r="B538" s="21" t="s">
        <v>2039</v>
      </c>
      <c r="E538" s="23" t="s">
        <v>1231</v>
      </c>
      <c r="F538" s="24" t="s">
        <v>23</v>
      </c>
      <c r="G538" s="36">
        <v>1080</v>
      </c>
      <c r="H538" s="30">
        <v>195</v>
      </c>
      <c r="I538" s="26"/>
      <c r="J538" s="27">
        <f t="shared" si="10"/>
        <v>234</v>
      </c>
      <c r="K538" s="28">
        <f t="shared" si="11"/>
        <v>475.2</v>
      </c>
      <c r="L538" s="29">
        <f t="shared" si="12"/>
        <v>709.2</v>
      </c>
      <c r="M538" s="28">
        <f t="shared" si="13"/>
        <v>108</v>
      </c>
      <c r="N538" s="27">
        <f t="shared" si="14"/>
        <v>342</v>
      </c>
    </row>
    <row r="539" spans="1:14" ht="14.4">
      <c r="A539" s="6" t="s">
        <v>2130</v>
      </c>
      <c r="B539" s="21" t="s">
        <v>2029</v>
      </c>
      <c r="E539" s="23" t="s">
        <v>1233</v>
      </c>
      <c r="F539" s="24" t="s">
        <v>2131</v>
      </c>
      <c r="G539" s="36">
        <v>150</v>
      </c>
      <c r="H539" s="30">
        <v>20</v>
      </c>
      <c r="I539" s="26"/>
      <c r="J539" s="27">
        <f t="shared" si="10"/>
        <v>24</v>
      </c>
      <c r="K539" s="28">
        <f t="shared" si="11"/>
        <v>66</v>
      </c>
      <c r="L539" s="29">
        <f t="shared" si="12"/>
        <v>90</v>
      </c>
      <c r="M539" s="28">
        <f t="shared" si="13"/>
        <v>15</v>
      </c>
      <c r="N539" s="27">
        <f t="shared" si="14"/>
        <v>39</v>
      </c>
    </row>
    <row r="540" spans="1:14" ht="14.4">
      <c r="A540" s="6" t="s">
        <v>2132</v>
      </c>
      <c r="B540" s="21" t="s">
        <v>2029</v>
      </c>
      <c r="E540" s="23" t="s">
        <v>1233</v>
      </c>
      <c r="F540" s="24" t="s">
        <v>2133</v>
      </c>
      <c r="G540" s="30">
        <v>350</v>
      </c>
      <c r="H540" s="30">
        <v>198</v>
      </c>
      <c r="I540" s="26"/>
      <c r="J540" s="27">
        <f t="shared" si="10"/>
        <v>237.6</v>
      </c>
      <c r="K540" s="28">
        <f t="shared" si="11"/>
        <v>154</v>
      </c>
      <c r="L540" s="29">
        <f t="shared" si="12"/>
        <v>391.6</v>
      </c>
      <c r="M540" s="28">
        <f t="shared" si="13"/>
        <v>35</v>
      </c>
      <c r="N540" s="27">
        <f t="shared" si="14"/>
        <v>272.60000000000002</v>
      </c>
    </row>
    <row r="541" spans="1:14" ht="14.4">
      <c r="A541" s="6" t="s">
        <v>2134</v>
      </c>
      <c r="B541" s="21" t="s">
        <v>2029</v>
      </c>
      <c r="E541" s="23" t="s">
        <v>1233</v>
      </c>
      <c r="F541" s="24" t="s">
        <v>1987</v>
      </c>
      <c r="G541" s="25">
        <v>50</v>
      </c>
      <c r="H541" s="25">
        <v>60</v>
      </c>
      <c r="I541" s="26"/>
      <c r="J541" s="34">
        <f t="shared" si="10"/>
        <v>72</v>
      </c>
      <c r="K541" s="28">
        <f t="shared" si="11"/>
        <v>22</v>
      </c>
      <c r="L541" s="35">
        <f t="shared" si="12"/>
        <v>94</v>
      </c>
      <c r="M541" s="28">
        <f t="shared" si="13"/>
        <v>5</v>
      </c>
      <c r="N541" s="34">
        <f t="shared" si="14"/>
        <v>77</v>
      </c>
    </row>
    <row r="542" spans="1:14" ht="14.4">
      <c r="A542" s="6" t="s">
        <v>2135</v>
      </c>
      <c r="B542" s="21" t="s">
        <v>2029</v>
      </c>
      <c r="E542" s="23" t="s">
        <v>1233</v>
      </c>
      <c r="F542" s="24" t="s">
        <v>2136</v>
      </c>
      <c r="G542" s="25">
        <v>50</v>
      </c>
      <c r="H542" s="25">
        <v>60</v>
      </c>
      <c r="I542" s="26"/>
      <c r="J542" s="34">
        <f t="shared" si="10"/>
        <v>72</v>
      </c>
      <c r="K542" s="28">
        <f t="shared" si="11"/>
        <v>22</v>
      </c>
      <c r="L542" s="35">
        <f t="shared" si="12"/>
        <v>94</v>
      </c>
      <c r="M542" s="28">
        <f t="shared" si="13"/>
        <v>5</v>
      </c>
      <c r="N542" s="34">
        <f t="shared" si="14"/>
        <v>77</v>
      </c>
    </row>
    <row r="543" spans="1:14" ht="14.4">
      <c r="A543" s="6" t="s">
        <v>2137</v>
      </c>
      <c r="B543" s="21" t="s">
        <v>2029</v>
      </c>
      <c r="E543" s="23" t="s">
        <v>1233</v>
      </c>
      <c r="F543" s="40" t="s">
        <v>2138</v>
      </c>
      <c r="G543" s="30">
        <v>350</v>
      </c>
      <c r="H543" s="30">
        <v>198</v>
      </c>
      <c r="I543" s="26"/>
      <c r="J543" s="27">
        <f t="shared" si="10"/>
        <v>237.6</v>
      </c>
      <c r="K543" s="28">
        <f t="shared" si="11"/>
        <v>154</v>
      </c>
      <c r="L543" s="29">
        <f t="shared" si="12"/>
        <v>391.6</v>
      </c>
      <c r="M543" s="28">
        <f t="shared" si="13"/>
        <v>35</v>
      </c>
      <c r="N543" s="27">
        <f t="shared" si="14"/>
        <v>272.60000000000002</v>
      </c>
    </row>
    <row r="544" spans="1:14" ht="14.4">
      <c r="A544" s="6" t="s">
        <v>2139</v>
      </c>
      <c r="B544" s="21" t="s">
        <v>2029</v>
      </c>
      <c r="E544" s="23" t="s">
        <v>1233</v>
      </c>
      <c r="F544" s="24" t="s">
        <v>2140</v>
      </c>
      <c r="G544" s="30">
        <v>350</v>
      </c>
      <c r="H544" s="30">
        <v>198</v>
      </c>
      <c r="I544" s="26"/>
      <c r="J544" s="27">
        <f t="shared" si="10"/>
        <v>237.6</v>
      </c>
      <c r="K544" s="28">
        <f t="shared" si="11"/>
        <v>154</v>
      </c>
      <c r="L544" s="29">
        <f t="shared" si="12"/>
        <v>391.6</v>
      </c>
      <c r="M544" s="28">
        <f t="shared" si="13"/>
        <v>35</v>
      </c>
      <c r="N544" s="27">
        <f t="shared" si="14"/>
        <v>272.60000000000002</v>
      </c>
    </row>
    <row r="545" spans="1:14" ht="14.4">
      <c r="A545" s="6" t="s">
        <v>2141</v>
      </c>
      <c r="B545" s="21" t="s">
        <v>2029</v>
      </c>
      <c r="E545" s="23" t="s">
        <v>1233</v>
      </c>
      <c r="F545" s="24" t="s">
        <v>2142</v>
      </c>
      <c r="G545" s="25">
        <v>50</v>
      </c>
      <c r="H545" s="25">
        <v>60</v>
      </c>
      <c r="I545" s="26"/>
      <c r="J545" s="34">
        <f t="shared" si="10"/>
        <v>72</v>
      </c>
      <c r="K545" s="28">
        <f t="shared" si="11"/>
        <v>22</v>
      </c>
      <c r="L545" s="35">
        <f t="shared" si="12"/>
        <v>94</v>
      </c>
      <c r="M545" s="28">
        <f t="shared" si="13"/>
        <v>5</v>
      </c>
      <c r="N545" s="34">
        <f t="shared" si="14"/>
        <v>77</v>
      </c>
    </row>
    <row r="546" spans="1:14" ht="14.4">
      <c r="A546" s="6" t="s">
        <v>2143</v>
      </c>
      <c r="B546" s="21" t="s">
        <v>2029</v>
      </c>
      <c r="E546" s="23" t="s">
        <v>1233</v>
      </c>
      <c r="F546" s="24" t="s">
        <v>1679</v>
      </c>
      <c r="G546" s="36">
        <v>150</v>
      </c>
      <c r="H546" s="30">
        <v>170</v>
      </c>
      <c r="I546" s="26"/>
      <c r="J546" s="27">
        <f t="shared" si="10"/>
        <v>204</v>
      </c>
      <c r="K546" s="28">
        <f t="shared" si="11"/>
        <v>66</v>
      </c>
      <c r="L546" s="29">
        <f t="shared" si="12"/>
        <v>270</v>
      </c>
      <c r="M546" s="28">
        <f t="shared" si="13"/>
        <v>15</v>
      </c>
      <c r="N546" s="27">
        <f t="shared" si="14"/>
        <v>219</v>
      </c>
    </row>
    <row r="547" spans="1:14" ht="14.4">
      <c r="A547" s="6" t="s">
        <v>2144</v>
      </c>
      <c r="B547" s="21" t="s">
        <v>2029</v>
      </c>
      <c r="E547" s="23" t="s">
        <v>1233</v>
      </c>
      <c r="F547" s="24" t="s">
        <v>1681</v>
      </c>
      <c r="G547" s="36">
        <v>150</v>
      </c>
      <c r="H547" s="30">
        <v>122</v>
      </c>
      <c r="I547" s="26"/>
      <c r="J547" s="27">
        <f t="shared" si="10"/>
        <v>146.4</v>
      </c>
      <c r="K547" s="28">
        <f t="shared" si="11"/>
        <v>66</v>
      </c>
      <c r="L547" s="29">
        <f t="shared" si="12"/>
        <v>212.4</v>
      </c>
      <c r="M547" s="28">
        <f t="shared" si="13"/>
        <v>15</v>
      </c>
      <c r="N547" s="27">
        <f t="shared" si="14"/>
        <v>161.4</v>
      </c>
    </row>
    <row r="548" spans="1:14" ht="14.4">
      <c r="A548" s="6" t="s">
        <v>2145</v>
      </c>
      <c r="B548" s="21" t="s">
        <v>2029</v>
      </c>
      <c r="E548" s="23" t="s">
        <v>1233</v>
      </c>
      <c r="F548" s="24" t="s">
        <v>1692</v>
      </c>
      <c r="G548" s="36">
        <v>150</v>
      </c>
      <c r="H548" s="30">
        <v>122</v>
      </c>
      <c r="I548" s="26"/>
      <c r="J548" s="27">
        <f t="shared" si="10"/>
        <v>146.4</v>
      </c>
      <c r="K548" s="28">
        <f t="shared" si="11"/>
        <v>66</v>
      </c>
      <c r="L548" s="29">
        <f t="shared" si="12"/>
        <v>212.4</v>
      </c>
      <c r="M548" s="28">
        <f t="shared" si="13"/>
        <v>15</v>
      </c>
      <c r="N548" s="27">
        <f t="shared" si="14"/>
        <v>161.4</v>
      </c>
    </row>
    <row r="549" spans="1:14" ht="14.4">
      <c r="A549" s="6" t="s">
        <v>2146</v>
      </c>
      <c r="B549" s="21" t="s">
        <v>2029</v>
      </c>
      <c r="E549" s="23" t="s">
        <v>1233</v>
      </c>
      <c r="F549" s="24" t="s">
        <v>1678</v>
      </c>
      <c r="G549" s="36">
        <v>150</v>
      </c>
      <c r="H549" s="30">
        <v>120</v>
      </c>
      <c r="I549" s="26"/>
      <c r="J549" s="27">
        <f t="shared" si="10"/>
        <v>144</v>
      </c>
      <c r="K549" s="28">
        <f t="shared" si="11"/>
        <v>66</v>
      </c>
      <c r="L549" s="29">
        <f t="shared" si="12"/>
        <v>210</v>
      </c>
      <c r="M549" s="28">
        <f t="shared" si="13"/>
        <v>15</v>
      </c>
      <c r="N549" s="27">
        <f t="shared" si="14"/>
        <v>159</v>
      </c>
    </row>
    <row r="550" spans="1:14" ht="14.4">
      <c r="A550" s="6" t="s">
        <v>2147</v>
      </c>
      <c r="B550" s="21" t="s">
        <v>2029</v>
      </c>
      <c r="E550" s="23" t="s">
        <v>1233</v>
      </c>
      <c r="F550" s="24" t="s">
        <v>1862</v>
      </c>
      <c r="G550" s="36">
        <v>652</v>
      </c>
      <c r="H550" s="30">
        <v>439</v>
      </c>
      <c r="I550" s="26"/>
      <c r="J550" s="27">
        <f t="shared" si="10"/>
        <v>526.79999999999995</v>
      </c>
      <c r="K550" s="28">
        <f t="shared" si="11"/>
        <v>286.88</v>
      </c>
      <c r="L550" s="29">
        <f t="shared" si="12"/>
        <v>813.68</v>
      </c>
      <c r="M550" s="28">
        <f t="shared" si="13"/>
        <v>65.2</v>
      </c>
      <c r="N550" s="27">
        <f t="shared" si="14"/>
        <v>592</v>
      </c>
    </row>
    <row r="551" spans="1:14" ht="14.4">
      <c r="A551" s="6" t="s">
        <v>2148</v>
      </c>
      <c r="B551" s="21" t="s">
        <v>2029</v>
      </c>
      <c r="E551" s="31" t="s">
        <v>1233</v>
      </c>
      <c r="F551" s="24" t="s">
        <v>1864</v>
      </c>
      <c r="G551" s="36">
        <v>652</v>
      </c>
      <c r="H551" s="30">
        <v>439</v>
      </c>
      <c r="I551" s="26"/>
      <c r="J551" s="27">
        <f t="shared" si="10"/>
        <v>526.79999999999995</v>
      </c>
      <c r="K551" s="28">
        <f t="shared" si="11"/>
        <v>286.88</v>
      </c>
      <c r="L551" s="29">
        <f t="shared" si="12"/>
        <v>813.68</v>
      </c>
      <c r="M551" s="28">
        <f t="shared" si="13"/>
        <v>65.2</v>
      </c>
      <c r="N551" s="27">
        <f t="shared" si="14"/>
        <v>592</v>
      </c>
    </row>
    <row r="552" spans="1:14" ht="14.4">
      <c r="A552" s="6" t="s">
        <v>2149</v>
      </c>
      <c r="B552" s="21" t="s">
        <v>2029</v>
      </c>
      <c r="E552" s="31" t="s">
        <v>1233</v>
      </c>
      <c r="F552" s="24" t="s">
        <v>1865</v>
      </c>
      <c r="G552" s="36">
        <v>652</v>
      </c>
      <c r="H552" s="30">
        <v>439</v>
      </c>
      <c r="I552" s="26"/>
      <c r="J552" s="27">
        <f t="shared" si="10"/>
        <v>526.79999999999995</v>
      </c>
      <c r="K552" s="28">
        <f t="shared" si="11"/>
        <v>286.88</v>
      </c>
      <c r="L552" s="29">
        <f t="shared" si="12"/>
        <v>813.68</v>
      </c>
      <c r="M552" s="28">
        <f t="shared" si="13"/>
        <v>65.2</v>
      </c>
      <c r="N552" s="27">
        <f t="shared" si="14"/>
        <v>592</v>
      </c>
    </row>
    <row r="553" spans="1:14" ht="14.4">
      <c r="A553" s="6" t="s">
        <v>2150</v>
      </c>
      <c r="B553" s="21" t="s">
        <v>2029</v>
      </c>
      <c r="E553" s="31" t="s">
        <v>1233</v>
      </c>
      <c r="F553" s="24" t="s">
        <v>1866</v>
      </c>
      <c r="G553" s="36">
        <v>652</v>
      </c>
      <c r="H553" s="30">
        <v>439</v>
      </c>
      <c r="I553" s="26"/>
      <c r="J553" s="27">
        <f t="shared" si="10"/>
        <v>526.79999999999995</v>
      </c>
      <c r="K553" s="28">
        <f t="shared" si="11"/>
        <v>286.88</v>
      </c>
      <c r="L553" s="29">
        <f t="shared" si="12"/>
        <v>813.68</v>
      </c>
      <c r="M553" s="28">
        <f t="shared" si="13"/>
        <v>65.2</v>
      </c>
      <c r="N553" s="27">
        <f t="shared" si="14"/>
        <v>592</v>
      </c>
    </row>
    <row r="554" spans="1:14" ht="14.4">
      <c r="A554" s="6" t="s">
        <v>2151</v>
      </c>
      <c r="B554" s="21" t="s">
        <v>2029</v>
      </c>
      <c r="E554" s="31" t="s">
        <v>1233</v>
      </c>
      <c r="F554" s="24" t="s">
        <v>1867</v>
      </c>
      <c r="G554" s="36">
        <v>652</v>
      </c>
      <c r="H554" s="30">
        <v>439</v>
      </c>
      <c r="I554" s="26"/>
      <c r="J554" s="27">
        <f t="shared" si="10"/>
        <v>526.79999999999995</v>
      </c>
      <c r="K554" s="28">
        <f t="shared" si="11"/>
        <v>286.88</v>
      </c>
      <c r="L554" s="29">
        <f t="shared" si="12"/>
        <v>813.68</v>
      </c>
      <c r="M554" s="28">
        <f t="shared" si="13"/>
        <v>65.2</v>
      </c>
      <c r="N554" s="27">
        <f t="shared" si="14"/>
        <v>592</v>
      </c>
    </row>
    <row r="555" spans="1:14" ht="14.4">
      <c r="A555" s="6" t="s">
        <v>2152</v>
      </c>
      <c r="B555" s="21" t="s">
        <v>2029</v>
      </c>
      <c r="E555" s="31" t="s">
        <v>1233</v>
      </c>
      <c r="F555" s="24" t="s">
        <v>1872</v>
      </c>
      <c r="G555" s="36">
        <v>652</v>
      </c>
      <c r="H555" s="30">
        <v>439</v>
      </c>
      <c r="I555" s="26"/>
      <c r="J555" s="27">
        <f t="shared" si="10"/>
        <v>526.79999999999995</v>
      </c>
      <c r="K555" s="28">
        <f t="shared" si="11"/>
        <v>286.88</v>
      </c>
      <c r="L555" s="29">
        <f t="shared" si="12"/>
        <v>813.68</v>
      </c>
      <c r="M555" s="28">
        <f t="shared" si="13"/>
        <v>65.2</v>
      </c>
      <c r="N555" s="27">
        <f t="shared" si="14"/>
        <v>592</v>
      </c>
    </row>
    <row r="556" spans="1:14" ht="14.4">
      <c r="A556" s="6" t="s">
        <v>2153</v>
      </c>
      <c r="B556" s="21" t="s">
        <v>2029</v>
      </c>
      <c r="E556" s="31" t="s">
        <v>1233</v>
      </c>
      <c r="F556" s="24" t="s">
        <v>2154</v>
      </c>
      <c r="G556" s="36">
        <v>400</v>
      </c>
      <c r="H556" s="30">
        <v>397</v>
      </c>
      <c r="I556" s="26"/>
      <c r="J556" s="27">
        <f t="shared" si="10"/>
        <v>476.4</v>
      </c>
      <c r="K556" s="28">
        <f t="shared" si="11"/>
        <v>176</v>
      </c>
      <c r="L556" s="29">
        <f t="shared" si="12"/>
        <v>652.4</v>
      </c>
      <c r="M556" s="28">
        <f t="shared" si="13"/>
        <v>40</v>
      </c>
      <c r="N556" s="27">
        <f t="shared" si="14"/>
        <v>516.4</v>
      </c>
    </row>
    <row r="557" spans="1:14" ht="14.4">
      <c r="A557" s="6" t="s">
        <v>2155</v>
      </c>
      <c r="B557" s="21" t="s">
        <v>2029</v>
      </c>
      <c r="E557" s="31" t="s">
        <v>1233</v>
      </c>
      <c r="F557" s="24" t="s">
        <v>2156</v>
      </c>
      <c r="G557" s="36">
        <v>400</v>
      </c>
      <c r="H557" s="30">
        <v>397</v>
      </c>
      <c r="I557" s="26"/>
      <c r="J557" s="27">
        <f t="shared" si="10"/>
        <v>476.4</v>
      </c>
      <c r="K557" s="28">
        <f t="shared" si="11"/>
        <v>176</v>
      </c>
      <c r="L557" s="29">
        <f t="shared" si="12"/>
        <v>652.4</v>
      </c>
      <c r="M557" s="28">
        <f t="shared" si="13"/>
        <v>40</v>
      </c>
      <c r="N557" s="27">
        <f t="shared" si="14"/>
        <v>516.4</v>
      </c>
    </row>
    <row r="558" spans="1:14" ht="14.4">
      <c r="A558" s="6" t="s">
        <v>2157</v>
      </c>
      <c r="B558" s="21" t="s">
        <v>2029</v>
      </c>
      <c r="E558" s="31" t="s">
        <v>1233</v>
      </c>
      <c r="F558" s="24" t="s">
        <v>2158</v>
      </c>
      <c r="G558" s="30">
        <v>400</v>
      </c>
      <c r="H558" s="30">
        <v>397</v>
      </c>
      <c r="I558" s="26"/>
      <c r="J558" s="27">
        <f t="shared" si="10"/>
        <v>476.4</v>
      </c>
      <c r="K558" s="28">
        <f t="shared" si="11"/>
        <v>176</v>
      </c>
      <c r="L558" s="29">
        <f t="shared" si="12"/>
        <v>652.4</v>
      </c>
      <c r="M558" s="28">
        <f t="shared" si="13"/>
        <v>40</v>
      </c>
      <c r="N558" s="27">
        <f t="shared" si="14"/>
        <v>516.4</v>
      </c>
    </row>
    <row r="559" spans="1:14" ht="14.4">
      <c r="A559" s="6" t="s">
        <v>2159</v>
      </c>
      <c r="B559" s="21" t="s">
        <v>2029</v>
      </c>
      <c r="E559" s="31" t="s">
        <v>1233</v>
      </c>
      <c r="F559" s="24" t="s">
        <v>2160</v>
      </c>
      <c r="G559" s="36">
        <v>400</v>
      </c>
      <c r="H559" s="30">
        <v>397</v>
      </c>
      <c r="I559" s="26"/>
      <c r="J559" s="27">
        <f t="shared" si="10"/>
        <v>476.4</v>
      </c>
      <c r="K559" s="28">
        <f t="shared" si="11"/>
        <v>176</v>
      </c>
      <c r="L559" s="29">
        <f t="shared" si="12"/>
        <v>652.4</v>
      </c>
      <c r="M559" s="28">
        <f t="shared" si="13"/>
        <v>40</v>
      </c>
      <c r="N559" s="27">
        <f t="shared" si="14"/>
        <v>516.4</v>
      </c>
    </row>
    <row r="560" spans="1:14" ht="14.4">
      <c r="A560" s="6" t="s">
        <v>2161</v>
      </c>
      <c r="B560" s="21" t="s">
        <v>2029</v>
      </c>
      <c r="E560" s="31" t="s">
        <v>1233</v>
      </c>
      <c r="F560" s="24" t="s">
        <v>2162</v>
      </c>
      <c r="G560" s="36">
        <v>400</v>
      </c>
      <c r="H560" s="30">
        <v>397</v>
      </c>
      <c r="I560" s="26"/>
      <c r="J560" s="27">
        <f t="shared" si="10"/>
        <v>476.4</v>
      </c>
      <c r="K560" s="28">
        <f t="shared" si="11"/>
        <v>176</v>
      </c>
      <c r="L560" s="29">
        <f t="shared" si="12"/>
        <v>652.4</v>
      </c>
      <c r="M560" s="28">
        <f t="shared" si="13"/>
        <v>40</v>
      </c>
      <c r="N560" s="27">
        <f t="shared" si="14"/>
        <v>516.4</v>
      </c>
    </row>
    <row r="561" spans="1:14" ht="14.4">
      <c r="A561" s="6" t="s">
        <v>2163</v>
      </c>
      <c r="B561" s="21" t="s">
        <v>1994</v>
      </c>
      <c r="E561" s="31" t="s">
        <v>1233</v>
      </c>
      <c r="F561" s="24" t="s">
        <v>846</v>
      </c>
      <c r="G561" s="36">
        <v>200</v>
      </c>
      <c r="H561" s="30">
        <v>116</v>
      </c>
      <c r="I561" s="26"/>
      <c r="J561" s="27">
        <f t="shared" si="10"/>
        <v>139.19999999999999</v>
      </c>
      <c r="K561" s="28">
        <f t="shared" si="11"/>
        <v>88</v>
      </c>
      <c r="L561" s="29">
        <f t="shared" si="12"/>
        <v>227.2</v>
      </c>
      <c r="M561" s="28">
        <f t="shared" si="13"/>
        <v>20</v>
      </c>
      <c r="N561" s="27">
        <f t="shared" si="14"/>
        <v>159.19999999999999</v>
      </c>
    </row>
    <row r="562" spans="1:14" ht="14.4">
      <c r="A562" s="6" t="s">
        <v>2164</v>
      </c>
      <c r="B562" s="21" t="s">
        <v>1994</v>
      </c>
      <c r="E562" s="31" t="s">
        <v>1233</v>
      </c>
      <c r="F562" s="26" t="s">
        <v>2165</v>
      </c>
      <c r="G562" s="36">
        <v>900</v>
      </c>
      <c r="H562" s="30">
        <v>318</v>
      </c>
      <c r="I562" s="26"/>
      <c r="J562" s="27">
        <f t="shared" si="10"/>
        <v>381.6</v>
      </c>
      <c r="K562" s="28">
        <f t="shared" si="11"/>
        <v>396</v>
      </c>
      <c r="L562" s="29">
        <f t="shared" si="12"/>
        <v>777.6</v>
      </c>
      <c r="M562" s="28">
        <f t="shared" si="13"/>
        <v>90</v>
      </c>
      <c r="N562" s="27">
        <f t="shared" si="14"/>
        <v>471.6</v>
      </c>
    </row>
    <row r="563" spans="1:14" ht="14.4">
      <c r="A563" s="6" t="s">
        <v>2166</v>
      </c>
      <c r="B563" s="21" t="s">
        <v>1994</v>
      </c>
      <c r="E563" s="31" t="s">
        <v>1233</v>
      </c>
      <c r="F563" s="26" t="s">
        <v>2167</v>
      </c>
      <c r="G563" s="30">
        <v>900</v>
      </c>
      <c r="H563" s="30">
        <v>160</v>
      </c>
      <c r="I563" s="26"/>
      <c r="J563" s="27">
        <f t="shared" si="10"/>
        <v>192</v>
      </c>
      <c r="K563" s="28">
        <f t="shared" si="11"/>
        <v>396</v>
      </c>
      <c r="L563" s="29">
        <f t="shared" si="12"/>
        <v>588</v>
      </c>
      <c r="M563" s="28">
        <f t="shared" si="13"/>
        <v>90</v>
      </c>
      <c r="N563" s="27">
        <f t="shared" si="14"/>
        <v>282</v>
      </c>
    </row>
    <row r="564" spans="1:14" ht="14.4">
      <c r="A564" s="6" t="s">
        <v>2168</v>
      </c>
      <c r="B564" s="21" t="s">
        <v>1994</v>
      </c>
      <c r="E564" s="31" t="s">
        <v>1233</v>
      </c>
      <c r="F564" s="26" t="s">
        <v>2169</v>
      </c>
      <c r="G564" s="36">
        <v>900</v>
      </c>
      <c r="H564" s="30">
        <v>307</v>
      </c>
      <c r="I564" s="26"/>
      <c r="J564" s="27">
        <f t="shared" si="10"/>
        <v>368.4</v>
      </c>
      <c r="K564" s="28">
        <f t="shared" si="11"/>
        <v>396</v>
      </c>
      <c r="L564" s="29">
        <f t="shared" si="12"/>
        <v>764.4</v>
      </c>
      <c r="M564" s="28">
        <f t="shared" si="13"/>
        <v>90</v>
      </c>
      <c r="N564" s="27">
        <f t="shared" si="14"/>
        <v>458.4</v>
      </c>
    </row>
    <row r="565" spans="1:14" ht="14.4">
      <c r="A565" s="6" t="s">
        <v>2170</v>
      </c>
      <c r="B565" s="21" t="s">
        <v>1994</v>
      </c>
      <c r="E565" s="31" t="s">
        <v>1233</v>
      </c>
      <c r="F565" s="26" t="s">
        <v>2171</v>
      </c>
      <c r="G565" s="25">
        <v>480</v>
      </c>
      <c r="H565" s="25">
        <v>177</v>
      </c>
      <c r="I565" s="26"/>
      <c r="J565" s="27">
        <f t="shared" si="10"/>
        <v>212.4</v>
      </c>
      <c r="K565" s="28">
        <f t="shared" si="11"/>
        <v>211.2</v>
      </c>
      <c r="L565" s="29">
        <f t="shared" si="12"/>
        <v>423.6</v>
      </c>
      <c r="M565" s="28">
        <f t="shared" si="13"/>
        <v>48</v>
      </c>
      <c r="N565" s="27">
        <f t="shared" si="14"/>
        <v>260.39999999999998</v>
      </c>
    </row>
    <row r="566" spans="1:14" ht="14.4">
      <c r="A566" s="6" t="s">
        <v>2172</v>
      </c>
      <c r="B566" s="21" t="s">
        <v>1994</v>
      </c>
      <c r="E566" s="31" t="s">
        <v>1233</v>
      </c>
      <c r="F566" s="26" t="s">
        <v>2173</v>
      </c>
      <c r="G566" s="25">
        <v>480</v>
      </c>
      <c r="H566" s="25">
        <v>177</v>
      </c>
      <c r="I566" s="26"/>
      <c r="J566" s="27">
        <f t="shared" si="10"/>
        <v>212.4</v>
      </c>
      <c r="K566" s="28">
        <f t="shared" si="11"/>
        <v>211.2</v>
      </c>
      <c r="L566" s="29">
        <f t="shared" si="12"/>
        <v>423.6</v>
      </c>
      <c r="M566" s="28">
        <f t="shared" si="13"/>
        <v>48</v>
      </c>
      <c r="N566" s="27">
        <f t="shared" si="14"/>
        <v>260.39999999999998</v>
      </c>
    </row>
    <row r="567" spans="1:14" ht="14.4">
      <c r="A567" s="6" t="s">
        <v>2174</v>
      </c>
      <c r="B567" s="21" t="s">
        <v>1994</v>
      </c>
      <c r="E567" s="31" t="s">
        <v>1233</v>
      </c>
      <c r="F567" s="26" t="s">
        <v>2175</v>
      </c>
      <c r="G567" s="25">
        <v>480</v>
      </c>
      <c r="H567" s="25">
        <v>177</v>
      </c>
      <c r="I567" s="26"/>
      <c r="J567" s="27">
        <f t="shared" si="10"/>
        <v>212.4</v>
      </c>
      <c r="K567" s="28">
        <f t="shared" si="11"/>
        <v>211.2</v>
      </c>
      <c r="L567" s="29">
        <f t="shared" si="12"/>
        <v>423.6</v>
      </c>
      <c r="M567" s="28">
        <f t="shared" si="13"/>
        <v>48</v>
      </c>
      <c r="N567" s="27">
        <f t="shared" si="14"/>
        <v>260.39999999999998</v>
      </c>
    </row>
    <row r="568" spans="1:14" ht="14.4">
      <c r="A568" s="6" t="s">
        <v>2176</v>
      </c>
      <c r="B568" s="21" t="s">
        <v>1994</v>
      </c>
      <c r="E568" s="31" t="s">
        <v>1233</v>
      </c>
      <c r="F568" s="26" t="s">
        <v>2177</v>
      </c>
      <c r="G568" s="25">
        <v>480</v>
      </c>
      <c r="H568" s="25">
        <v>177</v>
      </c>
      <c r="I568" s="26"/>
      <c r="J568" s="27">
        <f t="shared" si="10"/>
        <v>212.4</v>
      </c>
      <c r="K568" s="39">
        <f t="shared" si="11"/>
        <v>211.2</v>
      </c>
      <c r="L568" s="29">
        <f t="shared" si="12"/>
        <v>423.6</v>
      </c>
      <c r="M568" s="39">
        <f t="shared" si="13"/>
        <v>48</v>
      </c>
      <c r="N568" s="27">
        <f t="shared" si="14"/>
        <v>260.39999999999998</v>
      </c>
    </row>
    <row r="569" spans="1:14" ht="14.4">
      <c r="A569" s="6" t="s">
        <v>2178</v>
      </c>
      <c r="B569" s="21" t="s">
        <v>1994</v>
      </c>
      <c r="E569" s="23" t="s">
        <v>1233</v>
      </c>
      <c r="F569" s="26" t="s">
        <v>1588</v>
      </c>
      <c r="G569" s="36">
        <v>50</v>
      </c>
      <c r="H569" s="36">
        <v>30</v>
      </c>
      <c r="I569" s="26"/>
      <c r="J569" s="27">
        <f t="shared" si="10"/>
        <v>36</v>
      </c>
      <c r="K569" s="39">
        <f t="shared" si="11"/>
        <v>22</v>
      </c>
      <c r="L569" s="29">
        <f t="shared" si="12"/>
        <v>58</v>
      </c>
      <c r="M569" s="39">
        <f t="shared" si="13"/>
        <v>5</v>
      </c>
      <c r="N569" s="27">
        <f t="shared" si="14"/>
        <v>41</v>
      </c>
    </row>
    <row r="570" spans="1:14" ht="14.4">
      <c r="A570" s="6" t="s">
        <v>2179</v>
      </c>
      <c r="B570" s="21" t="s">
        <v>1994</v>
      </c>
      <c r="E570" s="23" t="s">
        <v>1233</v>
      </c>
      <c r="F570" s="26" t="s">
        <v>1478</v>
      </c>
      <c r="G570" s="36">
        <v>80</v>
      </c>
      <c r="H570" s="36">
        <v>55</v>
      </c>
      <c r="I570" s="26"/>
      <c r="J570" s="27">
        <f t="shared" si="10"/>
        <v>66</v>
      </c>
      <c r="K570" s="39">
        <f t="shared" si="11"/>
        <v>35.200000000000003</v>
      </c>
      <c r="L570" s="29">
        <f t="shared" si="12"/>
        <v>101.2</v>
      </c>
      <c r="M570" s="39">
        <f t="shared" si="13"/>
        <v>8</v>
      </c>
      <c r="N570" s="27">
        <f t="shared" si="14"/>
        <v>74</v>
      </c>
    </row>
    <row r="571" spans="1:14" ht="14.4">
      <c r="A571" s="6" t="s">
        <v>2180</v>
      </c>
      <c r="B571" s="21" t="s">
        <v>1994</v>
      </c>
      <c r="E571" s="23" t="s">
        <v>1233</v>
      </c>
      <c r="F571" s="26" t="s">
        <v>2181</v>
      </c>
      <c r="G571" s="36">
        <v>440</v>
      </c>
      <c r="H571" s="36">
        <v>106</v>
      </c>
      <c r="I571" s="26"/>
      <c r="J571" s="27">
        <f t="shared" si="10"/>
        <v>127.2</v>
      </c>
      <c r="K571" s="39">
        <f t="shared" si="11"/>
        <v>193.6</v>
      </c>
      <c r="L571" s="29">
        <f t="shared" si="12"/>
        <v>320.8</v>
      </c>
      <c r="M571" s="39">
        <f t="shared" si="13"/>
        <v>44</v>
      </c>
      <c r="N571" s="27">
        <f t="shared" si="14"/>
        <v>171.2</v>
      </c>
    </row>
    <row r="572" spans="1:14" ht="14.4">
      <c r="A572" s="6" t="s">
        <v>2182</v>
      </c>
      <c r="B572" s="21" t="s">
        <v>1994</v>
      </c>
      <c r="E572" s="23" t="s">
        <v>1233</v>
      </c>
      <c r="F572" s="24" t="s">
        <v>2183</v>
      </c>
      <c r="G572" s="36">
        <v>110</v>
      </c>
      <c r="H572" s="36">
        <v>54</v>
      </c>
      <c r="I572" s="26"/>
      <c r="J572" s="27">
        <f t="shared" si="10"/>
        <v>64.8</v>
      </c>
      <c r="K572" s="39">
        <f t="shared" si="11"/>
        <v>48.4</v>
      </c>
      <c r="L572" s="29">
        <f t="shared" si="12"/>
        <v>113.19999999999999</v>
      </c>
      <c r="M572" s="39">
        <f t="shared" si="13"/>
        <v>11</v>
      </c>
      <c r="N572" s="27">
        <f t="shared" si="14"/>
        <v>75.8</v>
      </c>
    </row>
    <row r="573" spans="1:14" ht="14.4">
      <c r="A573" s="6" t="s">
        <v>2184</v>
      </c>
      <c r="B573" s="21" t="s">
        <v>1994</v>
      </c>
      <c r="E573" s="23" t="s">
        <v>1233</v>
      </c>
      <c r="F573" s="26" t="s">
        <v>2185</v>
      </c>
      <c r="G573" s="36">
        <v>230</v>
      </c>
      <c r="H573" s="36">
        <v>550</v>
      </c>
      <c r="I573" s="26"/>
      <c r="J573" s="27">
        <f t="shared" si="10"/>
        <v>660</v>
      </c>
      <c r="K573" s="39">
        <f t="shared" si="11"/>
        <v>101.2</v>
      </c>
      <c r="L573" s="29">
        <f t="shared" si="12"/>
        <v>761.2</v>
      </c>
      <c r="M573" s="39">
        <f t="shared" si="13"/>
        <v>23</v>
      </c>
      <c r="N573" s="27">
        <f t="shared" si="14"/>
        <v>683</v>
      </c>
    </row>
    <row r="574" spans="1:14" ht="14.4">
      <c r="A574" s="6" t="s">
        <v>2186</v>
      </c>
      <c r="B574" s="21" t="s">
        <v>1994</v>
      </c>
      <c r="E574" s="23" t="s">
        <v>1233</v>
      </c>
      <c r="F574" s="26" t="s">
        <v>2187</v>
      </c>
      <c r="G574" s="36">
        <v>80</v>
      </c>
      <c r="H574" s="36">
        <v>170</v>
      </c>
      <c r="I574" s="26"/>
      <c r="J574" s="27">
        <f t="shared" si="10"/>
        <v>204</v>
      </c>
      <c r="K574" s="39">
        <f t="shared" si="11"/>
        <v>35.200000000000003</v>
      </c>
      <c r="L574" s="29">
        <f t="shared" si="12"/>
        <v>239.2</v>
      </c>
      <c r="M574" s="39">
        <f t="shared" si="13"/>
        <v>8</v>
      </c>
      <c r="N574" s="27">
        <f t="shared" si="14"/>
        <v>212</v>
      </c>
    </row>
    <row r="575" spans="1:14" ht="14.4">
      <c r="A575" s="6" t="s">
        <v>2188</v>
      </c>
      <c r="B575" s="21" t="s">
        <v>1994</v>
      </c>
      <c r="E575" s="23" t="s">
        <v>1233</v>
      </c>
      <c r="F575" s="26" t="s">
        <v>1528</v>
      </c>
      <c r="G575" s="30">
        <v>170</v>
      </c>
      <c r="H575" s="30">
        <v>75</v>
      </c>
      <c r="I575" s="26"/>
      <c r="J575" s="27">
        <f t="shared" si="10"/>
        <v>90</v>
      </c>
      <c r="K575" s="28">
        <f t="shared" si="11"/>
        <v>74.8</v>
      </c>
      <c r="L575" s="29">
        <f t="shared" si="12"/>
        <v>164.8</v>
      </c>
      <c r="M575" s="28">
        <f t="shared" si="13"/>
        <v>17</v>
      </c>
      <c r="N575" s="27">
        <f t="shared" si="14"/>
        <v>107</v>
      </c>
    </row>
    <row r="576" spans="1:14" ht="14.4">
      <c r="A576" s="6" t="s">
        <v>2189</v>
      </c>
      <c r="B576" s="21" t="s">
        <v>1994</v>
      </c>
      <c r="E576" s="23" t="s">
        <v>1233</v>
      </c>
      <c r="F576" s="26" t="s">
        <v>1531</v>
      </c>
      <c r="G576" s="30">
        <v>170</v>
      </c>
      <c r="H576" s="30">
        <v>75</v>
      </c>
      <c r="I576" s="26"/>
      <c r="J576" s="27">
        <f t="shared" si="10"/>
        <v>90</v>
      </c>
      <c r="K576" s="28">
        <f t="shared" si="11"/>
        <v>74.8</v>
      </c>
      <c r="L576" s="29">
        <f t="shared" si="12"/>
        <v>164.8</v>
      </c>
      <c r="M576" s="28">
        <f t="shared" si="13"/>
        <v>17</v>
      </c>
      <c r="N576" s="27">
        <f t="shared" si="14"/>
        <v>107</v>
      </c>
    </row>
    <row r="577" spans="1:14" ht="14.4">
      <c r="A577" s="6" t="s">
        <v>2190</v>
      </c>
      <c r="B577" s="21" t="s">
        <v>1994</v>
      </c>
      <c r="E577" s="23" t="s">
        <v>1233</v>
      </c>
      <c r="F577" s="26" t="s">
        <v>1476</v>
      </c>
      <c r="G577" s="36">
        <v>1380</v>
      </c>
      <c r="H577" s="36">
        <v>167</v>
      </c>
      <c r="I577" s="26"/>
      <c r="J577" s="27">
        <f t="shared" si="10"/>
        <v>200.4</v>
      </c>
      <c r="K577" s="39">
        <f t="shared" si="11"/>
        <v>607.20000000000005</v>
      </c>
      <c r="L577" s="29">
        <f t="shared" si="12"/>
        <v>807.6</v>
      </c>
      <c r="M577" s="39">
        <f t="shared" si="13"/>
        <v>138</v>
      </c>
      <c r="N577" s="27">
        <f t="shared" si="14"/>
        <v>338.4</v>
      </c>
    </row>
    <row r="578" spans="1:14" ht="14.4">
      <c r="A578" s="6" t="s">
        <v>2191</v>
      </c>
      <c r="B578" s="21" t="s">
        <v>1994</v>
      </c>
      <c r="E578" s="23" t="s">
        <v>1233</v>
      </c>
      <c r="F578" s="39" t="s">
        <v>2192</v>
      </c>
      <c r="G578" s="36">
        <v>30</v>
      </c>
      <c r="H578" s="36">
        <v>35</v>
      </c>
      <c r="I578" s="26"/>
      <c r="J578" s="41">
        <f t="shared" si="10"/>
        <v>42</v>
      </c>
      <c r="K578" s="39">
        <f t="shared" si="11"/>
        <v>13.2</v>
      </c>
      <c r="L578" s="42">
        <f t="shared" si="12"/>
        <v>55.2</v>
      </c>
      <c r="M578" s="39">
        <f t="shared" si="13"/>
        <v>3</v>
      </c>
      <c r="N578" s="41">
        <f t="shared" si="14"/>
        <v>45</v>
      </c>
    </row>
    <row r="579" spans="1:14" ht="14.4">
      <c r="A579" s="6" t="s">
        <v>2193</v>
      </c>
      <c r="B579" s="21" t="s">
        <v>1994</v>
      </c>
      <c r="E579" s="23" t="s">
        <v>1233</v>
      </c>
      <c r="F579" s="43" t="s">
        <v>2194</v>
      </c>
      <c r="G579" s="36">
        <v>700</v>
      </c>
      <c r="H579" s="36">
        <v>35</v>
      </c>
      <c r="I579" s="44"/>
      <c r="J579" s="41">
        <f t="shared" si="10"/>
        <v>42</v>
      </c>
      <c r="K579" s="39">
        <f t="shared" si="11"/>
        <v>308</v>
      </c>
      <c r="L579" s="42">
        <f t="shared" si="12"/>
        <v>350</v>
      </c>
      <c r="M579" s="39">
        <f t="shared" si="13"/>
        <v>70</v>
      </c>
      <c r="N579" s="41">
        <f t="shared" si="14"/>
        <v>112</v>
      </c>
    </row>
    <row r="580" spans="1:14" ht="14.4">
      <c r="A580" s="6" t="s">
        <v>2195</v>
      </c>
      <c r="B580" s="21" t="s">
        <v>1994</v>
      </c>
      <c r="E580" s="23" t="s">
        <v>1233</v>
      </c>
      <c r="F580" s="43" t="s">
        <v>2196</v>
      </c>
      <c r="G580" s="36">
        <v>1900</v>
      </c>
      <c r="H580" s="36">
        <v>182</v>
      </c>
      <c r="I580" s="44"/>
      <c r="J580" s="41">
        <f t="shared" si="10"/>
        <v>218.4</v>
      </c>
      <c r="K580" s="39">
        <f t="shared" si="11"/>
        <v>836</v>
      </c>
      <c r="L580" s="42">
        <f t="shared" si="12"/>
        <v>1054.4000000000001</v>
      </c>
      <c r="M580" s="39">
        <f t="shared" si="13"/>
        <v>190</v>
      </c>
      <c r="N580" s="41">
        <f t="shared" si="14"/>
        <v>408.4</v>
      </c>
    </row>
    <row r="581" spans="1:14" ht="14.4">
      <c r="A581" s="6" t="s">
        <v>2197</v>
      </c>
      <c r="B581" s="21" t="s">
        <v>1516</v>
      </c>
      <c r="E581" s="23" t="s">
        <v>1233</v>
      </c>
      <c r="F581" s="43" t="s">
        <v>2198</v>
      </c>
      <c r="G581" s="36">
        <v>400</v>
      </c>
      <c r="H581" s="36">
        <v>250</v>
      </c>
      <c r="I581" s="44"/>
      <c r="J581" s="41">
        <f t="shared" si="10"/>
        <v>300</v>
      </c>
      <c r="K581" s="39">
        <f t="shared" si="11"/>
        <v>176</v>
      </c>
      <c r="L581" s="42">
        <f t="shared" si="12"/>
        <v>476</v>
      </c>
      <c r="M581" s="39">
        <f t="shared" si="13"/>
        <v>40</v>
      </c>
      <c r="N581" s="41">
        <f t="shared" si="14"/>
        <v>340</v>
      </c>
    </row>
    <row r="582" spans="1:14" ht="14.4">
      <c r="A582" s="6" t="s">
        <v>2199</v>
      </c>
      <c r="B582" s="21" t="s">
        <v>1516</v>
      </c>
      <c r="E582" s="23" t="s">
        <v>1231</v>
      </c>
      <c r="F582" s="45" t="s">
        <v>510</v>
      </c>
      <c r="G582" s="36">
        <v>250</v>
      </c>
      <c r="H582" s="36">
        <v>220</v>
      </c>
      <c r="I582" s="44"/>
      <c r="J582" s="41">
        <f t="shared" si="10"/>
        <v>264</v>
      </c>
      <c r="K582" s="39">
        <f t="shared" si="11"/>
        <v>110</v>
      </c>
      <c r="L582" s="42">
        <f t="shared" si="12"/>
        <v>374</v>
      </c>
      <c r="M582" s="39">
        <f t="shared" si="13"/>
        <v>25</v>
      </c>
      <c r="N582" s="41">
        <f t="shared" si="14"/>
        <v>289</v>
      </c>
    </row>
    <row r="583" spans="1:14" ht="14.4">
      <c r="A583" s="6" t="s">
        <v>2200</v>
      </c>
      <c r="B583" s="21" t="s">
        <v>1516</v>
      </c>
      <c r="E583" s="23" t="s">
        <v>1231</v>
      </c>
      <c r="F583" s="24" t="s">
        <v>1552</v>
      </c>
      <c r="G583" s="25">
        <v>400</v>
      </c>
      <c r="H583" s="25">
        <v>92</v>
      </c>
      <c r="I583" s="26"/>
      <c r="J583" s="34">
        <f t="shared" si="10"/>
        <v>110.4</v>
      </c>
      <c r="K583" s="28">
        <f t="shared" si="11"/>
        <v>176</v>
      </c>
      <c r="L583" s="35">
        <f t="shared" si="12"/>
        <v>286.39999999999998</v>
      </c>
      <c r="M583" s="28">
        <f t="shared" si="13"/>
        <v>40</v>
      </c>
      <c r="N583" s="34">
        <f t="shared" si="14"/>
        <v>150.4</v>
      </c>
    </row>
    <row r="584" spans="1:14" ht="14.4">
      <c r="A584" s="6" t="s">
        <v>2201</v>
      </c>
      <c r="B584" s="21" t="s">
        <v>1516</v>
      </c>
      <c r="E584" s="46" t="s">
        <v>1233</v>
      </c>
      <c r="F584" s="43" t="s">
        <v>629</v>
      </c>
      <c r="G584" s="36">
        <v>218</v>
      </c>
      <c r="H584" s="36">
        <v>97</v>
      </c>
      <c r="I584" s="44"/>
      <c r="J584" s="41">
        <f t="shared" si="10"/>
        <v>116.4</v>
      </c>
      <c r="K584" s="39">
        <f t="shared" si="11"/>
        <v>95.92</v>
      </c>
      <c r="L584" s="42">
        <f t="shared" si="12"/>
        <v>212.32</v>
      </c>
      <c r="M584" s="39">
        <f t="shared" si="13"/>
        <v>21.8</v>
      </c>
      <c r="N584" s="41">
        <f t="shared" si="14"/>
        <v>138.20000000000002</v>
      </c>
    </row>
    <row r="585" spans="1:14" ht="14.4">
      <c r="A585" s="6" t="s">
        <v>2202</v>
      </c>
      <c r="B585" s="21" t="s">
        <v>1516</v>
      </c>
      <c r="E585" s="44"/>
      <c r="F585" s="26" t="s">
        <v>2203</v>
      </c>
      <c r="G585" s="36">
        <v>500</v>
      </c>
      <c r="H585" s="36">
        <v>50</v>
      </c>
      <c r="I585" s="44"/>
      <c r="J585" s="41">
        <f t="shared" si="10"/>
        <v>60</v>
      </c>
      <c r="K585" s="39">
        <f t="shared" si="11"/>
        <v>220</v>
      </c>
      <c r="L585" s="42">
        <f t="shared" si="12"/>
        <v>280</v>
      </c>
      <c r="M585" s="39">
        <f t="shared" si="13"/>
        <v>50</v>
      </c>
      <c r="N585" s="41">
        <f t="shared" si="14"/>
        <v>110</v>
      </c>
    </row>
    <row r="586" spans="1:14" ht="14.4">
      <c r="A586" s="6" t="s">
        <v>2204</v>
      </c>
      <c r="B586" s="21" t="s">
        <v>1516</v>
      </c>
      <c r="E586" s="44"/>
      <c r="F586" s="26" t="s">
        <v>2205</v>
      </c>
      <c r="G586" s="36">
        <v>50</v>
      </c>
      <c r="H586" s="36">
        <v>30</v>
      </c>
      <c r="I586" s="44"/>
      <c r="J586" s="41">
        <f t="shared" si="10"/>
        <v>36</v>
      </c>
      <c r="K586" s="39">
        <f t="shared" si="11"/>
        <v>22</v>
      </c>
      <c r="L586" s="42">
        <f t="shared" si="12"/>
        <v>58</v>
      </c>
      <c r="M586" s="39">
        <f t="shared" si="13"/>
        <v>5</v>
      </c>
      <c r="N586" s="41">
        <f t="shared" si="14"/>
        <v>41</v>
      </c>
    </row>
    <row r="587" spans="1:14" ht="14.4">
      <c r="A587" s="6" t="s">
        <v>2206</v>
      </c>
      <c r="B587" s="21" t="s">
        <v>1516</v>
      </c>
    </row>
    <row r="588" spans="1:14" ht="14.4">
      <c r="A588" s="6" t="s">
        <v>2207</v>
      </c>
      <c r="B588" s="21" t="s">
        <v>1516</v>
      </c>
    </row>
    <row r="589" spans="1:14" ht="14.4">
      <c r="A589" s="6" t="s">
        <v>2208</v>
      </c>
      <c r="B589" s="21" t="s">
        <v>1516</v>
      </c>
    </row>
    <row r="590" spans="1:14" ht="14.4">
      <c r="A590" s="6" t="s">
        <v>2209</v>
      </c>
      <c r="B590" s="21" t="s">
        <v>1516</v>
      </c>
    </row>
    <row r="591" spans="1:14" ht="14.4">
      <c r="A591" s="6" t="s">
        <v>2210</v>
      </c>
      <c r="B591" s="21" t="s">
        <v>1516</v>
      </c>
    </row>
    <row r="592" spans="1:14" ht="14.4">
      <c r="A592" s="6" t="s">
        <v>2211</v>
      </c>
      <c r="B592" s="21" t="s">
        <v>1516</v>
      </c>
    </row>
    <row r="593" spans="1:2" ht="14.4">
      <c r="A593" s="6" t="s">
        <v>2212</v>
      </c>
      <c r="B593" s="21" t="s">
        <v>1516</v>
      </c>
    </row>
    <row r="594" spans="1:2" ht="14.4">
      <c r="A594" s="6" t="s">
        <v>2213</v>
      </c>
      <c r="B594" s="21" t="s">
        <v>1516</v>
      </c>
    </row>
    <row r="595" spans="1:2" ht="14.4">
      <c r="A595" s="6" t="s">
        <v>2214</v>
      </c>
      <c r="B595" s="21" t="s">
        <v>1516</v>
      </c>
    </row>
    <row r="596" spans="1:2" ht="14.4">
      <c r="A596" s="6" t="s">
        <v>2215</v>
      </c>
      <c r="B596" s="21" t="s">
        <v>1516</v>
      </c>
    </row>
    <row r="597" spans="1:2" ht="14.4">
      <c r="A597" s="6" t="s">
        <v>2216</v>
      </c>
      <c r="B597" s="21" t="s">
        <v>1516</v>
      </c>
    </row>
    <row r="598" spans="1:2" ht="14.4">
      <c r="A598" s="6" t="s">
        <v>2217</v>
      </c>
      <c r="B598" s="21" t="s">
        <v>1516</v>
      </c>
    </row>
    <row r="599" spans="1:2" ht="14.4">
      <c r="A599" s="6" t="s">
        <v>2218</v>
      </c>
      <c r="B599" s="21" t="s">
        <v>1516</v>
      </c>
    </row>
    <row r="600" spans="1:2" ht="14.4">
      <c r="A600" s="6" t="s">
        <v>572</v>
      </c>
      <c r="B600" s="21" t="s">
        <v>1516</v>
      </c>
    </row>
    <row r="601" spans="1:2" ht="14.4">
      <c r="A601" s="6" t="s">
        <v>2219</v>
      </c>
      <c r="B601" s="21" t="s">
        <v>1516</v>
      </c>
    </row>
    <row r="602" spans="1:2" ht="14.4">
      <c r="A602" s="6" t="s">
        <v>698</v>
      </c>
      <c r="B602" s="21" t="s">
        <v>1516</v>
      </c>
    </row>
    <row r="603" spans="1:2" ht="14.4">
      <c r="A603" s="6" t="s">
        <v>718</v>
      </c>
      <c r="B603" s="21" t="s">
        <v>1516</v>
      </c>
    </row>
    <row r="604" spans="1:2" ht="14.4">
      <c r="A604" s="6" t="s">
        <v>662</v>
      </c>
      <c r="B604" s="21" t="s">
        <v>2220</v>
      </c>
    </row>
    <row r="605" spans="1:2" ht="14.4">
      <c r="A605" s="6" t="s">
        <v>865</v>
      </c>
      <c r="B605" s="21" t="s">
        <v>2142</v>
      </c>
    </row>
    <row r="606" spans="1:2" ht="14.4">
      <c r="A606" s="6" t="s">
        <v>551</v>
      </c>
      <c r="B606" s="21" t="s">
        <v>2221</v>
      </c>
    </row>
    <row r="607" spans="1:2" ht="14.4">
      <c r="A607" s="6" t="s">
        <v>430</v>
      </c>
      <c r="B607" s="21" t="s">
        <v>2099</v>
      </c>
    </row>
    <row r="608" spans="1:2" ht="14.4">
      <c r="A608" s="6" t="s">
        <v>2222</v>
      </c>
      <c r="B608" s="21" t="s">
        <v>2084</v>
      </c>
    </row>
    <row r="609" spans="1:2" ht="14.4">
      <c r="A609" s="6" t="s">
        <v>378</v>
      </c>
      <c r="B609" s="21" t="s">
        <v>2084</v>
      </c>
    </row>
    <row r="610" spans="1:2" ht="14.4">
      <c r="A610" s="6" t="s">
        <v>2223</v>
      </c>
      <c r="B610" s="21" t="s">
        <v>2080</v>
      </c>
    </row>
    <row r="611" spans="1:2" ht="14.4">
      <c r="A611" s="6" t="s">
        <v>370</v>
      </c>
      <c r="B611" s="21" t="s">
        <v>2080</v>
      </c>
    </row>
    <row r="612" spans="1:2" ht="14.4">
      <c r="A612" s="6" t="s">
        <v>2224</v>
      </c>
      <c r="B612" s="21" t="s">
        <v>2100</v>
      </c>
    </row>
    <row r="613" spans="1:2" ht="14.4">
      <c r="A613" s="6" t="s">
        <v>1016</v>
      </c>
      <c r="B613" s="21" t="s">
        <v>2100</v>
      </c>
    </row>
    <row r="614" spans="1:2" ht="14.4">
      <c r="A614" s="6" t="s">
        <v>563</v>
      </c>
      <c r="B614" s="21" t="s">
        <v>2074</v>
      </c>
    </row>
    <row r="615" spans="1:2" ht="14.4">
      <c r="A615" s="6" t="s">
        <v>548</v>
      </c>
      <c r="B615" s="21" t="s">
        <v>2105</v>
      </c>
    </row>
    <row r="616" spans="1:2" ht="14.4">
      <c r="A616" s="6" t="s">
        <v>767</v>
      </c>
      <c r="B616" s="21" t="s">
        <v>2081</v>
      </c>
    </row>
    <row r="617" spans="1:2" ht="14.4">
      <c r="A617" s="6" t="s">
        <v>704</v>
      </c>
      <c r="B617" s="21" t="s">
        <v>2076</v>
      </c>
    </row>
    <row r="618" spans="1:2" ht="14.4">
      <c r="A618" s="6" t="s">
        <v>251</v>
      </c>
      <c r="B618" s="21" t="s">
        <v>2076</v>
      </c>
    </row>
    <row r="619" spans="1:2" ht="14.4">
      <c r="A619" s="6" t="s">
        <v>2225</v>
      </c>
      <c r="B619" s="21" t="s">
        <v>2076</v>
      </c>
    </row>
    <row r="620" spans="1:2" ht="14.4">
      <c r="A620" s="6" t="s">
        <v>959</v>
      </c>
      <c r="B620" s="21" t="s">
        <v>2090</v>
      </c>
    </row>
    <row r="621" spans="1:2" ht="14.4">
      <c r="A621" s="6" t="s">
        <v>590</v>
      </c>
      <c r="B621" s="21" t="s">
        <v>2091</v>
      </c>
    </row>
    <row r="622" spans="1:2" ht="14.4">
      <c r="A622" s="6" t="s">
        <v>599</v>
      </c>
      <c r="B622" s="21" t="s">
        <v>2070</v>
      </c>
    </row>
    <row r="623" spans="1:2" ht="14.4">
      <c r="A623" s="6" t="s">
        <v>701</v>
      </c>
      <c r="B623" s="21" t="s">
        <v>2109</v>
      </c>
    </row>
    <row r="624" spans="1:2" ht="14.4">
      <c r="A624" s="6" t="s">
        <v>625</v>
      </c>
      <c r="B624" s="21" t="s">
        <v>2107</v>
      </c>
    </row>
    <row r="625" spans="1:2" ht="14.4">
      <c r="A625" s="6" t="s">
        <v>2226</v>
      </c>
      <c r="B625" s="21" t="s">
        <v>2098</v>
      </c>
    </row>
    <row r="626" spans="1:2" ht="14.4">
      <c r="A626" s="6" t="s">
        <v>539</v>
      </c>
      <c r="B626" s="21" t="s">
        <v>2098</v>
      </c>
    </row>
    <row r="627" spans="1:2" ht="14.4">
      <c r="A627" s="6" t="s">
        <v>2227</v>
      </c>
      <c r="B627" s="21" t="s">
        <v>2102</v>
      </c>
    </row>
    <row r="628" spans="1:2" ht="14.4">
      <c r="A628" s="6" t="s">
        <v>566</v>
      </c>
      <c r="B628" s="21" t="s">
        <v>2102</v>
      </c>
    </row>
    <row r="629" spans="1:2" ht="14.4">
      <c r="A629" s="6" t="s">
        <v>230</v>
      </c>
      <c r="B629" s="21" t="s">
        <v>2072</v>
      </c>
    </row>
    <row r="630" spans="1:2" ht="14.4">
      <c r="A630" s="6" t="s">
        <v>2228</v>
      </c>
      <c r="B630" s="21" t="s">
        <v>2104</v>
      </c>
    </row>
    <row r="631" spans="1:2" ht="14.4">
      <c r="A631" s="6" t="s">
        <v>1174</v>
      </c>
      <c r="B631" s="21" t="s">
        <v>2183</v>
      </c>
    </row>
    <row r="632" spans="1:2" ht="14.4">
      <c r="A632" s="6" t="s">
        <v>2229</v>
      </c>
      <c r="B632" s="21" t="s">
        <v>1898</v>
      </c>
    </row>
    <row r="633" spans="1:2" ht="14.4">
      <c r="A633" s="6" t="s">
        <v>1031</v>
      </c>
      <c r="B633" s="21" t="s">
        <v>1898</v>
      </c>
    </row>
    <row r="634" spans="1:2" ht="14.4">
      <c r="A634" s="6" t="s">
        <v>2230</v>
      </c>
      <c r="B634" s="21" t="s">
        <v>1881</v>
      </c>
    </row>
    <row r="635" spans="1:2" ht="14.4">
      <c r="A635" s="6" t="s">
        <v>1036</v>
      </c>
      <c r="B635" s="21" t="s">
        <v>1881</v>
      </c>
    </row>
    <row r="636" spans="1:2" ht="14.4">
      <c r="A636" s="6" t="s">
        <v>2231</v>
      </c>
      <c r="B636" s="21" t="s">
        <v>2232</v>
      </c>
    </row>
    <row r="637" spans="1:2" ht="14.4">
      <c r="A637" s="6" t="s">
        <v>2233</v>
      </c>
      <c r="B637" s="21" t="s">
        <v>2234</v>
      </c>
    </row>
    <row r="638" spans="1:2" ht="14.4">
      <c r="A638" s="6" t="s">
        <v>2235</v>
      </c>
      <c r="B638" s="21" t="s">
        <v>1901</v>
      </c>
    </row>
    <row r="639" spans="1:2" ht="14.4">
      <c r="A639" s="6" t="s">
        <v>1007</v>
      </c>
      <c r="B639" s="21" t="s">
        <v>1901</v>
      </c>
    </row>
    <row r="640" spans="1:2" ht="14.4">
      <c r="A640" s="6" t="s">
        <v>2236</v>
      </c>
      <c r="B640" s="21" t="s">
        <v>1853</v>
      </c>
    </row>
    <row r="641" spans="1:2" ht="14.4">
      <c r="A641" s="6" t="s">
        <v>857</v>
      </c>
      <c r="B641" s="21" t="s">
        <v>1853</v>
      </c>
    </row>
    <row r="642" spans="1:2" ht="14.4">
      <c r="A642" s="6" t="s">
        <v>2237</v>
      </c>
      <c r="B642" s="21" t="s">
        <v>612</v>
      </c>
    </row>
    <row r="643" spans="1:2" ht="14.4">
      <c r="A643" s="6" t="s">
        <v>611</v>
      </c>
      <c r="B643" s="21" t="s">
        <v>612</v>
      </c>
    </row>
    <row r="644" spans="1:2" ht="14.4">
      <c r="A644" s="6" t="s">
        <v>2238</v>
      </c>
      <c r="B644" s="21" t="s">
        <v>612</v>
      </c>
    </row>
    <row r="645" spans="1:2" ht="14.4">
      <c r="A645" s="6" t="s">
        <v>2239</v>
      </c>
      <c r="B645" s="21" t="s">
        <v>1887</v>
      </c>
    </row>
    <row r="646" spans="1:2" ht="14.4">
      <c r="A646" s="6" t="s">
        <v>2240</v>
      </c>
      <c r="B646" s="21" t="s">
        <v>1887</v>
      </c>
    </row>
    <row r="647" spans="1:2" ht="14.4">
      <c r="A647" s="6" t="s">
        <v>2241</v>
      </c>
      <c r="B647" s="21" t="s">
        <v>1904</v>
      </c>
    </row>
    <row r="648" spans="1:2" ht="14.4">
      <c r="A648" s="6" t="s">
        <v>2242</v>
      </c>
      <c r="B648" s="21" t="s">
        <v>1904</v>
      </c>
    </row>
    <row r="649" spans="1:2" ht="14.4">
      <c r="A649" s="6" t="s">
        <v>2243</v>
      </c>
      <c r="B649" s="21" t="s">
        <v>1882</v>
      </c>
    </row>
    <row r="650" spans="1:2" ht="14.4">
      <c r="A650" s="6" t="s">
        <v>917</v>
      </c>
      <c r="B650" s="21" t="s">
        <v>1882</v>
      </c>
    </row>
    <row r="651" spans="1:2" ht="14.4">
      <c r="A651" s="6" t="s">
        <v>2244</v>
      </c>
      <c r="B651" s="21" t="s">
        <v>1907</v>
      </c>
    </row>
    <row r="652" spans="1:2" ht="14.4">
      <c r="A652" s="6" t="s">
        <v>1059</v>
      </c>
      <c r="B652" s="21" t="s">
        <v>1907</v>
      </c>
    </row>
    <row r="653" spans="1:2" ht="14.4">
      <c r="A653" s="6" t="s">
        <v>2245</v>
      </c>
      <c r="B653" s="21" t="s">
        <v>1861</v>
      </c>
    </row>
    <row r="654" spans="1:2" ht="14.4">
      <c r="A654" s="6" t="s">
        <v>2246</v>
      </c>
      <c r="B654" s="21" t="s">
        <v>1861</v>
      </c>
    </row>
    <row r="655" spans="1:2" ht="14.4">
      <c r="A655" s="6" t="s">
        <v>2247</v>
      </c>
      <c r="B655" s="21" t="s">
        <v>1884</v>
      </c>
    </row>
    <row r="656" spans="1:2" ht="14.4">
      <c r="A656" s="6" t="s">
        <v>827</v>
      </c>
      <c r="B656" s="21" t="s">
        <v>1884</v>
      </c>
    </row>
    <row r="657" spans="1:2" ht="14.4">
      <c r="A657" s="6" t="s">
        <v>2248</v>
      </c>
      <c r="B657" s="21" t="s">
        <v>1199</v>
      </c>
    </row>
    <row r="658" spans="1:2" ht="14.4">
      <c r="A658" s="6" t="s">
        <v>1001</v>
      </c>
      <c r="B658" s="21" t="s">
        <v>1910</v>
      </c>
    </row>
    <row r="659" spans="1:2" ht="14.4">
      <c r="A659" s="6" t="s">
        <v>2249</v>
      </c>
      <c r="B659" s="21" t="s">
        <v>1911</v>
      </c>
    </row>
    <row r="660" spans="1:2" ht="14.4">
      <c r="A660" s="6" t="s">
        <v>713</v>
      </c>
      <c r="B660" s="21" t="s">
        <v>1911</v>
      </c>
    </row>
    <row r="661" spans="1:2" ht="14.4">
      <c r="A661" s="6" t="s">
        <v>2250</v>
      </c>
      <c r="B661" s="21" t="s">
        <v>2251</v>
      </c>
    </row>
    <row r="662" spans="1:2" ht="14.4">
      <c r="A662" s="6" t="s">
        <v>2252</v>
      </c>
      <c r="B662" s="21" t="s">
        <v>2253</v>
      </c>
    </row>
    <row r="663" spans="1:2" ht="14.4">
      <c r="A663" s="6" t="s">
        <v>2254</v>
      </c>
      <c r="B663" s="21" t="s">
        <v>2255</v>
      </c>
    </row>
    <row r="664" spans="1:2" ht="14.4">
      <c r="A664" s="6" t="s">
        <v>2256</v>
      </c>
      <c r="B664" s="21" t="s">
        <v>2257</v>
      </c>
    </row>
    <row r="665" spans="1:2" ht="14.4">
      <c r="A665" s="6" t="s">
        <v>2258</v>
      </c>
      <c r="B665" s="21" t="s">
        <v>2259</v>
      </c>
    </row>
    <row r="666" spans="1:2" ht="14.4">
      <c r="A666" s="6" t="s">
        <v>2260</v>
      </c>
      <c r="B666" s="21" t="s">
        <v>1885</v>
      </c>
    </row>
    <row r="667" spans="1:2" ht="14.4">
      <c r="A667" s="6" t="s">
        <v>400</v>
      </c>
      <c r="B667" s="21" t="s">
        <v>1885</v>
      </c>
    </row>
    <row r="668" spans="1:2" ht="14.4">
      <c r="A668" s="6" t="s">
        <v>2261</v>
      </c>
      <c r="B668" s="21" t="s">
        <v>2262</v>
      </c>
    </row>
    <row r="669" spans="1:2" ht="14.4">
      <c r="A669" s="6" t="s">
        <v>2263</v>
      </c>
      <c r="B669" s="21" t="s">
        <v>2264</v>
      </c>
    </row>
    <row r="670" spans="1:2" ht="14.4">
      <c r="A670" s="6" t="s">
        <v>2265</v>
      </c>
      <c r="B670" s="21" t="s">
        <v>2266</v>
      </c>
    </row>
    <row r="671" spans="1:2" ht="14.4">
      <c r="A671" s="6" t="s">
        <v>2267</v>
      </c>
      <c r="B671" s="21" t="s">
        <v>2268</v>
      </c>
    </row>
    <row r="672" spans="1:2" ht="14.4">
      <c r="A672" s="6" t="s">
        <v>2269</v>
      </c>
      <c r="B672" s="21" t="s">
        <v>2270</v>
      </c>
    </row>
    <row r="673" spans="1:2" ht="14.4">
      <c r="A673" s="6" t="s">
        <v>2271</v>
      </c>
      <c r="B673" s="21" t="s">
        <v>2272</v>
      </c>
    </row>
    <row r="674" spans="1:2" ht="14.4">
      <c r="A674" s="6" t="s">
        <v>2273</v>
      </c>
      <c r="B674" s="21" t="s">
        <v>1914</v>
      </c>
    </row>
    <row r="675" spans="1:2" ht="14.4">
      <c r="A675" s="6" t="s">
        <v>2274</v>
      </c>
      <c r="B675" s="21" t="s">
        <v>1914</v>
      </c>
    </row>
    <row r="676" spans="1:2" ht="14.4">
      <c r="A676" s="6" t="s">
        <v>2275</v>
      </c>
      <c r="B676" s="21" t="s">
        <v>2276</v>
      </c>
    </row>
    <row r="677" spans="1:2" ht="14.4">
      <c r="A677" s="6" t="s">
        <v>2277</v>
      </c>
      <c r="B677" s="21" t="s">
        <v>2278</v>
      </c>
    </row>
    <row r="678" spans="1:2" ht="14.4">
      <c r="A678" s="6" t="s">
        <v>2279</v>
      </c>
      <c r="B678" s="21" t="s">
        <v>1858</v>
      </c>
    </row>
    <row r="679" spans="1:2" ht="14.4">
      <c r="A679" s="6" t="s">
        <v>649</v>
      </c>
      <c r="B679" s="21" t="s">
        <v>1858</v>
      </c>
    </row>
    <row r="680" spans="1:2" ht="14.4">
      <c r="A680" s="6" t="s">
        <v>2280</v>
      </c>
      <c r="B680" s="21" t="s">
        <v>2281</v>
      </c>
    </row>
    <row r="681" spans="1:2" ht="14.4">
      <c r="A681" s="6" t="s">
        <v>2282</v>
      </c>
      <c r="B681" s="21" t="s">
        <v>2283</v>
      </c>
    </row>
    <row r="682" spans="1:2" ht="14.4">
      <c r="A682" s="6" t="s">
        <v>2284</v>
      </c>
      <c r="B682" s="21" t="s">
        <v>2285</v>
      </c>
    </row>
    <row r="683" spans="1:2" ht="14.4">
      <c r="A683" s="6" t="s">
        <v>2286</v>
      </c>
      <c r="B683" s="21" t="s">
        <v>2287</v>
      </c>
    </row>
    <row r="684" spans="1:2" ht="14.4">
      <c r="A684" s="6" t="s">
        <v>2288</v>
      </c>
      <c r="B684" s="21" t="s">
        <v>2289</v>
      </c>
    </row>
    <row r="685" spans="1:2" ht="14.4">
      <c r="A685" s="6" t="s">
        <v>2290</v>
      </c>
      <c r="B685" s="21" t="s">
        <v>2291</v>
      </c>
    </row>
    <row r="686" spans="1:2" ht="14.4">
      <c r="A686" s="6" t="s">
        <v>2292</v>
      </c>
      <c r="B686" s="21" t="s">
        <v>1917</v>
      </c>
    </row>
    <row r="687" spans="1:2" ht="14.4">
      <c r="A687" s="6" t="s">
        <v>968</v>
      </c>
      <c r="B687" s="21" t="s">
        <v>1917</v>
      </c>
    </row>
    <row r="688" spans="1:2" ht="14.4">
      <c r="A688" s="6" t="s">
        <v>2293</v>
      </c>
      <c r="B688" s="21" t="s">
        <v>2294</v>
      </c>
    </row>
    <row r="689" spans="1:2" ht="14.4">
      <c r="A689" s="6" t="s">
        <v>2295</v>
      </c>
      <c r="B689" s="21" t="s">
        <v>1920</v>
      </c>
    </row>
    <row r="690" spans="1:2" ht="14.4">
      <c r="A690" s="6" t="s">
        <v>992</v>
      </c>
      <c r="B690" s="21" t="s">
        <v>1920</v>
      </c>
    </row>
    <row r="691" spans="1:2" ht="14.4">
      <c r="A691" s="6" t="s">
        <v>2296</v>
      </c>
      <c r="B691" s="21" t="s">
        <v>2297</v>
      </c>
    </row>
    <row r="692" spans="1:2" ht="14.4">
      <c r="A692" s="6" t="s">
        <v>2298</v>
      </c>
      <c r="B692" s="21" t="s">
        <v>2299</v>
      </c>
    </row>
    <row r="693" spans="1:2" ht="14.4">
      <c r="A693" s="6" t="s">
        <v>2300</v>
      </c>
      <c r="B693" s="21" t="s">
        <v>2301</v>
      </c>
    </row>
    <row r="694" spans="1:2" ht="14.4">
      <c r="A694" s="6" t="s">
        <v>2302</v>
      </c>
      <c r="B694" s="21" t="s">
        <v>2303</v>
      </c>
    </row>
    <row r="695" spans="1:2" ht="14.4">
      <c r="A695" s="6" t="s">
        <v>2304</v>
      </c>
      <c r="B695" s="21" t="s">
        <v>2305</v>
      </c>
    </row>
    <row r="696" spans="1:2" ht="14.4">
      <c r="A696" s="6" t="s">
        <v>2306</v>
      </c>
      <c r="B696" s="21" t="s">
        <v>2307</v>
      </c>
    </row>
    <row r="697" spans="1:2" ht="14.4">
      <c r="A697" s="6" t="s">
        <v>2308</v>
      </c>
      <c r="B697" s="21" t="s">
        <v>2309</v>
      </c>
    </row>
    <row r="698" spans="1:2" ht="14.4">
      <c r="A698" s="6" t="s">
        <v>2310</v>
      </c>
      <c r="B698" s="21" t="s">
        <v>2311</v>
      </c>
    </row>
    <row r="699" spans="1:2" ht="14.4">
      <c r="A699" s="6" t="s">
        <v>2312</v>
      </c>
      <c r="B699" s="21" t="s">
        <v>2313</v>
      </c>
    </row>
    <row r="700" spans="1:2" ht="14.4">
      <c r="A700" s="6" t="s">
        <v>2314</v>
      </c>
      <c r="B700" s="21" t="s">
        <v>2315</v>
      </c>
    </row>
    <row r="701" spans="1:2" ht="14.4">
      <c r="A701" s="6" t="s">
        <v>602</v>
      </c>
      <c r="B701" s="21" t="s">
        <v>1863</v>
      </c>
    </row>
    <row r="702" spans="1:2" ht="14.4">
      <c r="A702" s="6" t="s">
        <v>2238</v>
      </c>
      <c r="B702" s="21" t="s">
        <v>1863</v>
      </c>
    </row>
    <row r="703" spans="1:2" ht="14.4">
      <c r="A703" s="6" t="s">
        <v>2316</v>
      </c>
      <c r="B703" s="21" t="s">
        <v>2317</v>
      </c>
    </row>
    <row r="704" spans="1:2" ht="14.4">
      <c r="A704" s="6" t="s">
        <v>2318</v>
      </c>
      <c r="B704" s="21" t="s">
        <v>2319</v>
      </c>
    </row>
    <row r="705" spans="1:2" ht="14.4">
      <c r="A705" s="6" t="s">
        <v>2320</v>
      </c>
      <c r="B705" s="21" t="s">
        <v>2321</v>
      </c>
    </row>
    <row r="706" spans="1:2" ht="14.4">
      <c r="A706" s="6" t="s">
        <v>2322</v>
      </c>
      <c r="B706" s="21" t="s">
        <v>2323</v>
      </c>
    </row>
    <row r="707" spans="1:2" ht="14.4">
      <c r="A707" s="6" t="s">
        <v>2324</v>
      </c>
      <c r="B707" s="21" t="s">
        <v>2325</v>
      </c>
    </row>
    <row r="708" spans="1:2" ht="14.4">
      <c r="A708" s="6" t="s">
        <v>2326</v>
      </c>
      <c r="B708" s="21" t="s">
        <v>2327</v>
      </c>
    </row>
    <row r="709" spans="1:2" ht="14.4">
      <c r="A709" s="6" t="s">
        <v>2328</v>
      </c>
      <c r="B709" s="21" t="s">
        <v>2329</v>
      </c>
    </row>
    <row r="710" spans="1:2" ht="14.4">
      <c r="A710" s="6" t="s">
        <v>2330</v>
      </c>
      <c r="B710" s="21" t="s">
        <v>2331</v>
      </c>
    </row>
    <row r="711" spans="1:2" ht="14.4">
      <c r="A711" s="6" t="s">
        <v>2332</v>
      </c>
      <c r="B711" s="21" t="s">
        <v>1860</v>
      </c>
    </row>
    <row r="712" spans="1:2" ht="14.4">
      <c r="A712" s="6" t="s">
        <v>776</v>
      </c>
      <c r="B712" s="21" t="s">
        <v>1860</v>
      </c>
    </row>
    <row r="713" spans="1:2" ht="14.4">
      <c r="A713" s="6" t="s">
        <v>2333</v>
      </c>
      <c r="B713" s="21" t="s">
        <v>1923</v>
      </c>
    </row>
    <row r="714" spans="1:2" ht="14.4">
      <c r="A714" s="6" t="s">
        <v>2334</v>
      </c>
      <c r="B714" s="21" t="s">
        <v>1923</v>
      </c>
    </row>
    <row r="715" spans="1:2" ht="14.4">
      <c r="A715" s="6" t="s">
        <v>2335</v>
      </c>
      <c r="B715" s="21" t="s">
        <v>1856</v>
      </c>
    </row>
    <row r="716" spans="1:2" ht="14.4">
      <c r="A716" s="6" t="s">
        <v>2336</v>
      </c>
      <c r="B716" s="21" t="s">
        <v>1856</v>
      </c>
    </row>
    <row r="717" spans="1:2" ht="14.4">
      <c r="A717" s="6" t="s">
        <v>1034</v>
      </c>
      <c r="B717" s="21" t="s">
        <v>2337</v>
      </c>
    </row>
    <row r="718" spans="1:2" ht="14.4">
      <c r="A718" s="6" t="s">
        <v>2338</v>
      </c>
      <c r="B718" s="21" t="s">
        <v>2339</v>
      </c>
    </row>
    <row r="719" spans="1:2" ht="14.4">
      <c r="A719" s="6" t="s">
        <v>2340</v>
      </c>
      <c r="B719" s="21" t="s">
        <v>1211</v>
      </c>
    </row>
    <row r="720" spans="1:2" ht="14.4">
      <c r="A720" s="6" t="s">
        <v>2340</v>
      </c>
      <c r="B720" s="21" t="s">
        <v>2341</v>
      </c>
    </row>
    <row r="721" spans="1:2" ht="14.4">
      <c r="A721" s="6" t="s">
        <v>2342</v>
      </c>
      <c r="B721" s="21" t="s">
        <v>1682</v>
      </c>
    </row>
    <row r="722" spans="1:2" ht="14.4">
      <c r="A722" s="6" t="s">
        <v>791</v>
      </c>
      <c r="B722" s="21" t="s">
        <v>2343</v>
      </c>
    </row>
    <row r="723" spans="1:2" ht="14.4">
      <c r="A723" s="6" t="s">
        <v>145</v>
      </c>
      <c r="B723" s="21" t="s">
        <v>1837</v>
      </c>
    </row>
    <row r="724" spans="1:2" ht="14.4">
      <c r="A724" s="6" t="s">
        <v>505</v>
      </c>
      <c r="B724" s="21" t="s">
        <v>1837</v>
      </c>
    </row>
    <row r="725" spans="1:2" ht="14.4">
      <c r="A725" s="6" t="s">
        <v>444</v>
      </c>
      <c r="B725" s="21" t="s">
        <v>1957</v>
      </c>
    </row>
    <row r="726" spans="1:2" ht="14.4">
      <c r="A726" s="6" t="s">
        <v>343</v>
      </c>
      <c r="B726" s="21" t="s">
        <v>1686</v>
      </c>
    </row>
    <row r="727" spans="1:2" ht="14.4">
      <c r="A727" s="6" t="s">
        <v>307</v>
      </c>
      <c r="B727" s="21" t="s">
        <v>1960</v>
      </c>
    </row>
    <row r="728" spans="1:2" ht="14.4">
      <c r="A728" s="6" t="s">
        <v>322</v>
      </c>
      <c r="B728" s="21" t="s">
        <v>1892</v>
      </c>
    </row>
    <row r="729" spans="1:2" ht="14.4">
      <c r="A729" s="6" t="s">
        <v>427</v>
      </c>
      <c r="B729" s="21" t="s">
        <v>1963</v>
      </c>
    </row>
    <row r="730" spans="1:2" ht="14.4">
      <c r="A730" s="6" t="s">
        <v>203</v>
      </c>
      <c r="B730" s="21" t="s">
        <v>1894</v>
      </c>
    </row>
    <row r="731" spans="1:2" ht="14.4">
      <c r="A731" s="6" t="s">
        <v>136</v>
      </c>
      <c r="B731" s="21" t="s">
        <v>1895</v>
      </c>
    </row>
    <row r="732" spans="1:2" ht="14.4">
      <c r="A732" s="6" t="s">
        <v>512</v>
      </c>
      <c r="B732" s="21" t="s">
        <v>1966</v>
      </c>
    </row>
    <row r="733" spans="1:2" ht="14.4">
      <c r="A733" s="6" t="s">
        <v>533</v>
      </c>
      <c r="B733" s="21" t="s">
        <v>1897</v>
      </c>
    </row>
    <row r="734" spans="1:2" ht="14.4">
      <c r="A734" s="6" t="s">
        <v>157</v>
      </c>
      <c r="B734" s="21" t="s">
        <v>1770</v>
      </c>
    </row>
    <row r="735" spans="1:2" ht="14.4">
      <c r="A735" s="6" t="s">
        <v>88</v>
      </c>
      <c r="B735" s="21" t="s">
        <v>1945</v>
      </c>
    </row>
    <row r="736" spans="1:2" ht="14.4">
      <c r="A736" s="6" t="s">
        <v>2344</v>
      </c>
      <c r="B736" s="21" t="s">
        <v>1945</v>
      </c>
    </row>
    <row r="737" spans="1:2" ht="14.4">
      <c r="A737" s="6" t="s">
        <v>680</v>
      </c>
      <c r="B737" s="21" t="s">
        <v>1843</v>
      </c>
    </row>
    <row r="738" spans="1:2" ht="14.4">
      <c r="A738" s="6" t="s">
        <v>260</v>
      </c>
      <c r="B738" s="21" t="s">
        <v>1772</v>
      </c>
    </row>
    <row r="739" spans="1:2" ht="14.4">
      <c r="A739" s="6" t="s">
        <v>200</v>
      </c>
      <c r="B739" s="21" t="s">
        <v>1844</v>
      </c>
    </row>
    <row r="740" spans="1:2" ht="14.4">
      <c r="A740" s="6" t="s">
        <v>334</v>
      </c>
      <c r="B740" s="21" t="s">
        <v>1926</v>
      </c>
    </row>
    <row r="741" spans="1:2" ht="14.4">
      <c r="A741" s="6" t="s">
        <v>304</v>
      </c>
      <c r="B741" s="21" t="s">
        <v>1942</v>
      </c>
    </row>
    <row r="742" spans="1:2" ht="14.4">
      <c r="A742" s="6" t="s">
        <v>1079</v>
      </c>
      <c r="B742" s="21" t="s">
        <v>1942</v>
      </c>
    </row>
    <row r="743" spans="1:2" ht="14.4">
      <c r="A743" s="6" t="s">
        <v>227</v>
      </c>
      <c r="B743" s="21" t="s">
        <v>1954</v>
      </c>
    </row>
    <row r="744" spans="1:2" ht="14.4">
      <c r="A744" s="6" t="s">
        <v>242</v>
      </c>
      <c r="B744" s="21" t="s">
        <v>1951</v>
      </c>
    </row>
    <row r="745" spans="1:2" ht="14.4">
      <c r="A745" s="6" t="s">
        <v>349</v>
      </c>
      <c r="B745" s="21" t="s">
        <v>1768</v>
      </c>
    </row>
    <row r="746" spans="1:2" ht="14.4">
      <c r="A746" s="6" t="s">
        <v>206</v>
      </c>
      <c r="B746" s="21" t="s">
        <v>1758</v>
      </c>
    </row>
    <row r="747" spans="1:2" ht="14.4">
      <c r="A747" s="6" t="s">
        <v>218</v>
      </c>
      <c r="B747" s="21" t="s">
        <v>237</v>
      </c>
    </row>
    <row r="748" spans="1:2" ht="14.4">
      <c r="A748" s="6" t="s">
        <v>236</v>
      </c>
      <c r="B748" s="21" t="s">
        <v>237</v>
      </c>
    </row>
    <row r="749" spans="1:2" ht="14.4">
      <c r="A749" s="6" t="s">
        <v>239</v>
      </c>
      <c r="B749" s="21" t="s">
        <v>1782</v>
      </c>
    </row>
    <row r="750" spans="1:2" ht="14.4">
      <c r="A750" s="6" t="s">
        <v>674</v>
      </c>
      <c r="B750" s="21" t="s">
        <v>2345</v>
      </c>
    </row>
    <row r="751" spans="1:2" ht="14.4">
      <c r="A751" s="6" t="s">
        <v>821</v>
      </c>
      <c r="B751" s="21" t="s">
        <v>2040</v>
      </c>
    </row>
    <row r="752" spans="1:2" ht="14.4">
      <c r="A752" s="6" t="s">
        <v>2346</v>
      </c>
      <c r="B752" s="21" t="s">
        <v>2040</v>
      </c>
    </row>
    <row r="753" spans="1:2" ht="14.4">
      <c r="A753" s="6" t="s">
        <v>2347</v>
      </c>
      <c r="B753" s="21" t="s">
        <v>1218</v>
      </c>
    </row>
    <row r="754" spans="1:2" ht="14.4">
      <c r="A754" s="6" t="s">
        <v>2348</v>
      </c>
      <c r="B754" s="21" t="s">
        <v>1218</v>
      </c>
    </row>
    <row r="755" spans="1:2" ht="14.4">
      <c r="A755" s="6" t="s">
        <v>2349</v>
      </c>
      <c r="B755" s="21" t="s">
        <v>1218</v>
      </c>
    </row>
    <row r="756" spans="1:2" ht="14.4">
      <c r="A756" s="6" t="s">
        <v>2350</v>
      </c>
      <c r="B756" s="21" t="s">
        <v>1218</v>
      </c>
    </row>
    <row r="757" spans="1:2" ht="14.4">
      <c r="A757" s="6" t="s">
        <v>2351</v>
      </c>
      <c r="B757" s="21" t="s">
        <v>1218</v>
      </c>
    </row>
    <row r="758" spans="1:2" ht="14.4">
      <c r="A758" s="6" t="s">
        <v>2352</v>
      </c>
      <c r="B758" s="21" t="s">
        <v>2078</v>
      </c>
    </row>
    <row r="759" spans="1:2" ht="14.4">
      <c r="A759" s="6" t="s">
        <v>2353</v>
      </c>
      <c r="B759" s="21" t="s">
        <v>2055</v>
      </c>
    </row>
    <row r="760" spans="1:2" ht="14.4">
      <c r="A760" s="6" t="s">
        <v>859</v>
      </c>
      <c r="B760" s="21" t="s">
        <v>2055</v>
      </c>
    </row>
    <row r="761" spans="1:2" ht="14.4">
      <c r="A761" s="6" t="s">
        <v>2354</v>
      </c>
      <c r="B761" s="21" t="s">
        <v>2055</v>
      </c>
    </row>
    <row r="762" spans="1:2" ht="14.4">
      <c r="A762" s="6" t="s">
        <v>521</v>
      </c>
      <c r="B762" s="21" t="s">
        <v>2055</v>
      </c>
    </row>
    <row r="763" spans="1:2" ht="14.4">
      <c r="A763" s="6" t="s">
        <v>396</v>
      </c>
      <c r="B763" s="21" t="s">
        <v>2055</v>
      </c>
    </row>
    <row r="764" spans="1:2" ht="14.4">
      <c r="A764" s="6" t="s">
        <v>889</v>
      </c>
      <c r="B764" s="21" t="s">
        <v>2055</v>
      </c>
    </row>
    <row r="765" spans="1:2" ht="14.4">
      <c r="A765" s="6" t="s">
        <v>2355</v>
      </c>
      <c r="B765" s="21" t="s">
        <v>2041</v>
      </c>
    </row>
    <row r="766" spans="1:2" ht="14.4">
      <c r="A766" s="6" t="s">
        <v>2356</v>
      </c>
      <c r="B766" s="21" t="s">
        <v>2036</v>
      </c>
    </row>
    <row r="767" spans="1:2" ht="14.4">
      <c r="A767" s="6" t="s">
        <v>2357</v>
      </c>
      <c r="B767" s="21" t="s">
        <v>2036</v>
      </c>
    </row>
    <row r="768" spans="1:2" ht="14.4">
      <c r="A768" s="6" t="s">
        <v>2358</v>
      </c>
      <c r="B768" s="21" t="s">
        <v>2036</v>
      </c>
    </row>
    <row r="769" spans="1:2" ht="14.4">
      <c r="A769" s="6" t="s">
        <v>2359</v>
      </c>
      <c r="B769" s="21" t="s">
        <v>1985</v>
      </c>
    </row>
    <row r="770" spans="1:2" ht="14.4">
      <c r="A770" s="6" t="s">
        <v>2360</v>
      </c>
      <c r="B770" s="21" t="s">
        <v>1985</v>
      </c>
    </row>
    <row r="771" spans="1:2" ht="14.4">
      <c r="A771" s="6" t="s">
        <v>2361</v>
      </c>
      <c r="B771" s="21" t="s">
        <v>2362</v>
      </c>
    </row>
    <row r="772" spans="1:2" ht="14.4">
      <c r="A772" s="6" t="s">
        <v>233</v>
      </c>
      <c r="B772" s="21" t="s">
        <v>234</v>
      </c>
    </row>
    <row r="773" spans="1:2" ht="14.4">
      <c r="A773" s="6" t="s">
        <v>1082</v>
      </c>
      <c r="B773" s="21" t="s">
        <v>2019</v>
      </c>
    </row>
    <row r="774" spans="1:2" ht="14.4">
      <c r="A774" s="6" t="s">
        <v>2361</v>
      </c>
      <c r="B774" s="21" t="s">
        <v>2019</v>
      </c>
    </row>
    <row r="775" spans="1:2" ht="14.4">
      <c r="A775" s="6" t="s">
        <v>2363</v>
      </c>
      <c r="B775" s="21" t="s">
        <v>2185</v>
      </c>
    </row>
    <row r="776" spans="1:2" ht="14.4">
      <c r="A776" s="6" t="s">
        <v>2364</v>
      </c>
      <c r="B776" s="21" t="s">
        <v>2187</v>
      </c>
    </row>
    <row r="777" spans="1:2" ht="14.4">
      <c r="A777" s="6" t="s">
        <v>2365</v>
      </c>
      <c r="B777" s="21" t="s">
        <v>1749</v>
      </c>
    </row>
    <row r="778" spans="1:2" ht="14.4">
      <c r="A778" s="6" t="s">
        <v>1142</v>
      </c>
      <c r="B778" s="21" t="s">
        <v>1749</v>
      </c>
    </row>
    <row r="779" spans="1:2" ht="14.4">
      <c r="A779" s="6" t="s">
        <v>2366</v>
      </c>
      <c r="B779" s="21" t="s">
        <v>1749</v>
      </c>
    </row>
    <row r="780" spans="1:2" ht="14.4">
      <c r="A780" s="6" t="s">
        <v>2366</v>
      </c>
      <c r="B780" s="21" t="s">
        <v>1749</v>
      </c>
    </row>
    <row r="781" spans="1:2" ht="14.4">
      <c r="A781" s="6" t="s">
        <v>1165</v>
      </c>
      <c r="B781" s="21" t="s">
        <v>1986</v>
      </c>
    </row>
    <row r="782" spans="1:2" ht="14.4">
      <c r="A782" s="6" t="s">
        <v>2367</v>
      </c>
      <c r="B782" s="21" t="s">
        <v>1986</v>
      </c>
    </row>
    <row r="783" spans="1:2" ht="14.4">
      <c r="A783" s="6" t="s">
        <v>2368</v>
      </c>
      <c r="B783" s="21" t="s">
        <v>1986</v>
      </c>
    </row>
    <row r="784" spans="1:2" ht="14.4">
      <c r="A784" s="6" t="s">
        <v>162</v>
      </c>
      <c r="B784" s="21" t="s">
        <v>1488</v>
      </c>
    </row>
    <row r="785" spans="1:2" ht="14.4">
      <c r="A785" s="6" t="s">
        <v>2369</v>
      </c>
      <c r="B785" s="21" t="s">
        <v>1488</v>
      </c>
    </row>
    <row r="786" spans="1:2" ht="14.4">
      <c r="A786" s="6" t="s">
        <v>2370</v>
      </c>
      <c r="B786" s="21" t="s">
        <v>1488</v>
      </c>
    </row>
    <row r="787" spans="1:2" ht="14.4">
      <c r="A787" s="6" t="s">
        <v>112</v>
      </c>
      <c r="B787" s="21" t="s">
        <v>1688</v>
      </c>
    </row>
    <row r="788" spans="1:2" ht="14.4">
      <c r="A788" s="6" t="s">
        <v>2371</v>
      </c>
      <c r="B788" s="21" t="s">
        <v>1529</v>
      </c>
    </row>
    <row r="789" spans="1:2" ht="14.4">
      <c r="A789" s="6" t="s">
        <v>142</v>
      </c>
      <c r="B789" s="21" t="s">
        <v>1529</v>
      </c>
    </row>
    <row r="790" spans="1:2" ht="14.4">
      <c r="A790" s="6" t="s">
        <v>491</v>
      </c>
      <c r="B790" s="21" t="s">
        <v>1529</v>
      </c>
    </row>
    <row r="791" spans="1:2" ht="14.4">
      <c r="A791" s="6" t="s">
        <v>2372</v>
      </c>
      <c r="B791" s="21" t="s">
        <v>1529</v>
      </c>
    </row>
    <row r="792" spans="1:2" ht="14.4">
      <c r="A792" s="6" t="s">
        <v>2372</v>
      </c>
      <c r="B792" s="21" t="s">
        <v>1529</v>
      </c>
    </row>
    <row r="793" spans="1:2" ht="14.4">
      <c r="A793" s="6" t="s">
        <v>659</v>
      </c>
      <c r="B793" s="21" t="s">
        <v>1655</v>
      </c>
    </row>
    <row r="794" spans="1:2" ht="14.4">
      <c r="A794" s="6" t="s">
        <v>2373</v>
      </c>
      <c r="B794" s="21" t="s">
        <v>1655</v>
      </c>
    </row>
    <row r="795" spans="1:2" ht="14.4">
      <c r="A795" s="6" t="s">
        <v>668</v>
      </c>
      <c r="B795" s="21" t="s">
        <v>669</v>
      </c>
    </row>
    <row r="796" spans="1:2" ht="14.4">
      <c r="A796" s="6" t="s">
        <v>438</v>
      </c>
      <c r="B796" s="21" t="s">
        <v>439</v>
      </c>
    </row>
    <row r="797" spans="1:2" ht="14.4">
      <c r="A797" s="6" t="s">
        <v>646</v>
      </c>
      <c r="B797" s="21" t="s">
        <v>439</v>
      </c>
    </row>
    <row r="798" spans="1:2" ht="14.4">
      <c r="A798" s="6" t="s">
        <v>2374</v>
      </c>
      <c r="B798" s="21" t="s">
        <v>2375</v>
      </c>
    </row>
    <row r="799" spans="1:2" ht="14.4">
      <c r="A799" s="6" t="s">
        <v>2376</v>
      </c>
      <c r="B799" s="21" t="s">
        <v>1383</v>
      </c>
    </row>
    <row r="800" spans="1:2" ht="14.4">
      <c r="A800" s="6" t="s">
        <v>1180</v>
      </c>
      <c r="B800" s="21" t="s">
        <v>1383</v>
      </c>
    </row>
    <row r="801" spans="1:2" ht="14.4">
      <c r="A801" s="6" t="s">
        <v>2377</v>
      </c>
      <c r="B801" s="21" t="s">
        <v>1616</v>
      </c>
    </row>
    <row r="802" spans="1:2" ht="14.4">
      <c r="A802" s="6" t="s">
        <v>2378</v>
      </c>
      <c r="B802" s="21" t="s">
        <v>1619</v>
      </c>
    </row>
    <row r="803" spans="1:2" ht="14.4">
      <c r="A803" s="6" t="s">
        <v>2379</v>
      </c>
      <c r="B803" s="21" t="s">
        <v>1621</v>
      </c>
    </row>
    <row r="804" spans="1:2" ht="14.4">
      <c r="A804" s="6" t="s">
        <v>2380</v>
      </c>
      <c r="B804" s="21" t="s">
        <v>1621</v>
      </c>
    </row>
    <row r="805" spans="1:2" ht="14.4">
      <c r="A805" s="6" t="s">
        <v>2381</v>
      </c>
      <c r="B805" s="21" t="s">
        <v>2382</v>
      </c>
    </row>
    <row r="806" spans="1:2" ht="14.4">
      <c r="A806" s="6" t="s">
        <v>2383</v>
      </c>
      <c r="B806" s="21" t="s">
        <v>1624</v>
      </c>
    </row>
    <row r="807" spans="1:2" ht="14.4">
      <c r="A807" s="6" t="s">
        <v>2384</v>
      </c>
      <c r="B807" s="21" t="s">
        <v>1624</v>
      </c>
    </row>
    <row r="808" spans="1:2" ht="14.4">
      <c r="A808" s="6" t="s">
        <v>2385</v>
      </c>
      <c r="B808" s="21" t="s">
        <v>1752</v>
      </c>
    </row>
    <row r="809" spans="1:2" ht="14.4">
      <c r="A809" s="6" t="s">
        <v>310</v>
      </c>
      <c r="B809" s="21" t="s">
        <v>1752</v>
      </c>
    </row>
    <row r="810" spans="1:2" ht="14.4">
      <c r="A810" s="6" t="s">
        <v>2386</v>
      </c>
      <c r="B810" s="21" t="s">
        <v>1752</v>
      </c>
    </row>
    <row r="811" spans="1:2" ht="14.4">
      <c r="A811" s="6" t="s">
        <v>2381</v>
      </c>
      <c r="B811" s="21" t="s">
        <v>1752</v>
      </c>
    </row>
    <row r="812" spans="1:2" ht="14.4">
      <c r="A812" s="6" t="s">
        <v>736</v>
      </c>
      <c r="B812" s="21" t="s">
        <v>1495</v>
      </c>
    </row>
    <row r="813" spans="1:2" ht="14.4">
      <c r="A813" s="6" t="s">
        <v>581</v>
      </c>
      <c r="B813" s="21" t="s">
        <v>1495</v>
      </c>
    </row>
    <row r="814" spans="1:2" ht="14.4">
      <c r="A814" s="6" t="s">
        <v>575</v>
      </c>
      <c r="B814" s="21" t="s">
        <v>2387</v>
      </c>
    </row>
    <row r="815" spans="1:2" ht="14.4">
      <c r="A815" s="6" t="s">
        <v>2388</v>
      </c>
      <c r="B815" s="21" t="s">
        <v>1836</v>
      </c>
    </row>
    <row r="816" spans="1:2" ht="14.4">
      <c r="A816" s="6" t="s">
        <v>64</v>
      </c>
      <c r="B816" s="21" t="s">
        <v>1836</v>
      </c>
    </row>
    <row r="817" spans="1:2" ht="14.4">
      <c r="A817" s="6" t="s">
        <v>2389</v>
      </c>
      <c r="B817" s="21" t="s">
        <v>1836</v>
      </c>
    </row>
    <row r="818" spans="1:2" ht="14.4">
      <c r="A818" s="6" t="s">
        <v>85</v>
      </c>
      <c r="B818" s="21" t="s">
        <v>1671</v>
      </c>
    </row>
    <row r="819" spans="1:2" ht="14.4">
      <c r="A819" s="6" t="s">
        <v>752</v>
      </c>
      <c r="B819" s="21" t="s">
        <v>1671</v>
      </c>
    </row>
    <row r="820" spans="1:2" ht="14.4">
      <c r="A820" s="6" t="s">
        <v>2389</v>
      </c>
      <c r="B820" s="21" t="s">
        <v>1671</v>
      </c>
    </row>
    <row r="821" spans="1:2" ht="14.4">
      <c r="A821" s="6" t="s">
        <v>2390</v>
      </c>
      <c r="B821" s="21" t="s">
        <v>1744</v>
      </c>
    </row>
    <row r="822" spans="1:2" ht="14.4">
      <c r="A822" s="6" t="s">
        <v>2391</v>
      </c>
      <c r="B822" s="21" t="s">
        <v>2006</v>
      </c>
    </row>
    <row r="823" spans="1:2" ht="14.4">
      <c r="A823" s="6" t="s">
        <v>2392</v>
      </c>
      <c r="B823" s="21" t="s">
        <v>1442</v>
      </c>
    </row>
    <row r="824" spans="1:2" ht="14.4">
      <c r="A824" s="6" t="s">
        <v>67</v>
      </c>
      <c r="B824" s="21" t="s">
        <v>1442</v>
      </c>
    </row>
    <row r="825" spans="1:2" ht="14.4">
      <c r="A825" s="6" t="s">
        <v>2393</v>
      </c>
      <c r="B825" s="21" t="s">
        <v>1442</v>
      </c>
    </row>
    <row r="826" spans="1:2" ht="14.4">
      <c r="A826" s="6" t="s">
        <v>2394</v>
      </c>
      <c r="B826" s="21" t="s">
        <v>2154</v>
      </c>
    </row>
    <row r="827" spans="1:2" ht="14.4">
      <c r="A827" s="6" t="s">
        <v>280</v>
      </c>
      <c r="B827" s="21" t="s">
        <v>2154</v>
      </c>
    </row>
    <row r="828" spans="1:2" ht="14.4">
      <c r="A828" s="6" t="s">
        <v>2395</v>
      </c>
      <c r="B828" s="21" t="s">
        <v>2160</v>
      </c>
    </row>
    <row r="829" spans="1:2" ht="14.4">
      <c r="A829" s="6" t="s">
        <v>2396</v>
      </c>
      <c r="B829" s="21" t="s">
        <v>2156</v>
      </c>
    </row>
    <row r="830" spans="1:2" ht="14.4">
      <c r="A830" s="6" t="s">
        <v>2397</v>
      </c>
      <c r="B830" s="21" t="s">
        <v>2162</v>
      </c>
    </row>
    <row r="831" spans="1:2" ht="14.4">
      <c r="A831" s="6" t="s">
        <v>2398</v>
      </c>
      <c r="B831" s="21" t="s">
        <v>2158</v>
      </c>
    </row>
    <row r="832" spans="1:2" ht="14.4">
      <c r="A832" s="6" t="s">
        <v>818</v>
      </c>
      <c r="B832" s="38" t="s">
        <v>819</v>
      </c>
    </row>
    <row r="833" spans="1:2" ht="14.4">
      <c r="A833" s="6" t="s">
        <v>2399</v>
      </c>
      <c r="B833" s="21" t="s">
        <v>2400</v>
      </c>
    </row>
    <row r="834" spans="1:2" ht="14.4">
      <c r="A834" s="6" t="s">
        <v>31</v>
      </c>
      <c r="B834" s="21" t="s">
        <v>2181</v>
      </c>
    </row>
    <row r="835" spans="1:2" ht="14.4">
      <c r="A835" s="6" t="s">
        <v>2401</v>
      </c>
      <c r="B835" s="21" t="s">
        <v>1553</v>
      </c>
    </row>
    <row r="836" spans="1:2" ht="14.4">
      <c r="A836" s="6" t="s">
        <v>2402</v>
      </c>
      <c r="B836" s="21" t="s">
        <v>1561</v>
      </c>
    </row>
    <row r="837" spans="1:2" ht="14.4">
      <c r="A837" s="6" t="s">
        <v>2403</v>
      </c>
      <c r="B837" s="21" t="s">
        <v>1575</v>
      </c>
    </row>
    <row r="838" spans="1:2" ht="14.4">
      <c r="A838" s="6" t="s">
        <v>1103</v>
      </c>
      <c r="B838" s="21" t="s">
        <v>1583</v>
      </c>
    </row>
    <row r="839" spans="1:2" ht="14.4">
      <c r="A839" s="6" t="s">
        <v>2404</v>
      </c>
      <c r="B839" s="21" t="s">
        <v>1564</v>
      </c>
    </row>
    <row r="840" spans="1:2" ht="14.4">
      <c r="A840" s="6" t="s">
        <v>2405</v>
      </c>
      <c r="B840" s="21" t="s">
        <v>1565</v>
      </c>
    </row>
    <row r="841" spans="1:2" ht="14.4">
      <c r="A841" s="6" t="s">
        <v>2406</v>
      </c>
      <c r="B841" s="21" t="s">
        <v>1593</v>
      </c>
    </row>
    <row r="842" spans="1:2" ht="14.4">
      <c r="A842" s="6" t="s">
        <v>2407</v>
      </c>
      <c r="B842" s="21" t="s">
        <v>1596</v>
      </c>
    </row>
    <row r="843" spans="1:2" ht="14.4">
      <c r="A843" s="6" t="s">
        <v>1046</v>
      </c>
      <c r="B843" s="21" t="s">
        <v>1596</v>
      </c>
    </row>
    <row r="844" spans="1:2" ht="14.4">
      <c r="A844" s="6" t="s">
        <v>2408</v>
      </c>
      <c r="B844" s="21" t="s">
        <v>1584</v>
      </c>
    </row>
    <row r="845" spans="1:2" ht="14.4">
      <c r="A845" s="6" t="s">
        <v>2409</v>
      </c>
      <c r="B845" s="21" t="s">
        <v>1586</v>
      </c>
    </row>
    <row r="846" spans="1:2" ht="14.4">
      <c r="A846" s="6" t="s">
        <v>643</v>
      </c>
      <c r="B846" s="21" t="s">
        <v>1602</v>
      </c>
    </row>
    <row r="847" spans="1:2" ht="14.4">
      <c r="A847" s="6" t="s">
        <v>2410</v>
      </c>
      <c r="B847" s="21" t="s">
        <v>1568</v>
      </c>
    </row>
    <row r="848" spans="1:2" ht="14.4">
      <c r="A848" s="6" t="s">
        <v>2411</v>
      </c>
      <c r="B848" s="21" t="s">
        <v>1569</v>
      </c>
    </row>
    <row r="849" spans="1:2" ht="14.4">
      <c r="A849" s="6" t="s">
        <v>2412</v>
      </c>
      <c r="B849" s="21" t="s">
        <v>1572</v>
      </c>
    </row>
    <row r="850" spans="1:2" ht="14.4">
      <c r="A850" s="6" t="s">
        <v>2413</v>
      </c>
      <c r="B850" s="21" t="s">
        <v>1589</v>
      </c>
    </row>
    <row r="851" spans="1:2" ht="14.4">
      <c r="A851" s="6" t="s">
        <v>2414</v>
      </c>
      <c r="B851" s="21" t="s">
        <v>1611</v>
      </c>
    </row>
    <row r="852" spans="1:2" ht="14.4">
      <c r="A852" s="6" t="s">
        <v>1112</v>
      </c>
      <c r="B852" s="21" t="s">
        <v>1578</v>
      </c>
    </row>
    <row r="853" spans="1:2" ht="14.4">
      <c r="A853" s="6" t="s">
        <v>883</v>
      </c>
      <c r="B853" s="21" t="s">
        <v>1554</v>
      </c>
    </row>
    <row r="854" spans="1:2" ht="14.4">
      <c r="A854" s="6" t="s">
        <v>2415</v>
      </c>
      <c r="B854" s="21" t="s">
        <v>1556</v>
      </c>
    </row>
    <row r="855" spans="1:2" ht="14.4">
      <c r="A855" s="6" t="s">
        <v>1106</v>
      </c>
      <c r="B855" s="21" t="s">
        <v>1614</v>
      </c>
    </row>
    <row r="856" spans="1:2" ht="14.4">
      <c r="A856" s="6" t="s">
        <v>770</v>
      </c>
      <c r="B856" s="21" t="s">
        <v>1559</v>
      </c>
    </row>
    <row r="857" spans="1:2" ht="14.4">
      <c r="A857" s="6" t="s">
        <v>2338</v>
      </c>
      <c r="B857" s="21" t="s">
        <v>1559</v>
      </c>
    </row>
    <row r="858" spans="1:2" ht="14.4">
      <c r="A858" s="6" t="s">
        <v>2416</v>
      </c>
      <c r="B858" s="21" t="s">
        <v>1559</v>
      </c>
    </row>
    <row r="859" spans="1:2" ht="14.4">
      <c r="A859" s="6" t="s">
        <v>989</v>
      </c>
      <c r="B859" s="21" t="s">
        <v>1581</v>
      </c>
    </row>
    <row r="860" spans="1:2" ht="14.4">
      <c r="A860" s="6" t="s">
        <v>1052</v>
      </c>
      <c r="B860" s="21" t="s">
        <v>2011</v>
      </c>
    </row>
    <row r="861" spans="1:2" ht="14.4">
      <c r="A861" s="6" t="s">
        <v>2417</v>
      </c>
      <c r="B861" s="21" t="s">
        <v>2418</v>
      </c>
    </row>
    <row r="862" spans="1:2" ht="14.4">
      <c r="A862" s="6" t="s">
        <v>2419</v>
      </c>
      <c r="B862" s="21" t="s">
        <v>2420</v>
      </c>
    </row>
    <row r="863" spans="1:2" ht="14.4">
      <c r="A863" s="6" t="s">
        <v>2421</v>
      </c>
      <c r="B863" s="21" t="s">
        <v>2422</v>
      </c>
    </row>
    <row r="864" spans="1:2" ht="14.4">
      <c r="A864" s="6" t="s">
        <v>2423</v>
      </c>
      <c r="B864" s="21" t="s">
        <v>2424</v>
      </c>
    </row>
    <row r="865" spans="1:2" ht="14.4">
      <c r="A865" s="6" t="s">
        <v>2425</v>
      </c>
      <c r="B865" s="21" t="s">
        <v>2031</v>
      </c>
    </row>
    <row r="866" spans="1:2" ht="14.4">
      <c r="A866" s="6" t="s">
        <v>197</v>
      </c>
      <c r="B866" s="21" t="s">
        <v>2009</v>
      </c>
    </row>
    <row r="867" spans="1:2" ht="14.4">
      <c r="A867" s="6" t="s">
        <v>2426</v>
      </c>
      <c r="B867" s="21" t="s">
        <v>2427</v>
      </c>
    </row>
    <row r="868" spans="1:2" ht="14.4">
      <c r="A868" s="6" t="s">
        <v>2428</v>
      </c>
      <c r="B868" s="21" t="s">
        <v>1852</v>
      </c>
    </row>
    <row r="869" spans="1:2" ht="14.4">
      <c r="A869" s="6" t="s">
        <v>2429</v>
      </c>
      <c r="B869" s="21" t="s">
        <v>1852</v>
      </c>
    </row>
    <row r="870" spans="1:2" ht="14.4">
      <c r="A870" s="6" t="s">
        <v>2430</v>
      </c>
      <c r="B870" s="21" t="s">
        <v>1232</v>
      </c>
    </row>
    <row r="871" spans="1:2" ht="14.4">
      <c r="A871" s="6" t="s">
        <v>1100</v>
      </c>
      <c r="B871" s="21" t="s">
        <v>1888</v>
      </c>
    </row>
    <row r="872" spans="1:2" ht="14.4">
      <c r="A872" s="6" t="s">
        <v>2431</v>
      </c>
      <c r="B872" s="21" t="s">
        <v>1888</v>
      </c>
    </row>
    <row r="873" spans="1:2" ht="14.4">
      <c r="A873" s="6" t="s">
        <v>2432</v>
      </c>
      <c r="B873" s="21" t="s">
        <v>1889</v>
      </c>
    </row>
    <row r="874" spans="1:2" ht="14.4">
      <c r="A874" s="6" t="s">
        <v>124</v>
      </c>
      <c r="B874" s="21" t="s">
        <v>1969</v>
      </c>
    </row>
    <row r="875" spans="1:2" ht="14.4">
      <c r="A875" s="6" t="s">
        <v>1025</v>
      </c>
      <c r="B875" s="21" t="s">
        <v>1969</v>
      </c>
    </row>
    <row r="876" spans="1:2" ht="14.4">
      <c r="A876" s="6" t="s">
        <v>2433</v>
      </c>
      <c r="B876" s="21" t="s">
        <v>1755</v>
      </c>
    </row>
    <row r="877" spans="1:2" ht="14.4">
      <c r="A877" s="6" t="s">
        <v>70</v>
      </c>
      <c r="B877" s="21" t="s">
        <v>1755</v>
      </c>
    </row>
    <row r="878" spans="1:2" ht="14.4">
      <c r="A878" s="6" t="s">
        <v>2434</v>
      </c>
      <c r="B878" s="21" t="s">
        <v>1420</v>
      </c>
    </row>
    <row r="879" spans="1:2" ht="14.4">
      <c r="A879" s="6" t="s">
        <v>2435</v>
      </c>
      <c r="B879" s="21" t="s">
        <v>1248</v>
      </c>
    </row>
    <row r="880" spans="1:2" ht="14.4">
      <c r="A880" s="6" t="s">
        <v>2436</v>
      </c>
      <c r="B880" s="21" t="s">
        <v>1248</v>
      </c>
    </row>
    <row r="881" spans="1:2" ht="14.4">
      <c r="A881" s="6" t="s">
        <v>2437</v>
      </c>
      <c r="B881" s="21" t="s">
        <v>1248</v>
      </c>
    </row>
    <row r="882" spans="1:2" ht="14.4">
      <c r="A882" s="6" t="s">
        <v>2438</v>
      </c>
      <c r="B882" s="21" t="s">
        <v>2016</v>
      </c>
    </row>
    <row r="883" spans="1:2" ht="14.4">
      <c r="A883" s="6" t="s">
        <v>73</v>
      </c>
      <c r="B883" s="21" t="s">
        <v>2016</v>
      </c>
    </row>
    <row r="884" spans="1:2" ht="14.4">
      <c r="A884" s="6" t="s">
        <v>2439</v>
      </c>
      <c r="B884" s="21" t="s">
        <v>2016</v>
      </c>
    </row>
    <row r="885" spans="1:2" ht="14.4">
      <c r="A885" s="6" t="s">
        <v>2440</v>
      </c>
      <c r="B885" s="21" t="s">
        <v>1379</v>
      </c>
    </row>
    <row r="886" spans="1:2" ht="14.4">
      <c r="A886" s="6" t="s">
        <v>2441</v>
      </c>
      <c r="B886" s="21" t="s">
        <v>1379</v>
      </c>
    </row>
    <row r="887" spans="1:2" ht="14.4">
      <c r="A887" s="6" t="s">
        <v>61</v>
      </c>
      <c r="B887" s="21" t="s">
        <v>1379</v>
      </c>
    </row>
    <row r="888" spans="1:2" ht="14.4">
      <c r="A888" s="6" t="s">
        <v>34</v>
      </c>
      <c r="B888" s="21" t="s">
        <v>1695</v>
      </c>
    </row>
    <row r="889" spans="1:2" ht="14.4">
      <c r="A889" s="6" t="s">
        <v>409</v>
      </c>
      <c r="B889" s="21" t="s">
        <v>1695</v>
      </c>
    </row>
    <row r="890" spans="1:2" ht="14.4">
      <c r="A890" s="6" t="s">
        <v>2442</v>
      </c>
      <c r="B890" s="21" t="s">
        <v>1840</v>
      </c>
    </row>
    <row r="891" spans="1:2" ht="14.4">
      <c r="A891" s="6" t="s">
        <v>622</v>
      </c>
      <c r="B891" s="21" t="s">
        <v>1833</v>
      </c>
    </row>
    <row r="892" spans="1:2" ht="14.4">
      <c r="A892" s="6" t="s">
        <v>151</v>
      </c>
      <c r="B892" s="21" t="s">
        <v>1833</v>
      </c>
    </row>
    <row r="893" spans="1:2" ht="14.4">
      <c r="A893" s="6" t="s">
        <v>1004</v>
      </c>
      <c r="B893" s="21" t="s">
        <v>2024</v>
      </c>
    </row>
    <row r="894" spans="1:2" ht="14.4">
      <c r="A894" s="6" t="s">
        <v>212</v>
      </c>
      <c r="B894" s="21" t="s">
        <v>2024</v>
      </c>
    </row>
    <row r="895" spans="1:2" ht="14.4">
      <c r="A895" s="6" t="s">
        <v>2443</v>
      </c>
      <c r="B895" s="21" t="s">
        <v>2024</v>
      </c>
    </row>
    <row r="896" spans="1:2" ht="14.4">
      <c r="A896" s="6" t="s">
        <v>2444</v>
      </c>
      <c r="B896" s="21" t="s">
        <v>1663</v>
      </c>
    </row>
    <row r="897" spans="1:2" ht="14.4">
      <c r="A897" s="6" t="s">
        <v>2445</v>
      </c>
      <c r="B897" s="21" t="s">
        <v>1663</v>
      </c>
    </row>
    <row r="898" spans="1:2" ht="14.4">
      <c r="A898" s="6" t="s">
        <v>1013</v>
      </c>
      <c r="B898" s="21" t="s">
        <v>2047</v>
      </c>
    </row>
    <row r="899" spans="1:2" ht="14.4">
      <c r="A899" s="6" t="s">
        <v>2446</v>
      </c>
      <c r="B899" s="21" t="s">
        <v>2047</v>
      </c>
    </row>
    <row r="900" spans="1:2" ht="14.4">
      <c r="A900" s="6" t="s">
        <v>2447</v>
      </c>
      <c r="B900" s="21" t="s">
        <v>2448</v>
      </c>
    </row>
    <row r="901" spans="1:2" ht="14.4">
      <c r="A901" s="6" t="s">
        <v>2449</v>
      </c>
      <c r="B901" s="21" t="s">
        <v>2448</v>
      </c>
    </row>
    <row r="902" spans="1:2" ht="14.4">
      <c r="A902" s="6" t="s">
        <v>874</v>
      </c>
      <c r="B902" s="21" t="s">
        <v>1939</v>
      </c>
    </row>
    <row r="903" spans="1:2" ht="14.4">
      <c r="A903" s="6" t="s">
        <v>2450</v>
      </c>
      <c r="B903" s="21" t="s">
        <v>1939</v>
      </c>
    </row>
    <row r="904" spans="1:2" ht="14.4">
      <c r="A904" s="6" t="s">
        <v>2451</v>
      </c>
      <c r="B904" s="21" t="s">
        <v>1625</v>
      </c>
    </row>
    <row r="905" spans="1:2" ht="14.4">
      <c r="A905" s="6" t="s">
        <v>2452</v>
      </c>
      <c r="B905" s="21" t="s">
        <v>1625</v>
      </c>
    </row>
    <row r="906" spans="1:2" ht="14.4">
      <c r="A906" s="6" t="s">
        <v>2453</v>
      </c>
      <c r="B906" s="21" t="s">
        <v>1625</v>
      </c>
    </row>
    <row r="907" spans="1:2" ht="14.4">
      <c r="A907" s="6" t="s">
        <v>91</v>
      </c>
      <c r="B907" s="21" t="s">
        <v>1634</v>
      </c>
    </row>
    <row r="908" spans="1:2" ht="14.4">
      <c r="A908" s="6" t="s">
        <v>724</v>
      </c>
      <c r="B908" s="21" t="s">
        <v>1634</v>
      </c>
    </row>
    <row r="909" spans="1:2" ht="14.4">
      <c r="A909" s="6" t="s">
        <v>554</v>
      </c>
      <c r="B909" s="21" t="s">
        <v>1838</v>
      </c>
    </row>
    <row r="910" spans="1:2" ht="14.4">
      <c r="A910" s="6" t="s">
        <v>479</v>
      </c>
      <c r="B910" s="21" t="s">
        <v>1838</v>
      </c>
    </row>
    <row r="911" spans="1:2" ht="14.4">
      <c r="A911" s="6" t="s">
        <v>2454</v>
      </c>
      <c r="B911" s="21" t="s">
        <v>1838</v>
      </c>
    </row>
    <row r="912" spans="1:2" ht="14.4">
      <c r="A912" s="6" t="s">
        <v>928</v>
      </c>
      <c r="B912" s="21" t="s">
        <v>584</v>
      </c>
    </row>
    <row r="913" spans="1:2" ht="14.4">
      <c r="A913" s="6" t="s">
        <v>583</v>
      </c>
      <c r="B913" s="21" t="s">
        <v>584</v>
      </c>
    </row>
    <row r="914" spans="1:2" ht="14.4">
      <c r="A914" s="6" t="s">
        <v>665</v>
      </c>
      <c r="B914" s="21" t="s">
        <v>2022</v>
      </c>
    </row>
    <row r="915" spans="1:2" ht="14.4">
      <c r="A915" s="6" t="s">
        <v>953</v>
      </c>
      <c r="B915" s="21" t="s">
        <v>2022</v>
      </c>
    </row>
    <row r="916" spans="1:2" ht="14.4">
      <c r="A916" s="6" t="s">
        <v>2455</v>
      </c>
      <c r="B916" s="21" t="s">
        <v>2022</v>
      </c>
    </row>
    <row r="917" spans="1:2" ht="14.4">
      <c r="A917" s="6" t="s">
        <v>2456</v>
      </c>
      <c r="B917" s="21" t="s">
        <v>1764</v>
      </c>
    </row>
    <row r="918" spans="1:2" ht="14.4">
      <c r="A918" s="6" t="s">
        <v>785</v>
      </c>
      <c r="B918" s="21" t="s">
        <v>1764</v>
      </c>
    </row>
    <row r="919" spans="1:2" ht="14.4">
      <c r="A919" s="6" t="s">
        <v>2457</v>
      </c>
      <c r="B919" s="21" t="s">
        <v>1990</v>
      </c>
    </row>
    <row r="920" spans="1:2" ht="14.4">
      <c r="A920" s="6" t="s">
        <v>257</v>
      </c>
      <c r="B920" s="21" t="s">
        <v>1990</v>
      </c>
    </row>
    <row r="921" spans="1:2" ht="14.4">
      <c r="A921" s="6" t="s">
        <v>2458</v>
      </c>
      <c r="B921" s="21" t="s">
        <v>1990</v>
      </c>
    </row>
    <row r="922" spans="1:2" ht="14.4">
      <c r="A922" s="6" t="s">
        <v>824</v>
      </c>
      <c r="B922" s="21" t="s">
        <v>1996</v>
      </c>
    </row>
    <row r="923" spans="1:2" ht="14.4">
      <c r="A923" s="6" t="s">
        <v>340</v>
      </c>
      <c r="B923" s="21" t="s">
        <v>1996</v>
      </c>
    </row>
    <row r="924" spans="1:2" ht="14.4">
      <c r="A924" s="6" t="s">
        <v>2459</v>
      </c>
      <c r="B924" s="21" t="s">
        <v>1996</v>
      </c>
    </row>
    <row r="925" spans="1:2" ht="14.4">
      <c r="A925" s="6" t="s">
        <v>2460</v>
      </c>
      <c r="B925" s="21" t="s">
        <v>1842</v>
      </c>
    </row>
    <row r="926" spans="1:2" ht="14.4">
      <c r="A926" s="6" t="s">
        <v>271</v>
      </c>
      <c r="B926" s="21" t="s">
        <v>1842</v>
      </c>
    </row>
    <row r="927" spans="1:2" ht="14.4">
      <c r="A927" s="6" t="s">
        <v>2461</v>
      </c>
      <c r="B927" s="21" t="s">
        <v>1766</v>
      </c>
    </row>
    <row r="928" spans="1:2" ht="14.4">
      <c r="A928" s="6" t="s">
        <v>337</v>
      </c>
      <c r="B928" s="21" t="s">
        <v>1766</v>
      </c>
    </row>
    <row r="929" spans="1:2" ht="14.4">
      <c r="A929" s="6" t="s">
        <v>2462</v>
      </c>
      <c r="B929" s="21" t="s">
        <v>1931</v>
      </c>
    </row>
    <row r="930" spans="1:2" ht="14.4">
      <c r="A930" s="6" t="s">
        <v>2463</v>
      </c>
      <c r="B930" s="21" t="s">
        <v>246</v>
      </c>
    </row>
    <row r="931" spans="1:2" ht="14.4">
      <c r="A931" s="6" t="s">
        <v>245</v>
      </c>
      <c r="B931" s="21" t="s">
        <v>246</v>
      </c>
    </row>
    <row r="932" spans="1:2" ht="14.4">
      <c r="A932" s="6" t="s">
        <v>2464</v>
      </c>
      <c r="B932" s="21" t="s">
        <v>2034</v>
      </c>
    </row>
    <row r="933" spans="1:2" ht="14.4">
      <c r="A933" s="6" t="s">
        <v>2465</v>
      </c>
      <c r="B933" s="21" t="s">
        <v>2034</v>
      </c>
    </row>
    <row r="934" spans="1:2" ht="14.4">
      <c r="A934" s="6" t="s">
        <v>637</v>
      </c>
      <c r="B934" s="21" t="s">
        <v>638</v>
      </c>
    </row>
    <row r="935" spans="1:2" ht="14.4">
      <c r="A935" s="6" t="s">
        <v>569</v>
      </c>
      <c r="B935" s="21" t="s">
        <v>570</v>
      </c>
    </row>
    <row r="936" spans="1:2" ht="14.4">
      <c r="A936" s="6" t="s">
        <v>2466</v>
      </c>
      <c r="B936" s="21" t="s">
        <v>1850</v>
      </c>
    </row>
    <row r="937" spans="1:2" ht="14.4">
      <c r="A937" s="6" t="s">
        <v>482</v>
      </c>
      <c r="B937" s="21" t="s">
        <v>1850</v>
      </c>
    </row>
    <row r="938" spans="1:2" ht="14.4">
      <c r="A938" s="6" t="s">
        <v>919</v>
      </c>
      <c r="B938" s="21" t="s">
        <v>1997</v>
      </c>
    </row>
    <row r="939" spans="1:2" ht="14.4">
      <c r="A939" s="6" t="s">
        <v>971</v>
      </c>
      <c r="B939" s="21" t="s">
        <v>1948</v>
      </c>
    </row>
    <row r="940" spans="1:2" ht="14.4">
      <c r="A940" s="6" t="s">
        <v>740</v>
      </c>
      <c r="B940" s="21" t="s">
        <v>1948</v>
      </c>
    </row>
    <row r="941" spans="1:2" ht="14.4">
      <c r="A941" s="6" t="s">
        <v>974</v>
      </c>
      <c r="B941" s="21" t="s">
        <v>1788</v>
      </c>
    </row>
    <row r="942" spans="1:2" ht="14.4">
      <c r="A942" s="6" t="s">
        <v>367</v>
      </c>
      <c r="B942" s="21" t="s">
        <v>1788</v>
      </c>
    </row>
    <row r="943" spans="1:2" ht="14.4">
      <c r="A943" s="6" t="s">
        <v>1043</v>
      </c>
      <c r="B943" s="21" t="s">
        <v>1680</v>
      </c>
    </row>
    <row r="944" spans="1:2" ht="14.4">
      <c r="A944" s="6" t="s">
        <v>500</v>
      </c>
      <c r="B944" s="21" t="s">
        <v>1680</v>
      </c>
    </row>
    <row r="945" spans="1:2" ht="14.4">
      <c r="A945" s="6" t="s">
        <v>2467</v>
      </c>
      <c r="B945" s="21" t="s">
        <v>1492</v>
      </c>
    </row>
    <row r="946" spans="1:2" ht="14.4">
      <c r="A946" s="6" t="s">
        <v>2468</v>
      </c>
      <c r="B946" s="21" t="s">
        <v>1512</v>
      </c>
    </row>
    <row r="947" spans="1:2" ht="14.4">
      <c r="A947" s="6" t="s">
        <v>2469</v>
      </c>
      <c r="B947" s="21" t="s">
        <v>1512</v>
      </c>
    </row>
    <row r="948" spans="1:2" ht="14.4">
      <c r="A948" s="6" t="s">
        <v>527</v>
      </c>
      <c r="B948" s="21" t="s">
        <v>1512</v>
      </c>
    </row>
    <row r="949" spans="1:2" ht="14.4">
      <c r="A949" s="6" t="s">
        <v>2470</v>
      </c>
      <c r="B949" s="21" t="s">
        <v>1512</v>
      </c>
    </row>
    <row r="950" spans="1:2" ht="14.4">
      <c r="A950" s="6" t="s">
        <v>2471</v>
      </c>
      <c r="B950" s="21" t="s">
        <v>1628</v>
      </c>
    </row>
    <row r="951" spans="1:2" ht="14.4">
      <c r="A951" s="6" t="s">
        <v>2472</v>
      </c>
      <c r="B951" s="21" t="s">
        <v>1628</v>
      </c>
    </row>
    <row r="952" spans="1:2" ht="14.4">
      <c r="A952" s="6" t="s">
        <v>459</v>
      </c>
      <c r="B952" s="21" t="s">
        <v>1628</v>
      </c>
    </row>
    <row r="953" spans="1:2" ht="14.4">
      <c r="A953" s="6" t="s">
        <v>509</v>
      </c>
      <c r="B953" s="21" t="s">
        <v>510</v>
      </c>
    </row>
    <row r="954" spans="1:2" ht="14.4">
      <c r="A954" s="6" t="s">
        <v>2473</v>
      </c>
      <c r="B954" s="21" t="s">
        <v>2474</v>
      </c>
    </row>
    <row r="955" spans="1:2" ht="14.4">
      <c r="A955" s="6" t="s">
        <v>286</v>
      </c>
      <c r="B955" s="21" t="s">
        <v>1422</v>
      </c>
    </row>
    <row r="956" spans="1:2" ht="14.4">
      <c r="A956" s="6" t="s">
        <v>2475</v>
      </c>
      <c r="B956" s="21" t="s">
        <v>1493</v>
      </c>
    </row>
    <row r="957" spans="1:2" ht="14.4">
      <c r="A957" s="6" t="s">
        <v>283</v>
      </c>
      <c r="B957" s="21" t="s">
        <v>1493</v>
      </c>
    </row>
    <row r="958" spans="1:2" ht="14.4">
      <c r="A958" s="6" t="s">
        <v>2476</v>
      </c>
      <c r="B958" s="21" t="s">
        <v>1386</v>
      </c>
    </row>
    <row r="959" spans="1:2" ht="14.4">
      <c r="A959" s="6" t="s">
        <v>2477</v>
      </c>
      <c r="B959" s="21" t="s">
        <v>1386</v>
      </c>
    </row>
    <row r="960" spans="1:2" ht="14.4">
      <c r="A960" s="6" t="s">
        <v>421</v>
      </c>
      <c r="B960" s="21" t="s">
        <v>1386</v>
      </c>
    </row>
    <row r="961" spans="1:2" ht="14.4">
      <c r="A961" s="6" t="s">
        <v>2478</v>
      </c>
      <c r="B961" s="21" t="s">
        <v>2479</v>
      </c>
    </row>
    <row r="962" spans="1:2" ht="14.4">
      <c r="A962" s="6" t="s">
        <v>2480</v>
      </c>
      <c r="B962" s="21" t="s">
        <v>1522</v>
      </c>
    </row>
    <row r="963" spans="1:2" ht="14.4">
      <c r="A963" s="6" t="s">
        <v>2481</v>
      </c>
      <c r="B963" s="21" t="s">
        <v>1715</v>
      </c>
    </row>
    <row r="964" spans="1:2" ht="14.4">
      <c r="A964" s="6" t="s">
        <v>79</v>
      </c>
      <c r="B964" s="21" t="s">
        <v>1715</v>
      </c>
    </row>
    <row r="965" spans="1:2" ht="14.4">
      <c r="A965" s="6" t="s">
        <v>2482</v>
      </c>
      <c r="B965" s="21" t="s">
        <v>762</v>
      </c>
    </row>
    <row r="966" spans="1:2" ht="14.4">
      <c r="A966" s="6" t="s">
        <v>761</v>
      </c>
      <c r="B966" s="21" t="s">
        <v>762</v>
      </c>
    </row>
    <row r="967" spans="1:2" ht="14.4">
      <c r="A967" s="6" t="s">
        <v>2483</v>
      </c>
      <c r="B967" s="21" t="s">
        <v>2004</v>
      </c>
    </row>
    <row r="968" spans="1:2" ht="14.4">
      <c r="A968" s="6" t="s">
        <v>289</v>
      </c>
      <c r="B968" s="21" t="s">
        <v>2004</v>
      </c>
    </row>
    <row r="969" spans="1:2" ht="14.4">
      <c r="A969" s="6" t="s">
        <v>2484</v>
      </c>
      <c r="B969" s="21" t="s">
        <v>1982</v>
      </c>
    </row>
    <row r="970" spans="1:2" ht="14.4">
      <c r="A970" s="6" t="s">
        <v>361</v>
      </c>
      <c r="B970" s="21" t="s">
        <v>1982</v>
      </c>
    </row>
    <row r="971" spans="1:2" ht="14.4">
      <c r="A971" s="6" t="s">
        <v>384</v>
      </c>
      <c r="B971" s="21" t="s">
        <v>1444</v>
      </c>
    </row>
    <row r="972" spans="1:2" ht="14.4">
      <c r="A972" s="6" t="s">
        <v>494</v>
      </c>
      <c r="B972" s="21" t="s">
        <v>1524</v>
      </c>
    </row>
    <row r="973" spans="1:2" ht="14.4">
      <c r="A973" s="6" t="s">
        <v>2485</v>
      </c>
      <c r="B973" s="21" t="s">
        <v>1387</v>
      </c>
    </row>
    <row r="974" spans="1:2" ht="14.4">
      <c r="A974" s="6" t="s">
        <v>121</v>
      </c>
      <c r="B974" s="21" t="s">
        <v>1387</v>
      </c>
    </row>
    <row r="975" spans="1:2" ht="14.4">
      <c r="A975" s="6" t="s">
        <v>2486</v>
      </c>
      <c r="B975" s="21" t="s">
        <v>1636</v>
      </c>
    </row>
    <row r="976" spans="1:2" ht="14.4">
      <c r="A976" s="6" t="s">
        <v>316</v>
      </c>
      <c r="B976" s="21" t="s">
        <v>1636</v>
      </c>
    </row>
    <row r="977" spans="1:2" ht="14.4">
      <c r="A977" s="6" t="s">
        <v>2487</v>
      </c>
      <c r="B977" s="21" t="s">
        <v>1514</v>
      </c>
    </row>
    <row r="978" spans="1:2" ht="14.4">
      <c r="A978" s="6" t="s">
        <v>2488</v>
      </c>
      <c r="B978" s="21" t="s">
        <v>1773</v>
      </c>
    </row>
    <row r="979" spans="1:2" ht="14.4">
      <c r="A979" s="6" t="s">
        <v>710</v>
      </c>
      <c r="B979" s="21" t="s">
        <v>1773</v>
      </c>
    </row>
    <row r="980" spans="1:2" ht="14.4">
      <c r="A980" s="6" t="s">
        <v>2489</v>
      </c>
      <c r="B980" s="21" t="s">
        <v>1835</v>
      </c>
    </row>
    <row r="981" spans="1:2" ht="14.4">
      <c r="A981" s="6" t="s">
        <v>536</v>
      </c>
      <c r="B981" s="21" t="s">
        <v>1835</v>
      </c>
    </row>
    <row r="982" spans="1:2" ht="14.4">
      <c r="A982" s="6" t="s">
        <v>1022</v>
      </c>
      <c r="B982" s="21" t="s">
        <v>1637</v>
      </c>
    </row>
    <row r="983" spans="1:2" ht="14.4">
      <c r="A983" s="6" t="s">
        <v>28</v>
      </c>
      <c r="B983" s="21" t="s">
        <v>1637</v>
      </c>
    </row>
    <row r="984" spans="1:2" ht="14.4">
      <c r="A984" s="6" t="s">
        <v>2490</v>
      </c>
      <c r="B984" s="21" t="s">
        <v>1637</v>
      </c>
    </row>
    <row r="985" spans="1:2" ht="14.4">
      <c r="A985" s="6" t="s">
        <v>2491</v>
      </c>
      <c r="B985" s="21" t="s">
        <v>1506</v>
      </c>
    </row>
    <row r="986" spans="1:2" ht="14.4">
      <c r="A986" s="6" t="s">
        <v>2492</v>
      </c>
      <c r="B986" s="21" t="s">
        <v>1506</v>
      </c>
    </row>
    <row r="987" spans="1:2" ht="14.4">
      <c r="A987" s="6" t="s">
        <v>319</v>
      </c>
      <c r="B987" s="21" t="s">
        <v>1506</v>
      </c>
    </row>
    <row r="988" spans="1:2" ht="14.4">
      <c r="A988" s="6" t="s">
        <v>2493</v>
      </c>
      <c r="B988" s="21" t="s">
        <v>2494</v>
      </c>
    </row>
    <row r="989" spans="1:2" ht="14.4">
      <c r="A989" s="6" t="s">
        <v>2495</v>
      </c>
      <c r="B989" s="21" t="s">
        <v>2496</v>
      </c>
    </row>
    <row r="990" spans="1:2" ht="14.4">
      <c r="A990" s="6" t="s">
        <v>2497</v>
      </c>
      <c r="B990" s="21" t="s">
        <v>1890</v>
      </c>
    </row>
    <row r="991" spans="1:2" ht="14.4">
      <c r="A991" s="6" t="s">
        <v>2498</v>
      </c>
      <c r="B991" s="21" t="s">
        <v>2499</v>
      </c>
    </row>
    <row r="992" spans="1:2" ht="14.4">
      <c r="A992" s="6" t="s">
        <v>1010</v>
      </c>
      <c r="B992" s="21" t="s">
        <v>2499</v>
      </c>
    </row>
    <row r="993" spans="1:2" ht="14.4">
      <c r="A993" s="6" t="s">
        <v>2500</v>
      </c>
      <c r="B993" s="21" t="s">
        <v>2499</v>
      </c>
    </row>
    <row r="994" spans="1:2" ht="14.4">
      <c r="A994" s="6" t="s">
        <v>2501</v>
      </c>
      <c r="B994" s="21" t="s">
        <v>2499</v>
      </c>
    </row>
    <row r="995" spans="1:2" ht="14.4">
      <c r="A995" s="6" t="s">
        <v>2502</v>
      </c>
      <c r="B995" s="21" t="s">
        <v>2499</v>
      </c>
    </row>
    <row r="996" spans="1:2" ht="14.4">
      <c r="A996" s="6" t="s">
        <v>2503</v>
      </c>
      <c r="B996" s="21" t="s">
        <v>2499</v>
      </c>
    </row>
    <row r="997" spans="1:2" ht="14.4">
      <c r="A997" s="6" t="s">
        <v>2504</v>
      </c>
      <c r="B997" s="21" t="s">
        <v>2499</v>
      </c>
    </row>
    <row r="998" spans="1:2" ht="14.4">
      <c r="A998" s="6" t="s">
        <v>2505</v>
      </c>
      <c r="B998" s="21" t="s">
        <v>2499</v>
      </c>
    </row>
    <row r="999" spans="1:2" ht="14.4">
      <c r="A999" s="6" t="s">
        <v>2506</v>
      </c>
      <c r="B999" s="21" t="s">
        <v>2499</v>
      </c>
    </row>
    <row r="1000" spans="1:2" ht="14.4">
      <c r="A1000" s="6" t="s">
        <v>2507</v>
      </c>
      <c r="B1000" s="21" t="s">
        <v>2499</v>
      </c>
    </row>
    <row r="1001" spans="1:2" ht="14.4">
      <c r="A1001" s="6" t="s">
        <v>2508</v>
      </c>
      <c r="B1001" s="21" t="s">
        <v>2499</v>
      </c>
    </row>
    <row r="1002" spans="1:2" ht="14.4">
      <c r="A1002" s="6" t="s">
        <v>2509</v>
      </c>
      <c r="B1002" s="21" t="s">
        <v>2499</v>
      </c>
    </row>
    <row r="1003" spans="1:2" ht="14.4">
      <c r="A1003" s="6" t="s">
        <v>2510</v>
      </c>
      <c r="B1003" s="21" t="s">
        <v>2499</v>
      </c>
    </row>
    <row r="1004" spans="1:2" ht="14.4">
      <c r="A1004" s="6" t="s">
        <v>2511</v>
      </c>
      <c r="B1004" s="21" t="s">
        <v>2499</v>
      </c>
    </row>
    <row r="1005" spans="1:2" ht="14.4">
      <c r="A1005" s="6" t="s">
        <v>2512</v>
      </c>
      <c r="B1005" s="21" t="s">
        <v>2499</v>
      </c>
    </row>
    <row r="1006" spans="1:2" ht="14.4">
      <c r="A1006" s="6" t="s">
        <v>2513</v>
      </c>
      <c r="B1006" s="21" t="s">
        <v>2499</v>
      </c>
    </row>
    <row r="1007" spans="1:2" ht="14.4">
      <c r="A1007" s="6" t="s">
        <v>2514</v>
      </c>
      <c r="B1007" s="21" t="s">
        <v>2499</v>
      </c>
    </row>
    <row r="1008" spans="1:2" ht="14.4">
      <c r="A1008" s="6" t="s">
        <v>2515</v>
      </c>
      <c r="B1008" s="21" t="s">
        <v>2499</v>
      </c>
    </row>
    <row r="1009" spans="1:2" ht="14.4">
      <c r="A1009" s="6" t="s">
        <v>2516</v>
      </c>
      <c r="B1009" s="21" t="s">
        <v>2499</v>
      </c>
    </row>
    <row r="1010" spans="1:2" ht="14.4">
      <c r="A1010" s="6" t="s">
        <v>2517</v>
      </c>
      <c r="B1010" s="21" t="s">
        <v>2499</v>
      </c>
    </row>
    <row r="1011" spans="1:2" ht="14.4">
      <c r="A1011" s="6" t="s">
        <v>2518</v>
      </c>
      <c r="B1011" s="21" t="s">
        <v>2499</v>
      </c>
    </row>
    <row r="1012" spans="1:2" ht="14.4">
      <c r="A1012" s="6" t="s">
        <v>2519</v>
      </c>
      <c r="B1012" s="21" t="s">
        <v>2499</v>
      </c>
    </row>
    <row r="1013" spans="1:2" ht="14.4">
      <c r="A1013" s="6" t="s">
        <v>2520</v>
      </c>
      <c r="B1013" s="21" t="s">
        <v>2499</v>
      </c>
    </row>
    <row r="1014" spans="1:2" ht="14.4">
      <c r="A1014" s="6" t="s">
        <v>2521</v>
      </c>
      <c r="B1014" s="21" t="s">
        <v>2499</v>
      </c>
    </row>
    <row r="1015" spans="1:2" ht="14.4">
      <c r="A1015" s="6" t="s">
        <v>2522</v>
      </c>
      <c r="B1015" s="21" t="s">
        <v>2499</v>
      </c>
    </row>
    <row r="1016" spans="1:2" ht="14.4">
      <c r="A1016" s="6" t="s">
        <v>2523</v>
      </c>
      <c r="B1016" s="21" t="s">
        <v>2499</v>
      </c>
    </row>
    <row r="1017" spans="1:2" ht="14.4">
      <c r="A1017" s="6" t="s">
        <v>2524</v>
      </c>
      <c r="B1017" s="21" t="s">
        <v>2499</v>
      </c>
    </row>
    <row r="1018" spans="1:2" ht="14.4">
      <c r="A1018" s="6" t="s">
        <v>2525</v>
      </c>
      <c r="B1018" s="21" t="s">
        <v>2499</v>
      </c>
    </row>
    <row r="1019" spans="1:2" ht="14.4">
      <c r="A1019" s="6" t="s">
        <v>2526</v>
      </c>
      <c r="B1019" s="21" t="s">
        <v>2499</v>
      </c>
    </row>
    <row r="1020" spans="1:2" ht="14.4">
      <c r="A1020" s="6" t="s">
        <v>2527</v>
      </c>
      <c r="B1020" s="21" t="s">
        <v>2499</v>
      </c>
    </row>
    <row r="1021" spans="1:2" ht="14.4">
      <c r="A1021" s="6" t="s">
        <v>2528</v>
      </c>
      <c r="B1021" s="21" t="s">
        <v>2499</v>
      </c>
    </row>
    <row r="1022" spans="1:2" ht="14.4">
      <c r="A1022" s="6" t="s">
        <v>2529</v>
      </c>
      <c r="B1022" s="21" t="s">
        <v>2499</v>
      </c>
    </row>
    <row r="1023" spans="1:2" ht="14.4">
      <c r="A1023" s="6" t="s">
        <v>2530</v>
      </c>
      <c r="B1023" s="21" t="s">
        <v>2499</v>
      </c>
    </row>
    <row r="1024" spans="1:2" ht="14.4">
      <c r="A1024" s="6" t="s">
        <v>2531</v>
      </c>
      <c r="B1024" s="21" t="s">
        <v>2499</v>
      </c>
    </row>
    <row r="1025" spans="1:2" ht="14.4">
      <c r="A1025" s="6" t="s">
        <v>2532</v>
      </c>
      <c r="B1025" s="21" t="s">
        <v>2499</v>
      </c>
    </row>
    <row r="1026" spans="1:2" ht="14.4">
      <c r="A1026" s="6" t="s">
        <v>2533</v>
      </c>
      <c r="B1026" s="21" t="s">
        <v>2499</v>
      </c>
    </row>
    <row r="1027" spans="1:2" ht="14.4">
      <c r="A1027" s="6" t="s">
        <v>2534</v>
      </c>
      <c r="B1027" s="21" t="s">
        <v>2499</v>
      </c>
    </row>
    <row r="1028" spans="1:2" ht="14.4">
      <c r="A1028" s="6" t="s">
        <v>2535</v>
      </c>
      <c r="B1028" s="21" t="s">
        <v>2499</v>
      </c>
    </row>
    <row r="1029" spans="1:2" ht="14.4">
      <c r="A1029" s="6" t="s">
        <v>2536</v>
      </c>
      <c r="B1029" s="21" t="s">
        <v>2499</v>
      </c>
    </row>
    <row r="1030" spans="1:2" ht="14.4">
      <c r="A1030" s="6" t="s">
        <v>2537</v>
      </c>
      <c r="B1030" s="21" t="s">
        <v>2499</v>
      </c>
    </row>
    <row r="1031" spans="1:2" ht="14.4">
      <c r="A1031" s="6" t="s">
        <v>2538</v>
      </c>
      <c r="B1031" s="21" t="s">
        <v>2499</v>
      </c>
    </row>
    <row r="1032" spans="1:2" ht="14.4">
      <c r="A1032" s="6" t="s">
        <v>2539</v>
      </c>
      <c r="B1032" s="21" t="s">
        <v>2499</v>
      </c>
    </row>
    <row r="1033" spans="1:2" ht="14.4">
      <c r="A1033" s="6" t="s">
        <v>2540</v>
      </c>
      <c r="B1033" s="21" t="s">
        <v>2499</v>
      </c>
    </row>
    <row r="1034" spans="1:2" ht="14.4">
      <c r="A1034" s="6" t="s">
        <v>2541</v>
      </c>
      <c r="B1034" s="21" t="s">
        <v>2499</v>
      </c>
    </row>
    <row r="1035" spans="1:2" ht="14.4">
      <c r="A1035" s="6" t="s">
        <v>2542</v>
      </c>
      <c r="B1035" s="21" t="s">
        <v>2499</v>
      </c>
    </row>
    <row r="1036" spans="1:2" ht="14.4">
      <c r="A1036" s="6" t="s">
        <v>2543</v>
      </c>
      <c r="B1036" s="21" t="s">
        <v>2499</v>
      </c>
    </row>
    <row r="1037" spans="1:2" ht="14.4">
      <c r="A1037" s="6" t="s">
        <v>2544</v>
      </c>
      <c r="B1037" s="21" t="s">
        <v>2499</v>
      </c>
    </row>
    <row r="1038" spans="1:2" ht="14.4">
      <c r="A1038" s="6" t="s">
        <v>2545</v>
      </c>
      <c r="B1038" s="21" t="s">
        <v>2499</v>
      </c>
    </row>
    <row r="1039" spans="1:2" ht="14.4">
      <c r="A1039" s="6" t="s">
        <v>2546</v>
      </c>
      <c r="B1039" s="21" t="s">
        <v>2499</v>
      </c>
    </row>
    <row r="1040" spans="1:2" ht="14.4">
      <c r="A1040" s="6" t="s">
        <v>2547</v>
      </c>
      <c r="B1040" s="21" t="s">
        <v>2499</v>
      </c>
    </row>
    <row r="1041" spans="1:2" ht="14.4">
      <c r="A1041" s="6" t="s">
        <v>2548</v>
      </c>
      <c r="B1041" s="21" t="s">
        <v>2499</v>
      </c>
    </row>
    <row r="1042" spans="1:2" ht="14.4">
      <c r="A1042" s="6" t="s">
        <v>2549</v>
      </c>
      <c r="B1042" s="21" t="s">
        <v>2499</v>
      </c>
    </row>
    <row r="1043" spans="1:2" ht="14.4">
      <c r="A1043" s="6" t="s">
        <v>2550</v>
      </c>
      <c r="B1043" s="21" t="s">
        <v>2499</v>
      </c>
    </row>
    <row r="1044" spans="1:2" ht="14.4">
      <c r="A1044" s="6" t="s">
        <v>2551</v>
      </c>
      <c r="B1044" s="21" t="s">
        <v>2499</v>
      </c>
    </row>
    <row r="1045" spans="1:2" ht="14.4">
      <c r="A1045" s="6" t="s">
        <v>2552</v>
      </c>
      <c r="B1045" s="21" t="s">
        <v>2499</v>
      </c>
    </row>
    <row r="1046" spans="1:2" ht="14.4">
      <c r="A1046" s="6" t="s">
        <v>2553</v>
      </c>
      <c r="B1046" s="21" t="s">
        <v>2499</v>
      </c>
    </row>
    <row r="1047" spans="1:2" ht="14.4">
      <c r="A1047" s="6" t="s">
        <v>2554</v>
      </c>
      <c r="B1047" s="21" t="s">
        <v>2499</v>
      </c>
    </row>
    <row r="1048" spans="1:2" ht="14.4">
      <c r="A1048" s="6" t="s">
        <v>2555</v>
      </c>
      <c r="B1048" s="21" t="s">
        <v>2499</v>
      </c>
    </row>
    <row r="1049" spans="1:2" ht="14.4">
      <c r="A1049" s="6" t="s">
        <v>2556</v>
      </c>
      <c r="B1049" s="21" t="s">
        <v>2499</v>
      </c>
    </row>
    <row r="1050" spans="1:2" ht="14.4">
      <c r="A1050" s="6" t="s">
        <v>2557</v>
      </c>
      <c r="B1050" s="21" t="s">
        <v>2499</v>
      </c>
    </row>
    <row r="1051" spans="1:2" ht="14.4">
      <c r="A1051" s="6" t="s">
        <v>2558</v>
      </c>
      <c r="B1051" s="21" t="s">
        <v>2499</v>
      </c>
    </row>
    <row r="1052" spans="1:2" ht="14.4">
      <c r="A1052" s="6" t="s">
        <v>2559</v>
      </c>
      <c r="B1052" s="21" t="s">
        <v>2499</v>
      </c>
    </row>
    <row r="1053" spans="1:2" ht="14.4">
      <c r="A1053" s="6" t="s">
        <v>2560</v>
      </c>
      <c r="B1053" s="21" t="s">
        <v>2499</v>
      </c>
    </row>
    <row r="1054" spans="1:2" ht="14.4">
      <c r="A1054" s="6" t="s">
        <v>2561</v>
      </c>
      <c r="B1054" s="21" t="s">
        <v>2499</v>
      </c>
    </row>
    <row r="1055" spans="1:2" ht="14.4">
      <c r="A1055" s="6" t="s">
        <v>2562</v>
      </c>
      <c r="B1055" s="21" t="s">
        <v>2499</v>
      </c>
    </row>
    <row r="1056" spans="1:2" ht="14.4">
      <c r="A1056" s="6" t="s">
        <v>2563</v>
      </c>
      <c r="B1056" s="21" t="s">
        <v>2499</v>
      </c>
    </row>
    <row r="1057" spans="1:2" ht="14.4">
      <c r="A1057" s="6" t="s">
        <v>2564</v>
      </c>
      <c r="B1057" s="21" t="s">
        <v>2499</v>
      </c>
    </row>
    <row r="1058" spans="1:2" ht="14.4">
      <c r="A1058" s="6" t="s">
        <v>2565</v>
      </c>
      <c r="B1058" s="21" t="s">
        <v>2499</v>
      </c>
    </row>
    <row r="1059" spans="1:2" ht="14.4">
      <c r="A1059" s="6" t="s">
        <v>2566</v>
      </c>
      <c r="B1059" s="21" t="s">
        <v>2499</v>
      </c>
    </row>
    <row r="1060" spans="1:2" ht="14.4">
      <c r="A1060" s="6" t="s">
        <v>2567</v>
      </c>
      <c r="B1060" s="21" t="s">
        <v>2499</v>
      </c>
    </row>
    <row r="1061" spans="1:2" ht="14.4">
      <c r="A1061" s="6" t="s">
        <v>2568</v>
      </c>
      <c r="B1061" s="21" t="s">
        <v>2499</v>
      </c>
    </row>
    <row r="1062" spans="1:2" ht="14.4">
      <c r="A1062" s="6" t="s">
        <v>2569</v>
      </c>
      <c r="B1062" s="21" t="s">
        <v>2499</v>
      </c>
    </row>
    <row r="1063" spans="1:2" ht="14.4">
      <c r="A1063" s="6" t="s">
        <v>2570</v>
      </c>
      <c r="B1063" s="21" t="s">
        <v>2499</v>
      </c>
    </row>
    <row r="1064" spans="1:2" ht="14.4">
      <c r="A1064" s="6" t="s">
        <v>2571</v>
      </c>
      <c r="B1064" s="21" t="s">
        <v>2499</v>
      </c>
    </row>
    <row r="1065" spans="1:2" ht="14.4">
      <c r="A1065" s="6" t="s">
        <v>2572</v>
      </c>
      <c r="B1065" s="21" t="s">
        <v>2499</v>
      </c>
    </row>
    <row r="1066" spans="1:2" ht="14.4">
      <c r="A1066" s="6" t="s">
        <v>2573</v>
      </c>
      <c r="B1066" s="21" t="s">
        <v>2499</v>
      </c>
    </row>
    <row r="1067" spans="1:2" ht="14.4">
      <c r="A1067" s="6" t="s">
        <v>2574</v>
      </c>
      <c r="B1067" s="21" t="s">
        <v>2499</v>
      </c>
    </row>
    <row r="1068" spans="1:2" ht="14.4">
      <c r="A1068" s="6" t="s">
        <v>2575</v>
      </c>
      <c r="B1068" s="21" t="s">
        <v>2499</v>
      </c>
    </row>
    <row r="1069" spans="1:2" ht="14.4">
      <c r="A1069" s="6" t="s">
        <v>2576</v>
      </c>
      <c r="B1069" s="21" t="s">
        <v>2499</v>
      </c>
    </row>
    <row r="1070" spans="1:2" ht="14.4">
      <c r="A1070" s="6" t="s">
        <v>2577</v>
      </c>
      <c r="B1070" s="21" t="s">
        <v>2499</v>
      </c>
    </row>
    <row r="1071" spans="1:2" ht="14.4">
      <c r="A1071" s="6" t="s">
        <v>2578</v>
      </c>
      <c r="B1071" s="21" t="s">
        <v>2499</v>
      </c>
    </row>
    <row r="1072" spans="1:2" ht="14.4">
      <c r="A1072" s="6" t="s">
        <v>2579</v>
      </c>
      <c r="B1072" s="21" t="s">
        <v>2499</v>
      </c>
    </row>
    <row r="1073" spans="1:2" ht="14.4">
      <c r="A1073" s="6" t="s">
        <v>2580</v>
      </c>
      <c r="B1073" s="21" t="s">
        <v>2499</v>
      </c>
    </row>
    <row r="1074" spans="1:2" ht="14.4">
      <c r="A1074" s="6" t="s">
        <v>2581</v>
      </c>
      <c r="B1074" s="21" t="s">
        <v>2499</v>
      </c>
    </row>
    <row r="1075" spans="1:2" ht="14.4">
      <c r="A1075" s="6" t="s">
        <v>2582</v>
      </c>
      <c r="B1075" s="21" t="s">
        <v>2499</v>
      </c>
    </row>
    <row r="1076" spans="1:2" ht="14.4">
      <c r="A1076" s="6" t="s">
        <v>2583</v>
      </c>
      <c r="B1076" s="21" t="s">
        <v>2499</v>
      </c>
    </row>
    <row r="1077" spans="1:2" ht="14.4">
      <c r="A1077" s="6" t="s">
        <v>2584</v>
      </c>
      <c r="B1077" s="21" t="s">
        <v>2499</v>
      </c>
    </row>
    <row r="1078" spans="1:2" ht="14.4">
      <c r="A1078" s="6" t="s">
        <v>2585</v>
      </c>
      <c r="B1078" s="21" t="s">
        <v>2499</v>
      </c>
    </row>
    <row r="1079" spans="1:2" ht="14.4">
      <c r="A1079" s="6" t="s">
        <v>2586</v>
      </c>
      <c r="B1079" s="21" t="s">
        <v>2499</v>
      </c>
    </row>
    <row r="1080" spans="1:2" ht="14.4">
      <c r="A1080" s="6" t="s">
        <v>2587</v>
      </c>
      <c r="B1080" s="21" t="s">
        <v>2499</v>
      </c>
    </row>
    <row r="1081" spans="1:2" ht="14.4">
      <c r="A1081" s="6" t="s">
        <v>2588</v>
      </c>
      <c r="B1081" s="21" t="s">
        <v>2499</v>
      </c>
    </row>
    <row r="1082" spans="1:2" ht="14.4">
      <c r="A1082" s="6" t="s">
        <v>2589</v>
      </c>
      <c r="B1082" s="21" t="s">
        <v>2499</v>
      </c>
    </row>
    <row r="1083" spans="1:2" ht="14.4">
      <c r="A1083" s="6" t="s">
        <v>2590</v>
      </c>
      <c r="B1083" s="21" t="s">
        <v>2499</v>
      </c>
    </row>
    <row r="1084" spans="1:2" ht="14.4">
      <c r="A1084" s="6" t="s">
        <v>2591</v>
      </c>
      <c r="B1084" s="21" t="s">
        <v>2499</v>
      </c>
    </row>
    <row r="1085" spans="1:2" ht="14.4">
      <c r="A1085" s="6" t="s">
        <v>2592</v>
      </c>
      <c r="B1085" s="21" t="s">
        <v>2499</v>
      </c>
    </row>
    <row r="1086" spans="1:2" ht="14.4">
      <c r="A1086" s="6" t="s">
        <v>2593</v>
      </c>
      <c r="B1086" s="21" t="s">
        <v>2499</v>
      </c>
    </row>
    <row r="1087" spans="1:2" ht="14.4">
      <c r="A1087" s="6" t="s">
        <v>2594</v>
      </c>
      <c r="B1087" s="21" t="s">
        <v>2499</v>
      </c>
    </row>
    <row r="1088" spans="1:2" ht="14.4">
      <c r="A1088" s="6" t="s">
        <v>2595</v>
      </c>
      <c r="B1088" s="21" t="s">
        <v>2499</v>
      </c>
    </row>
    <row r="1089" spans="1:2" ht="14.4">
      <c r="A1089" s="6" t="s">
        <v>2596</v>
      </c>
      <c r="B1089" s="21" t="s">
        <v>2499</v>
      </c>
    </row>
    <row r="1090" spans="1:2" ht="14.4">
      <c r="A1090" s="6" t="s">
        <v>2597</v>
      </c>
      <c r="B1090" s="21" t="s">
        <v>2499</v>
      </c>
    </row>
    <row r="1091" spans="1:2" ht="14.4">
      <c r="A1091" s="6" t="s">
        <v>2598</v>
      </c>
      <c r="B1091" s="21" t="s">
        <v>2499</v>
      </c>
    </row>
    <row r="1092" spans="1:2" ht="14.4">
      <c r="A1092" s="6" t="s">
        <v>2599</v>
      </c>
      <c r="B1092" s="21" t="s">
        <v>2499</v>
      </c>
    </row>
    <row r="1093" spans="1:2" ht="14.4">
      <c r="A1093" s="6" t="s">
        <v>2600</v>
      </c>
      <c r="B1093" s="21" t="s">
        <v>2499</v>
      </c>
    </row>
    <row r="1094" spans="1:2" ht="14.4">
      <c r="A1094" s="6" t="s">
        <v>2601</v>
      </c>
      <c r="B1094" s="21" t="s">
        <v>2499</v>
      </c>
    </row>
    <row r="1095" spans="1:2" ht="14.4">
      <c r="A1095" s="6" t="s">
        <v>2602</v>
      </c>
      <c r="B1095" s="21" t="s">
        <v>2499</v>
      </c>
    </row>
    <row r="1096" spans="1:2" ht="14.4">
      <c r="A1096" s="6" t="s">
        <v>2603</v>
      </c>
      <c r="B1096" s="21" t="s">
        <v>2499</v>
      </c>
    </row>
    <row r="1097" spans="1:2" ht="14.4">
      <c r="A1097" s="6" t="s">
        <v>2604</v>
      </c>
      <c r="B1097" s="21" t="s">
        <v>2499</v>
      </c>
    </row>
    <row r="1098" spans="1:2" ht="14.4">
      <c r="A1098" s="6" t="s">
        <v>2605</v>
      </c>
      <c r="B1098" s="13" t="s">
        <v>2499</v>
      </c>
    </row>
    <row r="1099" spans="1:2" ht="14.4">
      <c r="A1099" s="6" t="s">
        <v>2606</v>
      </c>
      <c r="B1099" s="47" t="s">
        <v>2499</v>
      </c>
    </row>
    <row r="1100" spans="1:2" ht="14.4">
      <c r="A1100" s="6" t="s">
        <v>2607</v>
      </c>
      <c r="B1100" s="13" t="s">
        <v>2499</v>
      </c>
    </row>
    <row r="1101" spans="1:2" ht="14.4">
      <c r="A1101" s="6" t="s">
        <v>2608</v>
      </c>
      <c r="B1101" s="47" t="s">
        <v>2499</v>
      </c>
    </row>
    <row r="1102" spans="1:2" ht="14.4">
      <c r="A1102" s="6" t="s">
        <v>2609</v>
      </c>
      <c r="B1102" s="21" t="s">
        <v>2499</v>
      </c>
    </row>
    <row r="1103" spans="1:2" ht="14.4">
      <c r="A1103" s="6" t="s">
        <v>2610</v>
      </c>
      <c r="B1103" s="21" t="s">
        <v>2499</v>
      </c>
    </row>
    <row r="1104" spans="1:2" ht="14.4">
      <c r="A1104" s="6" t="s">
        <v>2611</v>
      </c>
      <c r="B1104" s="21" t="s">
        <v>2499</v>
      </c>
    </row>
    <row r="1105" spans="1:2" ht="14.4">
      <c r="A1105" s="6" t="s">
        <v>2612</v>
      </c>
      <c r="B1105" s="21" t="s">
        <v>2499</v>
      </c>
    </row>
    <row r="1106" spans="1:2" ht="14.4">
      <c r="A1106" s="6" t="s">
        <v>2613</v>
      </c>
      <c r="B1106" s="21" t="s">
        <v>2499</v>
      </c>
    </row>
    <row r="1107" spans="1:2" ht="14.4">
      <c r="A1107" s="6" t="s">
        <v>2614</v>
      </c>
      <c r="B1107" s="21" t="s">
        <v>2499</v>
      </c>
    </row>
    <row r="1108" spans="1:2" ht="14.4">
      <c r="A1108" s="6" t="s">
        <v>2615</v>
      </c>
      <c r="B1108" s="21" t="s">
        <v>2499</v>
      </c>
    </row>
    <row r="1109" spans="1:2" ht="14.4">
      <c r="A1109" s="6" t="s">
        <v>2616</v>
      </c>
      <c r="B1109" s="21" t="s">
        <v>2499</v>
      </c>
    </row>
    <row r="1110" spans="1:2" ht="14.4">
      <c r="A1110" s="6" t="s">
        <v>2617</v>
      </c>
      <c r="B1110" s="21" t="s">
        <v>2499</v>
      </c>
    </row>
    <row r="1111" spans="1:2" ht="14.4">
      <c r="A1111" s="6" t="s">
        <v>2618</v>
      </c>
      <c r="B1111" s="21" t="s">
        <v>2499</v>
      </c>
    </row>
    <row r="1112" spans="1:2" ht="14.4">
      <c r="A1112" s="6" t="s">
        <v>2619</v>
      </c>
      <c r="B1112" s="21" t="s">
        <v>2499</v>
      </c>
    </row>
    <row r="1113" spans="1:2" ht="14.4">
      <c r="A1113" s="6" t="s">
        <v>2620</v>
      </c>
      <c r="B1113" s="21" t="s">
        <v>2499</v>
      </c>
    </row>
    <row r="1114" spans="1:2" ht="14.4">
      <c r="A1114" s="6" t="s">
        <v>2621</v>
      </c>
      <c r="B1114" s="21" t="s">
        <v>2499</v>
      </c>
    </row>
    <row r="1115" spans="1:2" ht="14.4">
      <c r="A1115" s="6" t="s">
        <v>2622</v>
      </c>
      <c r="B1115" s="21" t="s">
        <v>2499</v>
      </c>
    </row>
    <row r="1116" spans="1:2" ht="14.4">
      <c r="A1116" s="6" t="s">
        <v>2623</v>
      </c>
      <c r="B1116" s="21" t="s">
        <v>2499</v>
      </c>
    </row>
    <row r="1117" spans="1:2" ht="14.4">
      <c r="A1117" s="6" t="s">
        <v>2624</v>
      </c>
      <c r="B1117" s="21" t="s">
        <v>2499</v>
      </c>
    </row>
    <row r="1118" spans="1:2" ht="14.4">
      <c r="A1118" s="6" t="s">
        <v>2625</v>
      </c>
      <c r="B1118" s="21" t="s">
        <v>2499</v>
      </c>
    </row>
    <row r="1119" spans="1:2" ht="14.4">
      <c r="A1119" s="6" t="s">
        <v>2626</v>
      </c>
      <c r="B1119" s="21" t="s">
        <v>2499</v>
      </c>
    </row>
    <row r="1120" spans="1:2" ht="14.4">
      <c r="A1120" s="6" t="s">
        <v>2627</v>
      </c>
      <c r="B1120" s="21" t="s">
        <v>2499</v>
      </c>
    </row>
    <row r="1121" spans="1:2" ht="14.4">
      <c r="A1121" s="6" t="s">
        <v>2628</v>
      </c>
      <c r="B1121" s="21" t="s">
        <v>2499</v>
      </c>
    </row>
    <row r="1122" spans="1:2" ht="14.4">
      <c r="A1122" s="6" t="s">
        <v>2629</v>
      </c>
      <c r="B1122" s="21" t="s">
        <v>2499</v>
      </c>
    </row>
    <row r="1123" spans="1:2" ht="14.4">
      <c r="A1123" s="6" t="s">
        <v>2630</v>
      </c>
      <c r="B1123" s="21" t="s">
        <v>2499</v>
      </c>
    </row>
    <row r="1124" spans="1:2" ht="14.4">
      <c r="A1124" s="6" t="s">
        <v>2631</v>
      </c>
      <c r="B1124" s="21" t="s">
        <v>2499</v>
      </c>
    </row>
    <row r="1125" spans="1:2" ht="14.4">
      <c r="A1125" s="6" t="s">
        <v>2632</v>
      </c>
      <c r="B1125" s="21" t="s">
        <v>2499</v>
      </c>
    </row>
    <row r="1126" spans="1:2" ht="14.4">
      <c r="A1126" s="6" t="s">
        <v>2633</v>
      </c>
      <c r="B1126" s="21" t="s">
        <v>2499</v>
      </c>
    </row>
    <row r="1127" spans="1:2" ht="14.4">
      <c r="A1127" s="6" t="s">
        <v>2634</v>
      </c>
      <c r="B1127" s="21" t="s">
        <v>2499</v>
      </c>
    </row>
    <row r="1128" spans="1:2" ht="14.4">
      <c r="A1128" s="6" t="s">
        <v>2635</v>
      </c>
      <c r="B1128" s="21" t="s">
        <v>2499</v>
      </c>
    </row>
    <row r="1129" spans="1:2" ht="14.4">
      <c r="A1129" s="6" t="s">
        <v>2636</v>
      </c>
      <c r="B1129" s="21" t="s">
        <v>2499</v>
      </c>
    </row>
    <row r="1130" spans="1:2" ht="14.4">
      <c r="A1130" s="6" t="s">
        <v>2637</v>
      </c>
      <c r="B1130" s="21" t="s">
        <v>2499</v>
      </c>
    </row>
    <row r="1131" spans="1:2" ht="14.4">
      <c r="A1131" s="6" t="s">
        <v>2638</v>
      </c>
      <c r="B1131" s="21" t="s">
        <v>2499</v>
      </c>
    </row>
    <row r="1132" spans="1:2" ht="14.4">
      <c r="A1132" s="6" t="s">
        <v>2639</v>
      </c>
      <c r="B1132" s="21" t="s">
        <v>2499</v>
      </c>
    </row>
    <row r="1133" spans="1:2" ht="14.4">
      <c r="A1133" s="6" t="s">
        <v>2640</v>
      </c>
      <c r="B1133" s="21" t="s">
        <v>2499</v>
      </c>
    </row>
    <row r="1134" spans="1:2" ht="14.4">
      <c r="A1134" s="6" t="s">
        <v>2641</v>
      </c>
      <c r="B1134" s="21" t="s">
        <v>2499</v>
      </c>
    </row>
    <row r="1135" spans="1:2" ht="14.4">
      <c r="A1135" s="6" t="s">
        <v>2642</v>
      </c>
      <c r="B1135" s="21" t="s">
        <v>2499</v>
      </c>
    </row>
    <row r="1136" spans="1:2" ht="14.4">
      <c r="A1136" s="6" t="s">
        <v>2643</v>
      </c>
      <c r="B1136" s="21" t="s">
        <v>2499</v>
      </c>
    </row>
    <row r="1137" spans="1:2" ht="14.4">
      <c r="A1137" s="6" t="s">
        <v>2644</v>
      </c>
      <c r="B1137" s="21" t="s">
        <v>2499</v>
      </c>
    </row>
    <row r="1138" spans="1:2" ht="14.4">
      <c r="A1138" s="6" t="s">
        <v>2645</v>
      </c>
      <c r="B1138" s="21" t="s">
        <v>2499</v>
      </c>
    </row>
    <row r="1139" spans="1:2" ht="14.4">
      <c r="A1139" s="6" t="s">
        <v>2646</v>
      </c>
      <c r="B1139" s="21" t="s">
        <v>2499</v>
      </c>
    </row>
    <row r="1140" spans="1:2" ht="14.4">
      <c r="A1140" s="6" t="s">
        <v>2647</v>
      </c>
      <c r="B1140" s="21" t="s">
        <v>2499</v>
      </c>
    </row>
    <row r="1141" spans="1:2" ht="14.4">
      <c r="A1141" s="6" t="s">
        <v>2648</v>
      </c>
      <c r="B1141" s="21" t="s">
        <v>2499</v>
      </c>
    </row>
    <row r="1142" spans="1:2" ht="14.4">
      <c r="A1142" s="6" t="s">
        <v>2649</v>
      </c>
      <c r="B1142" s="21" t="s">
        <v>2499</v>
      </c>
    </row>
    <row r="1143" spans="1:2" ht="14.4">
      <c r="A1143" s="6" t="s">
        <v>2650</v>
      </c>
      <c r="B1143" s="21" t="s">
        <v>2499</v>
      </c>
    </row>
    <row r="1144" spans="1:2" ht="14.4">
      <c r="A1144" s="6" t="s">
        <v>2651</v>
      </c>
      <c r="B1144" s="21" t="s">
        <v>2499</v>
      </c>
    </row>
    <row r="1145" spans="1:2" ht="14.4">
      <c r="A1145" s="6" t="s">
        <v>2652</v>
      </c>
      <c r="B1145" s="21" t="s">
        <v>2499</v>
      </c>
    </row>
    <row r="1146" spans="1:2" ht="14.4">
      <c r="A1146" s="6" t="s">
        <v>2653</v>
      </c>
      <c r="B1146" s="21" t="s">
        <v>2499</v>
      </c>
    </row>
    <row r="1147" spans="1:2" ht="14.4">
      <c r="A1147" s="6" t="s">
        <v>2654</v>
      </c>
      <c r="B1147" s="21" t="s">
        <v>2499</v>
      </c>
    </row>
    <row r="1148" spans="1:2" ht="14.4">
      <c r="A1148" s="6" t="s">
        <v>2655</v>
      </c>
      <c r="B1148" s="21" t="s">
        <v>2499</v>
      </c>
    </row>
    <row r="1149" spans="1:2" ht="14.4">
      <c r="A1149" s="6" t="s">
        <v>2656</v>
      </c>
      <c r="B1149" s="21" t="s">
        <v>2499</v>
      </c>
    </row>
    <row r="1150" spans="1:2" ht="14.4">
      <c r="A1150" s="6" t="s">
        <v>2657</v>
      </c>
      <c r="B1150" s="21" t="s">
        <v>2499</v>
      </c>
    </row>
    <row r="1151" spans="1:2" ht="14.4">
      <c r="A1151" s="6" t="s">
        <v>2658</v>
      </c>
      <c r="B1151" s="21" t="s">
        <v>2499</v>
      </c>
    </row>
    <row r="1152" spans="1:2" ht="14.4">
      <c r="A1152" s="6" t="s">
        <v>2659</v>
      </c>
      <c r="B1152" s="21" t="s">
        <v>2499</v>
      </c>
    </row>
    <row r="1153" spans="1:2" ht="14.4">
      <c r="A1153" s="6" t="s">
        <v>2660</v>
      </c>
      <c r="B1153" s="21" t="s">
        <v>2499</v>
      </c>
    </row>
    <row r="1154" spans="1:2" ht="14.4">
      <c r="A1154" s="6" t="s">
        <v>2661</v>
      </c>
      <c r="B1154" s="21" t="s">
        <v>2499</v>
      </c>
    </row>
    <row r="1155" spans="1:2" ht="14.4">
      <c r="A1155" s="6" t="s">
        <v>2662</v>
      </c>
      <c r="B1155" s="21" t="s">
        <v>2499</v>
      </c>
    </row>
    <row r="1156" spans="1:2" ht="14.4">
      <c r="A1156" s="6" t="s">
        <v>2663</v>
      </c>
      <c r="B1156" s="21" t="s">
        <v>2499</v>
      </c>
    </row>
    <row r="1157" spans="1:2" ht="14.4">
      <c r="A1157" s="6" t="s">
        <v>2664</v>
      </c>
      <c r="B1157" s="21" t="s">
        <v>2499</v>
      </c>
    </row>
    <row r="1158" spans="1:2" ht="14.4">
      <c r="A1158" s="6" t="s">
        <v>2665</v>
      </c>
      <c r="B1158" s="21" t="s">
        <v>2499</v>
      </c>
    </row>
    <row r="1159" spans="1:2" ht="14.4">
      <c r="A1159" s="6" t="s">
        <v>2666</v>
      </c>
      <c r="B1159" s="21" t="s">
        <v>2499</v>
      </c>
    </row>
    <row r="1160" spans="1:2" ht="14.4">
      <c r="A1160" s="6" t="s">
        <v>2667</v>
      </c>
      <c r="B1160" s="21" t="s">
        <v>2499</v>
      </c>
    </row>
    <row r="1161" spans="1:2" ht="14.4">
      <c r="A1161" s="6" t="s">
        <v>2668</v>
      </c>
      <c r="B1161" s="21" t="s">
        <v>2499</v>
      </c>
    </row>
    <row r="1162" spans="1:2" ht="14.4">
      <c r="A1162" s="6" t="s">
        <v>2669</v>
      </c>
      <c r="B1162" s="21" t="s">
        <v>2499</v>
      </c>
    </row>
    <row r="1163" spans="1:2" ht="14.4">
      <c r="A1163" s="6" t="s">
        <v>2670</v>
      </c>
      <c r="B1163" s="21" t="s">
        <v>2499</v>
      </c>
    </row>
    <row r="1164" spans="1:2" ht="14.4">
      <c r="A1164" s="6" t="s">
        <v>2671</v>
      </c>
      <c r="B1164" s="21" t="s">
        <v>2499</v>
      </c>
    </row>
    <row r="1165" spans="1:2" ht="14.4">
      <c r="A1165" s="6" t="s">
        <v>2672</v>
      </c>
      <c r="B1165" s="21" t="s">
        <v>2499</v>
      </c>
    </row>
    <row r="1166" spans="1:2" ht="14.4">
      <c r="A1166" s="6" t="s">
        <v>2673</v>
      </c>
      <c r="B1166" s="21" t="s">
        <v>2499</v>
      </c>
    </row>
    <row r="1167" spans="1:2" ht="14.4">
      <c r="A1167" s="6" t="s">
        <v>2674</v>
      </c>
      <c r="B1167" s="21" t="s">
        <v>2499</v>
      </c>
    </row>
    <row r="1168" spans="1:2" ht="14.4">
      <c r="A1168" s="6" t="s">
        <v>2675</v>
      </c>
      <c r="B1168" s="21" t="s">
        <v>2499</v>
      </c>
    </row>
    <row r="1169" spans="1:2" ht="14.4">
      <c r="A1169" s="6" t="s">
        <v>2676</v>
      </c>
      <c r="B1169" s="21" t="s">
        <v>2499</v>
      </c>
    </row>
    <row r="1170" spans="1:2" ht="14.4">
      <c r="A1170" s="6" t="s">
        <v>2677</v>
      </c>
      <c r="B1170" s="21" t="s">
        <v>2499</v>
      </c>
    </row>
    <row r="1171" spans="1:2" ht="14.4">
      <c r="A1171" s="6" t="s">
        <v>2678</v>
      </c>
      <c r="B1171" s="21" t="s">
        <v>2499</v>
      </c>
    </row>
    <row r="1172" spans="1:2" ht="14.4">
      <c r="A1172" s="6" t="s">
        <v>2679</v>
      </c>
      <c r="B1172" s="21" t="s">
        <v>2499</v>
      </c>
    </row>
    <row r="1173" spans="1:2" ht="14.4">
      <c r="A1173" s="6" t="s">
        <v>2680</v>
      </c>
      <c r="B1173" s="21" t="s">
        <v>2499</v>
      </c>
    </row>
    <row r="1174" spans="1:2" ht="14.4">
      <c r="A1174" s="6" t="s">
        <v>2681</v>
      </c>
      <c r="B1174" s="21" t="s">
        <v>2499</v>
      </c>
    </row>
    <row r="1175" spans="1:2" ht="14.4">
      <c r="A1175" s="6" t="s">
        <v>2682</v>
      </c>
      <c r="B1175" s="21" t="s">
        <v>2499</v>
      </c>
    </row>
    <row r="1176" spans="1:2" ht="14.4">
      <c r="A1176" s="6" t="s">
        <v>2683</v>
      </c>
      <c r="B1176" s="21" t="s">
        <v>2499</v>
      </c>
    </row>
    <row r="1177" spans="1:2" ht="14.4">
      <c r="A1177" s="6" t="s">
        <v>2684</v>
      </c>
      <c r="B1177" s="21" t="s">
        <v>2499</v>
      </c>
    </row>
    <row r="1178" spans="1:2" ht="14.4">
      <c r="A1178" s="6" t="s">
        <v>2685</v>
      </c>
      <c r="B1178" s="21" t="s">
        <v>2499</v>
      </c>
    </row>
    <row r="1179" spans="1:2" ht="14.4">
      <c r="A1179" s="6" t="s">
        <v>2686</v>
      </c>
      <c r="B1179" s="21" t="s">
        <v>2499</v>
      </c>
    </row>
    <row r="1180" spans="1:2" ht="14.4">
      <c r="A1180" s="6" t="s">
        <v>2687</v>
      </c>
      <c r="B1180" s="21" t="s">
        <v>2499</v>
      </c>
    </row>
    <row r="1181" spans="1:2" ht="14.4">
      <c r="A1181" s="6" t="s">
        <v>2688</v>
      </c>
      <c r="B1181" s="21" t="s">
        <v>2499</v>
      </c>
    </row>
    <row r="1182" spans="1:2" ht="14.4">
      <c r="A1182" s="6" t="s">
        <v>2689</v>
      </c>
      <c r="B1182" s="21" t="s">
        <v>2499</v>
      </c>
    </row>
    <row r="1183" spans="1:2" ht="14.4">
      <c r="A1183" s="6" t="s">
        <v>2690</v>
      </c>
      <c r="B1183" s="21" t="s">
        <v>2499</v>
      </c>
    </row>
    <row r="1184" spans="1:2" ht="14.4">
      <c r="A1184" s="6" t="s">
        <v>2691</v>
      </c>
      <c r="B1184" s="21" t="s">
        <v>2499</v>
      </c>
    </row>
    <row r="1185" spans="1:2" ht="14.4">
      <c r="A1185" s="6" t="s">
        <v>2692</v>
      </c>
      <c r="B1185" s="21" t="s">
        <v>2499</v>
      </c>
    </row>
    <row r="1186" spans="1:2" ht="14.4">
      <c r="A1186" s="6" t="s">
        <v>2693</v>
      </c>
      <c r="B1186" s="21" t="s">
        <v>2499</v>
      </c>
    </row>
    <row r="1187" spans="1:2" ht="14.4">
      <c r="A1187" s="6" t="s">
        <v>2694</v>
      </c>
      <c r="B1187" s="21" t="s">
        <v>2499</v>
      </c>
    </row>
    <row r="1188" spans="1:2" ht="14.4">
      <c r="A1188" s="6" t="s">
        <v>2695</v>
      </c>
      <c r="B1188" s="21" t="s">
        <v>2499</v>
      </c>
    </row>
    <row r="1189" spans="1:2" ht="14.4">
      <c r="A1189" s="6" t="s">
        <v>2696</v>
      </c>
      <c r="B1189" s="21" t="s">
        <v>2499</v>
      </c>
    </row>
    <row r="1190" spans="1:2" ht="14.4">
      <c r="A1190" s="6" t="s">
        <v>2697</v>
      </c>
      <c r="B1190" s="21" t="s">
        <v>2499</v>
      </c>
    </row>
    <row r="1191" spans="1:2" ht="14.4">
      <c r="A1191" s="6" t="s">
        <v>2698</v>
      </c>
      <c r="B1191" s="21" t="s">
        <v>2499</v>
      </c>
    </row>
    <row r="1192" spans="1:2" ht="14.4">
      <c r="A1192" s="6" t="s">
        <v>2699</v>
      </c>
      <c r="B1192" s="21" t="s">
        <v>2499</v>
      </c>
    </row>
    <row r="1193" spans="1:2" ht="14.4">
      <c r="A1193" s="6" t="s">
        <v>2700</v>
      </c>
      <c r="B1193" s="21" t="s">
        <v>2499</v>
      </c>
    </row>
    <row r="1194" spans="1:2" ht="14.4">
      <c r="A1194" s="6" t="s">
        <v>2701</v>
      </c>
      <c r="B1194" s="21" t="s">
        <v>2499</v>
      </c>
    </row>
    <row r="1195" spans="1:2" ht="14.4">
      <c r="A1195" s="6" t="s">
        <v>2702</v>
      </c>
      <c r="B1195" s="21" t="s">
        <v>2499</v>
      </c>
    </row>
    <row r="1196" spans="1:2" ht="14.4">
      <c r="A1196" s="6" t="s">
        <v>2703</v>
      </c>
      <c r="B1196" s="21" t="s">
        <v>2499</v>
      </c>
    </row>
    <row r="1197" spans="1:2" ht="14.4">
      <c r="A1197" s="6" t="s">
        <v>2704</v>
      </c>
      <c r="B1197" s="21" t="s">
        <v>2499</v>
      </c>
    </row>
    <row r="1198" spans="1:2" ht="14.4">
      <c r="A1198" s="6" t="s">
        <v>2705</v>
      </c>
      <c r="B1198" s="21" t="s">
        <v>2499</v>
      </c>
    </row>
    <row r="1199" spans="1:2" ht="14.4">
      <c r="A1199" s="6" t="s">
        <v>2706</v>
      </c>
      <c r="B1199" s="21" t="s">
        <v>2499</v>
      </c>
    </row>
    <row r="1200" spans="1:2" ht="14.4">
      <c r="A1200" s="6" t="s">
        <v>2707</v>
      </c>
      <c r="B1200" s="21" t="s">
        <v>2499</v>
      </c>
    </row>
    <row r="1201" spans="1:2" ht="14.4">
      <c r="A1201" s="6" t="s">
        <v>2708</v>
      </c>
      <c r="B1201" s="21" t="s">
        <v>2499</v>
      </c>
    </row>
    <row r="1202" spans="1:2" ht="14.4">
      <c r="A1202" s="6" t="s">
        <v>2709</v>
      </c>
      <c r="B1202" s="21" t="s">
        <v>2499</v>
      </c>
    </row>
    <row r="1203" spans="1:2" ht="14.4">
      <c r="A1203" s="6" t="s">
        <v>2710</v>
      </c>
      <c r="B1203" s="21" t="s">
        <v>2499</v>
      </c>
    </row>
    <row r="1204" spans="1:2" ht="14.4">
      <c r="A1204" s="6" t="s">
        <v>2711</v>
      </c>
      <c r="B1204" s="21" t="s">
        <v>2499</v>
      </c>
    </row>
    <row r="1205" spans="1:2" ht="14.4">
      <c r="A1205" s="6" t="s">
        <v>2712</v>
      </c>
      <c r="B1205" s="21" t="s">
        <v>2499</v>
      </c>
    </row>
    <row r="1206" spans="1:2" ht="14.4">
      <c r="A1206" s="6" t="s">
        <v>2713</v>
      </c>
      <c r="B1206" s="21" t="s">
        <v>2499</v>
      </c>
    </row>
    <row r="1207" spans="1:2" ht="14.4">
      <c r="A1207" s="6" t="s">
        <v>2714</v>
      </c>
      <c r="B1207" s="21" t="s">
        <v>2499</v>
      </c>
    </row>
    <row r="1208" spans="1:2" ht="14.4">
      <c r="A1208" s="6" t="s">
        <v>2715</v>
      </c>
      <c r="B1208" s="21" t="s">
        <v>2499</v>
      </c>
    </row>
    <row r="1209" spans="1:2" ht="14.4">
      <c r="A1209" s="6" t="s">
        <v>2716</v>
      </c>
      <c r="B1209" s="21" t="s">
        <v>2499</v>
      </c>
    </row>
    <row r="1210" spans="1:2" ht="14.4">
      <c r="A1210" s="6" t="s">
        <v>2717</v>
      </c>
      <c r="B1210" s="21" t="s">
        <v>2499</v>
      </c>
    </row>
    <row r="1211" spans="1:2" ht="14.4">
      <c r="A1211" s="6" t="s">
        <v>2718</v>
      </c>
      <c r="B1211" s="21" t="s">
        <v>2499</v>
      </c>
    </row>
    <row r="1212" spans="1:2" ht="14.4">
      <c r="A1212" s="6" t="s">
        <v>2719</v>
      </c>
      <c r="B1212" s="21" t="s">
        <v>2499</v>
      </c>
    </row>
    <row r="1213" spans="1:2" ht="14.4">
      <c r="A1213" s="6" t="s">
        <v>2720</v>
      </c>
      <c r="B1213" s="21" t="s">
        <v>2499</v>
      </c>
    </row>
    <row r="1214" spans="1:2" ht="14.4">
      <c r="A1214" s="6" t="s">
        <v>2721</v>
      </c>
      <c r="B1214" s="21" t="s">
        <v>2499</v>
      </c>
    </row>
    <row r="1215" spans="1:2" ht="14.4">
      <c r="A1215" s="6" t="s">
        <v>2722</v>
      </c>
      <c r="B1215" s="21" t="s">
        <v>2499</v>
      </c>
    </row>
    <row r="1216" spans="1:2" ht="14.4">
      <c r="A1216" s="6" t="s">
        <v>2723</v>
      </c>
      <c r="B1216" s="21" t="s">
        <v>2499</v>
      </c>
    </row>
    <row r="1217" spans="1:2" ht="14.4">
      <c r="A1217" s="6" t="s">
        <v>2724</v>
      </c>
      <c r="B1217" s="21" t="s">
        <v>2499</v>
      </c>
    </row>
    <row r="1218" spans="1:2" ht="14.4">
      <c r="A1218" s="6" t="s">
        <v>2725</v>
      </c>
      <c r="B1218" s="21" t="s">
        <v>2499</v>
      </c>
    </row>
    <row r="1219" spans="1:2" ht="14.4">
      <c r="A1219" s="6" t="s">
        <v>2726</v>
      </c>
      <c r="B1219" s="21" t="s">
        <v>2499</v>
      </c>
    </row>
    <row r="1220" spans="1:2" ht="14.4">
      <c r="A1220" s="6" t="s">
        <v>2727</v>
      </c>
      <c r="B1220" s="21" t="s">
        <v>2499</v>
      </c>
    </row>
    <row r="1221" spans="1:2" ht="14.4">
      <c r="A1221" s="6" t="s">
        <v>2728</v>
      </c>
      <c r="B1221" s="21" t="s">
        <v>2499</v>
      </c>
    </row>
    <row r="1222" spans="1:2" ht="14.4">
      <c r="A1222" s="6" t="s">
        <v>2729</v>
      </c>
      <c r="B1222" s="21" t="s">
        <v>2499</v>
      </c>
    </row>
    <row r="1223" spans="1:2" ht="14.4">
      <c r="A1223" s="6" t="s">
        <v>2730</v>
      </c>
      <c r="B1223" s="21" t="s">
        <v>2499</v>
      </c>
    </row>
    <row r="1224" spans="1:2" ht="14.4">
      <c r="A1224" s="6" t="s">
        <v>2731</v>
      </c>
      <c r="B1224" s="21" t="s">
        <v>2499</v>
      </c>
    </row>
    <row r="1225" spans="1:2" ht="14.4">
      <c r="A1225" s="6" t="s">
        <v>2732</v>
      </c>
      <c r="B1225" s="21" t="s">
        <v>2499</v>
      </c>
    </row>
    <row r="1226" spans="1:2" ht="14.4">
      <c r="A1226" s="6" t="s">
        <v>2733</v>
      </c>
      <c r="B1226" s="21" t="s">
        <v>2499</v>
      </c>
    </row>
    <row r="1227" spans="1:2" ht="14.4">
      <c r="A1227" s="6" t="s">
        <v>2734</v>
      </c>
      <c r="B1227" s="21" t="s">
        <v>2499</v>
      </c>
    </row>
    <row r="1228" spans="1:2" ht="14.4">
      <c r="A1228" s="6" t="s">
        <v>2735</v>
      </c>
      <c r="B1228" s="21" t="s">
        <v>2499</v>
      </c>
    </row>
    <row r="1229" spans="1:2" ht="14.4">
      <c r="A1229" s="6" t="s">
        <v>2736</v>
      </c>
      <c r="B1229" s="21" t="s">
        <v>2499</v>
      </c>
    </row>
    <row r="1230" spans="1:2" ht="14.4">
      <c r="A1230" s="6" t="s">
        <v>2737</v>
      </c>
      <c r="B1230" s="21" t="s">
        <v>2499</v>
      </c>
    </row>
    <row r="1231" spans="1:2" ht="14.4">
      <c r="A1231" s="6" t="s">
        <v>2738</v>
      </c>
      <c r="B1231" s="21" t="s">
        <v>2499</v>
      </c>
    </row>
    <row r="1232" spans="1:2" ht="14.4">
      <c r="A1232" s="6" t="s">
        <v>2739</v>
      </c>
      <c r="B1232" s="21" t="s">
        <v>2499</v>
      </c>
    </row>
    <row r="1233" spans="1:2" ht="14.4">
      <c r="A1233" s="6" t="s">
        <v>2740</v>
      </c>
      <c r="B1233" s="21" t="s">
        <v>2499</v>
      </c>
    </row>
    <row r="1234" spans="1:2" ht="14.4">
      <c r="A1234" s="6" t="s">
        <v>2741</v>
      </c>
      <c r="B1234" s="21" t="s">
        <v>2499</v>
      </c>
    </row>
    <row r="1235" spans="1:2" ht="14.4">
      <c r="A1235" s="6" t="s">
        <v>2742</v>
      </c>
      <c r="B1235" s="21" t="s">
        <v>2499</v>
      </c>
    </row>
    <row r="1236" spans="1:2" ht="14.4">
      <c r="A1236" s="6" t="s">
        <v>2743</v>
      </c>
      <c r="B1236" s="21" t="s">
        <v>2499</v>
      </c>
    </row>
    <row r="1237" spans="1:2" ht="14.4">
      <c r="A1237" s="6" t="s">
        <v>2744</v>
      </c>
      <c r="B1237" s="21" t="s">
        <v>2499</v>
      </c>
    </row>
    <row r="1238" spans="1:2" ht="14.4">
      <c r="A1238" s="6" t="s">
        <v>2745</v>
      </c>
      <c r="B1238" s="21" t="s">
        <v>2499</v>
      </c>
    </row>
    <row r="1239" spans="1:2" ht="14.4">
      <c r="A1239" s="6" t="s">
        <v>2746</v>
      </c>
      <c r="B1239" s="21" t="s">
        <v>2499</v>
      </c>
    </row>
    <row r="1240" spans="1:2" ht="14.4">
      <c r="A1240" s="6" t="s">
        <v>2747</v>
      </c>
      <c r="B1240" s="21" t="s">
        <v>2499</v>
      </c>
    </row>
    <row r="1241" spans="1:2" ht="14.4">
      <c r="A1241" s="6" t="s">
        <v>2748</v>
      </c>
      <c r="B1241" s="21" t="s">
        <v>2499</v>
      </c>
    </row>
    <row r="1242" spans="1:2" ht="14.4">
      <c r="A1242" s="6" t="s">
        <v>2749</v>
      </c>
      <c r="B1242" s="21" t="s">
        <v>2499</v>
      </c>
    </row>
    <row r="1243" spans="1:2" ht="14.4">
      <c r="A1243" s="6" t="s">
        <v>2750</v>
      </c>
      <c r="B1243" s="21" t="s">
        <v>2499</v>
      </c>
    </row>
    <row r="1244" spans="1:2" ht="14.4">
      <c r="A1244" s="6" t="s">
        <v>2751</v>
      </c>
      <c r="B1244" s="21" t="s">
        <v>2499</v>
      </c>
    </row>
    <row r="1245" spans="1:2" ht="14.4">
      <c r="A1245" s="6" t="s">
        <v>2752</v>
      </c>
      <c r="B1245" s="21" t="s">
        <v>2499</v>
      </c>
    </row>
    <row r="1246" spans="1:2" ht="14.4">
      <c r="A1246" s="6" t="s">
        <v>2753</v>
      </c>
      <c r="B1246" s="21" t="s">
        <v>2499</v>
      </c>
    </row>
    <row r="1247" spans="1:2" ht="14.4">
      <c r="A1247" s="6" t="s">
        <v>2754</v>
      </c>
      <c r="B1247" s="21" t="s">
        <v>2499</v>
      </c>
    </row>
    <row r="1248" spans="1:2" ht="14.4">
      <c r="A1248" s="6" t="s">
        <v>2755</v>
      </c>
      <c r="B1248" s="21" t="s">
        <v>2499</v>
      </c>
    </row>
    <row r="1249" spans="1:2" ht="14.4">
      <c r="A1249" s="6" t="s">
        <v>2756</v>
      </c>
      <c r="B1249" s="21" t="s">
        <v>2499</v>
      </c>
    </row>
    <row r="1250" spans="1:2" ht="14.4">
      <c r="A1250" s="6" t="s">
        <v>2757</v>
      </c>
      <c r="B1250" s="13" t="s">
        <v>2499</v>
      </c>
    </row>
    <row r="1251" spans="1:2" ht="14.4">
      <c r="A1251" s="6" t="s">
        <v>2758</v>
      </c>
      <c r="B1251" s="47" t="s">
        <v>2499</v>
      </c>
    </row>
    <row r="1252" spans="1:2" ht="14.4">
      <c r="A1252" s="6" t="s">
        <v>2759</v>
      </c>
      <c r="B1252" s="21" t="s">
        <v>2499</v>
      </c>
    </row>
    <row r="1253" spans="1:2" ht="14.4">
      <c r="A1253" s="6" t="s">
        <v>2760</v>
      </c>
      <c r="B1253" s="21" t="s">
        <v>2499</v>
      </c>
    </row>
    <row r="1254" spans="1:2" ht="14.4">
      <c r="A1254" s="6" t="s">
        <v>2761</v>
      </c>
      <c r="B1254" s="21" t="s">
        <v>2499</v>
      </c>
    </row>
    <row r="1255" spans="1:2" ht="14.4">
      <c r="A1255" s="6" t="s">
        <v>2762</v>
      </c>
      <c r="B1255" s="21" t="s">
        <v>2499</v>
      </c>
    </row>
    <row r="1256" spans="1:2" ht="14.4">
      <c r="A1256" s="6" t="s">
        <v>2763</v>
      </c>
      <c r="B1256" s="21" t="s">
        <v>2499</v>
      </c>
    </row>
    <row r="1257" spans="1:2" ht="14.4">
      <c r="A1257" s="6" t="s">
        <v>2764</v>
      </c>
      <c r="B1257" s="21" t="s">
        <v>2499</v>
      </c>
    </row>
    <row r="1258" spans="1:2" ht="14.4">
      <c r="A1258" s="6" t="s">
        <v>2765</v>
      </c>
      <c r="B1258" s="21" t="s">
        <v>2499</v>
      </c>
    </row>
    <row r="1259" spans="1:2" ht="14.4">
      <c r="A1259" s="6" t="s">
        <v>2766</v>
      </c>
      <c r="B1259" s="21" t="s">
        <v>2499</v>
      </c>
    </row>
    <row r="1260" spans="1:2" ht="14.4">
      <c r="A1260" s="6" t="s">
        <v>2767</v>
      </c>
      <c r="B1260" s="21" t="s">
        <v>2499</v>
      </c>
    </row>
    <row r="1261" spans="1:2" ht="14.4">
      <c r="A1261" s="6" t="s">
        <v>2768</v>
      </c>
      <c r="B1261" s="21" t="s">
        <v>2499</v>
      </c>
    </row>
    <row r="1262" spans="1:2" ht="14.4">
      <c r="A1262" s="6" t="s">
        <v>2769</v>
      </c>
      <c r="B1262" s="21" t="s">
        <v>2499</v>
      </c>
    </row>
    <row r="1263" spans="1:2" ht="14.4">
      <c r="A1263" s="6" t="s">
        <v>2770</v>
      </c>
      <c r="B1263" s="21" t="s">
        <v>2499</v>
      </c>
    </row>
    <row r="1264" spans="1:2" ht="14.4">
      <c r="A1264" s="6" t="s">
        <v>2771</v>
      </c>
      <c r="B1264" s="21" t="s">
        <v>2499</v>
      </c>
    </row>
    <row r="1265" spans="1:2" ht="14.4">
      <c r="A1265" s="6" t="s">
        <v>2772</v>
      </c>
      <c r="B1265" s="13" t="s">
        <v>2499</v>
      </c>
    </row>
    <row r="1266" spans="1:2" ht="14.4">
      <c r="A1266" s="6" t="s">
        <v>2773</v>
      </c>
      <c r="B1266" s="47" t="s">
        <v>2499</v>
      </c>
    </row>
    <row r="1267" spans="1:2" ht="14.4">
      <c r="A1267" s="6" t="s">
        <v>2774</v>
      </c>
      <c r="B1267" s="21" t="s">
        <v>2499</v>
      </c>
    </row>
    <row r="1268" spans="1:2" ht="14.4">
      <c r="A1268" s="6" t="s">
        <v>2775</v>
      </c>
      <c r="B1268" s="21" t="s">
        <v>2499</v>
      </c>
    </row>
    <row r="1269" spans="1:2" ht="14.4">
      <c r="A1269" s="6" t="s">
        <v>2776</v>
      </c>
      <c r="B1269" s="21" t="s">
        <v>2499</v>
      </c>
    </row>
    <row r="1270" spans="1:2" ht="14.4">
      <c r="A1270" s="6" t="s">
        <v>2777</v>
      </c>
      <c r="B1270" s="21" t="s">
        <v>2499</v>
      </c>
    </row>
    <row r="1271" spans="1:2" ht="14.4">
      <c r="A1271" s="6" t="s">
        <v>2778</v>
      </c>
      <c r="B1271" s="21" t="s">
        <v>2499</v>
      </c>
    </row>
    <row r="1272" spans="1:2" ht="14.4">
      <c r="A1272" s="6" t="s">
        <v>2779</v>
      </c>
      <c r="B1272" s="21" t="s">
        <v>2499</v>
      </c>
    </row>
    <row r="1273" spans="1:2" ht="14.4">
      <c r="A1273" s="6" t="s">
        <v>2780</v>
      </c>
      <c r="B1273" s="21" t="s">
        <v>2499</v>
      </c>
    </row>
    <row r="1274" spans="1:2" ht="14.4">
      <c r="A1274" s="6" t="s">
        <v>2781</v>
      </c>
      <c r="B1274" s="21" t="s">
        <v>2499</v>
      </c>
    </row>
    <row r="1275" spans="1:2" ht="14.4">
      <c r="A1275" s="6" t="s">
        <v>2782</v>
      </c>
      <c r="B1275" s="13" t="s">
        <v>2499</v>
      </c>
    </row>
    <row r="1276" spans="1:2" ht="14.4">
      <c r="A1276" s="6" t="s">
        <v>2783</v>
      </c>
      <c r="B1276" s="47" t="s">
        <v>2499</v>
      </c>
    </row>
    <row r="1277" spans="1:2" ht="14.4">
      <c r="A1277" s="6" t="s">
        <v>2784</v>
      </c>
      <c r="B1277" s="21" t="s">
        <v>2499</v>
      </c>
    </row>
    <row r="1278" spans="1:2" ht="14.4">
      <c r="A1278" s="6" t="s">
        <v>2785</v>
      </c>
      <c r="B1278" s="21" t="s">
        <v>2499</v>
      </c>
    </row>
    <row r="1279" spans="1:2" ht="14.4">
      <c r="A1279" s="6" t="s">
        <v>2786</v>
      </c>
      <c r="B1279" s="21" t="s">
        <v>2499</v>
      </c>
    </row>
    <row r="1280" spans="1:2" ht="14.4">
      <c r="A1280" s="6" t="s">
        <v>2787</v>
      </c>
      <c r="B1280" s="21" t="s">
        <v>2499</v>
      </c>
    </row>
    <row r="1281" spans="1:2" ht="14.4">
      <c r="A1281" s="6" t="s">
        <v>2788</v>
      </c>
      <c r="B1281" s="21" t="s">
        <v>2499</v>
      </c>
    </row>
    <row r="1282" spans="1:2" ht="14.4">
      <c r="A1282" s="6" t="s">
        <v>692</v>
      </c>
      <c r="B1282" s="21" t="s">
        <v>2499</v>
      </c>
    </row>
    <row r="1283" spans="1:2" ht="14.4">
      <c r="A1283" s="6" t="s">
        <v>2789</v>
      </c>
      <c r="B1283" s="21" t="s">
        <v>2499</v>
      </c>
    </row>
    <row r="1284" spans="1:2" ht="14.4">
      <c r="A1284" s="6" t="s">
        <v>2790</v>
      </c>
      <c r="B1284" s="21" t="s">
        <v>2499</v>
      </c>
    </row>
    <row r="1285" spans="1:2" ht="14.4">
      <c r="A1285" s="6" t="s">
        <v>2791</v>
      </c>
      <c r="B1285" s="21" t="s">
        <v>2499</v>
      </c>
    </row>
    <row r="1286" spans="1:2" ht="14.4">
      <c r="A1286" s="6" t="s">
        <v>2792</v>
      </c>
      <c r="B1286" s="21" t="s">
        <v>2499</v>
      </c>
    </row>
    <row r="1287" spans="1:2" ht="14.4">
      <c r="A1287" s="6" t="s">
        <v>2793</v>
      </c>
      <c r="B1287" s="21" t="s">
        <v>2499</v>
      </c>
    </row>
    <row r="1288" spans="1:2" ht="14.4">
      <c r="A1288" s="6" t="s">
        <v>2794</v>
      </c>
      <c r="B1288" s="21" t="s">
        <v>2499</v>
      </c>
    </row>
    <row r="1289" spans="1:2" ht="14.4">
      <c r="A1289" s="6" t="s">
        <v>2795</v>
      </c>
      <c r="B1289" s="21" t="s">
        <v>2499</v>
      </c>
    </row>
    <row r="1290" spans="1:2" ht="14.4">
      <c r="A1290" s="6" t="s">
        <v>2796</v>
      </c>
      <c r="B1290" s="21" t="s">
        <v>2499</v>
      </c>
    </row>
    <row r="1291" spans="1:2" ht="14.4">
      <c r="A1291" s="6" t="s">
        <v>2797</v>
      </c>
      <c r="B1291" s="21" t="s">
        <v>2499</v>
      </c>
    </row>
    <row r="1292" spans="1:2" ht="14.4">
      <c r="A1292" s="6" t="s">
        <v>2798</v>
      </c>
      <c r="B1292" s="21" t="s">
        <v>2499</v>
      </c>
    </row>
    <row r="1293" spans="1:2" ht="14.4">
      <c r="A1293" s="6" t="s">
        <v>2799</v>
      </c>
      <c r="B1293" s="21" t="s">
        <v>2499</v>
      </c>
    </row>
    <row r="1294" spans="1:2" ht="14.4">
      <c r="A1294" s="6" t="s">
        <v>2800</v>
      </c>
      <c r="B1294" s="21" t="s">
        <v>2499</v>
      </c>
    </row>
    <row r="1295" spans="1:2" ht="14.4">
      <c r="A1295" s="6" t="s">
        <v>2801</v>
      </c>
      <c r="B1295" s="21" t="s">
        <v>2499</v>
      </c>
    </row>
    <row r="1296" spans="1:2" ht="14.4">
      <c r="A1296" s="6" t="s">
        <v>2802</v>
      </c>
      <c r="B1296" s="21" t="s">
        <v>2499</v>
      </c>
    </row>
    <row r="1297" spans="1:2" ht="14.4">
      <c r="A1297" s="6" t="s">
        <v>2803</v>
      </c>
      <c r="B1297" s="21" t="s">
        <v>2499</v>
      </c>
    </row>
    <row r="1298" spans="1:2" ht="14.4">
      <c r="A1298" s="6" t="s">
        <v>2804</v>
      </c>
      <c r="B1298" s="21" t="s">
        <v>2499</v>
      </c>
    </row>
    <row r="1299" spans="1:2" ht="14.4">
      <c r="A1299" s="6" t="s">
        <v>2805</v>
      </c>
      <c r="B1299" s="21" t="s">
        <v>2499</v>
      </c>
    </row>
    <row r="1300" spans="1:2" ht="14.4">
      <c r="A1300" s="6" t="s">
        <v>2806</v>
      </c>
      <c r="B1300" s="21" t="s">
        <v>2499</v>
      </c>
    </row>
    <row r="1301" spans="1:2" ht="14.4">
      <c r="A1301" s="6" t="s">
        <v>2807</v>
      </c>
      <c r="B1301" s="21" t="s">
        <v>2499</v>
      </c>
    </row>
    <row r="1302" spans="1:2" ht="14.4">
      <c r="A1302" s="6" t="s">
        <v>2808</v>
      </c>
      <c r="B1302" s="21" t="s">
        <v>2499</v>
      </c>
    </row>
    <row r="1303" spans="1:2" ht="14.4">
      <c r="A1303" s="6" t="s">
        <v>2809</v>
      </c>
      <c r="B1303" s="21" t="s">
        <v>2499</v>
      </c>
    </row>
    <row r="1304" spans="1:2" ht="14.4">
      <c r="A1304" s="6" t="s">
        <v>2810</v>
      </c>
      <c r="B1304" s="21" t="s">
        <v>2499</v>
      </c>
    </row>
    <row r="1305" spans="1:2" ht="14.4">
      <c r="A1305" s="6" t="s">
        <v>2811</v>
      </c>
      <c r="B1305" s="21" t="s">
        <v>2499</v>
      </c>
    </row>
    <row r="1306" spans="1:2" ht="14.4">
      <c r="A1306" s="6" t="s">
        <v>2812</v>
      </c>
      <c r="B1306" s="21" t="s">
        <v>2499</v>
      </c>
    </row>
    <row r="1307" spans="1:2" ht="14.4">
      <c r="A1307" s="6" t="s">
        <v>2813</v>
      </c>
      <c r="B1307" s="21" t="s">
        <v>2499</v>
      </c>
    </row>
    <row r="1308" spans="1:2" ht="14.4">
      <c r="A1308" s="6" t="s">
        <v>2814</v>
      </c>
      <c r="B1308" s="21" t="s">
        <v>2499</v>
      </c>
    </row>
    <row r="1309" spans="1:2" ht="14.4">
      <c r="A1309" s="6" t="s">
        <v>2815</v>
      </c>
      <c r="B1309" s="21" t="s">
        <v>2499</v>
      </c>
    </row>
    <row r="1310" spans="1:2" ht="14.4">
      <c r="A1310" s="6" t="s">
        <v>2816</v>
      </c>
      <c r="B1310" s="21" t="s">
        <v>2499</v>
      </c>
    </row>
    <row r="1311" spans="1:2" ht="14.4">
      <c r="A1311" s="6" t="s">
        <v>2817</v>
      </c>
      <c r="B1311" s="21" t="s">
        <v>2499</v>
      </c>
    </row>
    <row r="1312" spans="1:2" ht="14.4">
      <c r="A1312" s="6" t="s">
        <v>2818</v>
      </c>
      <c r="B1312" s="21" t="s">
        <v>2499</v>
      </c>
    </row>
    <row r="1313" spans="1:2" ht="14.4">
      <c r="A1313" s="6" t="s">
        <v>2819</v>
      </c>
      <c r="B1313" s="21" t="s">
        <v>2499</v>
      </c>
    </row>
    <row r="1314" spans="1:2" ht="14.4">
      <c r="A1314" s="6" t="s">
        <v>2820</v>
      </c>
      <c r="B1314" s="21" t="s">
        <v>2499</v>
      </c>
    </row>
    <row r="1315" spans="1:2" ht="14.4">
      <c r="A1315" s="6" t="s">
        <v>2821</v>
      </c>
      <c r="B1315" s="21" t="s">
        <v>2499</v>
      </c>
    </row>
    <row r="1316" spans="1:2" ht="14.4">
      <c r="A1316" s="6" t="s">
        <v>2822</v>
      </c>
      <c r="B1316" s="21" t="s">
        <v>2499</v>
      </c>
    </row>
    <row r="1317" spans="1:2" ht="14.4">
      <c r="A1317" s="6" t="s">
        <v>2823</v>
      </c>
      <c r="B1317" s="21" t="s">
        <v>2499</v>
      </c>
    </row>
    <row r="1318" spans="1:2" ht="14.4">
      <c r="A1318" s="6" t="s">
        <v>2824</v>
      </c>
      <c r="B1318" s="21" t="s">
        <v>2499</v>
      </c>
    </row>
    <row r="1319" spans="1:2" ht="14.4">
      <c r="A1319" s="6" t="s">
        <v>2825</v>
      </c>
      <c r="B1319" s="21" t="s">
        <v>2499</v>
      </c>
    </row>
    <row r="1320" spans="1:2" ht="14.4">
      <c r="A1320" s="6" t="s">
        <v>2826</v>
      </c>
      <c r="B1320" s="21" t="s">
        <v>2499</v>
      </c>
    </row>
    <row r="1321" spans="1:2" ht="14.4">
      <c r="A1321" s="6" t="s">
        <v>2827</v>
      </c>
      <c r="B1321" s="21" t="s">
        <v>2499</v>
      </c>
    </row>
    <row r="1322" spans="1:2" ht="14.4">
      <c r="A1322" s="6" t="s">
        <v>2828</v>
      </c>
      <c r="B1322" s="21" t="s">
        <v>2499</v>
      </c>
    </row>
    <row r="1323" spans="1:2" ht="14.4">
      <c r="A1323" s="6" t="s">
        <v>2829</v>
      </c>
      <c r="B1323" s="21" t="s">
        <v>2499</v>
      </c>
    </row>
    <row r="1324" spans="1:2" ht="14.4">
      <c r="A1324" s="6" t="s">
        <v>2830</v>
      </c>
      <c r="B1324" s="21" t="s">
        <v>2499</v>
      </c>
    </row>
    <row r="1325" spans="1:2" ht="14.4">
      <c r="A1325" s="6" t="s">
        <v>2831</v>
      </c>
      <c r="B1325" s="21" t="s">
        <v>2499</v>
      </c>
    </row>
    <row r="1326" spans="1:2" ht="14.4">
      <c r="A1326" s="6" t="s">
        <v>2832</v>
      </c>
      <c r="B1326" s="21" t="s">
        <v>2499</v>
      </c>
    </row>
    <row r="1327" spans="1:2" ht="14.4">
      <c r="A1327" s="6" t="s">
        <v>2833</v>
      </c>
      <c r="B1327" s="21" t="s">
        <v>2499</v>
      </c>
    </row>
    <row r="1328" spans="1:2" ht="14.4">
      <c r="A1328" s="6" t="s">
        <v>2834</v>
      </c>
      <c r="B1328" s="21" t="s">
        <v>2499</v>
      </c>
    </row>
    <row r="1329" spans="1:2" ht="14.4">
      <c r="A1329" s="6" t="s">
        <v>2835</v>
      </c>
      <c r="B1329" s="21" t="s">
        <v>2499</v>
      </c>
    </row>
    <row r="1330" spans="1:2" ht="14.4">
      <c r="A1330" s="6" t="s">
        <v>2836</v>
      </c>
      <c r="B1330" s="21" t="s">
        <v>2499</v>
      </c>
    </row>
    <row r="1331" spans="1:2" ht="14.4">
      <c r="A1331" s="6" t="s">
        <v>2837</v>
      </c>
      <c r="B1331" s="21" t="s">
        <v>2499</v>
      </c>
    </row>
    <row r="1332" spans="1:2" ht="14.4">
      <c r="A1332" s="6" t="s">
        <v>2838</v>
      </c>
      <c r="B1332" s="21" t="s">
        <v>2499</v>
      </c>
    </row>
    <row r="1333" spans="1:2" ht="14.4">
      <c r="A1333" s="6" t="s">
        <v>2839</v>
      </c>
      <c r="B1333" s="21" t="s">
        <v>2499</v>
      </c>
    </row>
    <row r="1334" spans="1:2" ht="14.4">
      <c r="A1334" s="6" t="s">
        <v>2840</v>
      </c>
      <c r="B1334" s="21" t="s">
        <v>2499</v>
      </c>
    </row>
    <row r="1335" spans="1:2" ht="14.4">
      <c r="A1335" s="6" t="s">
        <v>2841</v>
      </c>
      <c r="B1335" s="21" t="s">
        <v>2499</v>
      </c>
    </row>
    <row r="1336" spans="1:2" ht="14.4">
      <c r="A1336" s="6" t="s">
        <v>2842</v>
      </c>
      <c r="B1336" s="21" t="s">
        <v>2499</v>
      </c>
    </row>
    <row r="1337" spans="1:2" ht="14.4">
      <c r="A1337" s="6" t="s">
        <v>2843</v>
      </c>
      <c r="B1337" s="21" t="s">
        <v>2499</v>
      </c>
    </row>
    <row r="1338" spans="1:2" ht="14.4">
      <c r="A1338" s="6" t="s">
        <v>2844</v>
      </c>
      <c r="B1338" s="21" t="s">
        <v>2499</v>
      </c>
    </row>
    <row r="1339" spans="1:2" ht="14.4">
      <c r="A1339" s="6" t="s">
        <v>2845</v>
      </c>
      <c r="B1339" s="21" t="s">
        <v>2499</v>
      </c>
    </row>
    <row r="1340" spans="1:2" ht="14.4">
      <c r="A1340" s="6" t="s">
        <v>2846</v>
      </c>
      <c r="B1340" s="21" t="s">
        <v>2499</v>
      </c>
    </row>
    <row r="1341" spans="1:2" ht="14.4">
      <c r="A1341" s="6" t="s">
        <v>2847</v>
      </c>
      <c r="B1341" s="21" t="s">
        <v>2499</v>
      </c>
    </row>
    <row r="1342" spans="1:2" ht="14.4">
      <c r="A1342" s="6" t="s">
        <v>2848</v>
      </c>
      <c r="B1342" s="21" t="s">
        <v>2499</v>
      </c>
    </row>
    <row r="1343" spans="1:2" ht="14.4">
      <c r="A1343" s="6" t="s">
        <v>2849</v>
      </c>
      <c r="B1343" s="21" t="s">
        <v>2499</v>
      </c>
    </row>
    <row r="1344" spans="1:2" ht="14.4">
      <c r="A1344" s="6" t="s">
        <v>2850</v>
      </c>
      <c r="B1344" s="21" t="s">
        <v>2499</v>
      </c>
    </row>
    <row r="1345" spans="1:2" ht="14.4">
      <c r="A1345" s="6" t="s">
        <v>2851</v>
      </c>
      <c r="B1345" s="21" t="s">
        <v>2499</v>
      </c>
    </row>
    <row r="1346" spans="1:2" ht="14.4">
      <c r="A1346" s="6" t="s">
        <v>2852</v>
      </c>
      <c r="B1346" s="21" t="s">
        <v>2499</v>
      </c>
    </row>
    <row r="1347" spans="1:2" ht="14.4">
      <c r="A1347" s="6" t="s">
        <v>2853</v>
      </c>
      <c r="B1347" s="21" t="s">
        <v>2499</v>
      </c>
    </row>
    <row r="1348" spans="1:2" ht="14.4">
      <c r="A1348" s="6" t="s">
        <v>2854</v>
      </c>
      <c r="B1348" s="21" t="s">
        <v>2499</v>
      </c>
    </row>
    <row r="1349" spans="1:2" ht="14.4">
      <c r="A1349" s="6" t="s">
        <v>2855</v>
      </c>
      <c r="B1349" s="21" t="s">
        <v>2499</v>
      </c>
    </row>
    <row r="1350" spans="1:2" ht="14.4">
      <c r="A1350" s="6" t="s">
        <v>2856</v>
      </c>
      <c r="B1350" s="21" t="s">
        <v>2499</v>
      </c>
    </row>
    <row r="1351" spans="1:2" ht="14.4">
      <c r="A1351" s="6" t="s">
        <v>2857</v>
      </c>
      <c r="B1351" s="21" t="s">
        <v>2499</v>
      </c>
    </row>
    <row r="1352" spans="1:2" ht="14.4">
      <c r="A1352" s="6" t="s">
        <v>2858</v>
      </c>
      <c r="B1352" s="21" t="s">
        <v>2499</v>
      </c>
    </row>
    <row r="1353" spans="1:2" ht="14.4">
      <c r="A1353" s="6" t="s">
        <v>2859</v>
      </c>
      <c r="B1353" s="21" t="s">
        <v>2499</v>
      </c>
    </row>
    <row r="1354" spans="1:2" ht="14.4">
      <c r="A1354" s="6" t="s">
        <v>2860</v>
      </c>
      <c r="B1354" s="21" t="s">
        <v>2499</v>
      </c>
    </row>
    <row r="1355" spans="1:2" ht="14.4">
      <c r="A1355" s="6" t="s">
        <v>2861</v>
      </c>
      <c r="B1355" s="21" t="s">
        <v>2499</v>
      </c>
    </row>
    <row r="1356" spans="1:2" ht="14.4">
      <c r="A1356" s="6" t="s">
        <v>2862</v>
      </c>
      <c r="B1356" s="21" t="s">
        <v>2499</v>
      </c>
    </row>
    <row r="1357" spans="1:2" ht="14.4">
      <c r="A1357" s="6" t="s">
        <v>2863</v>
      </c>
      <c r="B1357" s="21" t="s">
        <v>2499</v>
      </c>
    </row>
    <row r="1358" spans="1:2" ht="14.4">
      <c r="A1358" s="6" t="s">
        <v>2864</v>
      </c>
      <c r="B1358" s="21" t="s">
        <v>2499</v>
      </c>
    </row>
    <row r="1359" spans="1:2" ht="14.4">
      <c r="A1359" s="6" t="s">
        <v>2865</v>
      </c>
      <c r="B1359" s="21" t="s">
        <v>2499</v>
      </c>
    </row>
    <row r="1360" spans="1:2" ht="14.4">
      <c r="A1360" s="6" t="s">
        <v>2866</v>
      </c>
      <c r="B1360" s="21" t="s">
        <v>2499</v>
      </c>
    </row>
    <row r="1361" spans="1:2" ht="14.4">
      <c r="A1361" s="6" t="s">
        <v>2867</v>
      </c>
      <c r="B1361" s="21" t="s">
        <v>2499</v>
      </c>
    </row>
    <row r="1362" spans="1:2" ht="14.4">
      <c r="A1362" s="6" t="s">
        <v>2868</v>
      </c>
      <c r="B1362" s="21" t="s">
        <v>2499</v>
      </c>
    </row>
    <row r="1363" spans="1:2" ht="14.4">
      <c r="A1363" s="6" t="s">
        <v>2869</v>
      </c>
      <c r="B1363" s="21" t="s">
        <v>2499</v>
      </c>
    </row>
    <row r="1364" spans="1:2" ht="14.4">
      <c r="A1364" s="6" t="s">
        <v>2870</v>
      </c>
      <c r="B1364" s="21" t="s">
        <v>2499</v>
      </c>
    </row>
    <row r="1365" spans="1:2" ht="14.4">
      <c r="A1365" s="6" t="s">
        <v>2871</v>
      </c>
      <c r="B1365" s="21" t="s">
        <v>2499</v>
      </c>
    </row>
    <row r="1366" spans="1:2" ht="14.4">
      <c r="A1366" s="6" t="s">
        <v>2872</v>
      </c>
      <c r="B1366" s="21" t="s">
        <v>2499</v>
      </c>
    </row>
    <row r="1367" spans="1:2" ht="14.4">
      <c r="A1367" s="6" t="s">
        <v>2873</v>
      </c>
      <c r="B1367" s="21" t="s">
        <v>2499</v>
      </c>
    </row>
    <row r="1368" spans="1:2" ht="14.4">
      <c r="A1368" s="6" t="s">
        <v>2874</v>
      </c>
      <c r="B1368" s="21" t="s">
        <v>2499</v>
      </c>
    </row>
    <row r="1369" spans="1:2" ht="14.4">
      <c r="A1369" s="6" t="s">
        <v>2875</v>
      </c>
      <c r="B1369" s="21" t="s">
        <v>2499</v>
      </c>
    </row>
    <row r="1370" spans="1:2" ht="14.4">
      <c r="A1370" s="6" t="s">
        <v>2876</v>
      </c>
      <c r="B1370" s="21" t="s">
        <v>2499</v>
      </c>
    </row>
    <row r="1371" spans="1:2" ht="14.4">
      <c r="A1371" s="6" t="s">
        <v>2877</v>
      </c>
      <c r="B1371" s="21" t="s">
        <v>2499</v>
      </c>
    </row>
    <row r="1372" spans="1:2" ht="14.4">
      <c r="A1372" s="6" t="s">
        <v>2878</v>
      </c>
      <c r="B1372" s="21" t="s">
        <v>2499</v>
      </c>
    </row>
    <row r="1373" spans="1:2" ht="14.4">
      <c r="A1373" s="6" t="s">
        <v>2879</v>
      </c>
      <c r="B1373" s="21" t="s">
        <v>2499</v>
      </c>
    </row>
    <row r="1374" spans="1:2" ht="14.4">
      <c r="A1374" s="6" t="s">
        <v>2880</v>
      </c>
      <c r="B1374" s="21" t="s">
        <v>2499</v>
      </c>
    </row>
    <row r="1375" spans="1:2" ht="14.4">
      <c r="A1375" s="6" t="s">
        <v>2881</v>
      </c>
      <c r="B1375" s="21" t="s">
        <v>2499</v>
      </c>
    </row>
    <row r="1376" spans="1:2" ht="14.4">
      <c r="A1376" s="6" t="s">
        <v>2882</v>
      </c>
      <c r="B1376" s="21" t="s">
        <v>2499</v>
      </c>
    </row>
    <row r="1377" spans="1:2" ht="14.4">
      <c r="A1377" s="6" t="s">
        <v>2883</v>
      </c>
      <c r="B1377" s="21" t="s">
        <v>2499</v>
      </c>
    </row>
    <row r="1378" spans="1:2" ht="14.4">
      <c r="A1378" s="6" t="s">
        <v>2884</v>
      </c>
      <c r="B1378" s="21" t="s">
        <v>2499</v>
      </c>
    </row>
    <row r="1379" spans="1:2" ht="14.4">
      <c r="A1379" s="6" t="s">
        <v>2885</v>
      </c>
      <c r="B1379" s="21" t="s">
        <v>2499</v>
      </c>
    </row>
    <row r="1380" spans="1:2" ht="14.4">
      <c r="A1380" s="6" t="s">
        <v>2886</v>
      </c>
      <c r="B1380" s="21" t="s">
        <v>2499</v>
      </c>
    </row>
    <row r="1381" spans="1:2" ht="14.4">
      <c r="A1381" s="6" t="s">
        <v>2887</v>
      </c>
      <c r="B1381" s="21" t="s">
        <v>2499</v>
      </c>
    </row>
    <row r="1382" spans="1:2" ht="14.4">
      <c r="A1382" s="6" t="s">
        <v>2888</v>
      </c>
      <c r="B1382" s="21" t="s">
        <v>2499</v>
      </c>
    </row>
    <row r="1383" spans="1:2" ht="14.4">
      <c r="A1383" s="6" t="s">
        <v>2889</v>
      </c>
      <c r="B1383" s="21" t="s">
        <v>2499</v>
      </c>
    </row>
    <row r="1384" spans="1:2" ht="14.4">
      <c r="A1384" s="6" t="s">
        <v>2890</v>
      </c>
      <c r="B1384" s="21" t="s">
        <v>2499</v>
      </c>
    </row>
    <row r="1385" spans="1:2" ht="14.4">
      <c r="A1385" s="6" t="s">
        <v>2891</v>
      </c>
      <c r="B1385" s="21" t="s">
        <v>2499</v>
      </c>
    </row>
    <row r="1386" spans="1:2" ht="14.4">
      <c r="A1386" s="6" t="s">
        <v>2892</v>
      </c>
      <c r="B1386" s="21" t="s">
        <v>2499</v>
      </c>
    </row>
    <row r="1387" spans="1:2" ht="14.4">
      <c r="A1387" s="6" t="s">
        <v>2893</v>
      </c>
      <c r="B1387" s="21" t="s">
        <v>2499</v>
      </c>
    </row>
    <row r="1388" spans="1:2" ht="14.4">
      <c r="A1388" s="6" t="s">
        <v>2894</v>
      </c>
      <c r="B1388" s="21" t="s">
        <v>2499</v>
      </c>
    </row>
    <row r="1389" spans="1:2" ht="14.4">
      <c r="A1389" s="6" t="s">
        <v>2895</v>
      </c>
      <c r="B1389" s="21" t="s">
        <v>2499</v>
      </c>
    </row>
    <row r="1390" spans="1:2" ht="14.4">
      <c r="A1390" s="6" t="s">
        <v>2896</v>
      </c>
      <c r="B1390" s="21" t="s">
        <v>2499</v>
      </c>
    </row>
    <row r="1391" spans="1:2" ht="14.4">
      <c r="A1391" s="6" t="s">
        <v>2897</v>
      </c>
      <c r="B1391" s="21" t="s">
        <v>2499</v>
      </c>
    </row>
    <row r="1392" spans="1:2" ht="14.4">
      <c r="A1392" s="6" t="s">
        <v>2898</v>
      </c>
      <c r="B1392" s="21" t="s">
        <v>2499</v>
      </c>
    </row>
    <row r="1393" spans="1:2" ht="14.4">
      <c r="A1393" s="6" t="s">
        <v>2899</v>
      </c>
      <c r="B1393" s="21" t="s">
        <v>2499</v>
      </c>
    </row>
    <row r="1394" spans="1:2" ht="14.4">
      <c r="A1394" s="6" t="s">
        <v>2900</v>
      </c>
      <c r="B1394" s="21" t="s">
        <v>2499</v>
      </c>
    </row>
    <row r="1395" spans="1:2" ht="14.4">
      <c r="A1395" s="6" t="s">
        <v>2901</v>
      </c>
      <c r="B1395" s="21" t="s">
        <v>2499</v>
      </c>
    </row>
    <row r="1396" spans="1:2" ht="14.4">
      <c r="A1396" s="6" t="s">
        <v>2902</v>
      </c>
      <c r="B1396" s="21" t="s">
        <v>2499</v>
      </c>
    </row>
    <row r="1397" spans="1:2" ht="14.4">
      <c r="A1397" s="6" t="s">
        <v>2903</v>
      </c>
      <c r="B1397" s="21" t="s">
        <v>2499</v>
      </c>
    </row>
    <row r="1398" spans="1:2" ht="14.4">
      <c r="A1398" s="6" t="s">
        <v>2904</v>
      </c>
      <c r="B1398" s="21" t="s">
        <v>2499</v>
      </c>
    </row>
    <row r="1399" spans="1:2" ht="14.4">
      <c r="A1399" s="6" t="s">
        <v>2905</v>
      </c>
      <c r="B1399" s="21" t="s">
        <v>2499</v>
      </c>
    </row>
    <row r="1400" spans="1:2" ht="14.4">
      <c r="A1400" s="6" t="s">
        <v>2906</v>
      </c>
      <c r="B1400" s="21" t="s">
        <v>2499</v>
      </c>
    </row>
    <row r="1401" spans="1:2" ht="14.4">
      <c r="A1401" s="6" t="s">
        <v>2907</v>
      </c>
      <c r="B1401" s="21" t="s">
        <v>2499</v>
      </c>
    </row>
    <row r="1402" spans="1:2" ht="14.4">
      <c r="A1402" s="6" t="s">
        <v>2908</v>
      </c>
      <c r="B1402" s="21" t="s">
        <v>2499</v>
      </c>
    </row>
    <row r="1403" spans="1:2" ht="14.4">
      <c r="A1403" s="6" t="s">
        <v>2909</v>
      </c>
      <c r="B1403" s="21" t="s">
        <v>2499</v>
      </c>
    </row>
    <row r="1404" spans="1:2" ht="14.4">
      <c r="A1404" s="6" t="s">
        <v>2910</v>
      </c>
      <c r="B1404" s="21" t="s">
        <v>2499</v>
      </c>
    </row>
    <row r="1405" spans="1:2" ht="14.4">
      <c r="A1405" s="6" t="s">
        <v>2911</v>
      </c>
      <c r="B1405" s="21" t="s">
        <v>2499</v>
      </c>
    </row>
    <row r="1406" spans="1:2" ht="14.4">
      <c r="A1406" s="6" t="s">
        <v>2912</v>
      </c>
      <c r="B1406" s="21" t="s">
        <v>2499</v>
      </c>
    </row>
    <row r="1407" spans="1:2" ht="14.4">
      <c r="A1407" s="6" t="s">
        <v>2913</v>
      </c>
      <c r="B1407" s="21" t="s">
        <v>2499</v>
      </c>
    </row>
    <row r="1408" spans="1:2" ht="14.4">
      <c r="A1408" s="6" t="s">
        <v>2914</v>
      </c>
      <c r="B1408" s="21" t="s">
        <v>2499</v>
      </c>
    </row>
    <row r="1409" spans="1:2" ht="14.4">
      <c r="A1409" s="6" t="s">
        <v>2915</v>
      </c>
      <c r="B1409" s="21" t="s">
        <v>2499</v>
      </c>
    </row>
    <row r="1410" spans="1:2" ht="14.4">
      <c r="A1410" s="6" t="s">
        <v>2916</v>
      </c>
      <c r="B1410" s="21" t="s">
        <v>2499</v>
      </c>
    </row>
    <row r="1411" spans="1:2" ht="14.4">
      <c r="A1411" s="6" t="s">
        <v>2917</v>
      </c>
      <c r="B1411" s="21" t="s">
        <v>2499</v>
      </c>
    </row>
    <row r="1412" spans="1:2" ht="14.4">
      <c r="A1412" s="6" t="s">
        <v>2918</v>
      </c>
      <c r="B1412" s="21" t="s">
        <v>2499</v>
      </c>
    </row>
    <row r="1413" spans="1:2" ht="14.4">
      <c r="A1413" s="6" t="s">
        <v>2919</v>
      </c>
      <c r="B1413" s="21" t="s">
        <v>2499</v>
      </c>
    </row>
    <row r="1414" spans="1:2" ht="14.4">
      <c r="A1414" s="6" t="s">
        <v>2920</v>
      </c>
      <c r="B1414" s="21" t="s">
        <v>2499</v>
      </c>
    </row>
    <row r="1415" spans="1:2" ht="14.4">
      <c r="A1415" s="6" t="s">
        <v>2921</v>
      </c>
      <c r="B1415" s="21" t="s">
        <v>2499</v>
      </c>
    </row>
    <row r="1416" spans="1:2" ht="14.4">
      <c r="A1416" s="6" t="s">
        <v>2922</v>
      </c>
      <c r="B1416" s="21" t="s">
        <v>2499</v>
      </c>
    </row>
    <row r="1417" spans="1:2" ht="14.4">
      <c r="A1417" s="6" t="s">
        <v>2923</v>
      </c>
      <c r="B1417" s="21" t="s">
        <v>2499</v>
      </c>
    </row>
    <row r="1418" spans="1:2" ht="14.4">
      <c r="A1418" s="6" t="s">
        <v>2924</v>
      </c>
      <c r="B1418" s="21" t="s">
        <v>2499</v>
      </c>
    </row>
    <row r="1419" spans="1:2" ht="14.4">
      <c r="A1419" s="6" t="s">
        <v>2925</v>
      </c>
      <c r="B1419" s="21" t="s">
        <v>2499</v>
      </c>
    </row>
    <row r="1420" spans="1:2" ht="14.4">
      <c r="A1420" s="6" t="s">
        <v>2926</v>
      </c>
      <c r="B1420" s="21" t="s">
        <v>2499</v>
      </c>
    </row>
    <row r="1421" spans="1:2" ht="14.4">
      <c r="A1421" s="6" t="s">
        <v>2927</v>
      </c>
      <c r="B1421" s="21" t="s">
        <v>2499</v>
      </c>
    </row>
    <row r="1422" spans="1:2" ht="14.4">
      <c r="A1422" s="6" t="s">
        <v>2928</v>
      </c>
      <c r="B1422" s="21" t="s">
        <v>2499</v>
      </c>
    </row>
    <row r="1423" spans="1:2" ht="14.4">
      <c r="A1423" s="6" t="s">
        <v>2929</v>
      </c>
      <c r="B1423" s="21" t="s">
        <v>2499</v>
      </c>
    </row>
    <row r="1424" spans="1:2" ht="14.4">
      <c r="A1424" s="6" t="s">
        <v>2930</v>
      </c>
      <c r="B1424" s="21" t="s">
        <v>2499</v>
      </c>
    </row>
    <row r="1425" spans="1:2" ht="14.4">
      <c r="A1425" s="6" t="s">
        <v>2931</v>
      </c>
      <c r="B1425" s="21" t="s">
        <v>2499</v>
      </c>
    </row>
    <row r="1426" spans="1:2" ht="14.4">
      <c r="A1426" s="6" t="s">
        <v>2932</v>
      </c>
      <c r="B1426" s="21" t="s">
        <v>2499</v>
      </c>
    </row>
    <row r="1427" spans="1:2" ht="14.4">
      <c r="A1427" s="6" t="s">
        <v>2933</v>
      </c>
      <c r="B1427" s="21" t="s">
        <v>2499</v>
      </c>
    </row>
    <row r="1428" spans="1:2" ht="14.4">
      <c r="A1428" s="6" t="s">
        <v>2934</v>
      </c>
      <c r="B1428" s="21" t="s">
        <v>2499</v>
      </c>
    </row>
    <row r="1429" spans="1:2" ht="14.4">
      <c r="A1429" s="6" t="s">
        <v>2935</v>
      </c>
      <c r="B1429" s="21" t="s">
        <v>2499</v>
      </c>
    </row>
    <row r="1430" spans="1:2" ht="14.4">
      <c r="A1430" s="6" t="s">
        <v>2936</v>
      </c>
      <c r="B1430" s="21" t="s">
        <v>2499</v>
      </c>
    </row>
    <row r="1431" spans="1:2" ht="14.4">
      <c r="A1431" s="6" t="s">
        <v>2937</v>
      </c>
      <c r="B1431" s="21" t="s">
        <v>2499</v>
      </c>
    </row>
    <row r="1432" spans="1:2" ht="14.4">
      <c r="A1432" s="6" t="s">
        <v>2938</v>
      </c>
      <c r="B1432" s="21" t="s">
        <v>2499</v>
      </c>
    </row>
    <row r="1433" spans="1:2" ht="14.4">
      <c r="A1433" s="6" t="s">
        <v>2939</v>
      </c>
      <c r="B1433" s="21" t="s">
        <v>2499</v>
      </c>
    </row>
    <row r="1434" spans="1:2" ht="14.4">
      <c r="A1434" s="6" t="s">
        <v>2940</v>
      </c>
      <c r="B1434" s="21" t="s">
        <v>2499</v>
      </c>
    </row>
    <row r="1435" spans="1:2" ht="14.4">
      <c r="A1435" s="6" t="s">
        <v>2941</v>
      </c>
      <c r="B1435" s="21" t="s">
        <v>2499</v>
      </c>
    </row>
    <row r="1436" spans="1:2" ht="14.4">
      <c r="A1436" s="6" t="s">
        <v>2942</v>
      </c>
      <c r="B1436" s="21" t="s">
        <v>2499</v>
      </c>
    </row>
    <row r="1437" spans="1:2" ht="14.4">
      <c r="A1437" s="6" t="s">
        <v>2943</v>
      </c>
      <c r="B1437" s="21" t="s">
        <v>2499</v>
      </c>
    </row>
    <row r="1438" spans="1:2" ht="14.4">
      <c r="A1438" s="6" t="s">
        <v>2944</v>
      </c>
      <c r="B1438" s="21" t="s">
        <v>2499</v>
      </c>
    </row>
    <row r="1439" spans="1:2" ht="14.4">
      <c r="A1439" s="6" t="s">
        <v>2945</v>
      </c>
      <c r="B1439" s="21" t="s">
        <v>2499</v>
      </c>
    </row>
    <row r="1440" spans="1:2" ht="14.4">
      <c r="A1440" s="6" t="s">
        <v>2946</v>
      </c>
      <c r="B1440" s="21" t="s">
        <v>2499</v>
      </c>
    </row>
    <row r="1441" spans="1:2" ht="14.4">
      <c r="A1441" s="6" t="s">
        <v>2947</v>
      </c>
      <c r="B1441" s="21" t="s">
        <v>2499</v>
      </c>
    </row>
    <row r="1442" spans="1:2" ht="14.4">
      <c r="A1442" s="6" t="s">
        <v>2948</v>
      </c>
      <c r="B1442" s="21" t="s">
        <v>2499</v>
      </c>
    </row>
    <row r="1443" spans="1:2" ht="14.4">
      <c r="A1443" s="6" t="s">
        <v>2949</v>
      </c>
      <c r="B1443" s="21" t="s">
        <v>2499</v>
      </c>
    </row>
    <row r="1444" spans="1:2" ht="14.4">
      <c r="A1444" s="6" t="s">
        <v>2950</v>
      </c>
      <c r="B1444" s="21" t="s">
        <v>2499</v>
      </c>
    </row>
    <row r="1445" spans="1:2" ht="14.4">
      <c r="A1445" s="6" t="s">
        <v>2951</v>
      </c>
      <c r="B1445" s="21" t="s">
        <v>2499</v>
      </c>
    </row>
    <row r="1446" spans="1:2" ht="14.4">
      <c r="A1446" s="6" t="s">
        <v>2952</v>
      </c>
      <c r="B1446" s="21" t="s">
        <v>2499</v>
      </c>
    </row>
    <row r="1447" spans="1:2" ht="14.4">
      <c r="A1447" s="6" t="s">
        <v>2953</v>
      </c>
      <c r="B1447" s="21" t="s">
        <v>2499</v>
      </c>
    </row>
    <row r="1448" spans="1:2" ht="14.4">
      <c r="A1448" s="6" t="s">
        <v>2954</v>
      </c>
      <c r="B1448" s="21" t="s">
        <v>2499</v>
      </c>
    </row>
    <row r="1449" spans="1:2" ht="14.4">
      <c r="A1449" s="6" t="s">
        <v>2955</v>
      </c>
      <c r="B1449" s="21" t="s">
        <v>2499</v>
      </c>
    </row>
    <row r="1450" spans="1:2" ht="14.4">
      <c r="A1450" s="6" t="s">
        <v>2956</v>
      </c>
      <c r="B1450" s="21" t="s">
        <v>2499</v>
      </c>
    </row>
    <row r="1451" spans="1:2" ht="14.4">
      <c r="A1451" s="6" t="s">
        <v>2957</v>
      </c>
      <c r="B1451" s="21" t="s">
        <v>2499</v>
      </c>
    </row>
    <row r="1452" spans="1:2" ht="14.4">
      <c r="A1452" s="6" t="s">
        <v>2958</v>
      </c>
      <c r="B1452" s="21" t="s">
        <v>2499</v>
      </c>
    </row>
    <row r="1453" spans="1:2" ht="14.4">
      <c r="A1453" s="6" t="s">
        <v>2959</v>
      </c>
      <c r="B1453" s="21" t="s">
        <v>2499</v>
      </c>
    </row>
    <row r="1454" spans="1:2" ht="14.4">
      <c r="A1454" s="6" t="s">
        <v>2960</v>
      </c>
      <c r="B1454" s="21" t="s">
        <v>2499</v>
      </c>
    </row>
    <row r="1455" spans="1:2" ht="14.4">
      <c r="A1455" s="6" t="s">
        <v>2961</v>
      </c>
      <c r="B1455" s="21" t="s">
        <v>2499</v>
      </c>
    </row>
    <row r="1456" spans="1:2" ht="14.4">
      <c r="A1456" s="6" t="s">
        <v>2962</v>
      </c>
      <c r="B1456" s="21" t="s">
        <v>2499</v>
      </c>
    </row>
    <row r="1457" spans="1:2" ht="14.4">
      <c r="A1457" s="6" t="s">
        <v>2963</v>
      </c>
      <c r="B1457" s="21" t="s">
        <v>2499</v>
      </c>
    </row>
    <row r="1458" spans="1:2" ht="14.4">
      <c r="A1458" s="6" t="s">
        <v>2964</v>
      </c>
      <c r="B1458" s="21" t="s">
        <v>2499</v>
      </c>
    </row>
    <row r="1459" spans="1:2" ht="14.4">
      <c r="A1459" s="6" t="s">
        <v>2965</v>
      </c>
      <c r="B1459" s="21" t="s">
        <v>2499</v>
      </c>
    </row>
    <row r="1460" spans="1:2" ht="14.4">
      <c r="A1460" s="6" t="s">
        <v>2966</v>
      </c>
      <c r="B1460" s="21" t="s">
        <v>2499</v>
      </c>
    </row>
    <row r="1461" spans="1:2" ht="14.4">
      <c r="A1461" s="6" t="s">
        <v>2967</v>
      </c>
      <c r="B1461" s="21" t="s">
        <v>2499</v>
      </c>
    </row>
    <row r="1462" spans="1:2" ht="14.4">
      <c r="A1462" s="6" t="s">
        <v>2968</v>
      </c>
      <c r="B1462" s="21" t="s">
        <v>2499</v>
      </c>
    </row>
    <row r="1463" spans="1:2" ht="14.4">
      <c r="A1463" s="6" t="s">
        <v>2969</v>
      </c>
      <c r="B1463" s="21" t="s">
        <v>2499</v>
      </c>
    </row>
    <row r="1464" spans="1:2" ht="14.4">
      <c r="A1464" s="6" t="s">
        <v>2970</v>
      </c>
      <c r="B1464" s="21" t="s">
        <v>2499</v>
      </c>
    </row>
    <row r="1465" spans="1:2" ht="14.4">
      <c r="A1465" s="6" t="s">
        <v>2971</v>
      </c>
      <c r="B1465" s="21" t="s">
        <v>2499</v>
      </c>
    </row>
    <row r="1466" spans="1:2" ht="14.4">
      <c r="A1466" s="6" t="s">
        <v>2972</v>
      </c>
      <c r="B1466" s="21" t="s">
        <v>2499</v>
      </c>
    </row>
    <row r="1467" spans="1:2" ht="14.4">
      <c r="A1467" s="6" t="s">
        <v>2973</v>
      </c>
      <c r="B1467" s="21" t="s">
        <v>2499</v>
      </c>
    </row>
    <row r="1468" spans="1:2" ht="14.4">
      <c r="A1468" s="6" t="s">
        <v>2974</v>
      </c>
      <c r="B1468" s="21" t="s">
        <v>2499</v>
      </c>
    </row>
    <row r="1469" spans="1:2" ht="14.4">
      <c r="A1469" s="6" t="s">
        <v>2975</v>
      </c>
      <c r="B1469" s="21" t="s">
        <v>2499</v>
      </c>
    </row>
    <row r="1470" spans="1:2" ht="14.4">
      <c r="A1470" s="6" t="s">
        <v>2976</v>
      </c>
      <c r="B1470" s="21" t="s">
        <v>2499</v>
      </c>
    </row>
    <row r="1471" spans="1:2" ht="14.4">
      <c r="A1471" s="6" t="s">
        <v>2977</v>
      </c>
      <c r="B1471" s="21" t="s">
        <v>2499</v>
      </c>
    </row>
    <row r="1472" spans="1:2" ht="14.4">
      <c r="A1472" s="6" t="s">
        <v>2978</v>
      </c>
      <c r="B1472" s="21" t="s">
        <v>2499</v>
      </c>
    </row>
    <row r="1473" spans="1:2" ht="14.4">
      <c r="A1473" s="6" t="s">
        <v>2979</v>
      </c>
      <c r="B1473" s="21" t="s">
        <v>2499</v>
      </c>
    </row>
    <row r="1474" spans="1:2" ht="14.4">
      <c r="A1474" s="6" t="s">
        <v>2980</v>
      </c>
      <c r="B1474" s="21" t="s">
        <v>2499</v>
      </c>
    </row>
    <row r="1475" spans="1:2" ht="14.4">
      <c r="A1475" s="6" t="s">
        <v>2981</v>
      </c>
      <c r="B1475" s="21" t="s">
        <v>2499</v>
      </c>
    </row>
    <row r="1476" spans="1:2" ht="14.4">
      <c r="A1476" s="6" t="s">
        <v>2982</v>
      </c>
      <c r="B1476" s="21" t="s">
        <v>2499</v>
      </c>
    </row>
    <row r="1477" spans="1:2" ht="14.4">
      <c r="A1477" s="6" t="s">
        <v>2983</v>
      </c>
      <c r="B1477" s="21" t="s">
        <v>2499</v>
      </c>
    </row>
    <row r="1478" spans="1:2" ht="14.4">
      <c r="A1478" s="6" t="s">
        <v>2984</v>
      </c>
      <c r="B1478" s="21" t="s">
        <v>2499</v>
      </c>
    </row>
    <row r="1479" spans="1:2" ht="14.4">
      <c r="A1479" s="6" t="s">
        <v>2985</v>
      </c>
      <c r="B1479" s="21" t="s">
        <v>2499</v>
      </c>
    </row>
    <row r="1480" spans="1:2" ht="14.4">
      <c r="A1480" s="6" t="s">
        <v>2986</v>
      </c>
      <c r="B1480" s="21" t="s">
        <v>2499</v>
      </c>
    </row>
    <row r="1481" spans="1:2" ht="14.4">
      <c r="A1481" s="6" t="s">
        <v>2987</v>
      </c>
      <c r="B1481" s="21" t="s">
        <v>2499</v>
      </c>
    </row>
    <row r="1482" spans="1:2" ht="14.4">
      <c r="A1482" s="6" t="s">
        <v>2988</v>
      </c>
      <c r="B1482" s="21" t="s">
        <v>2499</v>
      </c>
    </row>
    <row r="1483" spans="1:2" ht="14.4">
      <c r="A1483" s="6" t="s">
        <v>2989</v>
      </c>
      <c r="B1483" s="21" t="s">
        <v>2499</v>
      </c>
    </row>
    <row r="1484" spans="1:2" ht="14.4">
      <c r="A1484" s="6" t="s">
        <v>2990</v>
      </c>
      <c r="B1484" s="21" t="s">
        <v>2499</v>
      </c>
    </row>
    <row r="1485" spans="1:2" ht="14.4">
      <c r="A1485" s="6" t="s">
        <v>2991</v>
      </c>
      <c r="B1485" s="21" t="s">
        <v>2499</v>
      </c>
    </row>
    <row r="1486" spans="1:2" ht="14.4">
      <c r="A1486" s="6" t="s">
        <v>2992</v>
      </c>
      <c r="B1486" s="21" t="s">
        <v>2499</v>
      </c>
    </row>
    <row r="1487" spans="1:2" ht="14.4">
      <c r="A1487" s="6" t="s">
        <v>2993</v>
      </c>
      <c r="B1487" s="21" t="s">
        <v>2499</v>
      </c>
    </row>
    <row r="1488" spans="1:2" ht="14.4">
      <c r="A1488" s="6" t="s">
        <v>2994</v>
      </c>
      <c r="B1488" s="21" t="s">
        <v>2499</v>
      </c>
    </row>
    <row r="1489" spans="1:2" ht="14.4">
      <c r="A1489" s="6" t="s">
        <v>2995</v>
      </c>
      <c r="B1489" s="21" t="s">
        <v>2499</v>
      </c>
    </row>
    <row r="1490" spans="1:2" ht="14.4">
      <c r="A1490" s="6" t="s">
        <v>2996</v>
      </c>
      <c r="B1490" s="21" t="s">
        <v>2499</v>
      </c>
    </row>
    <row r="1491" spans="1:2" ht="14.4">
      <c r="A1491" s="6" t="s">
        <v>2997</v>
      </c>
      <c r="B1491" s="21" t="s">
        <v>2499</v>
      </c>
    </row>
    <row r="1492" spans="1:2" ht="14.4">
      <c r="A1492" s="6" t="s">
        <v>2998</v>
      </c>
      <c r="B1492" s="21" t="s">
        <v>2499</v>
      </c>
    </row>
    <row r="1493" spans="1:2" ht="14.4">
      <c r="A1493" s="6" t="s">
        <v>2999</v>
      </c>
      <c r="B1493" s="21" t="s">
        <v>2499</v>
      </c>
    </row>
    <row r="1494" spans="1:2" ht="14.4">
      <c r="A1494" s="6" t="s">
        <v>3000</v>
      </c>
      <c r="B1494" s="21" t="s">
        <v>2499</v>
      </c>
    </row>
    <row r="1495" spans="1:2" ht="14.4">
      <c r="A1495" s="6" t="s">
        <v>3001</v>
      </c>
      <c r="B1495" s="21" t="s">
        <v>2499</v>
      </c>
    </row>
    <row r="1496" spans="1:2" ht="14.4">
      <c r="A1496" s="6" t="s">
        <v>3002</v>
      </c>
      <c r="B1496" s="21" t="s">
        <v>2499</v>
      </c>
    </row>
    <row r="1497" spans="1:2" ht="14.4">
      <c r="A1497" s="6" t="s">
        <v>3003</v>
      </c>
      <c r="B1497" s="21" t="s">
        <v>2499</v>
      </c>
    </row>
    <row r="1498" spans="1:2" ht="14.4">
      <c r="A1498" s="6" t="s">
        <v>3004</v>
      </c>
      <c r="B1498" s="21" t="s">
        <v>2499</v>
      </c>
    </row>
    <row r="1499" spans="1:2" ht="14.4">
      <c r="A1499" s="6" t="s">
        <v>3005</v>
      </c>
      <c r="B1499" s="21" t="s">
        <v>2499</v>
      </c>
    </row>
    <row r="1500" spans="1:2" ht="14.4">
      <c r="A1500" s="6" t="s">
        <v>3006</v>
      </c>
      <c r="B1500" s="21" t="s">
        <v>2499</v>
      </c>
    </row>
    <row r="1501" spans="1:2" ht="14.4">
      <c r="A1501" s="6" t="s">
        <v>3007</v>
      </c>
      <c r="B1501" s="21" t="s">
        <v>2499</v>
      </c>
    </row>
    <row r="1502" spans="1:2" ht="14.4">
      <c r="A1502" s="6" t="s">
        <v>3008</v>
      </c>
      <c r="B1502" s="21" t="s">
        <v>2499</v>
      </c>
    </row>
    <row r="1503" spans="1:2" ht="14.4">
      <c r="A1503" s="6" t="s">
        <v>3009</v>
      </c>
      <c r="B1503" s="21" t="s">
        <v>2499</v>
      </c>
    </row>
    <row r="1504" spans="1:2" ht="14.4">
      <c r="A1504" s="6" t="s">
        <v>3010</v>
      </c>
      <c r="B1504" s="21" t="s">
        <v>2499</v>
      </c>
    </row>
    <row r="1505" spans="1:2" ht="14.4">
      <c r="A1505" s="6" t="s">
        <v>3011</v>
      </c>
      <c r="B1505" s="21" t="s">
        <v>2499</v>
      </c>
    </row>
    <row r="1506" spans="1:2" ht="14.4">
      <c r="A1506" s="6" t="s">
        <v>3012</v>
      </c>
      <c r="B1506" s="21" t="s">
        <v>2499</v>
      </c>
    </row>
    <row r="1507" spans="1:2" ht="14.4">
      <c r="A1507" s="6" t="s">
        <v>3013</v>
      </c>
      <c r="B1507" s="21" t="s">
        <v>2499</v>
      </c>
    </row>
    <row r="1508" spans="1:2" ht="14.4">
      <c r="A1508" s="6" t="s">
        <v>3014</v>
      </c>
      <c r="B1508" s="21" t="s">
        <v>2499</v>
      </c>
    </row>
    <row r="1509" spans="1:2" ht="14.4">
      <c r="A1509" s="6" t="s">
        <v>3015</v>
      </c>
      <c r="B1509" s="21" t="s">
        <v>2499</v>
      </c>
    </row>
    <row r="1510" spans="1:2" ht="14.4">
      <c r="A1510" s="6" t="s">
        <v>3016</v>
      </c>
      <c r="B1510" s="21" t="s">
        <v>2499</v>
      </c>
    </row>
    <row r="1511" spans="1:2" ht="14.4">
      <c r="A1511" s="6" t="s">
        <v>3017</v>
      </c>
      <c r="B1511" s="21" t="s">
        <v>2499</v>
      </c>
    </row>
    <row r="1512" spans="1:2" ht="14.4">
      <c r="A1512" s="6" t="s">
        <v>3018</v>
      </c>
      <c r="B1512" s="21" t="s">
        <v>2499</v>
      </c>
    </row>
    <row r="1513" spans="1:2" ht="14.4">
      <c r="A1513" s="6" t="s">
        <v>3019</v>
      </c>
      <c r="B1513" s="21" t="s">
        <v>2499</v>
      </c>
    </row>
    <row r="1514" spans="1:2" ht="14.4">
      <c r="A1514" s="6" t="s">
        <v>3020</v>
      </c>
      <c r="B1514" s="21" t="s">
        <v>2499</v>
      </c>
    </row>
    <row r="1515" spans="1:2" ht="14.4">
      <c r="A1515" s="6" t="s">
        <v>3021</v>
      </c>
      <c r="B1515" s="21" t="s">
        <v>2499</v>
      </c>
    </row>
    <row r="1516" spans="1:2" ht="14.4">
      <c r="A1516" s="6" t="s">
        <v>3022</v>
      </c>
      <c r="B1516" s="21" t="s">
        <v>2499</v>
      </c>
    </row>
    <row r="1517" spans="1:2" ht="14.4">
      <c r="A1517" s="6" t="s">
        <v>3023</v>
      </c>
      <c r="B1517" s="21" t="s">
        <v>2499</v>
      </c>
    </row>
    <row r="1518" spans="1:2" ht="14.4">
      <c r="A1518" s="6" t="s">
        <v>3024</v>
      </c>
      <c r="B1518" s="21" t="s">
        <v>2499</v>
      </c>
    </row>
    <row r="1519" spans="1:2" ht="14.4">
      <c r="A1519" s="6" t="s">
        <v>3025</v>
      </c>
      <c r="B1519" s="21" t="s">
        <v>2499</v>
      </c>
    </row>
    <row r="1520" spans="1:2" ht="14.4">
      <c r="A1520" s="6" t="s">
        <v>3026</v>
      </c>
      <c r="B1520" s="21" t="s">
        <v>2499</v>
      </c>
    </row>
    <row r="1521" spans="1:2" ht="14.4">
      <c r="A1521" s="6" t="s">
        <v>3027</v>
      </c>
      <c r="B1521" s="21" t="s">
        <v>2499</v>
      </c>
    </row>
    <row r="1522" spans="1:2" ht="14.4">
      <c r="A1522" s="6" t="s">
        <v>3028</v>
      </c>
      <c r="B1522" s="21" t="s">
        <v>2499</v>
      </c>
    </row>
    <row r="1523" spans="1:2" ht="14.4">
      <c r="A1523" s="6" t="s">
        <v>3029</v>
      </c>
      <c r="B1523" s="21" t="s">
        <v>2499</v>
      </c>
    </row>
    <row r="1524" spans="1:2" ht="14.4">
      <c r="A1524" s="6" t="s">
        <v>3030</v>
      </c>
      <c r="B1524" s="21" t="s">
        <v>2499</v>
      </c>
    </row>
    <row r="1525" spans="1:2" ht="14.4">
      <c r="A1525" s="6" t="s">
        <v>3031</v>
      </c>
      <c r="B1525" s="21" t="s">
        <v>2499</v>
      </c>
    </row>
    <row r="1526" spans="1:2" ht="14.4">
      <c r="A1526" s="6" t="s">
        <v>3032</v>
      </c>
      <c r="B1526" s="21" t="s">
        <v>2499</v>
      </c>
    </row>
    <row r="1527" spans="1:2" ht="14.4">
      <c r="A1527" s="6" t="s">
        <v>3033</v>
      </c>
      <c r="B1527" s="21" t="s">
        <v>2499</v>
      </c>
    </row>
    <row r="1528" spans="1:2" ht="14.4">
      <c r="A1528" s="6" t="s">
        <v>3034</v>
      </c>
      <c r="B1528" s="21" t="s">
        <v>2499</v>
      </c>
    </row>
    <row r="1529" spans="1:2" ht="14.4">
      <c r="A1529" s="6" t="s">
        <v>3035</v>
      </c>
      <c r="B1529" s="21" t="s">
        <v>2499</v>
      </c>
    </row>
    <row r="1530" spans="1:2" ht="14.4">
      <c r="A1530" s="6" t="s">
        <v>3036</v>
      </c>
      <c r="B1530" s="21" t="s">
        <v>2499</v>
      </c>
    </row>
    <row r="1531" spans="1:2" ht="14.4">
      <c r="A1531" s="6" t="s">
        <v>3037</v>
      </c>
      <c r="B1531" s="21" t="s">
        <v>2499</v>
      </c>
    </row>
    <row r="1532" spans="1:2" ht="14.4">
      <c r="A1532" s="6" t="s">
        <v>3038</v>
      </c>
      <c r="B1532" s="21" t="s">
        <v>2499</v>
      </c>
    </row>
    <row r="1533" spans="1:2" ht="14.4">
      <c r="A1533" s="6" t="s">
        <v>3039</v>
      </c>
      <c r="B1533" s="21" t="s">
        <v>2499</v>
      </c>
    </row>
    <row r="1534" spans="1:2" ht="14.4">
      <c r="A1534" s="6" t="s">
        <v>3040</v>
      </c>
      <c r="B1534" s="21" t="s">
        <v>2499</v>
      </c>
    </row>
    <row r="1535" spans="1:2" ht="14.4">
      <c r="A1535" s="6" t="s">
        <v>3041</v>
      </c>
      <c r="B1535" s="21" t="s">
        <v>2499</v>
      </c>
    </row>
    <row r="1536" spans="1:2" ht="14.4">
      <c r="A1536" s="6" t="s">
        <v>3042</v>
      </c>
      <c r="B1536" s="21" t="s">
        <v>2499</v>
      </c>
    </row>
    <row r="1537" spans="1:2" ht="14.4">
      <c r="A1537" s="6" t="s">
        <v>3043</v>
      </c>
      <c r="B1537" s="21" t="s">
        <v>2499</v>
      </c>
    </row>
    <row r="1538" spans="1:2" ht="14.4">
      <c r="A1538" s="6" t="s">
        <v>3044</v>
      </c>
      <c r="B1538" s="21" t="s">
        <v>2499</v>
      </c>
    </row>
    <row r="1539" spans="1:2" ht="14.4">
      <c r="A1539" s="6" t="s">
        <v>3045</v>
      </c>
      <c r="B1539" s="21" t="s">
        <v>2499</v>
      </c>
    </row>
    <row r="1540" spans="1:2" ht="14.4">
      <c r="A1540" s="6" t="s">
        <v>3046</v>
      </c>
      <c r="B1540" s="21" t="s">
        <v>2499</v>
      </c>
    </row>
    <row r="1541" spans="1:2" ht="14.4">
      <c r="A1541" s="6" t="s">
        <v>3047</v>
      </c>
      <c r="B1541" s="21" t="s">
        <v>2499</v>
      </c>
    </row>
    <row r="1542" spans="1:2" ht="14.4">
      <c r="A1542" s="6" t="s">
        <v>3048</v>
      </c>
      <c r="B1542" s="21" t="s">
        <v>2499</v>
      </c>
    </row>
    <row r="1543" spans="1:2" ht="14.4">
      <c r="A1543" s="6" t="s">
        <v>3049</v>
      </c>
      <c r="B1543" s="21" t="s">
        <v>2499</v>
      </c>
    </row>
    <row r="1544" spans="1:2" ht="14.4">
      <c r="A1544" s="6" t="s">
        <v>3050</v>
      </c>
      <c r="B1544" s="21" t="s">
        <v>2499</v>
      </c>
    </row>
    <row r="1545" spans="1:2" ht="14.4">
      <c r="A1545" s="6" t="s">
        <v>3051</v>
      </c>
      <c r="B1545" s="21" t="s">
        <v>2499</v>
      </c>
    </row>
    <row r="1546" spans="1:2" ht="14.4">
      <c r="A1546" s="6" t="s">
        <v>3052</v>
      </c>
      <c r="B1546" s="21" t="s">
        <v>2499</v>
      </c>
    </row>
    <row r="1547" spans="1:2" ht="14.4">
      <c r="A1547" s="6" t="s">
        <v>3053</v>
      </c>
      <c r="B1547" s="21" t="s">
        <v>2499</v>
      </c>
    </row>
    <row r="1548" spans="1:2" ht="14.4">
      <c r="A1548" s="6" t="s">
        <v>3054</v>
      </c>
      <c r="B1548" s="21" t="s">
        <v>2499</v>
      </c>
    </row>
    <row r="1549" spans="1:2" ht="14.4">
      <c r="A1549" s="6" t="s">
        <v>3055</v>
      </c>
      <c r="B1549" s="21" t="s">
        <v>2499</v>
      </c>
    </row>
    <row r="1550" spans="1:2" ht="14.4">
      <c r="A1550" s="6" t="s">
        <v>3056</v>
      </c>
      <c r="B1550" s="21" t="s">
        <v>2499</v>
      </c>
    </row>
    <row r="1551" spans="1:2" ht="14.4">
      <c r="A1551" s="6" t="s">
        <v>3057</v>
      </c>
      <c r="B1551" s="21" t="s">
        <v>2499</v>
      </c>
    </row>
    <row r="1552" spans="1:2" ht="14.4">
      <c r="A1552" s="6" t="s">
        <v>3058</v>
      </c>
      <c r="B1552" s="21" t="s">
        <v>2499</v>
      </c>
    </row>
    <row r="1553" spans="1:2" ht="14.4">
      <c r="A1553" s="6" t="s">
        <v>3059</v>
      </c>
      <c r="B1553" s="21" t="s">
        <v>2499</v>
      </c>
    </row>
    <row r="1554" spans="1:2" ht="14.4">
      <c r="A1554" s="6" t="s">
        <v>3060</v>
      </c>
      <c r="B1554" s="21" t="s">
        <v>2499</v>
      </c>
    </row>
    <row r="1555" spans="1:2" ht="14.4">
      <c r="A1555" s="6" t="s">
        <v>3061</v>
      </c>
      <c r="B1555" s="21" t="s">
        <v>2499</v>
      </c>
    </row>
    <row r="1556" spans="1:2" ht="14.4">
      <c r="A1556" s="6" t="s">
        <v>3062</v>
      </c>
      <c r="B1556" s="21" t="s">
        <v>2499</v>
      </c>
    </row>
    <row r="1557" spans="1:2" ht="14.4">
      <c r="A1557" s="6" t="s">
        <v>3063</v>
      </c>
      <c r="B1557" s="21" t="s">
        <v>2499</v>
      </c>
    </row>
    <row r="1558" spans="1:2" ht="14.4">
      <c r="A1558" s="6" t="s">
        <v>3064</v>
      </c>
      <c r="B1558" s="21" t="s">
        <v>2499</v>
      </c>
    </row>
    <row r="1559" spans="1:2" ht="14.4">
      <c r="A1559" s="6" t="s">
        <v>3065</v>
      </c>
      <c r="B1559" s="21" t="s">
        <v>2499</v>
      </c>
    </row>
    <row r="1560" spans="1:2" ht="14.4">
      <c r="A1560" s="6" t="s">
        <v>3066</v>
      </c>
      <c r="B1560" s="21" t="s">
        <v>2499</v>
      </c>
    </row>
    <row r="1561" spans="1:2" ht="14.4">
      <c r="A1561" s="6" t="s">
        <v>3067</v>
      </c>
      <c r="B1561" s="21" t="s">
        <v>2499</v>
      </c>
    </row>
    <row r="1562" spans="1:2" ht="14.4">
      <c r="A1562" s="6" t="s">
        <v>3068</v>
      </c>
      <c r="B1562" s="21" t="s">
        <v>2499</v>
      </c>
    </row>
    <row r="1563" spans="1:2" ht="14.4">
      <c r="A1563" s="6" t="s">
        <v>3069</v>
      </c>
      <c r="B1563" s="21" t="s">
        <v>2499</v>
      </c>
    </row>
    <row r="1564" spans="1:2" ht="14.4">
      <c r="A1564" s="6" t="s">
        <v>3070</v>
      </c>
      <c r="B1564" s="21" t="s">
        <v>2499</v>
      </c>
    </row>
    <row r="1565" spans="1:2" ht="14.4">
      <c r="A1565" s="6" t="s">
        <v>3071</v>
      </c>
      <c r="B1565" s="21" t="s">
        <v>2499</v>
      </c>
    </row>
    <row r="1566" spans="1:2" ht="14.4">
      <c r="A1566" s="6" t="s">
        <v>3072</v>
      </c>
      <c r="B1566" s="21" t="s">
        <v>2499</v>
      </c>
    </row>
    <row r="1567" spans="1:2" ht="14.4">
      <c r="A1567" s="6" t="s">
        <v>3073</v>
      </c>
      <c r="B1567" s="21" t="s">
        <v>2499</v>
      </c>
    </row>
    <row r="1568" spans="1:2" ht="14.4">
      <c r="A1568" s="6" t="s">
        <v>3074</v>
      </c>
      <c r="B1568" s="21" t="s">
        <v>2499</v>
      </c>
    </row>
    <row r="1569" spans="1:2" ht="14.4">
      <c r="A1569" s="6" t="s">
        <v>3075</v>
      </c>
      <c r="B1569" s="21" t="s">
        <v>2499</v>
      </c>
    </row>
    <row r="1570" spans="1:2" ht="14.4">
      <c r="A1570" s="6" t="s">
        <v>3076</v>
      </c>
      <c r="B1570" s="21" t="s">
        <v>2499</v>
      </c>
    </row>
    <row r="1571" spans="1:2" ht="14.4">
      <c r="A1571" s="6" t="s">
        <v>3077</v>
      </c>
      <c r="B1571" s="21" t="s">
        <v>2499</v>
      </c>
    </row>
    <row r="1572" spans="1:2" ht="14.4">
      <c r="A1572" s="6" t="s">
        <v>3078</v>
      </c>
      <c r="B1572" s="21" t="s">
        <v>2499</v>
      </c>
    </row>
    <row r="1573" spans="1:2" ht="14.4">
      <c r="A1573" s="6" t="s">
        <v>3079</v>
      </c>
      <c r="B1573" s="21" t="s">
        <v>2499</v>
      </c>
    </row>
    <row r="1574" spans="1:2" ht="14.4">
      <c r="A1574" s="6" t="s">
        <v>3080</v>
      </c>
      <c r="B1574" s="21" t="s">
        <v>2499</v>
      </c>
    </row>
    <row r="1575" spans="1:2" ht="14.4">
      <c r="A1575" s="6" t="s">
        <v>3081</v>
      </c>
      <c r="B1575" s="21" t="s">
        <v>2499</v>
      </c>
    </row>
    <row r="1576" spans="1:2" ht="14.4">
      <c r="A1576" s="6" t="s">
        <v>3082</v>
      </c>
      <c r="B1576" s="21" t="s">
        <v>2499</v>
      </c>
    </row>
    <row r="1577" spans="1:2" ht="14.4">
      <c r="A1577" s="6" t="s">
        <v>3083</v>
      </c>
      <c r="B1577" s="21" t="s">
        <v>2499</v>
      </c>
    </row>
    <row r="1578" spans="1:2" ht="14.4">
      <c r="A1578" s="6" t="s">
        <v>3084</v>
      </c>
      <c r="B1578" s="21" t="s">
        <v>2499</v>
      </c>
    </row>
    <row r="1579" spans="1:2" ht="14.4">
      <c r="A1579" s="6" t="s">
        <v>3085</v>
      </c>
      <c r="B1579" s="21" t="s">
        <v>2499</v>
      </c>
    </row>
    <row r="1580" spans="1:2" ht="14.4">
      <c r="A1580" s="6" t="s">
        <v>3086</v>
      </c>
      <c r="B1580" s="21" t="s">
        <v>2499</v>
      </c>
    </row>
    <row r="1581" spans="1:2" ht="14.4">
      <c r="A1581" s="6" t="s">
        <v>3087</v>
      </c>
      <c r="B1581" s="21" t="s">
        <v>2499</v>
      </c>
    </row>
    <row r="1582" spans="1:2" ht="14.4">
      <c r="A1582" s="6" t="s">
        <v>3088</v>
      </c>
      <c r="B1582" s="21" t="s">
        <v>2499</v>
      </c>
    </row>
    <row r="1583" spans="1:2" ht="14.4">
      <c r="A1583" s="6" t="s">
        <v>3089</v>
      </c>
      <c r="B1583" s="21" t="s">
        <v>2499</v>
      </c>
    </row>
    <row r="1584" spans="1:2" ht="14.4">
      <c r="A1584" s="6" t="s">
        <v>3090</v>
      </c>
      <c r="B1584" s="21" t="s">
        <v>2499</v>
      </c>
    </row>
    <row r="1585" spans="1:2" ht="14.4">
      <c r="A1585" s="6" t="s">
        <v>3091</v>
      </c>
      <c r="B1585" s="21" t="s">
        <v>2499</v>
      </c>
    </row>
    <row r="1586" spans="1:2" ht="14.4">
      <c r="A1586" s="6" t="s">
        <v>3092</v>
      </c>
      <c r="B1586" s="21" t="s">
        <v>2499</v>
      </c>
    </row>
    <row r="1587" spans="1:2" ht="14.4">
      <c r="A1587" s="6" t="s">
        <v>3093</v>
      </c>
      <c r="B1587" s="21" t="s">
        <v>2499</v>
      </c>
    </row>
    <row r="1588" spans="1:2" ht="14.4">
      <c r="A1588" s="6" t="s">
        <v>3094</v>
      </c>
      <c r="B1588" s="21" t="s">
        <v>2499</v>
      </c>
    </row>
    <row r="1589" spans="1:2" ht="14.4">
      <c r="A1589" s="6" t="s">
        <v>3095</v>
      </c>
      <c r="B1589" s="21" t="s">
        <v>2499</v>
      </c>
    </row>
    <row r="1590" spans="1:2" ht="14.4">
      <c r="A1590" s="6" t="s">
        <v>3096</v>
      </c>
      <c r="B1590" s="21" t="s">
        <v>2499</v>
      </c>
    </row>
    <row r="1591" spans="1:2" ht="14.4">
      <c r="A1591" s="6" t="s">
        <v>3097</v>
      </c>
      <c r="B1591" s="21" t="s">
        <v>2499</v>
      </c>
    </row>
    <row r="1592" spans="1:2" ht="14.4">
      <c r="A1592" s="6" t="s">
        <v>3098</v>
      </c>
      <c r="B1592" s="21" t="s">
        <v>2499</v>
      </c>
    </row>
    <row r="1593" spans="1:2" ht="14.4">
      <c r="A1593" s="6" t="s">
        <v>3099</v>
      </c>
      <c r="B1593" s="21" t="s">
        <v>2499</v>
      </c>
    </row>
    <row r="1594" spans="1:2" ht="14.4">
      <c r="A1594" s="6" t="s">
        <v>3100</v>
      </c>
      <c r="B1594" s="21" t="s">
        <v>2499</v>
      </c>
    </row>
    <row r="1595" spans="1:2" ht="14.4">
      <c r="A1595" s="6" t="s">
        <v>3101</v>
      </c>
      <c r="B1595" s="21" t="s">
        <v>2499</v>
      </c>
    </row>
    <row r="1596" spans="1:2" ht="14.4">
      <c r="A1596" s="6" t="s">
        <v>3102</v>
      </c>
      <c r="B1596" s="21" t="s">
        <v>2499</v>
      </c>
    </row>
    <row r="1597" spans="1:2" ht="14.4">
      <c r="A1597" s="6" t="s">
        <v>3103</v>
      </c>
      <c r="B1597" s="21" t="s">
        <v>2499</v>
      </c>
    </row>
    <row r="1598" spans="1:2" ht="14.4">
      <c r="A1598" s="6" t="s">
        <v>3104</v>
      </c>
      <c r="B1598" s="21" t="s">
        <v>2499</v>
      </c>
    </row>
    <row r="1599" spans="1:2" ht="14.4">
      <c r="A1599" s="6" t="s">
        <v>3105</v>
      </c>
      <c r="B1599" s="21" t="s">
        <v>2499</v>
      </c>
    </row>
    <row r="1600" spans="1:2" ht="14.4">
      <c r="A1600" s="6" t="s">
        <v>3106</v>
      </c>
      <c r="B1600" s="21" t="s">
        <v>2499</v>
      </c>
    </row>
    <row r="1601" spans="1:2" ht="14.4">
      <c r="A1601" s="6" t="s">
        <v>3107</v>
      </c>
      <c r="B1601" s="21" t="s">
        <v>2499</v>
      </c>
    </row>
    <row r="1602" spans="1:2" ht="14.4">
      <c r="A1602" s="6" t="s">
        <v>3108</v>
      </c>
      <c r="B1602" s="21" t="s">
        <v>2499</v>
      </c>
    </row>
    <row r="1603" spans="1:2" ht="14.4">
      <c r="A1603" s="6" t="s">
        <v>3109</v>
      </c>
      <c r="B1603" s="21" t="s">
        <v>2499</v>
      </c>
    </row>
    <row r="1604" spans="1:2" ht="14.4">
      <c r="A1604" s="6" t="s">
        <v>3110</v>
      </c>
      <c r="B1604" s="21" t="s">
        <v>2499</v>
      </c>
    </row>
    <row r="1605" spans="1:2" ht="14.4">
      <c r="A1605" s="6" t="s">
        <v>3111</v>
      </c>
      <c r="B1605" s="21" t="s">
        <v>2499</v>
      </c>
    </row>
    <row r="1606" spans="1:2" ht="14.4">
      <c r="A1606" s="6" t="s">
        <v>3112</v>
      </c>
      <c r="B1606" s="21" t="s">
        <v>2499</v>
      </c>
    </row>
    <row r="1607" spans="1:2" ht="14.4">
      <c r="A1607" s="6" t="s">
        <v>3113</v>
      </c>
      <c r="B1607" s="21" t="s">
        <v>2499</v>
      </c>
    </row>
    <row r="1608" spans="1:2" ht="14.4">
      <c r="A1608" s="6" t="s">
        <v>3114</v>
      </c>
      <c r="B1608" s="21" t="s">
        <v>2499</v>
      </c>
    </row>
    <row r="1609" spans="1:2" ht="14.4">
      <c r="A1609" s="6" t="s">
        <v>3115</v>
      </c>
      <c r="B1609" s="21" t="s">
        <v>2499</v>
      </c>
    </row>
    <row r="1610" spans="1:2" ht="14.4">
      <c r="A1610" s="6" t="s">
        <v>3116</v>
      </c>
      <c r="B1610" s="21" t="s">
        <v>2499</v>
      </c>
    </row>
    <row r="1611" spans="1:2" ht="14.4">
      <c r="A1611" s="6" t="s">
        <v>3117</v>
      </c>
      <c r="B1611" s="21" t="s">
        <v>2499</v>
      </c>
    </row>
    <row r="1612" spans="1:2" ht="14.4">
      <c r="A1612" s="6" t="s">
        <v>3118</v>
      </c>
      <c r="B1612" s="21" t="s">
        <v>2499</v>
      </c>
    </row>
    <row r="1613" spans="1:2" ht="14.4">
      <c r="A1613" s="6" t="s">
        <v>3119</v>
      </c>
      <c r="B1613" s="21" t="s">
        <v>2499</v>
      </c>
    </row>
    <row r="1614" spans="1:2" ht="14.4">
      <c r="A1614" s="6" t="s">
        <v>3120</v>
      </c>
      <c r="B1614" s="21" t="s">
        <v>2499</v>
      </c>
    </row>
    <row r="1615" spans="1:2" ht="14.4">
      <c r="A1615" s="6" t="s">
        <v>3121</v>
      </c>
      <c r="B1615" s="21" t="s">
        <v>2499</v>
      </c>
    </row>
    <row r="1616" spans="1:2" ht="14.4">
      <c r="A1616" s="6" t="s">
        <v>3122</v>
      </c>
      <c r="B1616" s="21" t="s">
        <v>2499</v>
      </c>
    </row>
    <row r="1617" spans="1:2" ht="14.4">
      <c r="A1617" s="6" t="s">
        <v>3123</v>
      </c>
      <c r="B1617" s="21" t="s">
        <v>2499</v>
      </c>
    </row>
    <row r="1618" spans="1:2" ht="14.4">
      <c r="A1618" s="6" t="s">
        <v>3124</v>
      </c>
      <c r="B1618" s="21" t="s">
        <v>2499</v>
      </c>
    </row>
    <row r="1619" spans="1:2" ht="14.4">
      <c r="A1619" s="6" t="s">
        <v>3125</v>
      </c>
      <c r="B1619" s="21" t="s">
        <v>2499</v>
      </c>
    </row>
    <row r="1620" spans="1:2" ht="14.4">
      <c r="A1620" s="6" t="s">
        <v>3126</v>
      </c>
      <c r="B1620" s="21" t="s">
        <v>2499</v>
      </c>
    </row>
    <row r="1621" spans="1:2" ht="14.4">
      <c r="A1621" s="6" t="s">
        <v>3127</v>
      </c>
      <c r="B1621" s="21" t="s">
        <v>2499</v>
      </c>
    </row>
    <row r="1622" spans="1:2" ht="14.4">
      <c r="A1622" s="6" t="s">
        <v>3128</v>
      </c>
      <c r="B1622" s="21" t="s">
        <v>2499</v>
      </c>
    </row>
    <row r="1623" spans="1:2" ht="14.4">
      <c r="A1623" s="6" t="s">
        <v>3129</v>
      </c>
      <c r="B1623" s="21" t="s">
        <v>2499</v>
      </c>
    </row>
    <row r="1624" spans="1:2" ht="14.4">
      <c r="A1624" s="6" t="s">
        <v>3130</v>
      </c>
      <c r="B1624" s="21" t="s">
        <v>2499</v>
      </c>
    </row>
    <row r="1625" spans="1:2" ht="14.4">
      <c r="A1625" s="6" t="s">
        <v>3131</v>
      </c>
      <c r="B1625" s="21" t="s">
        <v>2499</v>
      </c>
    </row>
    <row r="1626" spans="1:2" ht="14.4">
      <c r="A1626" s="6" t="s">
        <v>3132</v>
      </c>
      <c r="B1626" s="21" t="s">
        <v>2499</v>
      </c>
    </row>
    <row r="1627" spans="1:2" ht="14.4">
      <c r="A1627" s="6" t="s">
        <v>3133</v>
      </c>
      <c r="B1627" s="21" t="s">
        <v>2499</v>
      </c>
    </row>
    <row r="1628" spans="1:2" ht="14.4">
      <c r="A1628" s="6" t="s">
        <v>3134</v>
      </c>
      <c r="B1628" s="21" t="s">
        <v>2499</v>
      </c>
    </row>
    <row r="1629" spans="1:2" ht="14.4">
      <c r="A1629" s="6" t="s">
        <v>3135</v>
      </c>
      <c r="B1629" s="21" t="s">
        <v>2499</v>
      </c>
    </row>
    <row r="1630" spans="1:2" ht="14.4">
      <c r="A1630" s="6" t="s">
        <v>3136</v>
      </c>
      <c r="B1630" s="21" t="s">
        <v>2499</v>
      </c>
    </row>
    <row r="1631" spans="1:2" ht="14.4">
      <c r="A1631" s="6" t="s">
        <v>3137</v>
      </c>
      <c r="B1631" s="21" t="s">
        <v>2499</v>
      </c>
    </row>
    <row r="1632" spans="1:2" ht="14.4">
      <c r="A1632" s="6" t="s">
        <v>3138</v>
      </c>
      <c r="B1632" s="21" t="s">
        <v>2499</v>
      </c>
    </row>
    <row r="1633" spans="1:2" ht="14.4">
      <c r="A1633" s="6" t="s">
        <v>3139</v>
      </c>
      <c r="B1633" s="21" t="s">
        <v>2499</v>
      </c>
    </row>
    <row r="1634" spans="1:2" ht="14.4">
      <c r="A1634" s="6" t="s">
        <v>3140</v>
      </c>
      <c r="B1634" s="21" t="s">
        <v>2499</v>
      </c>
    </row>
    <row r="1635" spans="1:2" ht="14.4">
      <c r="A1635" s="6" t="s">
        <v>3141</v>
      </c>
      <c r="B1635" s="21" t="s">
        <v>2499</v>
      </c>
    </row>
    <row r="1636" spans="1:2" ht="14.4">
      <c r="A1636" s="6" t="s">
        <v>3142</v>
      </c>
      <c r="B1636" s="21" t="s">
        <v>2499</v>
      </c>
    </row>
    <row r="1637" spans="1:2" ht="14.4">
      <c r="A1637" s="6" t="s">
        <v>3143</v>
      </c>
      <c r="B1637" s="21" t="s">
        <v>2499</v>
      </c>
    </row>
    <row r="1638" spans="1:2" ht="14.4">
      <c r="A1638" s="6" t="s">
        <v>3144</v>
      </c>
      <c r="B1638" s="21" t="s">
        <v>2499</v>
      </c>
    </row>
    <row r="1639" spans="1:2" ht="14.4">
      <c r="A1639" s="6" t="s">
        <v>3145</v>
      </c>
      <c r="B1639" s="21" t="s">
        <v>2499</v>
      </c>
    </row>
    <row r="1640" spans="1:2" ht="14.4">
      <c r="A1640" s="6" t="s">
        <v>3146</v>
      </c>
      <c r="B1640" s="21" t="s">
        <v>2499</v>
      </c>
    </row>
    <row r="1641" spans="1:2" ht="14.4">
      <c r="A1641" s="6" t="s">
        <v>3147</v>
      </c>
      <c r="B1641" s="21" t="s">
        <v>2499</v>
      </c>
    </row>
    <row r="1642" spans="1:2" ht="14.4">
      <c r="A1642" s="6" t="s">
        <v>3148</v>
      </c>
      <c r="B1642" s="21" t="s">
        <v>2499</v>
      </c>
    </row>
    <row r="1643" spans="1:2" ht="14.4">
      <c r="A1643" s="6" t="s">
        <v>3149</v>
      </c>
      <c r="B1643" s="21" t="s">
        <v>2499</v>
      </c>
    </row>
    <row r="1644" spans="1:2" ht="14.4">
      <c r="A1644" s="6" t="s">
        <v>3150</v>
      </c>
      <c r="B1644" s="21" t="s">
        <v>2499</v>
      </c>
    </row>
    <row r="1645" spans="1:2" ht="14.4">
      <c r="A1645" s="6" t="s">
        <v>3151</v>
      </c>
      <c r="B1645" s="21" t="s">
        <v>2499</v>
      </c>
    </row>
    <row r="1646" spans="1:2" ht="14.4">
      <c r="A1646" s="6" t="s">
        <v>3152</v>
      </c>
      <c r="B1646" s="21" t="s">
        <v>2499</v>
      </c>
    </row>
    <row r="1647" spans="1:2" ht="14.4">
      <c r="A1647" s="6" t="s">
        <v>3153</v>
      </c>
      <c r="B1647" s="21" t="s">
        <v>2499</v>
      </c>
    </row>
    <row r="1648" spans="1:2" ht="14.4">
      <c r="A1648" s="6" t="s">
        <v>3154</v>
      </c>
      <c r="B1648" s="21" t="s">
        <v>2499</v>
      </c>
    </row>
    <row r="1649" spans="1:2" ht="14.4">
      <c r="A1649" s="6" t="s">
        <v>3155</v>
      </c>
      <c r="B1649" s="21" t="s">
        <v>2499</v>
      </c>
    </row>
    <row r="1650" spans="1:2" ht="14.4">
      <c r="A1650" s="6" t="s">
        <v>3156</v>
      </c>
      <c r="B1650" s="21" t="s">
        <v>2499</v>
      </c>
    </row>
    <row r="1651" spans="1:2" ht="14.4">
      <c r="A1651" s="6" t="s">
        <v>3157</v>
      </c>
      <c r="B1651" s="21" t="s">
        <v>2499</v>
      </c>
    </row>
    <row r="1652" spans="1:2" ht="14.4">
      <c r="A1652" s="6" t="s">
        <v>3158</v>
      </c>
      <c r="B1652" s="21" t="s">
        <v>2499</v>
      </c>
    </row>
    <row r="1653" spans="1:2" ht="14.4">
      <c r="A1653" s="6" t="s">
        <v>3159</v>
      </c>
      <c r="B1653" s="21" t="s">
        <v>2499</v>
      </c>
    </row>
    <row r="1654" spans="1:2" ht="14.4">
      <c r="A1654" s="6" t="s">
        <v>3160</v>
      </c>
      <c r="B1654" s="21" t="s">
        <v>2499</v>
      </c>
    </row>
    <row r="1655" spans="1:2" ht="14.4">
      <c r="A1655" s="6" t="s">
        <v>3161</v>
      </c>
      <c r="B1655" s="21" t="s">
        <v>2499</v>
      </c>
    </row>
    <row r="1656" spans="1:2" ht="14.4">
      <c r="A1656" s="6" t="s">
        <v>3162</v>
      </c>
      <c r="B1656" s="21" t="s">
        <v>2499</v>
      </c>
    </row>
    <row r="1657" spans="1:2" ht="14.4">
      <c r="A1657" s="6" t="s">
        <v>3163</v>
      </c>
      <c r="B1657" s="21" t="s">
        <v>2499</v>
      </c>
    </row>
    <row r="1658" spans="1:2" ht="14.4">
      <c r="A1658" s="6" t="s">
        <v>3164</v>
      </c>
      <c r="B1658" s="21" t="s">
        <v>2499</v>
      </c>
    </row>
    <row r="1659" spans="1:2" ht="14.4">
      <c r="A1659" s="6" t="s">
        <v>3165</v>
      </c>
      <c r="B1659" s="21" t="s">
        <v>2499</v>
      </c>
    </row>
    <row r="1660" spans="1:2" ht="14.4">
      <c r="A1660" s="6" t="s">
        <v>3166</v>
      </c>
      <c r="B1660" s="21" t="s">
        <v>2499</v>
      </c>
    </row>
    <row r="1661" spans="1:2" ht="14.4">
      <c r="A1661" s="6" t="s">
        <v>3167</v>
      </c>
      <c r="B1661" s="21" t="s">
        <v>2499</v>
      </c>
    </row>
    <row r="1662" spans="1:2" ht="14.4">
      <c r="A1662" s="6" t="s">
        <v>3168</v>
      </c>
      <c r="B1662" s="21" t="s">
        <v>2499</v>
      </c>
    </row>
    <row r="1663" spans="1:2" ht="14.4">
      <c r="A1663" s="6" t="s">
        <v>3169</v>
      </c>
      <c r="B1663" s="21" t="s">
        <v>2499</v>
      </c>
    </row>
    <row r="1664" spans="1:2" ht="14.4">
      <c r="A1664" s="6" t="s">
        <v>3170</v>
      </c>
      <c r="B1664" s="21" t="s">
        <v>2499</v>
      </c>
    </row>
    <row r="1665" spans="1:2" ht="14.4">
      <c r="A1665" s="6" t="s">
        <v>3171</v>
      </c>
      <c r="B1665" s="21" t="s">
        <v>2499</v>
      </c>
    </row>
    <row r="1666" spans="1:2" ht="14.4">
      <c r="A1666" s="6" t="s">
        <v>3172</v>
      </c>
      <c r="B1666" s="21" t="s">
        <v>2499</v>
      </c>
    </row>
    <row r="1667" spans="1:2" ht="14.4">
      <c r="A1667" s="6" t="s">
        <v>3173</v>
      </c>
      <c r="B1667" s="21" t="s">
        <v>2499</v>
      </c>
    </row>
    <row r="1668" spans="1:2" ht="14.4">
      <c r="A1668" s="6" t="s">
        <v>3174</v>
      </c>
      <c r="B1668" s="21" t="s">
        <v>2499</v>
      </c>
    </row>
    <row r="1669" spans="1:2" ht="14.4">
      <c r="A1669" s="6" t="s">
        <v>3175</v>
      </c>
      <c r="B1669" s="21" t="s">
        <v>2499</v>
      </c>
    </row>
    <row r="1670" spans="1:2" ht="14.4">
      <c r="A1670" s="6" t="s">
        <v>3176</v>
      </c>
      <c r="B1670" s="21" t="s">
        <v>2499</v>
      </c>
    </row>
    <row r="1671" spans="1:2" ht="14.4">
      <c r="A1671" s="6" t="s">
        <v>3177</v>
      </c>
      <c r="B1671" s="21" t="s">
        <v>2499</v>
      </c>
    </row>
    <row r="1672" spans="1:2" ht="14.4">
      <c r="A1672" s="6" t="s">
        <v>3178</v>
      </c>
      <c r="B1672" s="21" t="s">
        <v>2499</v>
      </c>
    </row>
    <row r="1673" spans="1:2" ht="14.4">
      <c r="A1673" s="6" t="s">
        <v>3179</v>
      </c>
      <c r="B1673" s="21" t="s">
        <v>2499</v>
      </c>
    </row>
    <row r="1674" spans="1:2" ht="14.4">
      <c r="A1674" s="6" t="s">
        <v>3180</v>
      </c>
      <c r="B1674" s="21" t="s">
        <v>2499</v>
      </c>
    </row>
    <row r="1675" spans="1:2" ht="14.4">
      <c r="A1675" s="6" t="s">
        <v>3181</v>
      </c>
      <c r="B1675" s="21" t="s">
        <v>2499</v>
      </c>
    </row>
    <row r="1676" spans="1:2" ht="14.4">
      <c r="A1676" s="6" t="s">
        <v>3182</v>
      </c>
      <c r="B1676" s="21" t="s">
        <v>2499</v>
      </c>
    </row>
    <row r="1677" spans="1:2" ht="14.4">
      <c r="A1677" s="6" t="s">
        <v>3183</v>
      </c>
      <c r="B1677" s="21" t="s">
        <v>2499</v>
      </c>
    </row>
    <row r="1678" spans="1:2" ht="14.4">
      <c r="A1678" s="6" t="s">
        <v>3184</v>
      </c>
      <c r="B1678" s="21" t="s">
        <v>2499</v>
      </c>
    </row>
    <row r="1679" spans="1:2" ht="14.4">
      <c r="A1679" s="6" t="s">
        <v>3185</v>
      </c>
      <c r="B1679" s="21" t="s">
        <v>2499</v>
      </c>
    </row>
    <row r="1680" spans="1:2" ht="14.4">
      <c r="A1680" s="6" t="s">
        <v>3186</v>
      </c>
      <c r="B1680" s="21" t="s">
        <v>2499</v>
      </c>
    </row>
    <row r="1681" spans="1:2" ht="14.4">
      <c r="A1681" s="6" t="s">
        <v>3187</v>
      </c>
      <c r="B1681" s="21" t="s">
        <v>2499</v>
      </c>
    </row>
    <row r="1682" spans="1:2" ht="14.4">
      <c r="A1682" s="6" t="s">
        <v>3188</v>
      </c>
      <c r="B1682" s="21" t="s">
        <v>2499</v>
      </c>
    </row>
    <row r="1683" spans="1:2" ht="14.4">
      <c r="A1683" s="6" t="s">
        <v>3189</v>
      </c>
      <c r="B1683" s="21" t="s">
        <v>2499</v>
      </c>
    </row>
    <row r="1684" spans="1:2" ht="14.4">
      <c r="A1684" s="6" t="s">
        <v>3190</v>
      </c>
      <c r="B1684" s="21" t="s">
        <v>2499</v>
      </c>
    </row>
    <row r="1685" spans="1:2" ht="14.4">
      <c r="A1685" s="6" t="s">
        <v>3191</v>
      </c>
      <c r="B1685" s="21" t="s">
        <v>2499</v>
      </c>
    </row>
    <row r="1686" spans="1:2" ht="14.4">
      <c r="A1686" s="6" t="s">
        <v>3192</v>
      </c>
      <c r="B1686" s="21" t="s">
        <v>2499</v>
      </c>
    </row>
    <row r="1687" spans="1:2" ht="14.4">
      <c r="A1687" s="6" t="s">
        <v>3193</v>
      </c>
      <c r="B1687" s="21" t="s">
        <v>2499</v>
      </c>
    </row>
    <row r="1688" spans="1:2" ht="14.4">
      <c r="A1688" s="6" t="s">
        <v>3194</v>
      </c>
      <c r="B1688" s="21" t="s">
        <v>2499</v>
      </c>
    </row>
    <row r="1689" spans="1:2" ht="14.4">
      <c r="A1689" s="6" t="s">
        <v>3195</v>
      </c>
      <c r="B1689" s="21" t="s">
        <v>2499</v>
      </c>
    </row>
    <row r="1690" spans="1:2" ht="14.4">
      <c r="A1690" s="6" t="s">
        <v>3196</v>
      </c>
      <c r="B1690" s="21" t="s">
        <v>2499</v>
      </c>
    </row>
    <row r="1691" spans="1:2" ht="14.4">
      <c r="A1691" s="6" t="s">
        <v>3197</v>
      </c>
      <c r="B1691" s="21" t="s">
        <v>2499</v>
      </c>
    </row>
    <row r="1692" spans="1:2" ht="14.4">
      <c r="A1692" s="6" t="s">
        <v>3198</v>
      </c>
      <c r="B1692" s="21" t="s">
        <v>2499</v>
      </c>
    </row>
    <row r="1693" spans="1:2" ht="14.4">
      <c r="A1693" s="6" t="s">
        <v>3199</v>
      </c>
      <c r="B1693" s="21" t="s">
        <v>2499</v>
      </c>
    </row>
    <row r="1694" spans="1:2" ht="14.4">
      <c r="A1694" s="6" t="s">
        <v>3200</v>
      </c>
      <c r="B1694" s="21" t="s">
        <v>2499</v>
      </c>
    </row>
    <row r="1695" spans="1:2" ht="14.4">
      <c r="A1695" s="6" t="s">
        <v>3201</v>
      </c>
      <c r="B1695" s="21" t="s">
        <v>2499</v>
      </c>
    </row>
    <row r="1696" spans="1:2" ht="14.4">
      <c r="A1696" s="6" t="s">
        <v>3202</v>
      </c>
      <c r="B1696" s="21" t="s">
        <v>2499</v>
      </c>
    </row>
    <row r="1697" spans="1:2" ht="14.4">
      <c r="A1697" s="6" t="s">
        <v>3203</v>
      </c>
      <c r="B1697" s="21" t="s">
        <v>2499</v>
      </c>
    </row>
    <row r="1698" spans="1:2" ht="14.4">
      <c r="A1698" s="6" t="s">
        <v>3204</v>
      </c>
      <c r="B1698" s="21" t="s">
        <v>2499</v>
      </c>
    </row>
    <row r="1699" spans="1:2" ht="14.4">
      <c r="A1699" s="6" t="s">
        <v>3205</v>
      </c>
      <c r="B1699" s="21" t="s">
        <v>2499</v>
      </c>
    </row>
    <row r="1700" spans="1:2" ht="14.4">
      <c r="A1700" s="6" t="s">
        <v>3206</v>
      </c>
      <c r="B1700" s="21" t="s">
        <v>2499</v>
      </c>
    </row>
    <row r="1701" spans="1:2" ht="14.4">
      <c r="A1701" s="6" t="s">
        <v>3207</v>
      </c>
      <c r="B1701" s="21" t="s">
        <v>2499</v>
      </c>
    </row>
    <row r="1702" spans="1:2" ht="14.4">
      <c r="A1702" s="6" t="s">
        <v>3208</v>
      </c>
      <c r="B1702" s="21" t="s">
        <v>2499</v>
      </c>
    </row>
    <row r="1703" spans="1:2" ht="14.4">
      <c r="A1703" s="6" t="s">
        <v>3209</v>
      </c>
      <c r="B1703" s="21" t="s">
        <v>2499</v>
      </c>
    </row>
    <row r="1704" spans="1:2" ht="14.4">
      <c r="A1704" s="6" t="s">
        <v>3210</v>
      </c>
      <c r="B1704" s="21" t="s">
        <v>2499</v>
      </c>
    </row>
    <row r="1705" spans="1:2" ht="14.4">
      <c r="A1705" s="6" t="s">
        <v>3211</v>
      </c>
      <c r="B1705" s="21" t="s">
        <v>2499</v>
      </c>
    </row>
    <row r="1706" spans="1:2" ht="14.4">
      <c r="A1706" s="6" t="s">
        <v>3212</v>
      </c>
      <c r="B1706" s="21" t="s">
        <v>2499</v>
      </c>
    </row>
    <row r="1707" spans="1:2" ht="14.4">
      <c r="A1707" s="6" t="s">
        <v>3213</v>
      </c>
      <c r="B1707" s="21" t="s">
        <v>2499</v>
      </c>
    </row>
    <row r="1708" spans="1:2" ht="14.4">
      <c r="A1708" s="6" t="s">
        <v>3214</v>
      </c>
      <c r="B1708" s="21" t="s">
        <v>2499</v>
      </c>
    </row>
    <row r="1709" spans="1:2" ht="14.4">
      <c r="A1709" s="6" t="s">
        <v>3215</v>
      </c>
      <c r="B1709" s="21" t="s">
        <v>2499</v>
      </c>
    </row>
    <row r="1710" spans="1:2" ht="14.4">
      <c r="A1710" s="6" t="s">
        <v>3216</v>
      </c>
      <c r="B1710" s="21" t="s">
        <v>2499</v>
      </c>
    </row>
    <row r="1711" spans="1:2" ht="14.4">
      <c r="A1711" s="6" t="s">
        <v>3217</v>
      </c>
      <c r="B1711" s="21" t="s">
        <v>2499</v>
      </c>
    </row>
    <row r="1712" spans="1:2" ht="14.4">
      <c r="A1712" s="6" t="s">
        <v>3218</v>
      </c>
      <c r="B1712" s="21" t="s">
        <v>2499</v>
      </c>
    </row>
    <row r="1713" spans="1:2" ht="14.4">
      <c r="A1713" s="6" t="s">
        <v>3219</v>
      </c>
      <c r="B1713" s="21" t="s">
        <v>2499</v>
      </c>
    </row>
    <row r="1714" spans="1:2" ht="14.4">
      <c r="A1714" s="6" t="s">
        <v>3220</v>
      </c>
      <c r="B1714" s="21" t="s">
        <v>2499</v>
      </c>
    </row>
    <row r="1715" spans="1:2" ht="14.4">
      <c r="A1715" s="6" t="s">
        <v>3221</v>
      </c>
      <c r="B1715" s="21" t="s">
        <v>2499</v>
      </c>
    </row>
    <row r="1716" spans="1:2" ht="14.4">
      <c r="A1716" s="6" t="s">
        <v>3222</v>
      </c>
      <c r="B1716" s="21" t="s">
        <v>2499</v>
      </c>
    </row>
    <row r="1717" spans="1:2" ht="14.4">
      <c r="A1717" s="6" t="s">
        <v>3223</v>
      </c>
      <c r="B1717" s="21" t="s">
        <v>2499</v>
      </c>
    </row>
    <row r="1718" spans="1:2" ht="14.4">
      <c r="A1718" s="6" t="s">
        <v>3224</v>
      </c>
      <c r="B1718" s="21" t="s">
        <v>2499</v>
      </c>
    </row>
    <row r="1719" spans="1:2" ht="14.4">
      <c r="A1719" s="6" t="s">
        <v>3225</v>
      </c>
      <c r="B1719" s="21" t="s">
        <v>2499</v>
      </c>
    </row>
    <row r="1720" spans="1:2" ht="14.4">
      <c r="A1720" s="6" t="s">
        <v>3226</v>
      </c>
      <c r="B1720" s="21" t="s">
        <v>2499</v>
      </c>
    </row>
    <row r="1721" spans="1:2" ht="14.4">
      <c r="A1721" s="6" t="s">
        <v>3227</v>
      </c>
      <c r="B1721" s="21" t="s">
        <v>2499</v>
      </c>
    </row>
    <row r="1722" spans="1:2" ht="14.4">
      <c r="A1722" s="6" t="s">
        <v>3228</v>
      </c>
      <c r="B1722" s="21" t="s">
        <v>2499</v>
      </c>
    </row>
    <row r="1723" spans="1:2" ht="14.4">
      <c r="A1723" s="6" t="s">
        <v>3229</v>
      </c>
      <c r="B1723" s="21" t="s">
        <v>2499</v>
      </c>
    </row>
    <row r="1724" spans="1:2" ht="14.4">
      <c r="A1724" s="6" t="s">
        <v>3230</v>
      </c>
      <c r="B1724" s="21" t="s">
        <v>2499</v>
      </c>
    </row>
    <row r="1725" spans="1:2" ht="14.4">
      <c r="A1725" s="6" t="s">
        <v>3231</v>
      </c>
      <c r="B1725" s="21" t="s">
        <v>2499</v>
      </c>
    </row>
    <row r="1726" spans="1:2" ht="14.4">
      <c r="A1726" s="6" t="s">
        <v>3232</v>
      </c>
      <c r="B1726" s="21" t="s">
        <v>2499</v>
      </c>
    </row>
    <row r="1727" spans="1:2" ht="14.4">
      <c r="A1727" s="6" t="s">
        <v>3233</v>
      </c>
      <c r="B1727" s="21" t="s">
        <v>2499</v>
      </c>
    </row>
    <row r="1728" spans="1:2" ht="14.4">
      <c r="A1728" s="6" t="s">
        <v>3234</v>
      </c>
      <c r="B1728" s="21" t="s">
        <v>2499</v>
      </c>
    </row>
    <row r="1729" spans="1:2" ht="14.4">
      <c r="A1729" s="6" t="s">
        <v>3235</v>
      </c>
      <c r="B1729" s="21" t="s">
        <v>2499</v>
      </c>
    </row>
    <row r="1730" spans="1:2" ht="14.4">
      <c r="A1730" s="6" t="s">
        <v>3236</v>
      </c>
      <c r="B1730" s="21" t="s">
        <v>2499</v>
      </c>
    </row>
    <row r="1731" spans="1:2" ht="14.4">
      <c r="A1731" s="6" t="s">
        <v>3237</v>
      </c>
      <c r="B1731" s="21" t="s">
        <v>2499</v>
      </c>
    </row>
    <row r="1732" spans="1:2" ht="14.4">
      <c r="A1732" s="6" t="s">
        <v>3238</v>
      </c>
      <c r="B1732" s="21" t="s">
        <v>2499</v>
      </c>
    </row>
    <row r="1733" spans="1:2" ht="14.4">
      <c r="A1733" s="6" t="s">
        <v>3239</v>
      </c>
      <c r="B1733" s="21" t="s">
        <v>2499</v>
      </c>
    </row>
    <row r="1734" spans="1:2" ht="14.4">
      <c r="A1734" s="6" t="s">
        <v>3240</v>
      </c>
      <c r="B1734" s="21" t="s">
        <v>2499</v>
      </c>
    </row>
    <row r="1735" spans="1:2" ht="14.4">
      <c r="A1735" s="6" t="s">
        <v>3241</v>
      </c>
      <c r="B1735" s="21" t="s">
        <v>2499</v>
      </c>
    </row>
    <row r="1736" spans="1:2" ht="14.4">
      <c r="A1736" s="6" t="s">
        <v>3242</v>
      </c>
      <c r="B1736" s="21" t="s">
        <v>2499</v>
      </c>
    </row>
    <row r="1737" spans="1:2" ht="14.4">
      <c r="A1737" s="6" t="s">
        <v>3243</v>
      </c>
      <c r="B1737" s="21" t="s">
        <v>2499</v>
      </c>
    </row>
    <row r="1738" spans="1:2" ht="14.4">
      <c r="A1738" s="6" t="s">
        <v>3244</v>
      </c>
      <c r="B1738" s="21" t="s">
        <v>2499</v>
      </c>
    </row>
    <row r="1739" spans="1:2" ht="14.4">
      <c r="A1739" s="6" t="s">
        <v>3245</v>
      </c>
      <c r="B1739" s="21" t="s">
        <v>2499</v>
      </c>
    </row>
    <row r="1740" spans="1:2" ht="14.4">
      <c r="A1740" s="6" t="s">
        <v>3246</v>
      </c>
      <c r="B1740" s="21" t="s">
        <v>2499</v>
      </c>
    </row>
    <row r="1741" spans="1:2" ht="14.4">
      <c r="A1741" s="6" t="s">
        <v>3247</v>
      </c>
      <c r="B1741" s="21" t="s">
        <v>2499</v>
      </c>
    </row>
    <row r="1742" spans="1:2" ht="14.4">
      <c r="A1742" s="6" t="s">
        <v>3248</v>
      </c>
      <c r="B1742" s="21" t="s">
        <v>2499</v>
      </c>
    </row>
    <row r="1743" spans="1:2" ht="14.4">
      <c r="A1743" s="6" t="s">
        <v>3249</v>
      </c>
      <c r="B1743" s="21" t="s">
        <v>2499</v>
      </c>
    </row>
    <row r="1744" spans="1:2" ht="14.4">
      <c r="A1744" s="6" t="s">
        <v>3250</v>
      </c>
      <c r="B1744" s="21" t="s">
        <v>2499</v>
      </c>
    </row>
    <row r="1745" spans="1:2" ht="14.4">
      <c r="A1745" s="6" t="s">
        <v>3251</v>
      </c>
      <c r="B1745" s="21" t="s">
        <v>2499</v>
      </c>
    </row>
    <row r="1746" spans="1:2" ht="14.4">
      <c r="A1746" s="6" t="s">
        <v>3252</v>
      </c>
      <c r="B1746" s="21" t="s">
        <v>2499</v>
      </c>
    </row>
    <row r="1747" spans="1:2" ht="14.4">
      <c r="A1747" s="6" t="s">
        <v>3253</v>
      </c>
      <c r="B1747" s="21" t="s">
        <v>2499</v>
      </c>
    </row>
    <row r="1748" spans="1:2" ht="14.4">
      <c r="A1748" s="6" t="s">
        <v>3254</v>
      </c>
      <c r="B1748" s="21" t="s">
        <v>2499</v>
      </c>
    </row>
    <row r="1749" spans="1:2" ht="14.4">
      <c r="A1749" s="6" t="s">
        <v>3255</v>
      </c>
      <c r="B1749" s="21" t="s">
        <v>2499</v>
      </c>
    </row>
    <row r="1750" spans="1:2" ht="14.4">
      <c r="A1750" s="6" t="s">
        <v>3256</v>
      </c>
      <c r="B1750" s="21" t="s">
        <v>2499</v>
      </c>
    </row>
    <row r="1751" spans="1:2" ht="14.4">
      <c r="A1751" s="6" t="s">
        <v>3257</v>
      </c>
      <c r="B1751" s="21" t="s">
        <v>2499</v>
      </c>
    </row>
    <row r="1752" spans="1:2" ht="14.4">
      <c r="A1752" s="6" t="s">
        <v>3258</v>
      </c>
      <c r="B1752" s="21" t="s">
        <v>2499</v>
      </c>
    </row>
    <row r="1753" spans="1:2" ht="14.4">
      <c r="A1753" s="6" t="s">
        <v>3259</v>
      </c>
      <c r="B1753" s="21" t="s">
        <v>2499</v>
      </c>
    </row>
    <row r="1754" spans="1:2" ht="14.4">
      <c r="A1754" s="6" t="s">
        <v>3260</v>
      </c>
      <c r="B1754" s="21" t="s">
        <v>2499</v>
      </c>
    </row>
    <row r="1755" spans="1:2" ht="14.4">
      <c r="A1755" s="6" t="s">
        <v>3261</v>
      </c>
      <c r="B1755" s="21" t="s">
        <v>2499</v>
      </c>
    </row>
    <row r="1756" spans="1:2" ht="14.4">
      <c r="A1756" s="6" t="s">
        <v>3262</v>
      </c>
      <c r="B1756" s="21" t="s">
        <v>2499</v>
      </c>
    </row>
    <row r="1757" spans="1:2" ht="14.4">
      <c r="A1757" s="6" t="s">
        <v>3263</v>
      </c>
      <c r="B1757" s="21" t="s">
        <v>2499</v>
      </c>
    </row>
    <row r="1758" spans="1:2" ht="14.4">
      <c r="A1758" s="6" t="s">
        <v>3264</v>
      </c>
      <c r="B1758" s="21" t="s">
        <v>2499</v>
      </c>
    </row>
    <row r="1759" spans="1:2" ht="14.4">
      <c r="A1759" s="6" t="s">
        <v>3265</v>
      </c>
      <c r="B1759" s="21" t="s">
        <v>2499</v>
      </c>
    </row>
    <row r="1760" spans="1:2" ht="14.4">
      <c r="A1760" s="6" t="s">
        <v>3266</v>
      </c>
      <c r="B1760" s="21" t="s">
        <v>2499</v>
      </c>
    </row>
    <row r="1761" spans="1:2" ht="14.4">
      <c r="A1761" s="6" t="s">
        <v>3267</v>
      </c>
      <c r="B1761" s="21" t="s">
        <v>2499</v>
      </c>
    </row>
    <row r="1762" spans="1:2" ht="14.4">
      <c r="A1762" s="6" t="s">
        <v>3268</v>
      </c>
      <c r="B1762" s="21" t="s">
        <v>2499</v>
      </c>
    </row>
    <row r="1763" spans="1:2" ht="14.4">
      <c r="A1763" s="6" t="s">
        <v>3269</v>
      </c>
      <c r="B1763" s="21" t="s">
        <v>2499</v>
      </c>
    </row>
    <row r="1764" spans="1:2" ht="14.4">
      <c r="A1764" s="6" t="s">
        <v>3270</v>
      </c>
      <c r="B1764" s="21" t="s">
        <v>2499</v>
      </c>
    </row>
    <row r="1765" spans="1:2" ht="14.4">
      <c r="A1765" s="6" t="s">
        <v>3271</v>
      </c>
      <c r="B1765" s="21" t="s">
        <v>2499</v>
      </c>
    </row>
    <row r="1766" spans="1:2" ht="14.4">
      <c r="A1766" s="6" t="s">
        <v>3272</v>
      </c>
      <c r="B1766" s="21" t="s">
        <v>2499</v>
      </c>
    </row>
    <row r="1767" spans="1:2" ht="14.4">
      <c r="A1767" s="6" t="s">
        <v>3273</v>
      </c>
      <c r="B1767" s="21" t="s">
        <v>2499</v>
      </c>
    </row>
    <row r="1768" spans="1:2" ht="14.4">
      <c r="A1768" s="6" t="s">
        <v>3274</v>
      </c>
      <c r="B1768" s="21" t="s">
        <v>2499</v>
      </c>
    </row>
    <row r="1769" spans="1:2" ht="14.4">
      <c r="A1769" s="6" t="s">
        <v>3275</v>
      </c>
      <c r="B1769" s="21" t="s">
        <v>2499</v>
      </c>
    </row>
    <row r="1770" spans="1:2" ht="14.4">
      <c r="A1770" s="6" t="s">
        <v>3276</v>
      </c>
      <c r="B1770" s="21" t="s">
        <v>2499</v>
      </c>
    </row>
    <row r="1771" spans="1:2" ht="14.4">
      <c r="A1771" s="6" t="s">
        <v>3277</v>
      </c>
      <c r="B1771" s="21" t="s">
        <v>2499</v>
      </c>
    </row>
    <row r="1772" spans="1:2" ht="14.4">
      <c r="A1772" s="6" t="s">
        <v>3278</v>
      </c>
      <c r="B1772" s="21" t="s">
        <v>2499</v>
      </c>
    </row>
    <row r="1773" spans="1:2" ht="14.4">
      <c r="A1773" s="6" t="s">
        <v>3279</v>
      </c>
      <c r="B1773" s="21" t="s">
        <v>2499</v>
      </c>
    </row>
    <row r="1774" spans="1:2" ht="14.4">
      <c r="A1774" s="6" t="s">
        <v>3280</v>
      </c>
      <c r="B1774" s="21" t="s">
        <v>2499</v>
      </c>
    </row>
    <row r="1775" spans="1:2" ht="14.4">
      <c r="A1775" s="6" t="s">
        <v>3281</v>
      </c>
      <c r="B1775" s="21" t="s">
        <v>2499</v>
      </c>
    </row>
    <row r="1776" spans="1:2" ht="14.4">
      <c r="A1776" s="6" t="s">
        <v>3282</v>
      </c>
      <c r="B1776" s="21" t="s">
        <v>2499</v>
      </c>
    </row>
    <row r="1777" spans="1:2" ht="14.4">
      <c r="A1777" s="6" t="s">
        <v>3283</v>
      </c>
      <c r="B1777" s="21" t="s">
        <v>2499</v>
      </c>
    </row>
    <row r="1778" spans="1:2" ht="14.4">
      <c r="A1778" s="6" t="s">
        <v>3284</v>
      </c>
      <c r="B1778" s="21" t="s">
        <v>2499</v>
      </c>
    </row>
    <row r="1779" spans="1:2" ht="14.4">
      <c r="A1779" s="6" t="s">
        <v>3285</v>
      </c>
      <c r="B1779" s="21" t="s">
        <v>2499</v>
      </c>
    </row>
    <row r="1780" spans="1:2" ht="14.4">
      <c r="A1780" s="6" t="s">
        <v>3286</v>
      </c>
      <c r="B1780" s="21" t="s">
        <v>2499</v>
      </c>
    </row>
    <row r="1781" spans="1:2" ht="14.4">
      <c r="A1781" s="6" t="s">
        <v>3287</v>
      </c>
      <c r="B1781" s="21" t="s">
        <v>2499</v>
      </c>
    </row>
    <row r="1782" spans="1:2" ht="14.4">
      <c r="A1782" s="6" t="s">
        <v>3288</v>
      </c>
      <c r="B1782" s="21" t="s">
        <v>2499</v>
      </c>
    </row>
    <row r="1783" spans="1:2" ht="14.4">
      <c r="A1783" s="6" t="s">
        <v>3289</v>
      </c>
      <c r="B1783" s="21" t="s">
        <v>2499</v>
      </c>
    </row>
    <row r="1784" spans="1:2" ht="14.4">
      <c r="A1784" s="6" t="s">
        <v>3290</v>
      </c>
      <c r="B1784" s="21" t="s">
        <v>2499</v>
      </c>
    </row>
    <row r="1785" spans="1:2" ht="14.4">
      <c r="A1785" s="6" t="s">
        <v>3291</v>
      </c>
      <c r="B1785" s="21" t="s">
        <v>2499</v>
      </c>
    </row>
    <row r="1786" spans="1:2" ht="14.4">
      <c r="A1786" s="6" t="s">
        <v>3292</v>
      </c>
      <c r="B1786" s="21" t="s">
        <v>2499</v>
      </c>
    </row>
    <row r="1787" spans="1:2" ht="14.4">
      <c r="A1787" s="6" t="s">
        <v>3293</v>
      </c>
      <c r="B1787" s="21" t="s">
        <v>2499</v>
      </c>
    </row>
    <row r="1788" spans="1:2" ht="14.4">
      <c r="A1788" s="6" t="s">
        <v>3294</v>
      </c>
      <c r="B1788" s="21" t="s">
        <v>2499</v>
      </c>
    </row>
    <row r="1789" spans="1:2" ht="14.4">
      <c r="A1789" s="6" t="s">
        <v>3295</v>
      </c>
      <c r="B1789" s="21" t="s">
        <v>2499</v>
      </c>
    </row>
    <row r="1790" spans="1:2" ht="14.4">
      <c r="A1790" s="6" t="s">
        <v>3296</v>
      </c>
      <c r="B1790" s="21" t="s">
        <v>2499</v>
      </c>
    </row>
    <row r="1791" spans="1:2" ht="14.4">
      <c r="A1791" s="6" t="s">
        <v>3297</v>
      </c>
      <c r="B1791" s="21" t="s">
        <v>2499</v>
      </c>
    </row>
    <row r="1792" spans="1:2" ht="14.4">
      <c r="A1792" s="6" t="s">
        <v>3298</v>
      </c>
      <c r="B1792" s="21" t="s">
        <v>2499</v>
      </c>
    </row>
    <row r="1793" spans="1:2" ht="14.4">
      <c r="A1793" s="6" t="s">
        <v>3299</v>
      </c>
      <c r="B1793" s="21" t="s">
        <v>2499</v>
      </c>
    </row>
    <row r="1794" spans="1:2" ht="14.4">
      <c r="A1794" s="6" t="s">
        <v>3300</v>
      </c>
      <c r="B1794" s="21" t="s">
        <v>2499</v>
      </c>
    </row>
    <row r="1795" spans="1:2" ht="14.4">
      <c r="A1795" s="6" t="s">
        <v>3301</v>
      </c>
      <c r="B1795" s="21" t="s">
        <v>2499</v>
      </c>
    </row>
    <row r="1796" spans="1:2" ht="14.4">
      <c r="A1796" s="6" t="s">
        <v>3302</v>
      </c>
      <c r="B1796" s="21" t="s">
        <v>2499</v>
      </c>
    </row>
    <row r="1797" spans="1:2" ht="14.4">
      <c r="A1797" s="6" t="s">
        <v>3303</v>
      </c>
      <c r="B1797" s="21" t="s">
        <v>2499</v>
      </c>
    </row>
    <row r="1798" spans="1:2" ht="14.4">
      <c r="A1798" s="6" t="s">
        <v>3304</v>
      </c>
      <c r="B1798" s="21" t="s">
        <v>2499</v>
      </c>
    </row>
    <row r="1799" spans="1:2" ht="14.4">
      <c r="A1799" s="6" t="s">
        <v>3305</v>
      </c>
      <c r="B1799" s="21" t="s">
        <v>2499</v>
      </c>
    </row>
    <row r="1800" spans="1:2" ht="14.4">
      <c r="A1800" s="6" t="s">
        <v>3306</v>
      </c>
      <c r="B1800" s="21" t="s">
        <v>2499</v>
      </c>
    </row>
    <row r="1801" spans="1:2" ht="14.4">
      <c r="A1801" s="6" t="s">
        <v>3307</v>
      </c>
      <c r="B1801" s="21" t="s">
        <v>2499</v>
      </c>
    </row>
    <row r="1802" spans="1:2" ht="14.4">
      <c r="A1802" s="6" t="s">
        <v>3308</v>
      </c>
      <c r="B1802" s="21" t="s">
        <v>2499</v>
      </c>
    </row>
    <row r="1803" spans="1:2" ht="14.4">
      <c r="A1803" s="6" t="s">
        <v>3309</v>
      </c>
      <c r="B1803" s="21" t="s">
        <v>2499</v>
      </c>
    </row>
    <row r="1804" spans="1:2" ht="14.4">
      <c r="A1804" s="6" t="s">
        <v>3310</v>
      </c>
      <c r="B1804" s="21" t="s">
        <v>2499</v>
      </c>
    </row>
    <row r="1805" spans="1:2" ht="14.4">
      <c r="A1805" s="6" t="s">
        <v>3311</v>
      </c>
      <c r="B1805" s="21" t="s">
        <v>2499</v>
      </c>
    </row>
    <row r="1806" spans="1:2" ht="14.4">
      <c r="A1806" s="6" t="s">
        <v>3312</v>
      </c>
      <c r="B1806" s="21" t="s">
        <v>2499</v>
      </c>
    </row>
    <row r="1807" spans="1:2" ht="14.4">
      <c r="A1807" s="6" t="s">
        <v>3313</v>
      </c>
      <c r="B1807" s="21" t="s">
        <v>2499</v>
      </c>
    </row>
    <row r="1808" spans="1:2" ht="14.4">
      <c r="A1808" s="6" t="s">
        <v>3314</v>
      </c>
      <c r="B1808" s="21" t="s">
        <v>2499</v>
      </c>
    </row>
    <row r="1809" spans="1:2" ht="14.4">
      <c r="A1809" s="6" t="s">
        <v>3315</v>
      </c>
      <c r="B1809" s="21" t="s">
        <v>2499</v>
      </c>
    </row>
    <row r="1810" spans="1:2" ht="14.4">
      <c r="A1810" s="6" t="s">
        <v>3316</v>
      </c>
      <c r="B1810" s="21" t="s">
        <v>2499</v>
      </c>
    </row>
    <row r="1811" spans="1:2" ht="14.4">
      <c r="A1811" s="6" t="s">
        <v>3317</v>
      </c>
      <c r="B1811" s="21" t="s">
        <v>2499</v>
      </c>
    </row>
    <row r="1812" spans="1:2" ht="14.4">
      <c r="A1812" s="6" t="s">
        <v>3318</v>
      </c>
      <c r="B1812" s="21" t="s">
        <v>2499</v>
      </c>
    </row>
    <row r="1813" spans="1:2" ht="14.4">
      <c r="A1813" s="6" t="s">
        <v>3319</v>
      </c>
      <c r="B1813" s="21" t="s">
        <v>2499</v>
      </c>
    </row>
    <row r="1814" spans="1:2" ht="14.4">
      <c r="A1814" s="6" t="s">
        <v>3320</v>
      </c>
      <c r="B1814" s="21" t="s">
        <v>2499</v>
      </c>
    </row>
    <row r="1815" spans="1:2" ht="14.4">
      <c r="A1815" s="6" t="s">
        <v>3321</v>
      </c>
      <c r="B1815" s="21" t="s">
        <v>2499</v>
      </c>
    </row>
    <row r="1816" spans="1:2" ht="14.4">
      <c r="A1816" s="6" t="s">
        <v>3322</v>
      </c>
      <c r="B1816" s="21" t="s">
        <v>2499</v>
      </c>
    </row>
    <row r="1817" spans="1:2" ht="14.4">
      <c r="A1817" s="6" t="s">
        <v>3323</v>
      </c>
      <c r="B1817" s="21" t="s">
        <v>2499</v>
      </c>
    </row>
    <row r="1818" spans="1:2" ht="14.4">
      <c r="A1818" s="6" t="s">
        <v>3324</v>
      </c>
      <c r="B1818" s="21" t="s">
        <v>2499</v>
      </c>
    </row>
    <row r="1819" spans="1:2" ht="14.4">
      <c r="A1819" s="6" t="s">
        <v>3325</v>
      </c>
      <c r="B1819" s="21" t="s">
        <v>2499</v>
      </c>
    </row>
    <row r="1820" spans="1:2" ht="14.4">
      <c r="A1820" s="6" t="s">
        <v>3326</v>
      </c>
      <c r="B1820" s="21" t="s">
        <v>2499</v>
      </c>
    </row>
    <row r="1821" spans="1:2" ht="14.4">
      <c r="A1821" s="6" t="s">
        <v>3327</v>
      </c>
      <c r="B1821" s="21" t="s">
        <v>2499</v>
      </c>
    </row>
    <row r="1822" spans="1:2" ht="14.4">
      <c r="A1822" s="6" t="s">
        <v>3328</v>
      </c>
      <c r="B1822" s="21" t="s">
        <v>2499</v>
      </c>
    </row>
    <row r="1823" spans="1:2" ht="14.4">
      <c r="A1823" s="6" t="s">
        <v>3329</v>
      </c>
      <c r="B1823" s="21" t="s">
        <v>2499</v>
      </c>
    </row>
    <row r="1824" spans="1:2" ht="14.4">
      <c r="A1824" s="6" t="s">
        <v>3330</v>
      </c>
      <c r="B1824" s="21" t="s">
        <v>2499</v>
      </c>
    </row>
    <row r="1825" spans="1:2" ht="14.4">
      <c r="A1825" s="6" t="s">
        <v>3331</v>
      </c>
      <c r="B1825" s="21" t="s">
        <v>2499</v>
      </c>
    </row>
    <row r="1826" spans="1:2" ht="14.4">
      <c r="A1826" s="6" t="s">
        <v>3332</v>
      </c>
      <c r="B1826" s="21" t="s">
        <v>2499</v>
      </c>
    </row>
    <row r="1827" spans="1:2" ht="14.4">
      <c r="A1827" s="6" t="s">
        <v>3333</v>
      </c>
      <c r="B1827" s="21" t="s">
        <v>2499</v>
      </c>
    </row>
    <row r="1828" spans="1:2" ht="14.4">
      <c r="A1828" s="6" t="s">
        <v>3334</v>
      </c>
      <c r="B1828" s="21" t="s">
        <v>2499</v>
      </c>
    </row>
    <row r="1829" spans="1:2" ht="14.4">
      <c r="A1829" s="6" t="s">
        <v>3335</v>
      </c>
      <c r="B1829" s="21" t="s">
        <v>2499</v>
      </c>
    </row>
    <row r="1830" spans="1:2" ht="14.4">
      <c r="A1830" s="6" t="s">
        <v>3336</v>
      </c>
      <c r="B1830" s="21" t="s">
        <v>2499</v>
      </c>
    </row>
    <row r="1831" spans="1:2" ht="14.4">
      <c r="A1831" s="6" t="s">
        <v>3337</v>
      </c>
      <c r="B1831" s="21" t="s">
        <v>2499</v>
      </c>
    </row>
    <row r="1832" spans="1:2" ht="14.4">
      <c r="A1832" s="6" t="s">
        <v>3338</v>
      </c>
      <c r="B1832" s="21" t="s">
        <v>2499</v>
      </c>
    </row>
    <row r="1833" spans="1:2" ht="14.4">
      <c r="A1833" s="6" t="s">
        <v>3339</v>
      </c>
      <c r="B1833" s="21" t="s">
        <v>2499</v>
      </c>
    </row>
    <row r="1834" spans="1:2" ht="14.4">
      <c r="A1834" s="6" t="s">
        <v>3340</v>
      </c>
      <c r="B1834" s="21" t="s">
        <v>2499</v>
      </c>
    </row>
    <row r="1835" spans="1:2" ht="14.4">
      <c r="A1835" s="6" t="s">
        <v>3341</v>
      </c>
      <c r="B1835" s="21" t="s">
        <v>2499</v>
      </c>
    </row>
    <row r="1836" spans="1:2" ht="14.4">
      <c r="A1836" s="6" t="s">
        <v>3342</v>
      </c>
      <c r="B1836" s="21" t="s">
        <v>2499</v>
      </c>
    </row>
    <row r="1837" spans="1:2" ht="14.4">
      <c r="A1837" s="6" t="s">
        <v>3343</v>
      </c>
      <c r="B1837" s="21" t="s">
        <v>2499</v>
      </c>
    </row>
    <row r="1838" spans="1:2" ht="14.4">
      <c r="A1838" s="6" t="s">
        <v>3344</v>
      </c>
      <c r="B1838" s="21" t="s">
        <v>2499</v>
      </c>
    </row>
    <row r="1839" spans="1:2" ht="14.4">
      <c r="A1839" s="6" t="s">
        <v>3345</v>
      </c>
      <c r="B1839" s="21" t="s">
        <v>2499</v>
      </c>
    </row>
    <row r="1840" spans="1:2" ht="14.4">
      <c r="A1840" s="6" t="s">
        <v>3346</v>
      </c>
      <c r="B1840" s="21" t="s">
        <v>2499</v>
      </c>
    </row>
    <row r="1841" spans="1:2" ht="14.4">
      <c r="A1841" s="6" t="s">
        <v>3347</v>
      </c>
      <c r="B1841" s="21" t="s">
        <v>2499</v>
      </c>
    </row>
    <row r="1842" spans="1:2" ht="14.4">
      <c r="A1842" s="6" t="s">
        <v>3348</v>
      </c>
      <c r="B1842" s="21" t="s">
        <v>2499</v>
      </c>
    </row>
    <row r="1843" spans="1:2" ht="14.4">
      <c r="A1843" s="6" t="s">
        <v>3349</v>
      </c>
      <c r="B1843" s="21" t="s">
        <v>2499</v>
      </c>
    </row>
    <row r="1844" spans="1:2" ht="14.4">
      <c r="A1844" s="6" t="s">
        <v>3350</v>
      </c>
      <c r="B1844" s="21" t="s">
        <v>2499</v>
      </c>
    </row>
    <row r="1845" spans="1:2" ht="14.4">
      <c r="A1845" s="6" t="s">
        <v>3351</v>
      </c>
      <c r="B1845" s="21" t="s">
        <v>2499</v>
      </c>
    </row>
    <row r="1846" spans="1:2" ht="14.4">
      <c r="A1846" s="6" t="s">
        <v>3352</v>
      </c>
      <c r="B1846" s="21" t="s">
        <v>2499</v>
      </c>
    </row>
    <row r="1847" spans="1:2" ht="14.4">
      <c r="A1847" s="6" t="s">
        <v>3353</v>
      </c>
      <c r="B1847" s="21" t="s">
        <v>2499</v>
      </c>
    </row>
    <row r="1848" spans="1:2" ht="14.4">
      <c r="A1848" s="6" t="s">
        <v>3354</v>
      </c>
      <c r="B1848" s="21" t="s">
        <v>2499</v>
      </c>
    </row>
    <row r="1849" spans="1:2" ht="14.4">
      <c r="A1849" s="6" t="s">
        <v>3355</v>
      </c>
      <c r="B1849" s="21" t="s">
        <v>2499</v>
      </c>
    </row>
    <row r="1850" spans="1:2" ht="14.4">
      <c r="A1850" s="6" t="s">
        <v>3356</v>
      </c>
      <c r="B1850" s="21" t="s">
        <v>2499</v>
      </c>
    </row>
    <row r="1851" spans="1:2" ht="14.4">
      <c r="A1851" s="6" t="s">
        <v>3357</v>
      </c>
      <c r="B1851" s="21" t="s">
        <v>2499</v>
      </c>
    </row>
    <row r="1852" spans="1:2" ht="14.4">
      <c r="A1852" s="6" t="s">
        <v>3358</v>
      </c>
      <c r="B1852" s="21" t="s">
        <v>2499</v>
      </c>
    </row>
    <row r="1853" spans="1:2" ht="14.4">
      <c r="A1853" s="6" t="s">
        <v>3359</v>
      </c>
      <c r="B1853" s="21" t="s">
        <v>2499</v>
      </c>
    </row>
    <row r="1854" spans="1:2" ht="14.4">
      <c r="A1854" s="6" t="s">
        <v>3360</v>
      </c>
      <c r="B1854" s="21" t="s">
        <v>2499</v>
      </c>
    </row>
    <row r="1855" spans="1:2" ht="14.4">
      <c r="A1855" s="6" t="s">
        <v>3361</v>
      </c>
      <c r="B1855" s="21" t="s">
        <v>2499</v>
      </c>
    </row>
    <row r="1856" spans="1:2" ht="14.4">
      <c r="A1856" s="6" t="s">
        <v>3362</v>
      </c>
      <c r="B1856" s="21" t="s">
        <v>2499</v>
      </c>
    </row>
    <row r="1857" spans="1:2" ht="14.4">
      <c r="A1857" s="6" t="s">
        <v>3363</v>
      </c>
      <c r="B1857" s="21" t="s">
        <v>2499</v>
      </c>
    </row>
    <row r="1858" spans="1:2" ht="14.4">
      <c r="A1858" s="6" t="s">
        <v>3364</v>
      </c>
      <c r="B1858" s="21" t="s">
        <v>2499</v>
      </c>
    </row>
    <row r="1859" spans="1:2" ht="14.4">
      <c r="A1859" s="6" t="s">
        <v>3365</v>
      </c>
      <c r="B1859" s="21" t="s">
        <v>2499</v>
      </c>
    </row>
    <row r="1860" spans="1:2" ht="14.4">
      <c r="A1860" s="6" t="s">
        <v>3366</v>
      </c>
      <c r="B1860" s="21" t="s">
        <v>2499</v>
      </c>
    </row>
    <row r="1861" spans="1:2" ht="14.4">
      <c r="A1861" s="6" t="s">
        <v>3367</v>
      </c>
      <c r="B1861" s="21" t="s">
        <v>2499</v>
      </c>
    </row>
    <row r="1862" spans="1:2" ht="14.4">
      <c r="A1862" s="6" t="s">
        <v>3368</v>
      </c>
      <c r="B1862" s="21" t="s">
        <v>2499</v>
      </c>
    </row>
    <row r="1863" spans="1:2" ht="14.4">
      <c r="A1863" s="6" t="s">
        <v>3369</v>
      </c>
      <c r="B1863" s="21" t="s">
        <v>2499</v>
      </c>
    </row>
    <row r="1864" spans="1:2" ht="14.4">
      <c r="A1864" s="6" t="s">
        <v>3370</v>
      </c>
      <c r="B1864" s="21" t="s">
        <v>2499</v>
      </c>
    </row>
    <row r="1865" spans="1:2" ht="14.4">
      <c r="A1865" s="6" t="s">
        <v>3371</v>
      </c>
      <c r="B1865" s="21" t="s">
        <v>2499</v>
      </c>
    </row>
    <row r="1866" spans="1:2" ht="14.4">
      <c r="A1866" s="6" t="s">
        <v>3372</v>
      </c>
      <c r="B1866" s="21" t="s">
        <v>2499</v>
      </c>
    </row>
    <row r="1867" spans="1:2" ht="14.4">
      <c r="A1867" s="6" t="s">
        <v>3373</v>
      </c>
      <c r="B1867" s="21" t="s">
        <v>2499</v>
      </c>
    </row>
    <row r="1868" spans="1:2" ht="14.4">
      <c r="A1868" s="6" t="s">
        <v>3374</v>
      </c>
      <c r="B1868" s="21" t="s">
        <v>2499</v>
      </c>
    </row>
    <row r="1869" spans="1:2" ht="14.4">
      <c r="A1869" s="6" t="s">
        <v>3375</v>
      </c>
      <c r="B1869" s="21" t="s">
        <v>2499</v>
      </c>
    </row>
    <row r="1870" spans="1:2" ht="14.4">
      <c r="A1870" s="6" t="s">
        <v>3376</v>
      </c>
      <c r="B1870" s="21" t="s">
        <v>2499</v>
      </c>
    </row>
    <row r="1871" spans="1:2" ht="14.4">
      <c r="A1871" s="6" t="s">
        <v>3377</v>
      </c>
      <c r="B1871" s="21" t="s">
        <v>2499</v>
      </c>
    </row>
    <row r="1872" spans="1:2" ht="14.4">
      <c r="A1872" s="6" t="s">
        <v>3378</v>
      </c>
      <c r="B1872" s="21" t="s">
        <v>2499</v>
      </c>
    </row>
    <row r="1873" spans="1:2" ht="14.4">
      <c r="A1873" s="6" t="s">
        <v>3379</v>
      </c>
      <c r="B1873" s="21" t="s">
        <v>2499</v>
      </c>
    </row>
    <row r="1874" spans="1:2" ht="14.4">
      <c r="A1874" s="6" t="s">
        <v>3380</v>
      </c>
      <c r="B1874" s="21" t="s">
        <v>2499</v>
      </c>
    </row>
    <row r="1875" spans="1:2" ht="14.4">
      <c r="A1875" s="6" t="s">
        <v>3381</v>
      </c>
      <c r="B1875" s="21" t="s">
        <v>2499</v>
      </c>
    </row>
    <row r="1876" spans="1:2" ht="14.4">
      <c r="A1876" s="6" t="s">
        <v>3382</v>
      </c>
      <c r="B1876" s="21" t="s">
        <v>2499</v>
      </c>
    </row>
    <row r="1877" spans="1:2" ht="14.4">
      <c r="A1877" s="6" t="s">
        <v>3383</v>
      </c>
      <c r="B1877" s="21" t="s">
        <v>2499</v>
      </c>
    </row>
    <row r="1878" spans="1:2" ht="14.4">
      <c r="A1878" s="6" t="s">
        <v>3384</v>
      </c>
      <c r="B1878" s="21" t="s">
        <v>2499</v>
      </c>
    </row>
    <row r="1879" spans="1:2" ht="14.4">
      <c r="A1879" s="6" t="s">
        <v>3385</v>
      </c>
      <c r="B1879" s="21" t="s">
        <v>2499</v>
      </c>
    </row>
    <row r="1880" spans="1:2" ht="14.4">
      <c r="A1880" s="6" t="s">
        <v>3386</v>
      </c>
      <c r="B1880" s="21" t="s">
        <v>2499</v>
      </c>
    </row>
    <row r="1881" spans="1:2" ht="14.4">
      <c r="A1881" s="6" t="s">
        <v>3387</v>
      </c>
      <c r="B1881" s="21" t="s">
        <v>2499</v>
      </c>
    </row>
    <row r="1882" spans="1:2" ht="14.4">
      <c r="A1882" s="6" t="s">
        <v>3388</v>
      </c>
      <c r="B1882" s="21" t="s">
        <v>2499</v>
      </c>
    </row>
    <row r="1883" spans="1:2" ht="14.4">
      <c r="A1883" s="6" t="s">
        <v>3389</v>
      </c>
      <c r="B1883" s="21" t="s">
        <v>2499</v>
      </c>
    </row>
    <row r="1884" spans="1:2" ht="14.4">
      <c r="A1884" s="6" t="s">
        <v>3390</v>
      </c>
      <c r="B1884" s="21" t="s">
        <v>2499</v>
      </c>
    </row>
    <row r="1885" spans="1:2" ht="14.4">
      <c r="A1885" s="6" t="s">
        <v>3391</v>
      </c>
      <c r="B1885" s="21" t="s">
        <v>2499</v>
      </c>
    </row>
    <row r="1886" spans="1:2" ht="14.4">
      <c r="A1886" s="6" t="s">
        <v>3392</v>
      </c>
      <c r="B1886" s="21" t="s">
        <v>2499</v>
      </c>
    </row>
    <row r="1887" spans="1:2" ht="14.4">
      <c r="A1887" s="6" t="s">
        <v>3393</v>
      </c>
      <c r="B1887" s="21" t="s">
        <v>2499</v>
      </c>
    </row>
    <row r="1888" spans="1:2" ht="14.4">
      <c r="A1888" s="6" t="s">
        <v>3394</v>
      </c>
      <c r="B1888" s="21" t="s">
        <v>2499</v>
      </c>
    </row>
    <row r="1889" spans="1:2" ht="14.4">
      <c r="A1889" s="6" t="s">
        <v>3395</v>
      </c>
      <c r="B1889" s="21" t="s">
        <v>2499</v>
      </c>
    </row>
    <row r="1890" spans="1:2" ht="14.4">
      <c r="A1890" s="6" t="s">
        <v>3396</v>
      </c>
      <c r="B1890" s="21" t="s">
        <v>2499</v>
      </c>
    </row>
    <row r="1891" spans="1:2" ht="14.4">
      <c r="A1891" s="6" t="s">
        <v>3397</v>
      </c>
      <c r="B1891" s="21" t="s">
        <v>2499</v>
      </c>
    </row>
    <row r="1892" spans="1:2" ht="14.4">
      <c r="A1892" s="6" t="s">
        <v>3398</v>
      </c>
      <c r="B1892" s="21" t="s">
        <v>2499</v>
      </c>
    </row>
    <row r="1893" spans="1:2" ht="14.4">
      <c r="A1893" s="6" t="s">
        <v>3399</v>
      </c>
      <c r="B1893" s="21" t="s">
        <v>2499</v>
      </c>
    </row>
    <row r="1894" spans="1:2" ht="14.4">
      <c r="A1894" s="6" t="s">
        <v>3400</v>
      </c>
      <c r="B1894" s="21" t="s">
        <v>2499</v>
      </c>
    </row>
    <row r="1895" spans="1:2" ht="14.4">
      <c r="A1895" s="6" t="s">
        <v>3401</v>
      </c>
      <c r="B1895" s="21" t="s">
        <v>2499</v>
      </c>
    </row>
    <row r="1896" spans="1:2" ht="14.4">
      <c r="A1896" s="6" t="s">
        <v>3402</v>
      </c>
      <c r="B1896" s="21" t="s">
        <v>2499</v>
      </c>
    </row>
    <row r="1897" spans="1:2" ht="14.4">
      <c r="A1897" s="6" t="s">
        <v>3403</v>
      </c>
      <c r="B1897" s="21" t="s">
        <v>2499</v>
      </c>
    </row>
    <row r="1898" spans="1:2" ht="14.4">
      <c r="A1898" s="6" t="s">
        <v>3404</v>
      </c>
      <c r="B1898" s="21" t="s">
        <v>2499</v>
      </c>
    </row>
    <row r="1899" spans="1:2" ht="14.4">
      <c r="A1899" s="6" t="s">
        <v>3405</v>
      </c>
      <c r="B1899" s="21" t="s">
        <v>2499</v>
      </c>
    </row>
    <row r="1900" spans="1:2" ht="14.4">
      <c r="A1900" s="6" t="s">
        <v>3406</v>
      </c>
      <c r="B1900" s="21" t="s">
        <v>2499</v>
      </c>
    </row>
    <row r="1901" spans="1:2" ht="14.4">
      <c r="A1901" s="6" t="s">
        <v>3407</v>
      </c>
      <c r="B1901" s="21" t="s">
        <v>2499</v>
      </c>
    </row>
    <row r="1902" spans="1:2" ht="14.4">
      <c r="A1902" s="6" t="s">
        <v>3408</v>
      </c>
      <c r="B1902" s="21" t="s">
        <v>2499</v>
      </c>
    </row>
    <row r="1903" spans="1:2" ht="14.4">
      <c r="A1903" s="6" t="s">
        <v>3409</v>
      </c>
      <c r="B1903" s="21" t="s">
        <v>2499</v>
      </c>
    </row>
    <row r="1904" spans="1:2" ht="14.4">
      <c r="A1904" s="6" t="s">
        <v>3410</v>
      </c>
      <c r="B1904" s="21" t="s">
        <v>2499</v>
      </c>
    </row>
    <row r="1905" spans="1:2" ht="14.4">
      <c r="A1905" s="6" t="s">
        <v>3411</v>
      </c>
      <c r="B1905" s="21" t="s">
        <v>2499</v>
      </c>
    </row>
    <row r="1906" spans="1:2" ht="14.4">
      <c r="A1906" s="6" t="s">
        <v>3412</v>
      </c>
      <c r="B1906" s="21" t="s">
        <v>2499</v>
      </c>
    </row>
    <row r="1907" spans="1:2" ht="14.4">
      <c r="A1907" s="6" t="s">
        <v>3413</v>
      </c>
      <c r="B1907" s="21" t="s">
        <v>2499</v>
      </c>
    </row>
    <row r="1908" spans="1:2" ht="14.4">
      <c r="A1908" s="6" t="s">
        <v>3414</v>
      </c>
      <c r="B1908" s="21" t="s">
        <v>2499</v>
      </c>
    </row>
    <row r="1909" spans="1:2" ht="14.4">
      <c r="A1909" s="6" t="s">
        <v>3415</v>
      </c>
      <c r="B1909" s="21" t="s">
        <v>2499</v>
      </c>
    </row>
    <row r="1910" spans="1:2" ht="14.4">
      <c r="A1910" s="6" t="s">
        <v>3416</v>
      </c>
      <c r="B1910" s="21" t="s">
        <v>2499</v>
      </c>
    </row>
    <row r="1911" spans="1:2" ht="14.4">
      <c r="A1911" s="6" t="s">
        <v>3417</v>
      </c>
      <c r="B1911" s="21" t="s">
        <v>2499</v>
      </c>
    </row>
    <row r="1912" spans="1:2" ht="14.4">
      <c r="A1912" s="6" t="s">
        <v>3418</v>
      </c>
      <c r="B1912" s="21" t="s">
        <v>2499</v>
      </c>
    </row>
    <row r="1913" spans="1:2" ht="14.4">
      <c r="A1913" s="6" t="s">
        <v>3419</v>
      </c>
      <c r="B1913" s="21" t="s">
        <v>2499</v>
      </c>
    </row>
    <row r="1914" spans="1:2" ht="14.4">
      <c r="A1914" s="6" t="s">
        <v>3420</v>
      </c>
      <c r="B1914" s="21" t="s">
        <v>2499</v>
      </c>
    </row>
    <row r="1915" spans="1:2" ht="14.4">
      <c r="A1915" s="6" t="s">
        <v>3421</v>
      </c>
      <c r="B1915" s="21" t="s">
        <v>2499</v>
      </c>
    </row>
    <row r="1916" spans="1:2" ht="14.4">
      <c r="A1916" s="6" t="s">
        <v>3422</v>
      </c>
      <c r="B1916" s="21" t="s">
        <v>2499</v>
      </c>
    </row>
    <row r="1917" spans="1:2" ht="14.4">
      <c r="A1917" s="6" t="s">
        <v>3423</v>
      </c>
      <c r="B1917" s="21" t="s">
        <v>2499</v>
      </c>
    </row>
    <row r="1918" spans="1:2" ht="14.4">
      <c r="A1918" s="6" t="s">
        <v>3424</v>
      </c>
      <c r="B1918" s="21" t="s">
        <v>2499</v>
      </c>
    </row>
    <row r="1919" spans="1:2" ht="14.4">
      <c r="A1919" s="6" t="s">
        <v>3425</v>
      </c>
      <c r="B1919" s="21" t="s">
        <v>2499</v>
      </c>
    </row>
    <row r="1920" spans="1:2" ht="14.4">
      <c r="A1920" s="6" t="s">
        <v>3426</v>
      </c>
      <c r="B1920" s="21" t="s">
        <v>2499</v>
      </c>
    </row>
    <row r="1921" spans="1:2" ht="14.4">
      <c r="A1921" s="6" t="s">
        <v>3427</v>
      </c>
      <c r="B1921" s="21" t="s">
        <v>2499</v>
      </c>
    </row>
    <row r="1922" spans="1:2" ht="14.4">
      <c r="A1922" s="6" t="s">
        <v>3428</v>
      </c>
      <c r="B1922" s="21" t="s">
        <v>2499</v>
      </c>
    </row>
    <row r="1923" spans="1:2" ht="14.4">
      <c r="A1923" s="6" t="s">
        <v>3429</v>
      </c>
      <c r="B1923" s="21" t="s">
        <v>2499</v>
      </c>
    </row>
    <row r="1924" spans="1:2" ht="14.4">
      <c r="A1924" s="6" t="s">
        <v>3430</v>
      </c>
      <c r="B1924" s="21" t="s">
        <v>2499</v>
      </c>
    </row>
    <row r="1925" spans="1:2" ht="14.4">
      <c r="A1925" s="6" t="s">
        <v>3431</v>
      </c>
      <c r="B1925" s="21" t="s">
        <v>2499</v>
      </c>
    </row>
    <row r="1926" spans="1:2" ht="14.4">
      <c r="A1926" s="6" t="s">
        <v>3432</v>
      </c>
      <c r="B1926" s="21" t="s">
        <v>2499</v>
      </c>
    </row>
    <row r="1927" spans="1:2" ht="14.4">
      <c r="A1927" s="6" t="s">
        <v>3433</v>
      </c>
      <c r="B1927" s="21" t="s">
        <v>2499</v>
      </c>
    </row>
    <row r="1928" spans="1:2" ht="14.4">
      <c r="A1928" s="6" t="s">
        <v>3434</v>
      </c>
      <c r="B1928" s="21" t="s">
        <v>2499</v>
      </c>
    </row>
    <row r="1929" spans="1:2" ht="14.4">
      <c r="A1929" s="6" t="s">
        <v>3435</v>
      </c>
      <c r="B1929" s="21" t="s">
        <v>2499</v>
      </c>
    </row>
    <row r="1930" spans="1:2" ht="14.4">
      <c r="A1930" s="6" t="s">
        <v>3436</v>
      </c>
      <c r="B1930" s="21" t="s">
        <v>2499</v>
      </c>
    </row>
    <row r="1931" spans="1:2" ht="14.4">
      <c r="A1931" s="6" t="s">
        <v>3437</v>
      </c>
      <c r="B1931" s="21" t="s">
        <v>2499</v>
      </c>
    </row>
    <row r="1932" spans="1:2" ht="14.4">
      <c r="A1932" s="6" t="s">
        <v>3438</v>
      </c>
      <c r="B1932" s="21" t="s">
        <v>2499</v>
      </c>
    </row>
    <row r="1933" spans="1:2" ht="14.4">
      <c r="A1933" s="6" t="s">
        <v>3439</v>
      </c>
      <c r="B1933" s="21" t="s">
        <v>2499</v>
      </c>
    </row>
    <row r="1934" spans="1:2" ht="14.4">
      <c r="A1934" s="6" t="s">
        <v>3440</v>
      </c>
      <c r="B1934" s="21" t="s">
        <v>2499</v>
      </c>
    </row>
    <row r="1935" spans="1:2" ht="14.4">
      <c r="A1935" s="6" t="s">
        <v>3441</v>
      </c>
      <c r="B1935" s="21" t="s">
        <v>2499</v>
      </c>
    </row>
    <row r="1936" spans="1:2" ht="14.4">
      <c r="A1936" s="6" t="s">
        <v>3442</v>
      </c>
      <c r="B1936" s="21" t="s">
        <v>2499</v>
      </c>
    </row>
    <row r="1937" spans="1:2" ht="14.4">
      <c r="A1937" s="6" t="s">
        <v>3443</v>
      </c>
      <c r="B1937" s="21" t="s">
        <v>2499</v>
      </c>
    </row>
    <row r="1938" spans="1:2" ht="14.4">
      <c r="A1938" s="6" t="s">
        <v>3444</v>
      </c>
      <c r="B1938" s="21" t="s">
        <v>2499</v>
      </c>
    </row>
    <row r="1939" spans="1:2" ht="14.4">
      <c r="A1939" s="6" t="s">
        <v>3445</v>
      </c>
      <c r="B1939" s="21" t="s">
        <v>2499</v>
      </c>
    </row>
    <row r="1940" spans="1:2" ht="14.4">
      <c r="A1940" s="6" t="s">
        <v>3446</v>
      </c>
      <c r="B1940" s="21" t="s">
        <v>2499</v>
      </c>
    </row>
    <row r="1941" spans="1:2" ht="14.4">
      <c r="A1941" s="6" t="s">
        <v>3447</v>
      </c>
      <c r="B1941" s="21" t="s">
        <v>2499</v>
      </c>
    </row>
    <row r="1942" spans="1:2" ht="14.4">
      <c r="A1942" s="6" t="s">
        <v>3448</v>
      </c>
      <c r="B1942" s="21" t="s">
        <v>2499</v>
      </c>
    </row>
    <row r="1943" spans="1:2" ht="14.4">
      <c r="A1943" s="6" t="s">
        <v>3449</v>
      </c>
      <c r="B1943" s="21" t="s">
        <v>2499</v>
      </c>
    </row>
    <row r="1944" spans="1:2" ht="14.4">
      <c r="A1944" s="6" t="s">
        <v>3450</v>
      </c>
      <c r="B1944" s="21" t="s">
        <v>2499</v>
      </c>
    </row>
    <row r="1945" spans="1:2" ht="14.4">
      <c r="A1945" s="6" t="s">
        <v>3451</v>
      </c>
      <c r="B1945" s="21" t="s">
        <v>2499</v>
      </c>
    </row>
    <row r="1946" spans="1:2" ht="14.4">
      <c r="A1946" s="6" t="s">
        <v>3452</v>
      </c>
      <c r="B1946" s="21" t="s">
        <v>2499</v>
      </c>
    </row>
    <row r="1947" spans="1:2" ht="14.4">
      <c r="A1947" s="6" t="s">
        <v>3453</v>
      </c>
      <c r="B1947" s="21" t="s">
        <v>2499</v>
      </c>
    </row>
    <row r="1948" spans="1:2" ht="14.4">
      <c r="A1948" s="6" t="s">
        <v>3454</v>
      </c>
      <c r="B1948" s="21" t="s">
        <v>2499</v>
      </c>
    </row>
    <row r="1949" spans="1:2" ht="14.4">
      <c r="A1949" s="6" t="s">
        <v>3455</v>
      </c>
      <c r="B1949" s="21" t="s">
        <v>2499</v>
      </c>
    </row>
    <row r="1950" spans="1:2" ht="14.4">
      <c r="A1950" s="6" t="s">
        <v>3456</v>
      </c>
      <c r="B1950" s="21" t="s">
        <v>2499</v>
      </c>
    </row>
    <row r="1951" spans="1:2" ht="14.4">
      <c r="A1951" s="6" t="s">
        <v>3457</v>
      </c>
      <c r="B1951" s="21" t="s">
        <v>2499</v>
      </c>
    </row>
    <row r="1952" spans="1:2" ht="14.4">
      <c r="A1952" s="6" t="s">
        <v>3458</v>
      </c>
      <c r="B1952" s="21" t="s">
        <v>2499</v>
      </c>
    </row>
    <row r="1953" spans="1:2" ht="14.4">
      <c r="A1953" s="6" t="s">
        <v>3459</v>
      </c>
      <c r="B1953" s="21" t="s">
        <v>2499</v>
      </c>
    </row>
    <row r="1954" spans="1:2" ht="14.4">
      <c r="A1954" s="6" t="s">
        <v>3460</v>
      </c>
      <c r="B1954" s="21" t="s">
        <v>2499</v>
      </c>
    </row>
    <row r="1955" spans="1:2" ht="14.4">
      <c r="A1955" s="6" t="s">
        <v>3461</v>
      </c>
      <c r="B1955" s="21" t="s">
        <v>2499</v>
      </c>
    </row>
    <row r="1956" spans="1:2" ht="14.4">
      <c r="A1956" s="6" t="s">
        <v>3462</v>
      </c>
      <c r="B1956" s="21" t="s">
        <v>2499</v>
      </c>
    </row>
    <row r="1957" spans="1:2" ht="14.4">
      <c r="A1957" s="6" t="s">
        <v>3463</v>
      </c>
      <c r="B1957" s="21" t="s">
        <v>2499</v>
      </c>
    </row>
    <row r="1958" spans="1:2" ht="14.4">
      <c r="A1958" s="6" t="s">
        <v>3464</v>
      </c>
      <c r="B1958" s="21" t="s">
        <v>2499</v>
      </c>
    </row>
    <row r="1959" spans="1:2" ht="14.4">
      <c r="A1959" s="6" t="s">
        <v>3465</v>
      </c>
      <c r="B1959" s="21" t="s">
        <v>2499</v>
      </c>
    </row>
    <row r="1960" spans="1:2" ht="14.4">
      <c r="A1960" s="6" t="s">
        <v>3466</v>
      </c>
      <c r="B1960" s="21" t="s">
        <v>2499</v>
      </c>
    </row>
    <row r="1961" spans="1:2" ht="14.4">
      <c r="A1961" s="6" t="s">
        <v>3467</v>
      </c>
      <c r="B1961" s="21" t="s">
        <v>2499</v>
      </c>
    </row>
    <row r="1962" spans="1:2" ht="14.4">
      <c r="A1962" s="6" t="s">
        <v>3468</v>
      </c>
      <c r="B1962" s="21" t="s">
        <v>2499</v>
      </c>
    </row>
    <row r="1963" spans="1:2" ht="14.4">
      <c r="A1963" s="6" t="s">
        <v>3469</v>
      </c>
      <c r="B1963" s="21" t="s">
        <v>2499</v>
      </c>
    </row>
    <row r="1964" spans="1:2" ht="14.4">
      <c r="A1964" s="6" t="s">
        <v>3470</v>
      </c>
      <c r="B1964" s="21" t="s">
        <v>2499</v>
      </c>
    </row>
    <row r="1965" spans="1:2" ht="14.4">
      <c r="A1965" s="6" t="s">
        <v>3471</v>
      </c>
      <c r="B1965" s="21" t="s">
        <v>2499</v>
      </c>
    </row>
    <row r="1966" spans="1:2" ht="14.4">
      <c r="A1966" s="6" t="s">
        <v>3472</v>
      </c>
      <c r="B1966" s="21" t="s">
        <v>2499</v>
      </c>
    </row>
    <row r="1967" spans="1:2" ht="14.4">
      <c r="A1967" s="6" t="s">
        <v>3473</v>
      </c>
      <c r="B1967" s="21" t="s">
        <v>2499</v>
      </c>
    </row>
    <row r="1968" spans="1:2" ht="14.4">
      <c r="A1968" s="6" t="s">
        <v>3474</v>
      </c>
      <c r="B1968" s="21" t="s">
        <v>2499</v>
      </c>
    </row>
    <row r="1969" spans="1:2" ht="14.4">
      <c r="A1969" s="6" t="s">
        <v>3475</v>
      </c>
      <c r="B1969" s="21" t="s">
        <v>2499</v>
      </c>
    </row>
    <row r="1970" spans="1:2" ht="14.4">
      <c r="A1970" s="6" t="s">
        <v>3476</v>
      </c>
      <c r="B1970" s="21" t="s">
        <v>2499</v>
      </c>
    </row>
    <row r="1971" spans="1:2" ht="14.4">
      <c r="A1971" s="6" t="s">
        <v>3477</v>
      </c>
      <c r="B1971" s="21" t="s">
        <v>2499</v>
      </c>
    </row>
    <row r="1972" spans="1:2" ht="14.4">
      <c r="A1972" s="6" t="s">
        <v>3478</v>
      </c>
      <c r="B1972" s="21" t="s">
        <v>2499</v>
      </c>
    </row>
    <row r="1973" spans="1:2" ht="14.4">
      <c r="A1973" s="6" t="s">
        <v>3479</v>
      </c>
      <c r="B1973" s="21" t="s">
        <v>2499</v>
      </c>
    </row>
    <row r="1974" spans="1:2" ht="14.4">
      <c r="A1974" s="6" t="s">
        <v>3480</v>
      </c>
      <c r="B1974" s="21" t="s">
        <v>2499</v>
      </c>
    </row>
    <row r="1975" spans="1:2" ht="14.4">
      <c r="A1975" s="6" t="s">
        <v>3481</v>
      </c>
      <c r="B1975" s="21" t="s">
        <v>2499</v>
      </c>
    </row>
    <row r="1976" spans="1:2" ht="14.4">
      <c r="A1976" s="6" t="s">
        <v>3482</v>
      </c>
      <c r="B1976" s="21" t="s">
        <v>2499</v>
      </c>
    </row>
    <row r="1977" spans="1:2" ht="14.4">
      <c r="A1977" s="6" t="s">
        <v>3483</v>
      </c>
      <c r="B1977" s="21" t="s">
        <v>2499</v>
      </c>
    </row>
    <row r="1978" spans="1:2" ht="14.4">
      <c r="A1978" s="6" t="s">
        <v>3484</v>
      </c>
      <c r="B1978" s="21" t="s">
        <v>2499</v>
      </c>
    </row>
    <row r="1979" spans="1:2" ht="14.4">
      <c r="A1979" s="6" t="s">
        <v>3485</v>
      </c>
      <c r="B1979" s="21" t="s">
        <v>2499</v>
      </c>
    </row>
    <row r="1980" spans="1:2" ht="14.4">
      <c r="A1980" s="6" t="s">
        <v>3486</v>
      </c>
      <c r="B1980" s="21" t="s">
        <v>2499</v>
      </c>
    </row>
    <row r="1981" spans="1:2" ht="14.4">
      <c r="A1981" s="6" t="s">
        <v>3487</v>
      </c>
      <c r="B1981" s="21" t="s">
        <v>2499</v>
      </c>
    </row>
    <row r="1982" spans="1:2" ht="14.4">
      <c r="A1982" s="6" t="s">
        <v>3488</v>
      </c>
      <c r="B1982" s="21" t="s">
        <v>2499</v>
      </c>
    </row>
    <row r="1983" spans="1:2" ht="14.4">
      <c r="A1983" s="6" t="s">
        <v>3489</v>
      </c>
      <c r="B1983" s="21" t="s">
        <v>2499</v>
      </c>
    </row>
    <row r="1984" spans="1:2" ht="14.4">
      <c r="A1984" s="6" t="s">
        <v>3490</v>
      </c>
      <c r="B1984" s="21" t="s">
        <v>2499</v>
      </c>
    </row>
    <row r="1985" spans="1:2" ht="14.4">
      <c r="A1985" s="6" t="s">
        <v>3491</v>
      </c>
      <c r="B1985" s="21" t="s">
        <v>2499</v>
      </c>
    </row>
    <row r="1986" spans="1:2" ht="14.4">
      <c r="A1986" s="6" t="s">
        <v>3492</v>
      </c>
      <c r="B1986" s="21" t="s">
        <v>2499</v>
      </c>
    </row>
    <row r="1987" spans="1:2" ht="14.4">
      <c r="A1987" s="6" t="s">
        <v>3493</v>
      </c>
      <c r="B1987" s="21" t="s">
        <v>2499</v>
      </c>
    </row>
    <row r="1988" spans="1:2" ht="14.4">
      <c r="A1988" s="6" t="s">
        <v>3494</v>
      </c>
      <c r="B1988" s="21" t="s">
        <v>2499</v>
      </c>
    </row>
    <row r="1989" spans="1:2" ht="14.4">
      <c r="A1989" s="6" t="s">
        <v>3495</v>
      </c>
      <c r="B1989" s="21" t="s">
        <v>2499</v>
      </c>
    </row>
    <row r="1990" spans="1:2" ht="14.4">
      <c r="A1990" s="6" t="s">
        <v>3496</v>
      </c>
      <c r="B1990" s="21" t="s">
        <v>2499</v>
      </c>
    </row>
    <row r="1991" spans="1:2" ht="14.4">
      <c r="A1991" s="6" t="s">
        <v>3497</v>
      </c>
      <c r="B1991" s="21" t="s">
        <v>2499</v>
      </c>
    </row>
    <row r="1992" spans="1:2" ht="14.4">
      <c r="A1992" s="6" t="s">
        <v>3498</v>
      </c>
      <c r="B1992" s="21" t="s">
        <v>2499</v>
      </c>
    </row>
    <row r="1993" spans="1:2" ht="14.4">
      <c r="A1993" s="6" t="s">
        <v>3499</v>
      </c>
      <c r="B1993" s="21" t="s">
        <v>2499</v>
      </c>
    </row>
    <row r="1994" spans="1:2" ht="14.4">
      <c r="A1994" s="6" t="s">
        <v>3500</v>
      </c>
      <c r="B1994" s="21" t="s">
        <v>2499</v>
      </c>
    </row>
    <row r="1995" spans="1:2" ht="14.4">
      <c r="A1995" s="6" t="s">
        <v>3501</v>
      </c>
      <c r="B1995" s="21" t="s">
        <v>2499</v>
      </c>
    </row>
    <row r="1996" spans="1:2" ht="14.4">
      <c r="A1996" s="6" t="s">
        <v>3502</v>
      </c>
      <c r="B1996" s="21" t="s">
        <v>2499</v>
      </c>
    </row>
    <row r="1997" spans="1:2" ht="14.4">
      <c r="A1997" s="6" t="s">
        <v>3503</v>
      </c>
      <c r="B1997" s="21" t="s">
        <v>2499</v>
      </c>
    </row>
    <row r="1998" spans="1:2" ht="14.4">
      <c r="A1998" s="6" t="s">
        <v>3504</v>
      </c>
      <c r="B1998" s="21" t="s">
        <v>2499</v>
      </c>
    </row>
    <row r="1999" spans="1:2" ht="14.4">
      <c r="A1999" s="6" t="s">
        <v>3505</v>
      </c>
      <c r="B1999" s="21" t="s">
        <v>2499</v>
      </c>
    </row>
    <row r="2000" spans="1:2" ht="14.4">
      <c r="A2000" s="6" t="s">
        <v>3506</v>
      </c>
      <c r="B2000" s="21" t="s">
        <v>2499</v>
      </c>
    </row>
    <row r="2001" spans="1:2" ht="14.4">
      <c r="A2001" s="6" t="s">
        <v>3507</v>
      </c>
      <c r="B2001" s="21" t="s">
        <v>2499</v>
      </c>
    </row>
    <row r="2002" spans="1:2" ht="14.4">
      <c r="A2002" s="6" t="s">
        <v>3508</v>
      </c>
      <c r="B2002" s="21" t="s">
        <v>2499</v>
      </c>
    </row>
    <row r="2003" spans="1:2" ht="14.4">
      <c r="A2003" s="6" t="s">
        <v>3509</v>
      </c>
      <c r="B2003" s="21" t="s">
        <v>2499</v>
      </c>
    </row>
    <row r="2004" spans="1:2" ht="14.4">
      <c r="A2004" s="6" t="s">
        <v>3510</v>
      </c>
      <c r="B2004" s="21" t="s">
        <v>2499</v>
      </c>
    </row>
    <row r="2005" spans="1:2" ht="14.4">
      <c r="A2005" s="6" t="s">
        <v>3511</v>
      </c>
      <c r="B2005" s="21" t="s">
        <v>2499</v>
      </c>
    </row>
    <row r="2006" spans="1:2" ht="14.4">
      <c r="A2006" s="6" t="s">
        <v>3512</v>
      </c>
      <c r="B2006" s="21" t="s">
        <v>2499</v>
      </c>
    </row>
    <row r="2007" spans="1:2" ht="14.4">
      <c r="A2007" s="6" t="s">
        <v>3513</v>
      </c>
      <c r="B2007" s="21" t="s">
        <v>2499</v>
      </c>
    </row>
    <row r="2008" spans="1:2" ht="14.4">
      <c r="A2008" s="6" t="s">
        <v>3514</v>
      </c>
      <c r="B2008" s="21" t="s">
        <v>2499</v>
      </c>
    </row>
    <row r="2009" spans="1:2" ht="14.4">
      <c r="A2009" s="6" t="s">
        <v>3515</v>
      </c>
      <c r="B2009" s="21" t="s">
        <v>2499</v>
      </c>
    </row>
    <row r="2010" spans="1:2" ht="14.4">
      <c r="A2010" s="6" t="s">
        <v>3516</v>
      </c>
      <c r="B2010" s="21" t="s">
        <v>2499</v>
      </c>
    </row>
    <row r="2011" spans="1:2" ht="14.4">
      <c r="A2011" s="6" t="s">
        <v>3517</v>
      </c>
      <c r="B2011" s="21" t="s">
        <v>2499</v>
      </c>
    </row>
    <row r="2012" spans="1:2" ht="14.4">
      <c r="A2012" s="6" t="s">
        <v>3518</v>
      </c>
      <c r="B2012" s="21" t="s">
        <v>2499</v>
      </c>
    </row>
    <row r="2013" spans="1:2" ht="14.4">
      <c r="A2013" s="6" t="s">
        <v>3519</v>
      </c>
      <c r="B2013" s="21" t="s">
        <v>2499</v>
      </c>
    </row>
    <row r="2014" spans="1:2" ht="14.4">
      <c r="A2014" s="6" t="s">
        <v>3520</v>
      </c>
      <c r="B2014" s="21" t="s">
        <v>2499</v>
      </c>
    </row>
    <row r="2015" spans="1:2" ht="14.4">
      <c r="A2015" s="6" t="s">
        <v>3521</v>
      </c>
      <c r="B2015" s="21" t="s">
        <v>2499</v>
      </c>
    </row>
    <row r="2016" spans="1:2" ht="14.4">
      <c r="A2016" s="6" t="s">
        <v>3522</v>
      </c>
      <c r="B2016" s="21" t="s">
        <v>2499</v>
      </c>
    </row>
    <row r="2017" spans="1:2" ht="14.4">
      <c r="A2017" s="6" t="s">
        <v>3523</v>
      </c>
      <c r="B2017" s="21" t="s">
        <v>2499</v>
      </c>
    </row>
    <row r="2018" spans="1:2" ht="14.4">
      <c r="A2018" s="6" t="s">
        <v>3524</v>
      </c>
      <c r="B2018" s="21" t="s">
        <v>2499</v>
      </c>
    </row>
    <row r="2019" spans="1:2" ht="14.4">
      <c r="A2019" s="6" t="s">
        <v>3525</v>
      </c>
      <c r="B2019" s="21" t="s">
        <v>2499</v>
      </c>
    </row>
    <row r="2020" spans="1:2" ht="14.4">
      <c r="A2020" s="6" t="s">
        <v>3526</v>
      </c>
      <c r="B2020" s="21" t="s">
        <v>2499</v>
      </c>
    </row>
    <row r="2021" spans="1:2" ht="14.4">
      <c r="A2021" s="6" t="s">
        <v>3527</v>
      </c>
      <c r="B2021" s="21" t="s">
        <v>2499</v>
      </c>
    </row>
    <row r="2022" spans="1:2" ht="14.4">
      <c r="A2022" s="6" t="s">
        <v>3528</v>
      </c>
      <c r="B2022" s="21" t="s">
        <v>2499</v>
      </c>
    </row>
    <row r="2023" spans="1:2" ht="14.4">
      <c r="A2023" s="6" t="s">
        <v>3529</v>
      </c>
      <c r="B2023" s="21" t="s">
        <v>2499</v>
      </c>
    </row>
    <row r="2024" spans="1:2" ht="14.4">
      <c r="A2024" s="6" t="s">
        <v>3530</v>
      </c>
      <c r="B2024" s="21" t="s">
        <v>2499</v>
      </c>
    </row>
    <row r="2025" spans="1:2" ht="14.4">
      <c r="A2025" s="6" t="s">
        <v>3531</v>
      </c>
      <c r="B2025" s="21" t="s">
        <v>2499</v>
      </c>
    </row>
    <row r="2026" spans="1:2" ht="14.4">
      <c r="A2026" s="6" t="s">
        <v>3532</v>
      </c>
      <c r="B2026" s="21" t="s">
        <v>2499</v>
      </c>
    </row>
    <row r="2027" spans="1:2" ht="14.4">
      <c r="A2027" s="6" t="s">
        <v>3533</v>
      </c>
      <c r="B2027" s="21" t="s">
        <v>2499</v>
      </c>
    </row>
    <row r="2028" spans="1:2" ht="14.4">
      <c r="A2028" s="6" t="s">
        <v>3534</v>
      </c>
      <c r="B2028" s="21" t="s">
        <v>2499</v>
      </c>
    </row>
    <row r="2029" spans="1:2" ht="14.4">
      <c r="A2029" s="6" t="s">
        <v>3535</v>
      </c>
      <c r="B2029" s="21" t="s">
        <v>2499</v>
      </c>
    </row>
    <row r="2030" spans="1:2" ht="14.4">
      <c r="A2030" s="6" t="s">
        <v>3536</v>
      </c>
      <c r="B2030" s="21" t="s">
        <v>2499</v>
      </c>
    </row>
    <row r="2031" spans="1:2" ht="14.4">
      <c r="A2031" s="6" t="s">
        <v>3537</v>
      </c>
      <c r="B2031" s="21" t="s">
        <v>2499</v>
      </c>
    </row>
    <row r="2032" spans="1:2" ht="14.4">
      <c r="A2032" s="6" t="s">
        <v>3538</v>
      </c>
      <c r="B2032" s="21" t="s">
        <v>2499</v>
      </c>
    </row>
    <row r="2033" spans="1:2" ht="14.4">
      <c r="A2033" s="6" t="s">
        <v>3539</v>
      </c>
      <c r="B2033" s="21" t="s">
        <v>2499</v>
      </c>
    </row>
    <row r="2034" spans="1:2" ht="14.4">
      <c r="A2034" s="6" t="s">
        <v>3540</v>
      </c>
      <c r="B2034" s="21" t="s">
        <v>2499</v>
      </c>
    </row>
    <row r="2035" spans="1:2" ht="14.4">
      <c r="A2035" s="6" t="s">
        <v>3541</v>
      </c>
      <c r="B2035" s="21" t="s">
        <v>2499</v>
      </c>
    </row>
    <row r="2036" spans="1:2" ht="14.4">
      <c r="A2036" s="6" t="s">
        <v>3542</v>
      </c>
      <c r="B2036" s="21" t="s">
        <v>2499</v>
      </c>
    </row>
    <row r="2037" spans="1:2" ht="14.4">
      <c r="A2037" s="6" t="s">
        <v>3543</v>
      </c>
      <c r="B2037" s="21" t="s">
        <v>2499</v>
      </c>
    </row>
    <row r="2038" spans="1:2" ht="14.4">
      <c r="A2038" s="6" t="s">
        <v>3544</v>
      </c>
      <c r="B2038" s="21" t="s">
        <v>2499</v>
      </c>
    </row>
    <row r="2039" spans="1:2" ht="14.4">
      <c r="A2039" s="6" t="s">
        <v>3545</v>
      </c>
      <c r="B2039" s="21" t="s">
        <v>2499</v>
      </c>
    </row>
    <row r="2040" spans="1:2" ht="14.4">
      <c r="A2040" s="6" t="s">
        <v>3546</v>
      </c>
      <c r="B2040" s="21" t="s">
        <v>2499</v>
      </c>
    </row>
    <row r="2041" spans="1:2" ht="14.4">
      <c r="A2041" s="6" t="s">
        <v>3547</v>
      </c>
      <c r="B2041" s="21" t="s">
        <v>2499</v>
      </c>
    </row>
    <row r="2042" spans="1:2" ht="14.4">
      <c r="A2042" s="6" t="s">
        <v>3548</v>
      </c>
      <c r="B2042" s="21" t="s">
        <v>2499</v>
      </c>
    </row>
    <row r="2043" spans="1:2" ht="14.4">
      <c r="A2043" s="6" t="s">
        <v>3549</v>
      </c>
      <c r="B2043" s="21" t="s">
        <v>2499</v>
      </c>
    </row>
    <row r="2044" spans="1:2" ht="14.4">
      <c r="A2044" s="6" t="s">
        <v>3550</v>
      </c>
      <c r="B2044" s="21" t="s">
        <v>2499</v>
      </c>
    </row>
    <row r="2045" spans="1:2" ht="14.4">
      <c r="A2045" s="6" t="s">
        <v>3551</v>
      </c>
      <c r="B2045" s="21" t="s">
        <v>2499</v>
      </c>
    </row>
    <row r="2046" spans="1:2" ht="14.4">
      <c r="A2046" s="6" t="s">
        <v>3552</v>
      </c>
      <c r="B2046" s="21" t="s">
        <v>2499</v>
      </c>
    </row>
    <row r="2047" spans="1:2" ht="14.4">
      <c r="A2047" s="6" t="s">
        <v>3553</v>
      </c>
      <c r="B2047" s="21" t="s">
        <v>2499</v>
      </c>
    </row>
    <row r="2048" spans="1:2" ht="14.4">
      <c r="A2048" s="6" t="s">
        <v>3554</v>
      </c>
      <c r="B2048" s="21" t="s">
        <v>2499</v>
      </c>
    </row>
    <row r="2049" spans="1:2" ht="14.4">
      <c r="A2049" s="6" t="s">
        <v>3555</v>
      </c>
      <c r="B2049" s="21" t="s">
        <v>2499</v>
      </c>
    </row>
    <row r="2050" spans="1:2" ht="14.4">
      <c r="A2050" s="6" t="s">
        <v>3556</v>
      </c>
      <c r="B2050" s="21" t="s">
        <v>2499</v>
      </c>
    </row>
    <row r="2051" spans="1:2" ht="14.4">
      <c r="A2051" s="6" t="s">
        <v>3557</v>
      </c>
      <c r="B2051" s="21" t="s">
        <v>2499</v>
      </c>
    </row>
    <row r="2052" spans="1:2" ht="14.4">
      <c r="A2052" s="6" t="s">
        <v>3558</v>
      </c>
      <c r="B2052" s="21" t="s">
        <v>2499</v>
      </c>
    </row>
    <row r="2053" spans="1:2" ht="14.4">
      <c r="A2053" s="6" t="s">
        <v>3559</v>
      </c>
      <c r="B2053" s="21" t="s">
        <v>2499</v>
      </c>
    </row>
    <row r="2054" spans="1:2" ht="14.4">
      <c r="A2054" s="6" t="s">
        <v>3560</v>
      </c>
      <c r="B2054" s="21" t="s">
        <v>2499</v>
      </c>
    </row>
    <row r="2055" spans="1:2" ht="14.4">
      <c r="A2055" s="6" t="s">
        <v>3561</v>
      </c>
      <c r="B2055" s="21" t="s">
        <v>2499</v>
      </c>
    </row>
    <row r="2056" spans="1:2" ht="14.4">
      <c r="A2056" s="6" t="s">
        <v>3562</v>
      </c>
      <c r="B2056" s="21" t="s">
        <v>2499</v>
      </c>
    </row>
    <row r="2057" spans="1:2" ht="14.4">
      <c r="A2057" s="6" t="s">
        <v>3563</v>
      </c>
      <c r="B2057" s="21" t="s">
        <v>2499</v>
      </c>
    </row>
    <row r="2058" spans="1:2" ht="14.4">
      <c r="A2058" s="6" t="s">
        <v>3564</v>
      </c>
      <c r="B2058" s="21" t="s">
        <v>2499</v>
      </c>
    </row>
    <row r="2059" spans="1:2" ht="14.4">
      <c r="A2059" s="6" t="s">
        <v>3565</v>
      </c>
      <c r="B2059" s="21" t="s">
        <v>2499</v>
      </c>
    </row>
    <row r="2060" spans="1:2" ht="14.4">
      <c r="A2060" s="6" t="s">
        <v>3566</v>
      </c>
      <c r="B2060" s="21" t="s">
        <v>2499</v>
      </c>
    </row>
    <row r="2061" spans="1:2" ht="14.4">
      <c r="A2061" s="6" t="s">
        <v>3567</v>
      </c>
      <c r="B2061" s="21" t="s">
        <v>2499</v>
      </c>
    </row>
    <row r="2062" spans="1:2" ht="14.4">
      <c r="A2062" s="6" t="s">
        <v>3568</v>
      </c>
      <c r="B2062" s="21" t="s">
        <v>2499</v>
      </c>
    </row>
    <row r="2063" spans="1:2" ht="14.4">
      <c r="A2063" s="6" t="s">
        <v>3569</v>
      </c>
      <c r="B2063" s="21" t="s">
        <v>2499</v>
      </c>
    </row>
    <row r="2064" spans="1:2" ht="14.4">
      <c r="A2064" s="6" t="s">
        <v>3570</v>
      </c>
      <c r="B2064" s="21" t="s">
        <v>2499</v>
      </c>
    </row>
    <row r="2065" spans="1:2" ht="14.4">
      <c r="A2065" s="6" t="s">
        <v>3571</v>
      </c>
      <c r="B2065" s="21" t="s">
        <v>2499</v>
      </c>
    </row>
    <row r="2066" spans="1:2" ht="14.4">
      <c r="A2066" s="6" t="s">
        <v>3572</v>
      </c>
      <c r="B2066" s="21" t="s">
        <v>2499</v>
      </c>
    </row>
    <row r="2067" spans="1:2" ht="14.4">
      <c r="A2067" s="6" t="s">
        <v>3573</v>
      </c>
      <c r="B2067" s="21" t="s">
        <v>2499</v>
      </c>
    </row>
    <row r="2068" spans="1:2" ht="14.4">
      <c r="A2068" s="6" t="s">
        <v>3574</v>
      </c>
      <c r="B2068" s="21" t="s">
        <v>2499</v>
      </c>
    </row>
    <row r="2069" spans="1:2" ht="14.4">
      <c r="A2069" s="6" t="s">
        <v>3575</v>
      </c>
      <c r="B2069" s="21" t="s">
        <v>2499</v>
      </c>
    </row>
    <row r="2070" spans="1:2" ht="14.4">
      <c r="A2070" s="6" t="s">
        <v>3576</v>
      </c>
      <c r="B2070" s="21" t="s">
        <v>2499</v>
      </c>
    </row>
    <row r="2071" spans="1:2" ht="14.4">
      <c r="A2071" s="6" t="s">
        <v>3577</v>
      </c>
      <c r="B2071" s="21" t="s">
        <v>2499</v>
      </c>
    </row>
    <row r="2072" spans="1:2" ht="14.4">
      <c r="A2072" s="6" t="s">
        <v>3578</v>
      </c>
      <c r="B2072" s="21" t="s">
        <v>2499</v>
      </c>
    </row>
    <row r="2073" spans="1:2" ht="14.4">
      <c r="A2073" s="6" t="s">
        <v>3579</v>
      </c>
      <c r="B2073" s="21" t="s">
        <v>2499</v>
      </c>
    </row>
    <row r="2074" spans="1:2" ht="14.4">
      <c r="A2074" s="6" t="s">
        <v>3580</v>
      </c>
      <c r="B2074" s="21" t="s">
        <v>2499</v>
      </c>
    </row>
    <row r="2075" spans="1:2" ht="14.4">
      <c r="A2075" s="6" t="s">
        <v>3581</v>
      </c>
      <c r="B2075" s="21" t="s">
        <v>2499</v>
      </c>
    </row>
    <row r="2076" spans="1:2" ht="14.4">
      <c r="A2076" s="6" t="s">
        <v>3582</v>
      </c>
      <c r="B2076" s="21" t="s">
        <v>2499</v>
      </c>
    </row>
    <row r="2077" spans="1:2" ht="14.4">
      <c r="A2077" s="6" t="s">
        <v>3583</v>
      </c>
      <c r="B2077" s="21" t="s">
        <v>2499</v>
      </c>
    </row>
    <row r="2078" spans="1:2" ht="14.4">
      <c r="A2078" s="6" t="s">
        <v>3584</v>
      </c>
      <c r="B2078" s="21" t="s">
        <v>2499</v>
      </c>
    </row>
    <row r="2079" spans="1:2" ht="14.4">
      <c r="A2079" s="6" t="s">
        <v>3585</v>
      </c>
      <c r="B2079" s="21" t="s">
        <v>2499</v>
      </c>
    </row>
    <row r="2080" spans="1:2" ht="14.4">
      <c r="A2080" s="6" t="s">
        <v>3586</v>
      </c>
      <c r="B2080" s="21" t="s">
        <v>2499</v>
      </c>
    </row>
    <row r="2081" spans="1:2" ht="14.4">
      <c r="A2081" s="6" t="s">
        <v>3587</v>
      </c>
      <c r="B2081" s="21" t="s">
        <v>2499</v>
      </c>
    </row>
    <row r="2082" spans="1:2" ht="14.4">
      <c r="A2082" s="6" t="s">
        <v>3588</v>
      </c>
      <c r="B2082" s="21" t="s">
        <v>2499</v>
      </c>
    </row>
    <row r="2083" spans="1:2" ht="14.4">
      <c r="A2083" s="6" t="s">
        <v>3589</v>
      </c>
      <c r="B2083" s="21" t="s">
        <v>2499</v>
      </c>
    </row>
    <row r="2084" spans="1:2" ht="14.4">
      <c r="A2084" s="6" t="s">
        <v>3590</v>
      </c>
      <c r="B2084" s="21" t="s">
        <v>2499</v>
      </c>
    </row>
    <row r="2085" spans="1:2" ht="14.4">
      <c r="A2085" s="6" t="s">
        <v>3591</v>
      </c>
      <c r="B2085" s="21" t="s">
        <v>2499</v>
      </c>
    </row>
    <row r="2086" spans="1:2" ht="14.4">
      <c r="A2086" s="6" t="s">
        <v>3592</v>
      </c>
      <c r="B2086" s="21" t="s">
        <v>2499</v>
      </c>
    </row>
    <row r="2087" spans="1:2" ht="14.4">
      <c r="A2087" s="6" t="s">
        <v>3593</v>
      </c>
      <c r="B2087" s="21" t="s">
        <v>2499</v>
      </c>
    </row>
    <row r="2088" spans="1:2" ht="14.4">
      <c r="A2088" s="6" t="s">
        <v>3594</v>
      </c>
      <c r="B2088" s="21" t="s">
        <v>2499</v>
      </c>
    </row>
    <row r="2089" spans="1:2" ht="14.4">
      <c r="A2089" s="6" t="s">
        <v>3595</v>
      </c>
      <c r="B2089" s="21" t="s">
        <v>2499</v>
      </c>
    </row>
    <row r="2090" spans="1:2" ht="14.4">
      <c r="A2090" s="6" t="s">
        <v>3596</v>
      </c>
      <c r="B2090" s="21" t="s">
        <v>2499</v>
      </c>
    </row>
    <row r="2091" spans="1:2" ht="14.4">
      <c r="A2091" s="6" t="s">
        <v>3597</v>
      </c>
      <c r="B2091" s="21" t="s">
        <v>2499</v>
      </c>
    </row>
    <row r="2092" spans="1:2" ht="14.4">
      <c r="A2092" s="6" t="s">
        <v>3598</v>
      </c>
      <c r="B2092" s="21" t="s">
        <v>2499</v>
      </c>
    </row>
    <row r="2093" spans="1:2" ht="14.4">
      <c r="A2093" s="6" t="s">
        <v>3599</v>
      </c>
      <c r="B2093" s="21" t="s">
        <v>2499</v>
      </c>
    </row>
    <row r="2094" spans="1:2" ht="14.4">
      <c r="A2094" s="6" t="s">
        <v>3600</v>
      </c>
      <c r="B2094" s="21" t="s">
        <v>2499</v>
      </c>
    </row>
    <row r="2095" spans="1:2" ht="14.4">
      <c r="A2095" s="6" t="s">
        <v>3601</v>
      </c>
      <c r="B2095" s="21" t="s">
        <v>2499</v>
      </c>
    </row>
    <row r="2096" spans="1:2" ht="14.4">
      <c r="A2096" s="6" t="s">
        <v>3602</v>
      </c>
      <c r="B2096" s="21" t="s">
        <v>2499</v>
      </c>
    </row>
    <row r="2097" spans="1:2" ht="14.4">
      <c r="A2097" s="6" t="s">
        <v>3603</v>
      </c>
      <c r="B2097" s="21" t="s">
        <v>2499</v>
      </c>
    </row>
    <row r="2098" spans="1:2" ht="14.4">
      <c r="A2098" s="6" t="s">
        <v>3604</v>
      </c>
      <c r="B2098" s="21" t="s">
        <v>2499</v>
      </c>
    </row>
    <row r="2099" spans="1:2" ht="14.4">
      <c r="A2099" s="6" t="s">
        <v>3605</v>
      </c>
      <c r="B2099" s="21" t="s">
        <v>2499</v>
      </c>
    </row>
    <row r="2100" spans="1:2" ht="14.4">
      <c r="A2100" s="6" t="s">
        <v>3606</v>
      </c>
      <c r="B2100" s="21" t="s">
        <v>2499</v>
      </c>
    </row>
    <row r="2101" spans="1:2" ht="14.4">
      <c r="A2101" s="6" t="s">
        <v>3607</v>
      </c>
      <c r="B2101" s="21" t="s">
        <v>2499</v>
      </c>
    </row>
    <row r="2102" spans="1:2" ht="14.4">
      <c r="A2102" s="6" t="s">
        <v>3608</v>
      </c>
      <c r="B2102" s="21" t="s">
        <v>2499</v>
      </c>
    </row>
    <row r="2103" spans="1:2" ht="14.4">
      <c r="A2103" s="6" t="s">
        <v>3609</v>
      </c>
      <c r="B2103" s="21" t="s">
        <v>2499</v>
      </c>
    </row>
    <row r="2104" spans="1:2" ht="14.4">
      <c r="A2104" s="6" t="s">
        <v>3610</v>
      </c>
      <c r="B2104" s="21" t="s">
        <v>2499</v>
      </c>
    </row>
    <row r="2105" spans="1:2" ht="14.4">
      <c r="A2105" s="6" t="s">
        <v>3611</v>
      </c>
      <c r="B2105" s="21" t="s">
        <v>2499</v>
      </c>
    </row>
    <row r="2106" spans="1:2" ht="14.4">
      <c r="A2106" s="6" t="s">
        <v>3612</v>
      </c>
      <c r="B2106" s="21" t="s">
        <v>2499</v>
      </c>
    </row>
    <row r="2107" spans="1:2" ht="14.4">
      <c r="A2107" s="6" t="s">
        <v>3613</v>
      </c>
      <c r="B2107" s="21" t="s">
        <v>2499</v>
      </c>
    </row>
    <row r="2108" spans="1:2" ht="14.4">
      <c r="A2108" s="6" t="s">
        <v>3614</v>
      </c>
      <c r="B2108" s="21" t="s">
        <v>2499</v>
      </c>
    </row>
    <row r="2109" spans="1:2" ht="14.4">
      <c r="A2109" s="6" t="s">
        <v>3615</v>
      </c>
      <c r="B2109" s="21" t="s">
        <v>2499</v>
      </c>
    </row>
    <row r="2110" spans="1:2" ht="14.4">
      <c r="A2110" s="6" t="s">
        <v>3616</v>
      </c>
      <c r="B2110" s="21" t="s">
        <v>2499</v>
      </c>
    </row>
    <row r="2111" spans="1:2" ht="14.4">
      <c r="A2111" s="6" t="s">
        <v>3617</v>
      </c>
      <c r="B2111" s="21" t="s">
        <v>2499</v>
      </c>
    </row>
    <row r="2112" spans="1:2" ht="14.4">
      <c r="A2112" s="6" t="s">
        <v>3618</v>
      </c>
      <c r="B2112" s="21" t="s">
        <v>2499</v>
      </c>
    </row>
    <row r="2113" spans="1:2" ht="14.4">
      <c r="A2113" s="6" t="s">
        <v>3619</v>
      </c>
      <c r="B2113" s="21" t="s">
        <v>2499</v>
      </c>
    </row>
    <row r="2114" spans="1:2" ht="14.4">
      <c r="A2114" s="6" t="s">
        <v>3620</v>
      </c>
      <c r="B2114" s="21" t="s">
        <v>2499</v>
      </c>
    </row>
    <row r="2115" spans="1:2" ht="14.4">
      <c r="A2115" s="6" t="s">
        <v>3621</v>
      </c>
      <c r="B2115" s="21" t="s">
        <v>2499</v>
      </c>
    </row>
    <row r="2116" spans="1:2" ht="14.4">
      <c r="A2116" s="6" t="s">
        <v>3622</v>
      </c>
      <c r="B2116" s="21" t="s">
        <v>2499</v>
      </c>
    </row>
    <row r="2117" spans="1:2" ht="14.4">
      <c r="A2117" s="6" t="s">
        <v>3623</v>
      </c>
      <c r="B2117" s="21" t="s">
        <v>2499</v>
      </c>
    </row>
    <row r="2118" spans="1:2" ht="14.4">
      <c r="A2118" s="6" t="s">
        <v>3624</v>
      </c>
      <c r="B2118" s="21" t="s">
        <v>2499</v>
      </c>
    </row>
    <row r="2119" spans="1:2" ht="14.4">
      <c r="A2119" s="6" t="s">
        <v>3625</v>
      </c>
      <c r="B2119" s="21" t="s">
        <v>2499</v>
      </c>
    </row>
    <row r="2120" spans="1:2" ht="14.4">
      <c r="A2120" s="6" t="s">
        <v>3626</v>
      </c>
      <c r="B2120" s="21" t="s">
        <v>2499</v>
      </c>
    </row>
    <row r="2121" spans="1:2" ht="14.4">
      <c r="A2121" s="6" t="s">
        <v>3627</v>
      </c>
      <c r="B2121" s="21" t="s">
        <v>2499</v>
      </c>
    </row>
    <row r="2122" spans="1:2" ht="14.4">
      <c r="A2122" s="6" t="s">
        <v>3628</v>
      </c>
      <c r="B2122" s="21" t="s">
        <v>2499</v>
      </c>
    </row>
    <row r="2123" spans="1:2" ht="14.4">
      <c r="A2123" s="6" t="s">
        <v>3629</v>
      </c>
      <c r="B2123" s="21" t="s">
        <v>2499</v>
      </c>
    </row>
    <row r="2124" spans="1:2" ht="14.4">
      <c r="A2124" s="6" t="s">
        <v>3630</v>
      </c>
      <c r="B2124" s="21" t="s">
        <v>2499</v>
      </c>
    </row>
    <row r="2125" spans="1:2" ht="14.4">
      <c r="A2125" s="6" t="s">
        <v>3631</v>
      </c>
      <c r="B2125" s="21" t="s">
        <v>2499</v>
      </c>
    </row>
    <row r="2126" spans="1:2" ht="14.4">
      <c r="A2126" s="6" t="s">
        <v>3632</v>
      </c>
      <c r="B2126" s="21" t="s">
        <v>2499</v>
      </c>
    </row>
    <row r="2127" spans="1:2" ht="14.4">
      <c r="A2127" s="6" t="s">
        <v>3633</v>
      </c>
      <c r="B2127" s="21" t="s">
        <v>2499</v>
      </c>
    </row>
    <row r="2128" spans="1:2" ht="14.4">
      <c r="A2128" s="6" t="s">
        <v>3634</v>
      </c>
      <c r="B2128" s="21" t="s">
        <v>2499</v>
      </c>
    </row>
    <row r="2129" spans="1:2" ht="14.4">
      <c r="A2129" s="6" t="s">
        <v>3635</v>
      </c>
      <c r="B2129" s="21" t="s">
        <v>2499</v>
      </c>
    </row>
    <row r="2130" spans="1:2" ht="14.4">
      <c r="A2130" s="6" t="s">
        <v>3636</v>
      </c>
      <c r="B2130" s="21" t="s">
        <v>2499</v>
      </c>
    </row>
    <row r="2131" spans="1:2" ht="14.4">
      <c r="A2131" s="6" t="s">
        <v>3637</v>
      </c>
      <c r="B2131" s="21" t="s">
        <v>2499</v>
      </c>
    </row>
    <row r="2132" spans="1:2" ht="14.4">
      <c r="A2132" s="6" t="s">
        <v>3638</v>
      </c>
      <c r="B2132" s="21" t="s">
        <v>2499</v>
      </c>
    </row>
    <row r="2133" spans="1:2" ht="14.4">
      <c r="A2133" s="6" t="s">
        <v>3639</v>
      </c>
      <c r="B2133" s="21" t="s">
        <v>2499</v>
      </c>
    </row>
    <row r="2134" spans="1:2" ht="14.4">
      <c r="A2134" s="6" t="s">
        <v>3640</v>
      </c>
      <c r="B2134" s="21" t="s">
        <v>2499</v>
      </c>
    </row>
    <row r="2135" spans="1:2" ht="14.4">
      <c r="A2135" s="6" t="s">
        <v>3641</v>
      </c>
      <c r="B2135" s="21" t="s">
        <v>2499</v>
      </c>
    </row>
    <row r="2136" spans="1:2" ht="14.4">
      <c r="A2136" s="6" t="s">
        <v>3642</v>
      </c>
      <c r="B2136" s="21" t="s">
        <v>2499</v>
      </c>
    </row>
    <row r="2137" spans="1:2" ht="14.4">
      <c r="A2137" s="6" t="s">
        <v>3643</v>
      </c>
      <c r="B2137" s="21" t="s">
        <v>2499</v>
      </c>
    </row>
    <row r="2138" spans="1:2" ht="14.4">
      <c r="A2138" s="6" t="s">
        <v>3644</v>
      </c>
      <c r="B2138" s="21" t="s">
        <v>2499</v>
      </c>
    </row>
    <row r="2139" spans="1:2" ht="14.4">
      <c r="A2139" s="6" t="s">
        <v>3645</v>
      </c>
      <c r="B2139" s="21" t="s">
        <v>2499</v>
      </c>
    </row>
    <row r="2140" spans="1:2" ht="14.4">
      <c r="A2140" s="6" t="s">
        <v>3646</v>
      </c>
      <c r="B2140" s="21" t="s">
        <v>2499</v>
      </c>
    </row>
    <row r="2141" spans="1:2" ht="14.4">
      <c r="A2141" s="6" t="s">
        <v>3647</v>
      </c>
      <c r="B2141" s="21" t="s">
        <v>2499</v>
      </c>
    </row>
    <row r="2142" spans="1:2" ht="14.4">
      <c r="A2142" s="6" t="s">
        <v>3648</v>
      </c>
      <c r="B2142" s="21" t="s">
        <v>2499</v>
      </c>
    </row>
    <row r="2143" spans="1:2" ht="14.4">
      <c r="A2143" s="6" t="s">
        <v>3649</v>
      </c>
      <c r="B2143" s="21" t="s">
        <v>2499</v>
      </c>
    </row>
    <row r="2144" spans="1:2" ht="14.4">
      <c r="A2144" s="6" t="s">
        <v>3650</v>
      </c>
      <c r="B2144" s="21" t="s">
        <v>2499</v>
      </c>
    </row>
    <row r="2145" spans="1:2" ht="14.4">
      <c r="A2145" s="6" t="s">
        <v>3651</v>
      </c>
      <c r="B2145" s="21" t="s">
        <v>2499</v>
      </c>
    </row>
    <row r="2146" spans="1:2" ht="14.4">
      <c r="A2146" s="6" t="s">
        <v>3652</v>
      </c>
      <c r="B2146" s="21" t="s">
        <v>2499</v>
      </c>
    </row>
    <row r="2147" spans="1:2" ht="14.4">
      <c r="A2147" s="6" t="s">
        <v>3653</v>
      </c>
      <c r="B2147" s="21" t="s">
        <v>2499</v>
      </c>
    </row>
    <row r="2148" spans="1:2" ht="14.4">
      <c r="A2148" s="6" t="s">
        <v>3654</v>
      </c>
      <c r="B2148" s="21" t="s">
        <v>2499</v>
      </c>
    </row>
    <row r="2149" spans="1:2" ht="14.4">
      <c r="A2149" s="6" t="s">
        <v>3655</v>
      </c>
      <c r="B2149" s="21" t="s">
        <v>2499</v>
      </c>
    </row>
    <row r="2150" spans="1:2" ht="14.4">
      <c r="A2150" s="6" t="s">
        <v>3656</v>
      </c>
      <c r="B2150" s="21" t="s">
        <v>2499</v>
      </c>
    </row>
    <row r="2151" spans="1:2" ht="14.4">
      <c r="A2151" s="6" t="s">
        <v>3657</v>
      </c>
      <c r="B2151" s="21" t="s">
        <v>2499</v>
      </c>
    </row>
    <row r="2152" spans="1:2" ht="14.4">
      <c r="A2152" s="6" t="s">
        <v>3658</v>
      </c>
      <c r="B2152" s="21" t="s">
        <v>2499</v>
      </c>
    </row>
    <row r="2153" spans="1:2" ht="14.4">
      <c r="A2153" s="6" t="s">
        <v>3659</v>
      </c>
      <c r="B2153" s="21" t="s">
        <v>2499</v>
      </c>
    </row>
    <row r="2154" spans="1:2" ht="14.4">
      <c r="A2154" s="6" t="s">
        <v>3660</v>
      </c>
      <c r="B2154" s="21" t="s">
        <v>2499</v>
      </c>
    </row>
    <row r="2155" spans="1:2" ht="14.4">
      <c r="A2155" s="6" t="s">
        <v>3661</v>
      </c>
      <c r="B2155" s="21" t="s">
        <v>2499</v>
      </c>
    </row>
    <row r="2156" spans="1:2" ht="14.4">
      <c r="A2156" s="6" t="s">
        <v>3662</v>
      </c>
      <c r="B2156" s="21" t="s">
        <v>2499</v>
      </c>
    </row>
    <row r="2157" spans="1:2" ht="14.4">
      <c r="A2157" s="6" t="s">
        <v>3663</v>
      </c>
      <c r="B2157" s="21" t="s">
        <v>2499</v>
      </c>
    </row>
    <row r="2158" spans="1:2" ht="14.4">
      <c r="A2158" s="6" t="s">
        <v>3664</v>
      </c>
      <c r="B2158" s="21" t="s">
        <v>2499</v>
      </c>
    </row>
    <row r="2159" spans="1:2" ht="14.4">
      <c r="A2159" s="6" t="s">
        <v>3665</v>
      </c>
      <c r="B2159" s="21" t="s">
        <v>2499</v>
      </c>
    </row>
    <row r="2160" spans="1:2" ht="14.4">
      <c r="A2160" s="6" t="s">
        <v>3666</v>
      </c>
      <c r="B2160" s="21" t="s">
        <v>2499</v>
      </c>
    </row>
    <row r="2161" spans="1:2" ht="14.4">
      <c r="A2161" s="6" t="s">
        <v>3667</v>
      </c>
      <c r="B2161" s="21" t="s">
        <v>2499</v>
      </c>
    </row>
    <row r="2162" spans="1:2" ht="14.4">
      <c r="A2162" s="6" t="s">
        <v>3668</v>
      </c>
      <c r="B2162" s="21" t="s">
        <v>2499</v>
      </c>
    </row>
    <row r="2163" spans="1:2" ht="14.4">
      <c r="A2163" s="6" t="s">
        <v>3669</v>
      </c>
      <c r="B2163" s="21" t="s">
        <v>2499</v>
      </c>
    </row>
    <row r="2164" spans="1:2" ht="14.4">
      <c r="A2164" s="6" t="s">
        <v>3670</v>
      </c>
      <c r="B2164" s="21" t="s">
        <v>2499</v>
      </c>
    </row>
    <row r="2165" spans="1:2" ht="14.4">
      <c r="A2165" s="6" t="s">
        <v>3671</v>
      </c>
      <c r="B2165" s="21" t="s">
        <v>2499</v>
      </c>
    </row>
    <row r="2166" spans="1:2" ht="14.4">
      <c r="A2166" s="6" t="s">
        <v>3672</v>
      </c>
      <c r="B2166" s="21" t="s">
        <v>2499</v>
      </c>
    </row>
    <row r="2167" spans="1:2" ht="14.4">
      <c r="A2167" s="6" t="s">
        <v>3673</v>
      </c>
      <c r="B2167" s="21" t="s">
        <v>2499</v>
      </c>
    </row>
    <row r="2168" spans="1:2" ht="14.4">
      <c r="A2168" s="6" t="s">
        <v>3674</v>
      </c>
      <c r="B2168" s="21" t="s">
        <v>2499</v>
      </c>
    </row>
    <row r="2169" spans="1:2" ht="14.4">
      <c r="A2169" s="6" t="s">
        <v>3675</v>
      </c>
      <c r="B2169" s="21" t="s">
        <v>2499</v>
      </c>
    </row>
    <row r="2170" spans="1:2" ht="14.4">
      <c r="A2170" s="6" t="s">
        <v>3676</v>
      </c>
      <c r="B2170" s="21" t="s">
        <v>2499</v>
      </c>
    </row>
    <row r="2171" spans="1:2" ht="14.4">
      <c r="A2171" s="6" t="s">
        <v>3677</v>
      </c>
      <c r="B2171" s="21" t="s">
        <v>2499</v>
      </c>
    </row>
    <row r="2172" spans="1:2" ht="14.4">
      <c r="A2172" s="6" t="s">
        <v>3678</v>
      </c>
      <c r="B2172" s="21" t="s">
        <v>2499</v>
      </c>
    </row>
    <row r="2173" spans="1:2" ht="14.4">
      <c r="A2173" s="6" t="s">
        <v>3679</v>
      </c>
      <c r="B2173" s="21" t="s">
        <v>2499</v>
      </c>
    </row>
    <row r="2174" spans="1:2" ht="14.4">
      <c r="A2174" s="6" t="s">
        <v>3680</v>
      </c>
      <c r="B2174" s="21" t="s">
        <v>2499</v>
      </c>
    </row>
    <row r="2175" spans="1:2" ht="14.4">
      <c r="A2175" s="6" t="s">
        <v>3681</v>
      </c>
      <c r="B2175" s="21" t="s">
        <v>2499</v>
      </c>
    </row>
    <row r="2176" spans="1:2" ht="14.4">
      <c r="A2176" s="6" t="s">
        <v>3682</v>
      </c>
      <c r="B2176" s="21" t="s">
        <v>2499</v>
      </c>
    </row>
    <row r="2177" spans="1:2" ht="14.4">
      <c r="A2177" s="6" t="s">
        <v>3683</v>
      </c>
      <c r="B2177" s="21" t="s">
        <v>2499</v>
      </c>
    </row>
    <row r="2178" spans="1:2" ht="14.4">
      <c r="A2178" s="6" t="s">
        <v>3684</v>
      </c>
      <c r="B2178" s="21" t="s">
        <v>2499</v>
      </c>
    </row>
    <row r="2179" spans="1:2" ht="14.4">
      <c r="A2179" s="6" t="s">
        <v>3685</v>
      </c>
      <c r="B2179" s="21" t="s">
        <v>2499</v>
      </c>
    </row>
    <row r="2180" spans="1:2" ht="14.4">
      <c r="A2180" s="6" t="s">
        <v>3686</v>
      </c>
      <c r="B2180" s="21" t="s">
        <v>2499</v>
      </c>
    </row>
    <row r="2181" spans="1:2" ht="14.4">
      <c r="A2181" s="6" t="s">
        <v>3687</v>
      </c>
      <c r="B2181" s="21" t="s">
        <v>2499</v>
      </c>
    </row>
    <row r="2182" spans="1:2" ht="14.4">
      <c r="A2182" s="6" t="s">
        <v>3688</v>
      </c>
      <c r="B2182" s="21" t="s">
        <v>2499</v>
      </c>
    </row>
    <row r="2183" spans="1:2" ht="14.4">
      <c r="A2183" s="6" t="s">
        <v>3689</v>
      </c>
      <c r="B2183" s="21" t="s">
        <v>2499</v>
      </c>
    </row>
    <row r="2184" spans="1:2" ht="14.4">
      <c r="A2184" s="6" t="s">
        <v>3690</v>
      </c>
      <c r="B2184" s="21" t="s">
        <v>2499</v>
      </c>
    </row>
    <row r="2185" spans="1:2" ht="14.4">
      <c r="A2185" s="6" t="s">
        <v>3691</v>
      </c>
      <c r="B2185" s="21" t="s">
        <v>2499</v>
      </c>
    </row>
    <row r="2186" spans="1:2" ht="14.4">
      <c r="A2186" s="6" t="s">
        <v>3692</v>
      </c>
      <c r="B2186" s="21" t="s">
        <v>2499</v>
      </c>
    </row>
    <row r="2187" spans="1:2" ht="14.4">
      <c r="A2187" s="6" t="s">
        <v>3693</v>
      </c>
      <c r="B2187" s="21" t="s">
        <v>2499</v>
      </c>
    </row>
    <row r="2188" spans="1:2" ht="14.4">
      <c r="A2188" s="6" t="s">
        <v>3694</v>
      </c>
      <c r="B2188" s="21" t="s">
        <v>2499</v>
      </c>
    </row>
    <row r="2189" spans="1:2" ht="14.4">
      <c r="A2189" s="6" t="s">
        <v>3695</v>
      </c>
      <c r="B2189" s="21" t="s">
        <v>2499</v>
      </c>
    </row>
    <row r="2190" spans="1:2" ht="14.4">
      <c r="A2190" s="6" t="s">
        <v>3696</v>
      </c>
      <c r="B2190" s="21" t="s">
        <v>2499</v>
      </c>
    </row>
    <row r="2191" spans="1:2" ht="14.4">
      <c r="A2191" s="6" t="s">
        <v>3697</v>
      </c>
      <c r="B2191" s="21" t="s">
        <v>2499</v>
      </c>
    </row>
    <row r="2192" spans="1:2" ht="14.4">
      <c r="A2192" s="6" t="s">
        <v>3698</v>
      </c>
      <c r="B2192" s="21" t="s">
        <v>2499</v>
      </c>
    </row>
    <row r="2193" spans="1:2" ht="14.4">
      <c r="A2193" s="6" t="s">
        <v>3699</v>
      </c>
      <c r="B2193" s="21" t="s">
        <v>2499</v>
      </c>
    </row>
    <row r="2194" spans="1:2" ht="14.4">
      <c r="A2194" s="6" t="s">
        <v>3700</v>
      </c>
      <c r="B2194" s="21" t="s">
        <v>2499</v>
      </c>
    </row>
    <row r="2195" spans="1:2" ht="14.4">
      <c r="A2195" s="6" t="s">
        <v>3701</v>
      </c>
      <c r="B2195" s="21" t="s">
        <v>2499</v>
      </c>
    </row>
    <row r="2196" spans="1:2" ht="14.4">
      <c r="A2196" s="6" t="s">
        <v>3702</v>
      </c>
      <c r="B2196" s="21" t="s">
        <v>2499</v>
      </c>
    </row>
    <row r="2197" spans="1:2" ht="14.4">
      <c r="A2197" s="6" t="s">
        <v>3703</v>
      </c>
      <c r="B2197" s="21" t="s">
        <v>2499</v>
      </c>
    </row>
    <row r="2198" spans="1:2" ht="14.4">
      <c r="A2198" s="6" t="s">
        <v>3704</v>
      </c>
      <c r="B2198" s="21" t="s">
        <v>2499</v>
      </c>
    </row>
    <row r="2199" spans="1:2" ht="14.4">
      <c r="A2199" s="6" t="s">
        <v>3705</v>
      </c>
      <c r="B2199" s="21" t="s">
        <v>2499</v>
      </c>
    </row>
    <row r="2200" spans="1:2" ht="14.4">
      <c r="A2200" s="6" t="s">
        <v>3706</v>
      </c>
      <c r="B2200" s="21" t="s">
        <v>2499</v>
      </c>
    </row>
    <row r="2201" spans="1:2" ht="14.4">
      <c r="A2201" s="6" t="s">
        <v>3707</v>
      </c>
      <c r="B2201" s="21" t="s">
        <v>2499</v>
      </c>
    </row>
    <row r="2202" spans="1:2" ht="14.4">
      <c r="A2202" s="6" t="s">
        <v>3708</v>
      </c>
      <c r="B2202" s="21" t="s">
        <v>2499</v>
      </c>
    </row>
    <row r="2203" spans="1:2" ht="14.4">
      <c r="A2203" s="6" t="s">
        <v>3709</v>
      </c>
      <c r="B2203" s="21" t="s">
        <v>2499</v>
      </c>
    </row>
    <row r="2204" spans="1:2" ht="14.4">
      <c r="A2204" s="6" t="s">
        <v>3710</v>
      </c>
      <c r="B2204" s="21" t="s">
        <v>2499</v>
      </c>
    </row>
    <row r="2205" spans="1:2" ht="14.4">
      <c r="A2205" s="6" t="s">
        <v>3711</v>
      </c>
      <c r="B2205" s="21" t="s">
        <v>2499</v>
      </c>
    </row>
    <row r="2206" spans="1:2" ht="14.4">
      <c r="A2206" s="6" t="s">
        <v>3712</v>
      </c>
      <c r="B2206" s="21" t="s">
        <v>2499</v>
      </c>
    </row>
    <row r="2207" spans="1:2" ht="14.4">
      <c r="A2207" s="6" t="s">
        <v>3713</v>
      </c>
      <c r="B2207" s="21" t="s">
        <v>2499</v>
      </c>
    </row>
    <row r="2208" spans="1:2" ht="14.4">
      <c r="A2208" s="6" t="s">
        <v>3714</v>
      </c>
      <c r="B2208" s="21" t="s">
        <v>2499</v>
      </c>
    </row>
    <row r="2209" spans="1:2" ht="14.4">
      <c r="A2209" s="6" t="s">
        <v>3715</v>
      </c>
      <c r="B2209" s="21" t="s">
        <v>2499</v>
      </c>
    </row>
    <row r="2210" spans="1:2" ht="14.4">
      <c r="A2210" s="6" t="s">
        <v>3716</v>
      </c>
      <c r="B2210" s="21" t="s">
        <v>2499</v>
      </c>
    </row>
    <row r="2211" spans="1:2" ht="14.4">
      <c r="A2211" s="6" t="s">
        <v>3717</v>
      </c>
      <c r="B2211" s="21" t="s">
        <v>2499</v>
      </c>
    </row>
    <row r="2212" spans="1:2" ht="14.4">
      <c r="A2212" s="6" t="s">
        <v>3718</v>
      </c>
      <c r="B2212" s="21" t="s">
        <v>2499</v>
      </c>
    </row>
    <row r="2213" spans="1:2" ht="14.4">
      <c r="A2213" s="6" t="s">
        <v>3719</v>
      </c>
      <c r="B2213" s="21" t="s">
        <v>2499</v>
      </c>
    </row>
    <row r="2214" spans="1:2" ht="14.4">
      <c r="A2214" s="6" t="s">
        <v>3720</v>
      </c>
      <c r="B2214" s="21" t="s">
        <v>2499</v>
      </c>
    </row>
    <row r="2215" spans="1:2" ht="14.4">
      <c r="A2215" s="6" t="s">
        <v>3721</v>
      </c>
      <c r="B2215" s="21" t="s">
        <v>2499</v>
      </c>
    </row>
    <row r="2216" spans="1:2" ht="14.4">
      <c r="A2216" s="6" t="s">
        <v>3722</v>
      </c>
      <c r="B2216" s="21" t="s">
        <v>2499</v>
      </c>
    </row>
    <row r="2217" spans="1:2" ht="14.4">
      <c r="A2217" s="6" t="s">
        <v>3723</v>
      </c>
      <c r="B2217" s="21" t="s">
        <v>2499</v>
      </c>
    </row>
    <row r="2218" spans="1:2" ht="14.4">
      <c r="A2218" s="6" t="s">
        <v>3724</v>
      </c>
      <c r="B2218" s="21" t="s">
        <v>2499</v>
      </c>
    </row>
    <row r="2219" spans="1:2" ht="14.4">
      <c r="A2219" s="6" t="s">
        <v>3725</v>
      </c>
      <c r="B2219" s="21" t="s">
        <v>2499</v>
      </c>
    </row>
    <row r="2220" spans="1:2" ht="14.4">
      <c r="A2220" s="6" t="s">
        <v>3726</v>
      </c>
      <c r="B2220" s="21" t="s">
        <v>2499</v>
      </c>
    </row>
    <row r="2221" spans="1:2" ht="14.4">
      <c r="A2221" s="6" t="s">
        <v>3727</v>
      </c>
      <c r="B2221" s="21" t="s">
        <v>2499</v>
      </c>
    </row>
    <row r="2222" spans="1:2" ht="14.4">
      <c r="A2222" s="6" t="s">
        <v>3728</v>
      </c>
      <c r="B2222" s="21" t="s">
        <v>2499</v>
      </c>
    </row>
    <row r="2223" spans="1:2" ht="14.4">
      <c r="A2223" s="6" t="s">
        <v>3729</v>
      </c>
      <c r="B2223" s="21" t="s">
        <v>2499</v>
      </c>
    </row>
    <row r="2224" spans="1:2" ht="14.4">
      <c r="A2224" s="6" t="s">
        <v>3730</v>
      </c>
      <c r="B2224" s="21" t="s">
        <v>2499</v>
      </c>
    </row>
    <row r="2225" spans="1:2" ht="14.4">
      <c r="A2225" s="6" t="s">
        <v>3731</v>
      </c>
      <c r="B2225" s="21" t="s">
        <v>2499</v>
      </c>
    </row>
    <row r="2226" spans="1:2" ht="14.4">
      <c r="A2226" s="6" t="s">
        <v>3732</v>
      </c>
      <c r="B2226" s="21" t="s">
        <v>2499</v>
      </c>
    </row>
    <row r="2227" spans="1:2" ht="14.4">
      <c r="A2227" s="6" t="s">
        <v>3733</v>
      </c>
      <c r="B2227" s="21" t="s">
        <v>2499</v>
      </c>
    </row>
    <row r="2228" spans="1:2" ht="14.4">
      <c r="A2228" s="6" t="s">
        <v>3734</v>
      </c>
      <c r="B2228" s="21" t="s">
        <v>2499</v>
      </c>
    </row>
    <row r="2229" spans="1:2" ht="14.4">
      <c r="A2229" s="6" t="s">
        <v>3735</v>
      </c>
      <c r="B2229" s="21" t="s">
        <v>2499</v>
      </c>
    </row>
    <row r="2230" spans="1:2" ht="14.4">
      <c r="A2230" s="6" t="s">
        <v>3736</v>
      </c>
      <c r="B2230" s="21" t="s">
        <v>2499</v>
      </c>
    </row>
    <row r="2231" spans="1:2" ht="14.4">
      <c r="A2231" s="6" t="s">
        <v>3737</v>
      </c>
      <c r="B2231" s="21" t="s">
        <v>2499</v>
      </c>
    </row>
    <row r="2232" spans="1:2" ht="14.4">
      <c r="A2232" s="6" t="s">
        <v>3738</v>
      </c>
      <c r="B2232" s="21" t="s">
        <v>2499</v>
      </c>
    </row>
    <row r="2233" spans="1:2" ht="14.4">
      <c r="A2233" s="6" t="s">
        <v>3739</v>
      </c>
      <c r="B2233" s="21" t="s">
        <v>2499</v>
      </c>
    </row>
    <row r="2234" spans="1:2" ht="14.4">
      <c r="A2234" s="6" t="s">
        <v>3740</v>
      </c>
      <c r="B2234" s="21" t="s">
        <v>2499</v>
      </c>
    </row>
    <row r="2235" spans="1:2" ht="14.4">
      <c r="A2235" s="6" t="s">
        <v>3741</v>
      </c>
      <c r="B2235" s="21" t="s">
        <v>2499</v>
      </c>
    </row>
    <row r="2236" spans="1:2" ht="14.4">
      <c r="A2236" s="6" t="s">
        <v>3742</v>
      </c>
      <c r="B2236" s="21" t="s">
        <v>2499</v>
      </c>
    </row>
    <row r="2237" spans="1:2" ht="14.4">
      <c r="A2237" s="6" t="s">
        <v>3743</v>
      </c>
      <c r="B2237" s="21" t="s">
        <v>2499</v>
      </c>
    </row>
    <row r="2238" spans="1:2" ht="14.4">
      <c r="A2238" s="6" t="s">
        <v>3744</v>
      </c>
      <c r="B2238" s="21" t="s">
        <v>2499</v>
      </c>
    </row>
    <row r="2239" spans="1:2" ht="14.4">
      <c r="A2239" s="6" t="s">
        <v>3745</v>
      </c>
      <c r="B2239" s="21" t="s">
        <v>2499</v>
      </c>
    </row>
    <row r="2240" spans="1:2" ht="14.4">
      <c r="A2240" s="6" t="s">
        <v>3746</v>
      </c>
      <c r="B2240" s="21" t="s">
        <v>2499</v>
      </c>
    </row>
    <row r="2241" spans="1:2" ht="14.4">
      <c r="A2241" s="6" t="s">
        <v>3747</v>
      </c>
      <c r="B2241" s="21" t="s">
        <v>2499</v>
      </c>
    </row>
    <row r="2242" spans="1:2" ht="14.4">
      <c r="A2242" s="6" t="s">
        <v>3748</v>
      </c>
      <c r="B2242" s="21" t="s">
        <v>2499</v>
      </c>
    </row>
    <row r="2243" spans="1:2" ht="14.4">
      <c r="A2243" s="6" t="s">
        <v>3749</v>
      </c>
      <c r="B2243" s="21" t="s">
        <v>2499</v>
      </c>
    </row>
    <row r="2244" spans="1:2" ht="14.4">
      <c r="A2244" s="6" t="s">
        <v>3750</v>
      </c>
      <c r="B2244" s="21" t="s">
        <v>2499</v>
      </c>
    </row>
    <row r="2245" spans="1:2" ht="14.4">
      <c r="A2245" s="6" t="s">
        <v>3751</v>
      </c>
      <c r="B2245" s="21" t="s">
        <v>2499</v>
      </c>
    </row>
    <row r="2246" spans="1:2" ht="14.4">
      <c r="A2246" s="6" t="s">
        <v>3752</v>
      </c>
      <c r="B2246" s="21" t="s">
        <v>2499</v>
      </c>
    </row>
    <row r="2247" spans="1:2" ht="14.4">
      <c r="A2247" s="6" t="s">
        <v>3753</v>
      </c>
      <c r="B2247" s="21" t="s">
        <v>2499</v>
      </c>
    </row>
    <row r="2248" spans="1:2" ht="14.4">
      <c r="A2248" s="6" t="s">
        <v>3754</v>
      </c>
      <c r="B2248" s="21" t="s">
        <v>2499</v>
      </c>
    </row>
    <row r="2249" spans="1:2" ht="14.4">
      <c r="A2249" s="6" t="s">
        <v>3755</v>
      </c>
      <c r="B2249" s="21" t="s">
        <v>2499</v>
      </c>
    </row>
    <row r="2250" spans="1:2" ht="14.4">
      <c r="A2250" s="6" t="s">
        <v>3756</v>
      </c>
      <c r="B2250" s="21" t="s">
        <v>2499</v>
      </c>
    </row>
    <row r="2251" spans="1:2" ht="14.4">
      <c r="A2251" s="6" t="s">
        <v>3757</v>
      </c>
      <c r="B2251" s="21" t="s">
        <v>2499</v>
      </c>
    </row>
    <row r="2252" spans="1:2" ht="14.4">
      <c r="A2252" s="6" t="s">
        <v>3758</v>
      </c>
      <c r="B2252" s="21" t="s">
        <v>2499</v>
      </c>
    </row>
    <row r="2253" spans="1:2" ht="14.4">
      <c r="A2253" s="6" t="s">
        <v>3759</v>
      </c>
      <c r="B2253" s="21" t="s">
        <v>2499</v>
      </c>
    </row>
    <row r="2254" spans="1:2" ht="14.4">
      <c r="A2254" s="6" t="s">
        <v>3760</v>
      </c>
      <c r="B2254" s="21" t="s">
        <v>2499</v>
      </c>
    </row>
    <row r="2255" spans="1:2" ht="14.4">
      <c r="A2255" s="6" t="s">
        <v>3761</v>
      </c>
      <c r="B2255" s="21" t="s">
        <v>2499</v>
      </c>
    </row>
    <row r="2256" spans="1:2" ht="14.4">
      <c r="A2256" s="6" t="s">
        <v>3762</v>
      </c>
      <c r="B2256" s="21" t="s">
        <v>2499</v>
      </c>
    </row>
    <row r="2257" spans="1:2" ht="14.4">
      <c r="A2257" s="6" t="s">
        <v>3763</v>
      </c>
      <c r="B2257" s="21" t="s">
        <v>2499</v>
      </c>
    </row>
    <row r="2258" spans="1:2" ht="14.4">
      <c r="A2258" s="6" t="s">
        <v>3764</v>
      </c>
      <c r="B2258" s="21" t="s">
        <v>2499</v>
      </c>
    </row>
    <row r="2259" spans="1:2" ht="14.4">
      <c r="A2259" s="6" t="s">
        <v>3765</v>
      </c>
      <c r="B2259" s="21" t="s">
        <v>2499</v>
      </c>
    </row>
    <row r="2260" spans="1:2" ht="14.4">
      <c r="A2260" s="6" t="s">
        <v>3766</v>
      </c>
      <c r="B2260" s="21" t="s">
        <v>2499</v>
      </c>
    </row>
    <row r="2261" spans="1:2" ht="14.4">
      <c r="A2261" s="6" t="s">
        <v>3767</v>
      </c>
      <c r="B2261" s="21" t="s">
        <v>2499</v>
      </c>
    </row>
    <row r="2262" spans="1:2" ht="14.4">
      <c r="A2262" s="6" t="s">
        <v>3768</v>
      </c>
      <c r="B2262" s="21" t="s">
        <v>2499</v>
      </c>
    </row>
    <row r="2263" spans="1:2" ht="14.4">
      <c r="A2263" s="6" t="s">
        <v>3769</v>
      </c>
      <c r="B2263" s="21" t="s">
        <v>2499</v>
      </c>
    </row>
    <row r="2264" spans="1:2" ht="14.4">
      <c r="A2264" s="6" t="s">
        <v>3770</v>
      </c>
      <c r="B2264" s="21" t="s">
        <v>2499</v>
      </c>
    </row>
    <row r="2265" spans="1:2" ht="14.4">
      <c r="A2265" s="6" t="s">
        <v>3771</v>
      </c>
      <c r="B2265" s="21" t="s">
        <v>2499</v>
      </c>
    </row>
    <row r="2266" spans="1:2" ht="14.4">
      <c r="A2266" s="6" t="s">
        <v>3772</v>
      </c>
      <c r="B2266" s="21" t="s">
        <v>2499</v>
      </c>
    </row>
    <row r="2267" spans="1:2" ht="14.4">
      <c r="A2267" s="6" t="s">
        <v>3773</v>
      </c>
      <c r="B2267" s="21" t="s">
        <v>2499</v>
      </c>
    </row>
    <row r="2268" spans="1:2" ht="14.4">
      <c r="A2268" s="6" t="s">
        <v>3774</v>
      </c>
      <c r="B2268" s="21" t="s">
        <v>2499</v>
      </c>
    </row>
    <row r="2269" spans="1:2" ht="14.4">
      <c r="A2269" s="6" t="s">
        <v>3775</v>
      </c>
      <c r="B2269" s="21" t="s">
        <v>2499</v>
      </c>
    </row>
    <row r="2270" spans="1:2" ht="14.4">
      <c r="A2270" s="6" t="s">
        <v>3776</v>
      </c>
      <c r="B2270" s="21" t="s">
        <v>2499</v>
      </c>
    </row>
    <row r="2271" spans="1:2" ht="14.4">
      <c r="A2271" s="6" t="s">
        <v>3777</v>
      </c>
      <c r="B2271" s="21" t="s">
        <v>2499</v>
      </c>
    </row>
    <row r="2272" spans="1:2" ht="14.4">
      <c r="A2272" s="6" t="s">
        <v>3778</v>
      </c>
      <c r="B2272" s="21" t="s">
        <v>2499</v>
      </c>
    </row>
    <row r="2273" spans="1:2" ht="14.4">
      <c r="A2273" s="6" t="s">
        <v>3779</v>
      </c>
      <c r="B2273" s="21" t="s">
        <v>2499</v>
      </c>
    </row>
    <row r="2274" spans="1:2" ht="14.4">
      <c r="A2274" s="6" t="s">
        <v>3780</v>
      </c>
      <c r="B2274" s="21" t="s">
        <v>2499</v>
      </c>
    </row>
    <row r="2275" spans="1:2" ht="14.4">
      <c r="A2275" s="6" t="s">
        <v>3781</v>
      </c>
      <c r="B2275" s="21" t="s">
        <v>2499</v>
      </c>
    </row>
    <row r="2276" spans="1:2" ht="14.4">
      <c r="A2276" s="6" t="s">
        <v>3782</v>
      </c>
      <c r="B2276" s="21" t="s">
        <v>2499</v>
      </c>
    </row>
    <row r="2277" spans="1:2" ht="14.4">
      <c r="A2277" s="6" t="s">
        <v>3783</v>
      </c>
      <c r="B2277" s="21" t="s">
        <v>2499</v>
      </c>
    </row>
    <row r="2278" spans="1:2" ht="14.4">
      <c r="A2278" s="6" t="s">
        <v>3784</v>
      </c>
      <c r="B2278" s="21" t="s">
        <v>2499</v>
      </c>
    </row>
    <row r="2279" spans="1:2" ht="14.4">
      <c r="A2279" s="6" t="s">
        <v>3785</v>
      </c>
      <c r="B2279" s="21" t="s">
        <v>2499</v>
      </c>
    </row>
    <row r="2280" spans="1:2" ht="14.4">
      <c r="A2280" s="6" t="s">
        <v>3786</v>
      </c>
      <c r="B2280" s="21" t="s">
        <v>2499</v>
      </c>
    </row>
    <row r="2281" spans="1:2" ht="14.4">
      <c r="A2281" s="6" t="s">
        <v>3787</v>
      </c>
      <c r="B2281" s="21" t="s">
        <v>2499</v>
      </c>
    </row>
    <row r="2282" spans="1:2" ht="14.4">
      <c r="A2282" s="6" t="s">
        <v>3788</v>
      </c>
      <c r="B2282" s="21" t="s">
        <v>2499</v>
      </c>
    </row>
    <row r="2283" spans="1:2" ht="14.4">
      <c r="A2283" s="6" t="s">
        <v>3789</v>
      </c>
      <c r="B2283" s="21" t="s">
        <v>2499</v>
      </c>
    </row>
    <row r="2284" spans="1:2" ht="14.4">
      <c r="A2284" s="6" t="s">
        <v>3790</v>
      </c>
      <c r="B2284" s="21" t="s">
        <v>2499</v>
      </c>
    </row>
    <row r="2285" spans="1:2" ht="14.4">
      <c r="A2285" s="6" t="s">
        <v>3791</v>
      </c>
      <c r="B2285" s="21" t="s">
        <v>2499</v>
      </c>
    </row>
    <row r="2286" spans="1:2" ht="14.4">
      <c r="A2286" s="6" t="s">
        <v>3792</v>
      </c>
      <c r="B2286" s="21" t="s">
        <v>2499</v>
      </c>
    </row>
    <row r="2287" spans="1:2" ht="14.4">
      <c r="A2287" s="6" t="s">
        <v>3793</v>
      </c>
      <c r="B2287" s="21" t="s">
        <v>2499</v>
      </c>
    </row>
    <row r="2288" spans="1:2" ht="14.4">
      <c r="A2288" s="6" t="s">
        <v>3794</v>
      </c>
      <c r="B2288" s="21" t="s">
        <v>2499</v>
      </c>
    </row>
    <row r="2289" spans="1:2" ht="14.4">
      <c r="A2289" s="6" t="s">
        <v>3795</v>
      </c>
      <c r="B2289" s="21" t="s">
        <v>2499</v>
      </c>
    </row>
    <row r="2290" spans="1:2" ht="14.4">
      <c r="A2290" s="6" t="s">
        <v>3796</v>
      </c>
      <c r="B2290" s="21" t="s">
        <v>2499</v>
      </c>
    </row>
    <row r="2291" spans="1:2" ht="14.4">
      <c r="A2291" s="6" t="s">
        <v>3797</v>
      </c>
      <c r="B2291" s="21" t="s">
        <v>2499</v>
      </c>
    </row>
    <row r="2292" spans="1:2" ht="14.4">
      <c r="A2292" s="6" t="s">
        <v>3798</v>
      </c>
      <c r="B2292" s="21" t="s">
        <v>2499</v>
      </c>
    </row>
    <row r="2293" spans="1:2" ht="14.4">
      <c r="A2293" s="6" t="s">
        <v>3799</v>
      </c>
      <c r="B2293" s="21" t="s">
        <v>2499</v>
      </c>
    </row>
    <row r="2294" spans="1:2" ht="14.4">
      <c r="A2294" s="6" t="s">
        <v>3800</v>
      </c>
      <c r="B2294" s="21" t="s">
        <v>2499</v>
      </c>
    </row>
    <row r="2295" spans="1:2" ht="14.4">
      <c r="A2295" s="6" t="s">
        <v>3801</v>
      </c>
      <c r="B2295" s="21" t="s">
        <v>2499</v>
      </c>
    </row>
    <row r="2296" spans="1:2" ht="14.4">
      <c r="A2296" s="6" t="s">
        <v>3802</v>
      </c>
      <c r="B2296" s="21" t="s">
        <v>2499</v>
      </c>
    </row>
    <row r="2297" spans="1:2" ht="14.4">
      <c r="A2297" s="6" t="s">
        <v>3803</v>
      </c>
      <c r="B2297" s="21" t="s">
        <v>2499</v>
      </c>
    </row>
    <row r="2298" spans="1:2" ht="14.4">
      <c r="A2298" s="6" t="s">
        <v>3804</v>
      </c>
      <c r="B2298" s="21" t="s">
        <v>2499</v>
      </c>
    </row>
    <row r="2299" spans="1:2" ht="14.4">
      <c r="A2299" s="6" t="s">
        <v>3805</v>
      </c>
      <c r="B2299" s="21" t="s">
        <v>2499</v>
      </c>
    </row>
    <row r="2300" spans="1:2" ht="14.4">
      <c r="A2300" s="6" t="s">
        <v>3806</v>
      </c>
      <c r="B2300" s="21" t="s">
        <v>2499</v>
      </c>
    </row>
    <row r="2301" spans="1:2" ht="14.4">
      <c r="A2301" s="6" t="s">
        <v>3807</v>
      </c>
      <c r="B2301" s="21" t="s">
        <v>2499</v>
      </c>
    </row>
    <row r="2302" spans="1:2" ht="14.4">
      <c r="A2302" s="6" t="s">
        <v>3808</v>
      </c>
      <c r="B2302" s="21" t="s">
        <v>2499</v>
      </c>
    </row>
    <row r="2303" spans="1:2" ht="14.4">
      <c r="A2303" s="6" t="s">
        <v>3809</v>
      </c>
      <c r="B2303" s="21" t="s">
        <v>2499</v>
      </c>
    </row>
    <row r="2304" spans="1:2" ht="14.4">
      <c r="A2304" s="6" t="s">
        <v>3810</v>
      </c>
      <c r="B2304" s="21" t="s">
        <v>2499</v>
      </c>
    </row>
    <row r="2305" spans="1:2" ht="14.4">
      <c r="A2305" s="6" t="s">
        <v>3811</v>
      </c>
      <c r="B2305" s="21" t="s">
        <v>2499</v>
      </c>
    </row>
    <row r="2306" spans="1:2" ht="14.4">
      <c r="A2306" s="6" t="s">
        <v>3812</v>
      </c>
      <c r="B2306" s="21" t="s">
        <v>2499</v>
      </c>
    </row>
    <row r="2307" spans="1:2" ht="14.4">
      <c r="A2307" s="6" t="s">
        <v>3813</v>
      </c>
      <c r="B2307" s="21" t="s">
        <v>2499</v>
      </c>
    </row>
    <row r="2308" spans="1:2" ht="14.4">
      <c r="A2308" s="6" t="s">
        <v>3814</v>
      </c>
      <c r="B2308" s="21" t="s">
        <v>2499</v>
      </c>
    </row>
    <row r="2309" spans="1:2" ht="14.4">
      <c r="A2309" s="6" t="s">
        <v>3815</v>
      </c>
      <c r="B2309" s="21" t="s">
        <v>2499</v>
      </c>
    </row>
    <row r="2310" spans="1:2" ht="14.4">
      <c r="A2310" s="6" t="s">
        <v>3816</v>
      </c>
      <c r="B2310" s="21" t="s">
        <v>2499</v>
      </c>
    </row>
    <row r="2311" spans="1:2" ht="14.4">
      <c r="A2311" s="6" t="s">
        <v>3817</v>
      </c>
      <c r="B2311" s="21" t="s">
        <v>2499</v>
      </c>
    </row>
    <row r="2312" spans="1:2" ht="14.4">
      <c r="A2312" s="6" t="s">
        <v>3818</v>
      </c>
      <c r="B2312" s="21" t="s">
        <v>2499</v>
      </c>
    </row>
    <row r="2313" spans="1:2" ht="14.4">
      <c r="A2313" s="6" t="s">
        <v>3819</v>
      </c>
      <c r="B2313" s="21" t="s">
        <v>2499</v>
      </c>
    </row>
    <row r="2314" spans="1:2" ht="14.4">
      <c r="A2314" s="6" t="s">
        <v>3820</v>
      </c>
      <c r="B2314" s="21" t="s">
        <v>2499</v>
      </c>
    </row>
    <row r="2315" spans="1:2" ht="14.4">
      <c r="A2315" s="6" t="s">
        <v>3821</v>
      </c>
      <c r="B2315" s="21" t="s">
        <v>2499</v>
      </c>
    </row>
    <row r="2316" spans="1:2" ht="14.4">
      <c r="A2316" s="6" t="s">
        <v>3822</v>
      </c>
      <c r="B2316" s="21" t="s">
        <v>2499</v>
      </c>
    </row>
    <row r="2317" spans="1:2" ht="14.4">
      <c r="A2317" s="6" t="s">
        <v>3823</v>
      </c>
      <c r="B2317" s="21" t="s">
        <v>2499</v>
      </c>
    </row>
    <row r="2318" spans="1:2" ht="14.4">
      <c r="A2318" s="6" t="s">
        <v>3824</v>
      </c>
      <c r="B2318" s="21" t="s">
        <v>2499</v>
      </c>
    </row>
    <row r="2319" spans="1:2" ht="14.4">
      <c r="A2319" s="6" t="s">
        <v>3825</v>
      </c>
      <c r="B2319" s="21" t="s">
        <v>2499</v>
      </c>
    </row>
    <row r="2320" spans="1:2" ht="14.4">
      <c r="A2320" s="6" t="s">
        <v>3826</v>
      </c>
      <c r="B2320" s="21" t="s">
        <v>2499</v>
      </c>
    </row>
    <row r="2321" spans="1:2" ht="14.4">
      <c r="A2321" s="6" t="s">
        <v>3827</v>
      </c>
      <c r="B2321" s="21" t="s">
        <v>2499</v>
      </c>
    </row>
    <row r="2322" spans="1:2" ht="14.4">
      <c r="A2322" s="6" t="s">
        <v>3828</v>
      </c>
      <c r="B2322" s="21" t="s">
        <v>2499</v>
      </c>
    </row>
    <row r="2323" spans="1:2" ht="14.4">
      <c r="A2323" s="6" t="s">
        <v>3829</v>
      </c>
      <c r="B2323" s="21" t="s">
        <v>2499</v>
      </c>
    </row>
    <row r="2324" spans="1:2" ht="14.4">
      <c r="A2324" s="6" t="s">
        <v>3830</v>
      </c>
      <c r="B2324" s="21" t="s">
        <v>2499</v>
      </c>
    </row>
    <row r="2325" spans="1:2" ht="14.4">
      <c r="A2325" s="6" t="s">
        <v>3831</v>
      </c>
      <c r="B2325" s="21" t="s">
        <v>2499</v>
      </c>
    </row>
    <row r="2326" spans="1:2" ht="14.4">
      <c r="A2326" s="6" t="s">
        <v>3832</v>
      </c>
      <c r="B2326" s="21" t="s">
        <v>2499</v>
      </c>
    </row>
    <row r="2327" spans="1:2" ht="14.4">
      <c r="A2327" s="6" t="s">
        <v>3833</v>
      </c>
      <c r="B2327" s="21" t="s">
        <v>2499</v>
      </c>
    </row>
    <row r="2328" spans="1:2" ht="14.4">
      <c r="A2328" s="6" t="s">
        <v>3834</v>
      </c>
      <c r="B2328" s="21" t="s">
        <v>2499</v>
      </c>
    </row>
    <row r="2329" spans="1:2" ht="14.4">
      <c r="A2329" s="6" t="s">
        <v>3835</v>
      </c>
      <c r="B2329" s="21" t="s">
        <v>2499</v>
      </c>
    </row>
    <row r="2330" spans="1:2" ht="14.4">
      <c r="A2330" s="6" t="s">
        <v>3836</v>
      </c>
      <c r="B2330" s="21" t="s">
        <v>2499</v>
      </c>
    </row>
    <row r="2331" spans="1:2" ht="14.4">
      <c r="A2331" s="6" t="s">
        <v>3837</v>
      </c>
      <c r="B2331" s="21" t="s">
        <v>2499</v>
      </c>
    </row>
    <row r="2332" spans="1:2" ht="14.4">
      <c r="A2332" s="6" t="s">
        <v>3838</v>
      </c>
      <c r="B2332" s="21" t="s">
        <v>2499</v>
      </c>
    </row>
    <row r="2333" spans="1:2" ht="14.4">
      <c r="A2333" s="6" t="s">
        <v>3839</v>
      </c>
      <c r="B2333" s="21" t="s">
        <v>2499</v>
      </c>
    </row>
    <row r="2334" spans="1:2" ht="14.4">
      <c r="A2334" s="6" t="s">
        <v>3840</v>
      </c>
      <c r="B2334" s="21" t="s">
        <v>2499</v>
      </c>
    </row>
    <row r="2335" spans="1:2" ht="14.4">
      <c r="A2335" s="6" t="s">
        <v>3841</v>
      </c>
      <c r="B2335" s="21" t="s">
        <v>2499</v>
      </c>
    </row>
    <row r="2336" spans="1:2" ht="14.4">
      <c r="A2336" s="6" t="s">
        <v>3842</v>
      </c>
      <c r="B2336" s="21" t="s">
        <v>2499</v>
      </c>
    </row>
    <row r="2337" spans="1:2" ht="14.4">
      <c r="A2337" s="6" t="s">
        <v>3843</v>
      </c>
      <c r="B2337" s="21" t="s">
        <v>2499</v>
      </c>
    </row>
    <row r="2338" spans="1:2" ht="14.4">
      <c r="A2338" s="6" t="s">
        <v>3844</v>
      </c>
      <c r="B2338" s="21" t="s">
        <v>2499</v>
      </c>
    </row>
    <row r="2339" spans="1:2" ht="14.4">
      <c r="A2339" s="6" t="s">
        <v>3845</v>
      </c>
      <c r="B2339" s="21" t="s">
        <v>2499</v>
      </c>
    </row>
    <row r="2340" spans="1:2" ht="14.4">
      <c r="A2340" s="6" t="s">
        <v>3846</v>
      </c>
      <c r="B2340" s="21" t="s">
        <v>2499</v>
      </c>
    </row>
    <row r="2341" spans="1:2" ht="14.4">
      <c r="A2341" s="6" t="s">
        <v>3847</v>
      </c>
      <c r="B2341" s="21" t="s">
        <v>2499</v>
      </c>
    </row>
    <row r="2342" spans="1:2" ht="14.4">
      <c r="A2342" s="6" t="s">
        <v>3848</v>
      </c>
      <c r="B2342" s="21" t="s">
        <v>2499</v>
      </c>
    </row>
    <row r="2343" spans="1:2" ht="14.4">
      <c r="A2343" s="6" t="s">
        <v>3849</v>
      </c>
      <c r="B2343" s="21" t="s">
        <v>2499</v>
      </c>
    </row>
    <row r="2344" spans="1:2" ht="14.4">
      <c r="A2344" s="6" t="s">
        <v>3850</v>
      </c>
      <c r="B2344" s="21" t="s">
        <v>2499</v>
      </c>
    </row>
    <row r="2345" spans="1:2" ht="14.4">
      <c r="A2345" s="6" t="s">
        <v>3851</v>
      </c>
      <c r="B2345" s="21" t="s">
        <v>2499</v>
      </c>
    </row>
    <row r="2346" spans="1:2" ht="14.4">
      <c r="A2346" s="6" t="s">
        <v>3852</v>
      </c>
      <c r="B2346" s="21" t="s">
        <v>2499</v>
      </c>
    </row>
    <row r="2347" spans="1:2" ht="14.4">
      <c r="A2347" s="6" t="s">
        <v>3853</v>
      </c>
      <c r="B2347" s="21" t="s">
        <v>2499</v>
      </c>
    </row>
    <row r="2348" spans="1:2" ht="14.4">
      <c r="A2348" s="6" t="s">
        <v>3854</v>
      </c>
      <c r="B2348" s="21" t="s">
        <v>2499</v>
      </c>
    </row>
    <row r="2349" spans="1:2" ht="14.4">
      <c r="A2349" s="6" t="s">
        <v>3855</v>
      </c>
      <c r="B2349" s="21" t="s">
        <v>2499</v>
      </c>
    </row>
    <row r="2350" spans="1:2" ht="14.4">
      <c r="A2350" s="6" t="s">
        <v>3856</v>
      </c>
      <c r="B2350" s="21" t="s">
        <v>2499</v>
      </c>
    </row>
    <row r="2351" spans="1:2" ht="14.4">
      <c r="A2351" s="6" t="s">
        <v>3857</v>
      </c>
      <c r="B2351" s="21" t="s">
        <v>2499</v>
      </c>
    </row>
    <row r="2352" spans="1:2" ht="14.4">
      <c r="A2352" s="6" t="s">
        <v>3858</v>
      </c>
      <c r="B2352" s="21" t="s">
        <v>2499</v>
      </c>
    </row>
    <row r="2353" spans="1:2" ht="14.4">
      <c r="A2353" s="6" t="s">
        <v>3859</v>
      </c>
      <c r="B2353" s="21" t="s">
        <v>2499</v>
      </c>
    </row>
    <row r="2354" spans="1:2" ht="14.4">
      <c r="A2354" s="6" t="s">
        <v>3860</v>
      </c>
      <c r="B2354" s="21" t="s">
        <v>2499</v>
      </c>
    </row>
    <row r="2355" spans="1:2" ht="14.4">
      <c r="A2355" s="6" t="s">
        <v>3861</v>
      </c>
      <c r="B2355" s="21" t="s">
        <v>2499</v>
      </c>
    </row>
    <row r="2356" spans="1:2" ht="14.4">
      <c r="A2356" s="6" t="s">
        <v>3862</v>
      </c>
      <c r="B2356" s="21" t="s">
        <v>2499</v>
      </c>
    </row>
    <row r="2357" spans="1:2" ht="14.4">
      <c r="A2357" s="6" t="s">
        <v>3863</v>
      </c>
      <c r="B2357" s="21" t="s">
        <v>2499</v>
      </c>
    </row>
    <row r="2358" spans="1:2" ht="14.4">
      <c r="A2358" s="6" t="s">
        <v>3864</v>
      </c>
      <c r="B2358" s="21" t="s">
        <v>2499</v>
      </c>
    </row>
    <row r="2359" spans="1:2" ht="14.4">
      <c r="A2359" s="6" t="s">
        <v>3865</v>
      </c>
      <c r="B2359" s="21" t="s">
        <v>2499</v>
      </c>
    </row>
    <row r="2360" spans="1:2" ht="14.4">
      <c r="A2360" s="6" t="s">
        <v>3866</v>
      </c>
      <c r="B2360" s="21" t="s">
        <v>2499</v>
      </c>
    </row>
    <row r="2361" spans="1:2" ht="14.4">
      <c r="A2361" s="6" t="s">
        <v>3867</v>
      </c>
      <c r="B2361" s="21" t="s">
        <v>2499</v>
      </c>
    </row>
    <row r="2362" spans="1:2" ht="14.4">
      <c r="A2362" s="6" t="s">
        <v>3868</v>
      </c>
      <c r="B2362" s="21" t="s">
        <v>2499</v>
      </c>
    </row>
    <row r="2363" spans="1:2" ht="14.4">
      <c r="A2363" s="6" t="s">
        <v>3869</v>
      </c>
      <c r="B2363" s="21" t="s">
        <v>2499</v>
      </c>
    </row>
    <row r="2364" spans="1:2" ht="14.4">
      <c r="A2364" s="6" t="s">
        <v>3870</v>
      </c>
      <c r="B2364" s="21" t="s">
        <v>2499</v>
      </c>
    </row>
    <row r="2365" spans="1:2" ht="14.4">
      <c r="A2365" s="6" t="s">
        <v>3871</v>
      </c>
      <c r="B2365" s="21" t="s">
        <v>2499</v>
      </c>
    </row>
    <row r="2366" spans="1:2" ht="14.4">
      <c r="A2366" s="6" t="s">
        <v>3872</v>
      </c>
      <c r="B2366" s="21" t="s">
        <v>2499</v>
      </c>
    </row>
    <row r="2367" spans="1:2" ht="14.4">
      <c r="A2367" s="6" t="s">
        <v>3873</v>
      </c>
      <c r="B2367" s="21" t="s">
        <v>2499</v>
      </c>
    </row>
    <row r="2368" spans="1:2" ht="14.4">
      <c r="A2368" s="6" t="s">
        <v>3874</v>
      </c>
      <c r="B2368" s="21" t="s">
        <v>2499</v>
      </c>
    </row>
    <row r="2369" spans="1:2" ht="14.4">
      <c r="A2369" s="6" t="s">
        <v>3875</v>
      </c>
      <c r="B2369" s="21" t="s">
        <v>2499</v>
      </c>
    </row>
    <row r="2370" spans="1:2" ht="14.4">
      <c r="A2370" s="6" t="s">
        <v>3876</v>
      </c>
      <c r="B2370" s="21" t="s">
        <v>2499</v>
      </c>
    </row>
    <row r="2371" spans="1:2" ht="14.4">
      <c r="A2371" s="6" t="s">
        <v>3877</v>
      </c>
      <c r="B2371" s="21" t="s">
        <v>2499</v>
      </c>
    </row>
    <row r="2372" spans="1:2" ht="14.4">
      <c r="A2372" s="6" t="s">
        <v>3878</v>
      </c>
      <c r="B2372" s="21" t="s">
        <v>2499</v>
      </c>
    </row>
    <row r="2373" spans="1:2" ht="14.4">
      <c r="A2373" s="6" t="s">
        <v>3879</v>
      </c>
      <c r="B2373" s="21" t="s">
        <v>2499</v>
      </c>
    </row>
    <row r="2374" spans="1:2" ht="14.4">
      <c r="A2374" s="6" t="s">
        <v>3880</v>
      </c>
      <c r="B2374" s="21" t="s">
        <v>2499</v>
      </c>
    </row>
    <row r="2375" spans="1:2" ht="14.4">
      <c r="A2375" s="6" t="s">
        <v>3881</v>
      </c>
      <c r="B2375" s="21" t="s">
        <v>2499</v>
      </c>
    </row>
    <row r="2376" spans="1:2" ht="14.4">
      <c r="A2376" s="6" t="s">
        <v>3882</v>
      </c>
      <c r="B2376" s="21" t="s">
        <v>2499</v>
      </c>
    </row>
    <row r="2377" spans="1:2" ht="14.4">
      <c r="A2377" s="6" t="s">
        <v>3883</v>
      </c>
      <c r="B2377" s="21" t="s">
        <v>2499</v>
      </c>
    </row>
    <row r="2378" spans="1:2" ht="14.4">
      <c r="A2378" s="6" t="s">
        <v>3884</v>
      </c>
      <c r="B2378" s="21" t="s">
        <v>2499</v>
      </c>
    </row>
    <row r="2379" spans="1:2" ht="14.4">
      <c r="A2379" s="6" t="s">
        <v>3885</v>
      </c>
      <c r="B2379" s="21" t="s">
        <v>2499</v>
      </c>
    </row>
    <row r="2380" spans="1:2" ht="14.4">
      <c r="A2380" s="6" t="s">
        <v>3886</v>
      </c>
      <c r="B2380" s="21" t="s">
        <v>2499</v>
      </c>
    </row>
    <row r="2381" spans="1:2" ht="14.4">
      <c r="A2381" s="6" t="s">
        <v>3887</v>
      </c>
      <c r="B2381" s="21" t="s">
        <v>2499</v>
      </c>
    </row>
    <row r="2382" spans="1:2" ht="14.4">
      <c r="A2382" s="6" t="s">
        <v>3888</v>
      </c>
      <c r="B2382" s="21" t="s">
        <v>2499</v>
      </c>
    </row>
    <row r="2383" spans="1:2" ht="14.4">
      <c r="A2383" s="6" t="s">
        <v>3889</v>
      </c>
      <c r="B2383" s="21" t="s">
        <v>2499</v>
      </c>
    </row>
    <row r="2384" spans="1:2" ht="14.4">
      <c r="A2384" s="6" t="s">
        <v>3890</v>
      </c>
      <c r="B2384" s="21" t="s">
        <v>2499</v>
      </c>
    </row>
    <row r="2385" spans="1:2" ht="14.4">
      <c r="A2385" s="6" t="s">
        <v>3891</v>
      </c>
      <c r="B2385" s="21" t="s">
        <v>2499</v>
      </c>
    </row>
    <row r="2386" spans="1:2" ht="14.4">
      <c r="A2386" s="6" t="s">
        <v>3892</v>
      </c>
      <c r="B2386" s="21" t="s">
        <v>2499</v>
      </c>
    </row>
    <row r="2387" spans="1:2" ht="14.4">
      <c r="A2387" s="6" t="s">
        <v>3893</v>
      </c>
      <c r="B2387" s="21" t="s">
        <v>2499</v>
      </c>
    </row>
    <row r="2388" spans="1:2" ht="14.4">
      <c r="A2388" s="6" t="s">
        <v>3894</v>
      </c>
      <c r="B2388" s="21" t="s">
        <v>2499</v>
      </c>
    </row>
    <row r="2389" spans="1:2" ht="14.4">
      <c r="A2389" s="6" t="s">
        <v>3895</v>
      </c>
      <c r="B2389" s="21" t="s">
        <v>2499</v>
      </c>
    </row>
    <row r="2390" spans="1:2" ht="14.4">
      <c r="A2390" s="6" t="s">
        <v>3896</v>
      </c>
      <c r="B2390" s="21" t="s">
        <v>2499</v>
      </c>
    </row>
    <row r="2391" spans="1:2" ht="14.4">
      <c r="A2391" s="6" t="s">
        <v>3897</v>
      </c>
      <c r="B2391" s="21" t="s">
        <v>2499</v>
      </c>
    </row>
    <row r="2392" spans="1:2" ht="14.4">
      <c r="A2392" s="6" t="s">
        <v>3898</v>
      </c>
      <c r="B2392" s="21" t="s">
        <v>2499</v>
      </c>
    </row>
    <row r="2393" spans="1:2" ht="14.4">
      <c r="A2393" s="6" t="s">
        <v>3899</v>
      </c>
      <c r="B2393" s="21" t="s">
        <v>2499</v>
      </c>
    </row>
    <row r="2394" spans="1:2" ht="14.4">
      <c r="A2394" s="6" t="s">
        <v>3900</v>
      </c>
      <c r="B2394" s="21" t="s">
        <v>2499</v>
      </c>
    </row>
    <row r="2395" spans="1:2" ht="14.4">
      <c r="A2395" s="6" t="s">
        <v>3901</v>
      </c>
      <c r="B2395" s="21" t="s">
        <v>2499</v>
      </c>
    </row>
    <row r="2396" spans="1:2" ht="14.4">
      <c r="A2396" s="6" t="s">
        <v>3902</v>
      </c>
      <c r="B2396" s="21" t="s">
        <v>2499</v>
      </c>
    </row>
    <row r="2397" spans="1:2" ht="14.4">
      <c r="A2397" s="6" t="s">
        <v>3903</v>
      </c>
      <c r="B2397" s="21" t="s">
        <v>2499</v>
      </c>
    </row>
    <row r="2398" spans="1:2" ht="14.4">
      <c r="A2398" s="6" t="s">
        <v>3904</v>
      </c>
      <c r="B2398" s="21" t="s">
        <v>2499</v>
      </c>
    </row>
    <row r="2399" spans="1:2" ht="14.4">
      <c r="A2399" s="6" t="s">
        <v>3905</v>
      </c>
      <c r="B2399" s="21" t="s">
        <v>2499</v>
      </c>
    </row>
    <row r="2400" spans="1:2" ht="14.4">
      <c r="A2400" s="6" t="s">
        <v>3906</v>
      </c>
      <c r="B2400" s="21" t="s">
        <v>2499</v>
      </c>
    </row>
    <row r="2401" spans="1:2" ht="14.4">
      <c r="A2401" s="6" t="s">
        <v>3907</v>
      </c>
      <c r="B2401" s="21" t="s">
        <v>2499</v>
      </c>
    </row>
    <row r="2402" spans="1:2" ht="14.4">
      <c r="A2402" s="6" t="s">
        <v>3908</v>
      </c>
      <c r="B2402" s="21" t="s">
        <v>2499</v>
      </c>
    </row>
    <row r="2403" spans="1:2" ht="14.4">
      <c r="A2403" s="6" t="s">
        <v>3909</v>
      </c>
      <c r="B2403" s="21" t="s">
        <v>2499</v>
      </c>
    </row>
    <row r="2404" spans="1:2" ht="14.4">
      <c r="A2404" s="6" t="s">
        <v>3910</v>
      </c>
      <c r="B2404" s="21" t="s">
        <v>2499</v>
      </c>
    </row>
    <row r="2405" spans="1:2" ht="14.4">
      <c r="A2405" s="6" t="s">
        <v>3911</v>
      </c>
      <c r="B2405" s="21" t="s">
        <v>2499</v>
      </c>
    </row>
    <row r="2406" spans="1:2" ht="14.4">
      <c r="A2406" s="6" t="s">
        <v>3912</v>
      </c>
      <c r="B2406" s="21" t="s">
        <v>2499</v>
      </c>
    </row>
    <row r="2407" spans="1:2" ht="14.4">
      <c r="A2407" s="6" t="s">
        <v>3913</v>
      </c>
      <c r="B2407" s="21" t="s">
        <v>2499</v>
      </c>
    </row>
    <row r="2408" spans="1:2" ht="14.4">
      <c r="A2408" s="6" t="s">
        <v>3914</v>
      </c>
      <c r="B2408" s="21" t="s">
        <v>2499</v>
      </c>
    </row>
    <row r="2409" spans="1:2" ht="14.4">
      <c r="A2409" s="6" t="s">
        <v>3915</v>
      </c>
      <c r="B2409" s="21" t="s">
        <v>2499</v>
      </c>
    </row>
    <row r="2410" spans="1:2" ht="14.4">
      <c r="A2410" s="6" t="s">
        <v>3916</v>
      </c>
      <c r="B2410" s="21" t="s">
        <v>2499</v>
      </c>
    </row>
    <row r="2411" spans="1:2" ht="14.4">
      <c r="A2411" s="6" t="s">
        <v>3917</v>
      </c>
      <c r="B2411" s="21" t="s">
        <v>2499</v>
      </c>
    </row>
    <row r="2412" spans="1:2" ht="14.4">
      <c r="A2412" s="6" t="s">
        <v>3918</v>
      </c>
      <c r="B2412" s="21" t="s">
        <v>2499</v>
      </c>
    </row>
    <row r="2413" spans="1:2" ht="14.4">
      <c r="A2413" s="6" t="s">
        <v>3919</v>
      </c>
      <c r="B2413" s="21" t="s">
        <v>2499</v>
      </c>
    </row>
    <row r="2414" spans="1:2" ht="14.4">
      <c r="A2414" s="6" t="s">
        <v>3920</v>
      </c>
      <c r="B2414" s="21" t="s">
        <v>2499</v>
      </c>
    </row>
    <row r="2415" spans="1:2" ht="14.4">
      <c r="A2415" s="6" t="s">
        <v>3921</v>
      </c>
      <c r="B2415" s="21" t="s">
        <v>2499</v>
      </c>
    </row>
    <row r="2416" spans="1:2" ht="14.4">
      <c r="A2416" s="6" t="s">
        <v>3922</v>
      </c>
      <c r="B2416" s="21" t="s">
        <v>2499</v>
      </c>
    </row>
    <row r="2417" spans="1:2" ht="14.4">
      <c r="A2417" s="6" t="s">
        <v>3923</v>
      </c>
      <c r="B2417" s="21" t="s">
        <v>2499</v>
      </c>
    </row>
    <row r="2418" spans="1:2" ht="14.4">
      <c r="A2418" s="6" t="s">
        <v>3924</v>
      </c>
      <c r="B2418" s="21" t="s">
        <v>2499</v>
      </c>
    </row>
    <row r="2419" spans="1:2" ht="14.4">
      <c r="A2419" s="6" t="s">
        <v>3925</v>
      </c>
      <c r="B2419" s="21" t="s">
        <v>2499</v>
      </c>
    </row>
    <row r="2420" spans="1:2" ht="14.4">
      <c r="A2420" s="6" t="s">
        <v>3926</v>
      </c>
      <c r="B2420" s="21" t="s">
        <v>2499</v>
      </c>
    </row>
    <row r="2421" spans="1:2" ht="14.4">
      <c r="A2421" s="6" t="s">
        <v>3927</v>
      </c>
      <c r="B2421" s="21" t="s">
        <v>2499</v>
      </c>
    </row>
    <row r="2422" spans="1:2" ht="14.4">
      <c r="A2422" s="6" t="s">
        <v>3928</v>
      </c>
      <c r="B2422" s="21" t="s">
        <v>2499</v>
      </c>
    </row>
    <row r="2423" spans="1:2" ht="14.4">
      <c r="A2423" s="6" t="s">
        <v>3929</v>
      </c>
      <c r="B2423" s="21" t="s">
        <v>2499</v>
      </c>
    </row>
    <row r="2424" spans="1:2" ht="14.4">
      <c r="A2424" s="6" t="s">
        <v>3930</v>
      </c>
      <c r="B2424" s="21" t="s">
        <v>2499</v>
      </c>
    </row>
    <row r="2425" spans="1:2" ht="14.4">
      <c r="A2425" s="6" t="s">
        <v>3931</v>
      </c>
      <c r="B2425" s="21" t="s">
        <v>2499</v>
      </c>
    </row>
    <row r="2426" spans="1:2" ht="14.4">
      <c r="A2426" s="6" t="s">
        <v>3932</v>
      </c>
      <c r="B2426" s="21" t="s">
        <v>2499</v>
      </c>
    </row>
    <row r="2427" spans="1:2" ht="14.4">
      <c r="A2427" s="6" t="s">
        <v>3933</v>
      </c>
      <c r="B2427" s="21" t="s">
        <v>2499</v>
      </c>
    </row>
    <row r="2428" spans="1:2" ht="14.4">
      <c r="A2428" s="6" t="s">
        <v>3934</v>
      </c>
      <c r="B2428" s="21" t="s">
        <v>2499</v>
      </c>
    </row>
    <row r="2429" spans="1:2" ht="14.4">
      <c r="A2429" s="6" t="s">
        <v>3935</v>
      </c>
      <c r="B2429" s="21" t="s">
        <v>2499</v>
      </c>
    </row>
    <row r="2430" spans="1:2" ht="14.4">
      <c r="A2430" s="6" t="s">
        <v>3936</v>
      </c>
      <c r="B2430" s="21" t="s">
        <v>2499</v>
      </c>
    </row>
    <row r="2431" spans="1:2" ht="14.4">
      <c r="A2431" s="6" t="s">
        <v>3937</v>
      </c>
      <c r="B2431" s="21" t="s">
        <v>2499</v>
      </c>
    </row>
    <row r="2432" spans="1:2" ht="14.4">
      <c r="A2432" s="6" t="s">
        <v>3938</v>
      </c>
      <c r="B2432" s="21" t="s">
        <v>2499</v>
      </c>
    </row>
    <row r="2433" spans="1:2" ht="14.4">
      <c r="A2433" s="6" t="s">
        <v>3939</v>
      </c>
      <c r="B2433" s="21" t="s">
        <v>2499</v>
      </c>
    </row>
    <row r="2434" spans="1:2" ht="14.4">
      <c r="A2434" s="6" t="s">
        <v>3940</v>
      </c>
      <c r="B2434" s="21" t="s">
        <v>2499</v>
      </c>
    </row>
    <row r="2435" spans="1:2" ht="14.4">
      <c r="A2435" s="6" t="s">
        <v>3941</v>
      </c>
      <c r="B2435" s="21" t="s">
        <v>2499</v>
      </c>
    </row>
    <row r="2436" spans="1:2" ht="14.4">
      <c r="A2436" s="6" t="s">
        <v>3942</v>
      </c>
      <c r="B2436" s="21" t="s">
        <v>2499</v>
      </c>
    </row>
    <row r="2437" spans="1:2" ht="14.4">
      <c r="A2437" s="6" t="s">
        <v>3943</v>
      </c>
      <c r="B2437" s="21" t="s">
        <v>2499</v>
      </c>
    </row>
    <row r="2438" spans="1:2" ht="14.4">
      <c r="A2438" s="6" t="s">
        <v>3944</v>
      </c>
      <c r="B2438" s="21" t="s">
        <v>2499</v>
      </c>
    </row>
    <row r="2439" spans="1:2" ht="14.4">
      <c r="A2439" s="6" t="s">
        <v>3945</v>
      </c>
      <c r="B2439" s="21" t="s">
        <v>2499</v>
      </c>
    </row>
    <row r="2440" spans="1:2" ht="14.4">
      <c r="A2440" s="6" t="s">
        <v>3946</v>
      </c>
      <c r="B2440" s="21" t="s">
        <v>2499</v>
      </c>
    </row>
    <row r="2441" spans="1:2" ht="14.4">
      <c r="A2441" s="6" t="s">
        <v>3947</v>
      </c>
      <c r="B2441" s="21" t="s">
        <v>2499</v>
      </c>
    </row>
    <row r="2442" spans="1:2" ht="14.4">
      <c r="A2442" s="6" t="s">
        <v>3948</v>
      </c>
      <c r="B2442" s="21" t="s">
        <v>2499</v>
      </c>
    </row>
    <row r="2443" spans="1:2" ht="14.4">
      <c r="A2443" s="6" t="s">
        <v>3949</v>
      </c>
      <c r="B2443" s="21" t="s">
        <v>2499</v>
      </c>
    </row>
    <row r="2444" spans="1:2" ht="14.4">
      <c r="A2444" s="6" t="s">
        <v>3950</v>
      </c>
      <c r="B2444" s="21" t="s">
        <v>2499</v>
      </c>
    </row>
    <row r="2445" spans="1:2" ht="14.4">
      <c r="A2445" s="6" t="s">
        <v>3951</v>
      </c>
      <c r="B2445" s="21" t="s">
        <v>2499</v>
      </c>
    </row>
    <row r="2446" spans="1:2" ht="14.4">
      <c r="A2446" s="6" t="s">
        <v>3952</v>
      </c>
      <c r="B2446" s="21" t="s">
        <v>2499</v>
      </c>
    </row>
    <row r="2447" spans="1:2" ht="14.4">
      <c r="A2447" s="6" t="s">
        <v>3953</v>
      </c>
      <c r="B2447" s="21" t="s">
        <v>2499</v>
      </c>
    </row>
    <row r="2448" spans="1:2" ht="14.4">
      <c r="A2448" s="6" t="s">
        <v>3954</v>
      </c>
      <c r="B2448" s="21" t="s">
        <v>2499</v>
      </c>
    </row>
    <row r="2449" spans="1:2" ht="14.4">
      <c r="A2449" s="6" t="s">
        <v>3955</v>
      </c>
      <c r="B2449" s="21" t="s">
        <v>2499</v>
      </c>
    </row>
    <row r="2450" spans="1:2" ht="14.4">
      <c r="A2450" s="6" t="s">
        <v>3956</v>
      </c>
      <c r="B2450" s="21" t="s">
        <v>2499</v>
      </c>
    </row>
    <row r="2451" spans="1:2" ht="14.4">
      <c r="A2451" s="6" t="s">
        <v>3957</v>
      </c>
      <c r="B2451" s="21" t="s">
        <v>2499</v>
      </c>
    </row>
    <row r="2452" spans="1:2" ht="14.4">
      <c r="A2452" s="6" t="s">
        <v>3958</v>
      </c>
      <c r="B2452" s="21" t="s">
        <v>2499</v>
      </c>
    </row>
    <row r="2453" spans="1:2" ht="14.4">
      <c r="A2453" s="6" t="s">
        <v>3959</v>
      </c>
      <c r="B2453" s="21" t="s">
        <v>2499</v>
      </c>
    </row>
    <row r="2454" spans="1:2" ht="14.4">
      <c r="A2454" s="6" t="s">
        <v>3960</v>
      </c>
      <c r="B2454" s="21" t="s">
        <v>2499</v>
      </c>
    </row>
    <row r="2455" spans="1:2" ht="14.4">
      <c r="A2455" s="6" t="s">
        <v>3961</v>
      </c>
      <c r="B2455" s="21" t="s">
        <v>2499</v>
      </c>
    </row>
    <row r="2456" spans="1:2" ht="14.4">
      <c r="A2456" s="6" t="s">
        <v>3962</v>
      </c>
      <c r="B2456" s="21" t="s">
        <v>2499</v>
      </c>
    </row>
    <row r="2457" spans="1:2" ht="14.4">
      <c r="A2457" s="6" t="s">
        <v>3963</v>
      </c>
      <c r="B2457" s="21" t="s">
        <v>2499</v>
      </c>
    </row>
    <row r="2458" spans="1:2" ht="14.4">
      <c r="A2458" s="6" t="s">
        <v>3964</v>
      </c>
      <c r="B2458" s="21" t="s">
        <v>2499</v>
      </c>
    </row>
    <row r="2459" spans="1:2" ht="14.4">
      <c r="A2459" s="6" t="s">
        <v>3965</v>
      </c>
      <c r="B2459" s="21" t="s">
        <v>2499</v>
      </c>
    </row>
    <row r="2460" spans="1:2" ht="14.4">
      <c r="A2460" s="6" t="s">
        <v>3966</v>
      </c>
      <c r="B2460" s="21" t="s">
        <v>2499</v>
      </c>
    </row>
    <row r="2461" spans="1:2" ht="14.4">
      <c r="A2461" s="6" t="s">
        <v>3967</v>
      </c>
      <c r="B2461" s="21" t="s">
        <v>2499</v>
      </c>
    </row>
    <row r="2462" spans="1:2" ht="14.4">
      <c r="A2462" s="6" t="s">
        <v>3968</v>
      </c>
      <c r="B2462" s="21" t="s">
        <v>2499</v>
      </c>
    </row>
    <row r="2463" spans="1:2" ht="14.4">
      <c r="A2463" s="6" t="s">
        <v>3969</v>
      </c>
      <c r="B2463" s="21" t="s">
        <v>2499</v>
      </c>
    </row>
    <row r="2464" spans="1:2" ht="14.4">
      <c r="A2464" s="6" t="s">
        <v>3970</v>
      </c>
      <c r="B2464" s="21" t="s">
        <v>2499</v>
      </c>
    </row>
    <row r="2465" spans="1:2" ht="14.4">
      <c r="A2465" s="6" t="s">
        <v>3971</v>
      </c>
      <c r="B2465" s="21" t="s">
        <v>2499</v>
      </c>
    </row>
    <row r="2466" spans="1:2" ht="14.4">
      <c r="A2466" s="6" t="s">
        <v>3972</v>
      </c>
      <c r="B2466" s="21" t="s">
        <v>2499</v>
      </c>
    </row>
    <row r="2467" spans="1:2" ht="14.4">
      <c r="A2467" s="6" t="s">
        <v>3973</v>
      </c>
      <c r="B2467" s="21" t="s">
        <v>2499</v>
      </c>
    </row>
    <row r="2468" spans="1:2" ht="14.4">
      <c r="A2468" s="6" t="s">
        <v>3974</v>
      </c>
      <c r="B2468" s="21" t="s">
        <v>2499</v>
      </c>
    </row>
    <row r="2469" spans="1:2" ht="14.4">
      <c r="A2469" s="6" t="s">
        <v>3975</v>
      </c>
      <c r="B2469" s="21" t="s">
        <v>2499</v>
      </c>
    </row>
    <row r="2470" spans="1:2" ht="14.4">
      <c r="A2470" s="6" t="s">
        <v>3976</v>
      </c>
      <c r="B2470" s="21" t="s">
        <v>2499</v>
      </c>
    </row>
    <row r="2471" spans="1:2" ht="14.4">
      <c r="A2471" s="6" t="s">
        <v>3977</v>
      </c>
      <c r="B2471" s="21" t="s">
        <v>2499</v>
      </c>
    </row>
    <row r="2472" spans="1:2" ht="14.4">
      <c r="A2472" s="6" t="s">
        <v>3978</v>
      </c>
      <c r="B2472" s="21" t="s">
        <v>2499</v>
      </c>
    </row>
    <row r="2473" spans="1:2" ht="14.4">
      <c r="A2473" s="6" t="s">
        <v>3979</v>
      </c>
      <c r="B2473" s="21" t="s">
        <v>2499</v>
      </c>
    </row>
    <row r="2474" spans="1:2" ht="14.4">
      <c r="A2474" s="6" t="s">
        <v>3980</v>
      </c>
      <c r="B2474" s="21" t="s">
        <v>2499</v>
      </c>
    </row>
    <row r="2475" spans="1:2" ht="14.4">
      <c r="A2475" s="6" t="s">
        <v>3981</v>
      </c>
      <c r="B2475" s="21" t="s">
        <v>2499</v>
      </c>
    </row>
    <row r="2476" spans="1:2" ht="14.4">
      <c r="A2476" s="6" t="s">
        <v>3982</v>
      </c>
      <c r="B2476" s="21" t="s">
        <v>2499</v>
      </c>
    </row>
    <row r="2477" spans="1:2" ht="14.4">
      <c r="A2477" s="6" t="s">
        <v>3983</v>
      </c>
      <c r="B2477" s="21" t="s">
        <v>2499</v>
      </c>
    </row>
    <row r="2478" spans="1:2" ht="14.4">
      <c r="A2478" s="6" t="s">
        <v>3984</v>
      </c>
      <c r="B2478" s="21" t="s">
        <v>2499</v>
      </c>
    </row>
    <row r="2479" spans="1:2" ht="14.4">
      <c r="A2479" s="6" t="s">
        <v>3985</v>
      </c>
      <c r="B2479" s="21" t="s">
        <v>2499</v>
      </c>
    </row>
    <row r="2480" spans="1:2" ht="14.4">
      <c r="A2480" s="6" t="s">
        <v>3986</v>
      </c>
      <c r="B2480" s="21" t="s">
        <v>2499</v>
      </c>
    </row>
    <row r="2481" spans="1:2" ht="14.4">
      <c r="A2481" s="6" t="s">
        <v>3987</v>
      </c>
      <c r="B2481" s="21" t="s">
        <v>2499</v>
      </c>
    </row>
    <row r="2482" spans="1:2" ht="14.4">
      <c r="A2482" s="6" t="s">
        <v>3988</v>
      </c>
      <c r="B2482" s="21" t="s">
        <v>2499</v>
      </c>
    </row>
    <row r="2483" spans="1:2" ht="14.4">
      <c r="A2483" s="6" t="s">
        <v>3989</v>
      </c>
      <c r="B2483" s="21" t="s">
        <v>2499</v>
      </c>
    </row>
    <row r="2484" spans="1:2" ht="14.4">
      <c r="A2484" s="6" t="s">
        <v>3990</v>
      </c>
      <c r="B2484" s="21" t="s">
        <v>2499</v>
      </c>
    </row>
    <row r="2485" spans="1:2" ht="14.4">
      <c r="A2485" s="6" t="s">
        <v>3991</v>
      </c>
      <c r="B2485" s="21" t="s">
        <v>2499</v>
      </c>
    </row>
    <row r="2486" spans="1:2" ht="14.4">
      <c r="A2486" s="6" t="s">
        <v>3992</v>
      </c>
      <c r="B2486" s="21" t="s">
        <v>2499</v>
      </c>
    </row>
    <row r="2487" spans="1:2" ht="14.4">
      <c r="A2487" s="6" t="s">
        <v>3993</v>
      </c>
      <c r="B2487" s="21" t="s">
        <v>2499</v>
      </c>
    </row>
    <row r="2488" spans="1:2" ht="14.4">
      <c r="A2488" s="6" t="s">
        <v>3994</v>
      </c>
      <c r="B2488" s="21" t="s">
        <v>2499</v>
      </c>
    </row>
    <row r="2489" spans="1:2" ht="14.4">
      <c r="A2489" s="6" t="s">
        <v>3995</v>
      </c>
      <c r="B2489" s="21" t="s">
        <v>2499</v>
      </c>
    </row>
    <row r="2490" spans="1:2" ht="14.4">
      <c r="A2490" s="6" t="s">
        <v>3996</v>
      </c>
      <c r="B2490" s="21" t="s">
        <v>2499</v>
      </c>
    </row>
    <row r="2491" spans="1:2" ht="14.4">
      <c r="A2491" s="6" t="s">
        <v>3997</v>
      </c>
      <c r="B2491" s="21" t="s">
        <v>2499</v>
      </c>
    </row>
    <row r="2492" spans="1:2" ht="14.4">
      <c r="A2492" s="6" t="s">
        <v>3998</v>
      </c>
      <c r="B2492" s="21" t="s">
        <v>2499</v>
      </c>
    </row>
    <row r="2493" spans="1:2" ht="14.4">
      <c r="A2493" s="6" t="s">
        <v>3999</v>
      </c>
      <c r="B2493" s="21" t="s">
        <v>2499</v>
      </c>
    </row>
    <row r="2494" spans="1:2" ht="14.4">
      <c r="A2494" s="6" t="s">
        <v>4000</v>
      </c>
      <c r="B2494" s="21" t="s">
        <v>2499</v>
      </c>
    </row>
    <row r="2495" spans="1:2" ht="14.4">
      <c r="A2495" s="6" t="s">
        <v>4001</v>
      </c>
      <c r="B2495" s="21" t="s">
        <v>2499</v>
      </c>
    </row>
    <row r="2496" spans="1:2" ht="14.4">
      <c r="A2496" s="6" t="s">
        <v>4002</v>
      </c>
      <c r="B2496" s="21" t="s">
        <v>2499</v>
      </c>
    </row>
    <row r="2497" spans="1:2" ht="14.4">
      <c r="A2497" s="6" t="s">
        <v>4003</v>
      </c>
      <c r="B2497" s="21" t="s">
        <v>2499</v>
      </c>
    </row>
    <row r="2498" spans="1:2" ht="14.4">
      <c r="A2498" s="6" t="s">
        <v>4004</v>
      </c>
      <c r="B2498" s="21" t="s">
        <v>2499</v>
      </c>
    </row>
    <row r="2499" spans="1:2" ht="14.4">
      <c r="A2499" s="6" t="s">
        <v>4005</v>
      </c>
      <c r="B2499" s="21" t="s">
        <v>2499</v>
      </c>
    </row>
    <row r="2500" spans="1:2" ht="14.4">
      <c r="A2500" s="6" t="s">
        <v>4006</v>
      </c>
      <c r="B2500" s="21" t="s">
        <v>2499</v>
      </c>
    </row>
    <row r="2501" spans="1:2" ht="14.4">
      <c r="A2501" s="6" t="s">
        <v>4007</v>
      </c>
      <c r="B2501" s="21" t="s">
        <v>2499</v>
      </c>
    </row>
    <row r="2502" spans="1:2" ht="14.4">
      <c r="A2502" s="6" t="s">
        <v>4008</v>
      </c>
      <c r="B2502" s="21" t="s">
        <v>2499</v>
      </c>
    </row>
    <row r="2503" spans="1:2" ht="14.4">
      <c r="A2503" s="6" t="s">
        <v>4009</v>
      </c>
      <c r="B2503" s="21" t="s">
        <v>2499</v>
      </c>
    </row>
    <row r="2504" spans="1:2" ht="14.4">
      <c r="A2504" s="6" t="s">
        <v>4010</v>
      </c>
      <c r="B2504" s="21" t="s">
        <v>2499</v>
      </c>
    </row>
    <row r="2505" spans="1:2" ht="14.4">
      <c r="A2505" s="6" t="s">
        <v>4011</v>
      </c>
      <c r="B2505" s="21" t="s">
        <v>2499</v>
      </c>
    </row>
    <row r="2506" spans="1:2" ht="14.4">
      <c r="A2506" s="6" t="s">
        <v>4012</v>
      </c>
      <c r="B2506" s="21" t="s">
        <v>2499</v>
      </c>
    </row>
    <row r="2507" spans="1:2" ht="14.4">
      <c r="A2507" s="6" t="s">
        <v>4013</v>
      </c>
      <c r="B2507" s="21" t="s">
        <v>2499</v>
      </c>
    </row>
    <row r="2508" spans="1:2" ht="14.4">
      <c r="A2508" s="6" t="s">
        <v>4014</v>
      </c>
      <c r="B2508" s="21" t="s">
        <v>2499</v>
      </c>
    </row>
    <row r="2509" spans="1:2" ht="14.4">
      <c r="A2509" s="6" t="s">
        <v>4015</v>
      </c>
      <c r="B2509" s="21" t="s">
        <v>2499</v>
      </c>
    </row>
    <row r="2510" spans="1:2" ht="14.4">
      <c r="A2510" s="6" t="s">
        <v>4016</v>
      </c>
      <c r="B2510" s="21" t="s">
        <v>2499</v>
      </c>
    </row>
    <row r="2511" spans="1:2" ht="14.4">
      <c r="A2511" s="6" t="s">
        <v>4017</v>
      </c>
      <c r="B2511" s="21" t="s">
        <v>2499</v>
      </c>
    </row>
    <row r="2512" spans="1:2" ht="14.4">
      <c r="A2512" s="6" t="s">
        <v>4018</v>
      </c>
      <c r="B2512" s="21" t="s">
        <v>2499</v>
      </c>
    </row>
    <row r="2513" spans="1:2" ht="14.4">
      <c r="A2513" s="6" t="s">
        <v>4019</v>
      </c>
      <c r="B2513" s="21" t="s">
        <v>2499</v>
      </c>
    </row>
    <row r="2514" spans="1:2" ht="14.4">
      <c r="A2514" s="6" t="s">
        <v>4020</v>
      </c>
      <c r="B2514" s="21" t="s">
        <v>2499</v>
      </c>
    </row>
    <row r="2515" spans="1:2" ht="14.4">
      <c r="A2515" s="6" t="s">
        <v>4021</v>
      </c>
      <c r="B2515" s="21" t="s">
        <v>2499</v>
      </c>
    </row>
    <row r="2516" spans="1:2" ht="14.4">
      <c r="A2516" s="6" t="s">
        <v>4022</v>
      </c>
      <c r="B2516" s="21" t="s">
        <v>2499</v>
      </c>
    </row>
    <row r="2517" spans="1:2" ht="14.4">
      <c r="A2517" s="6" t="s">
        <v>4023</v>
      </c>
      <c r="B2517" s="21" t="s">
        <v>2499</v>
      </c>
    </row>
    <row r="2518" spans="1:2" ht="14.4">
      <c r="A2518" s="6" t="s">
        <v>4024</v>
      </c>
      <c r="B2518" s="21" t="s">
        <v>2499</v>
      </c>
    </row>
    <row r="2519" spans="1:2" ht="14.4">
      <c r="A2519" s="6" t="s">
        <v>4025</v>
      </c>
      <c r="B2519" s="21" t="s">
        <v>2499</v>
      </c>
    </row>
    <row r="2520" spans="1:2" ht="14.4">
      <c r="A2520" s="6" t="s">
        <v>4026</v>
      </c>
      <c r="B2520" s="21" t="s">
        <v>2499</v>
      </c>
    </row>
    <row r="2521" spans="1:2" ht="14.4">
      <c r="A2521" s="6" t="s">
        <v>4027</v>
      </c>
      <c r="B2521" s="21" t="s">
        <v>2499</v>
      </c>
    </row>
    <row r="2522" spans="1:2" ht="14.4">
      <c r="A2522" s="6" t="s">
        <v>4028</v>
      </c>
      <c r="B2522" s="21" t="s">
        <v>2499</v>
      </c>
    </row>
    <row r="2523" spans="1:2" ht="14.4">
      <c r="A2523" s="6" t="s">
        <v>4029</v>
      </c>
      <c r="B2523" s="21" t="s">
        <v>2499</v>
      </c>
    </row>
    <row r="2524" spans="1:2" ht="14.4">
      <c r="A2524" s="6" t="s">
        <v>4030</v>
      </c>
      <c r="B2524" s="21" t="s">
        <v>2499</v>
      </c>
    </row>
    <row r="2525" spans="1:2" ht="14.4">
      <c r="A2525" s="6" t="s">
        <v>4031</v>
      </c>
      <c r="B2525" s="21" t="s">
        <v>2499</v>
      </c>
    </row>
    <row r="2526" spans="1:2" ht="14.4">
      <c r="A2526" s="6" t="s">
        <v>4032</v>
      </c>
      <c r="B2526" s="21" t="s">
        <v>2499</v>
      </c>
    </row>
    <row r="2527" spans="1:2" ht="14.4">
      <c r="A2527" s="6" t="s">
        <v>4033</v>
      </c>
      <c r="B2527" s="21" t="s">
        <v>2499</v>
      </c>
    </row>
    <row r="2528" spans="1:2" ht="14.4">
      <c r="A2528" s="6" t="s">
        <v>4034</v>
      </c>
      <c r="B2528" s="21" t="s">
        <v>2499</v>
      </c>
    </row>
    <row r="2529" spans="1:2" ht="14.4">
      <c r="A2529" s="6" t="s">
        <v>4035</v>
      </c>
      <c r="B2529" s="21" t="s">
        <v>2499</v>
      </c>
    </row>
    <row r="2530" spans="1:2" ht="14.4">
      <c r="A2530" s="6" t="s">
        <v>4036</v>
      </c>
      <c r="B2530" s="21" t="s">
        <v>2499</v>
      </c>
    </row>
    <row r="2531" spans="1:2" ht="14.4">
      <c r="A2531" s="6" t="s">
        <v>4037</v>
      </c>
      <c r="B2531" s="21" t="s">
        <v>2499</v>
      </c>
    </row>
    <row r="2532" spans="1:2" ht="14.4">
      <c r="A2532" s="6" t="s">
        <v>4038</v>
      </c>
      <c r="B2532" s="21" t="s">
        <v>2499</v>
      </c>
    </row>
    <row r="2533" spans="1:2" ht="14.4">
      <c r="A2533" s="6" t="s">
        <v>4039</v>
      </c>
      <c r="B2533" s="21" t="s">
        <v>2499</v>
      </c>
    </row>
    <row r="2534" spans="1:2" ht="14.4">
      <c r="A2534" s="6" t="s">
        <v>4040</v>
      </c>
      <c r="B2534" s="21" t="s">
        <v>2499</v>
      </c>
    </row>
    <row r="2535" spans="1:2" ht="14.4">
      <c r="A2535" s="6" t="s">
        <v>4041</v>
      </c>
      <c r="B2535" s="21" t="s">
        <v>2499</v>
      </c>
    </row>
    <row r="2536" spans="1:2" ht="14.4">
      <c r="A2536" s="6" t="s">
        <v>4042</v>
      </c>
      <c r="B2536" s="21" t="s">
        <v>2499</v>
      </c>
    </row>
    <row r="2537" spans="1:2" ht="14.4">
      <c r="A2537" s="6" t="s">
        <v>4043</v>
      </c>
      <c r="B2537" s="21" t="s">
        <v>2499</v>
      </c>
    </row>
    <row r="2538" spans="1:2" ht="14.4">
      <c r="A2538" s="6" t="s">
        <v>4044</v>
      </c>
      <c r="B2538" s="21" t="s">
        <v>2499</v>
      </c>
    </row>
    <row r="2539" spans="1:2" ht="14.4">
      <c r="A2539" s="6" t="s">
        <v>4045</v>
      </c>
      <c r="B2539" s="21" t="s">
        <v>2499</v>
      </c>
    </row>
    <row r="2540" spans="1:2" ht="14.4">
      <c r="A2540" s="6" t="s">
        <v>4046</v>
      </c>
      <c r="B2540" s="21" t="s">
        <v>2499</v>
      </c>
    </row>
    <row r="2541" spans="1:2" ht="14.4">
      <c r="A2541" s="6" t="s">
        <v>4047</v>
      </c>
      <c r="B2541" s="21" t="s">
        <v>2499</v>
      </c>
    </row>
    <row r="2542" spans="1:2" ht="14.4">
      <c r="A2542" s="6" t="s">
        <v>4048</v>
      </c>
      <c r="B2542" s="21" t="s">
        <v>2499</v>
      </c>
    </row>
    <row r="2543" spans="1:2" ht="14.4">
      <c r="A2543" s="6" t="s">
        <v>4049</v>
      </c>
      <c r="B2543" s="21" t="s">
        <v>2499</v>
      </c>
    </row>
    <row r="2544" spans="1:2" ht="14.4">
      <c r="A2544" s="6" t="s">
        <v>4050</v>
      </c>
      <c r="B2544" s="21" t="s">
        <v>2499</v>
      </c>
    </row>
    <row r="2545" spans="1:2" ht="14.4">
      <c r="A2545" s="6" t="s">
        <v>4051</v>
      </c>
      <c r="B2545" s="21" t="s">
        <v>2499</v>
      </c>
    </row>
    <row r="2546" spans="1:2" ht="14.4">
      <c r="A2546" s="6" t="s">
        <v>4052</v>
      </c>
      <c r="B2546" s="21" t="s">
        <v>2499</v>
      </c>
    </row>
    <row r="2547" spans="1:2" ht="14.4">
      <c r="A2547" s="6" t="s">
        <v>4053</v>
      </c>
      <c r="B2547" s="21" t="s">
        <v>2499</v>
      </c>
    </row>
    <row r="2548" spans="1:2" ht="14.4">
      <c r="A2548" s="6" t="s">
        <v>4054</v>
      </c>
      <c r="B2548" s="21" t="s">
        <v>2499</v>
      </c>
    </row>
    <row r="2549" spans="1:2" ht="14.4">
      <c r="A2549" s="6" t="s">
        <v>4055</v>
      </c>
      <c r="B2549" s="21" t="s">
        <v>2499</v>
      </c>
    </row>
    <row r="2550" spans="1:2" ht="14.4">
      <c r="A2550" s="6" t="s">
        <v>4056</v>
      </c>
      <c r="B2550" s="21" t="s">
        <v>2499</v>
      </c>
    </row>
    <row r="2551" spans="1:2" ht="14.4">
      <c r="A2551" s="6" t="s">
        <v>4057</v>
      </c>
      <c r="B2551" s="21" t="s">
        <v>2499</v>
      </c>
    </row>
    <row r="2552" spans="1:2" ht="14.4">
      <c r="A2552" s="6" t="s">
        <v>4058</v>
      </c>
      <c r="B2552" s="21" t="s">
        <v>2499</v>
      </c>
    </row>
    <row r="2553" spans="1:2" ht="14.4">
      <c r="A2553" s="6" t="s">
        <v>4059</v>
      </c>
      <c r="B2553" s="21" t="s">
        <v>2499</v>
      </c>
    </row>
    <row r="2554" spans="1:2" ht="14.4">
      <c r="A2554" s="6" t="s">
        <v>4060</v>
      </c>
      <c r="B2554" s="21" t="s">
        <v>2499</v>
      </c>
    </row>
    <row r="2555" spans="1:2" ht="14.4">
      <c r="A2555" s="6" t="s">
        <v>4061</v>
      </c>
      <c r="B2555" s="21" t="s">
        <v>2499</v>
      </c>
    </row>
    <row r="2556" spans="1:2" ht="14.4">
      <c r="A2556" s="6" t="s">
        <v>4062</v>
      </c>
      <c r="B2556" s="21" t="s">
        <v>2499</v>
      </c>
    </row>
    <row r="2557" spans="1:2" ht="14.4">
      <c r="A2557" s="6" t="s">
        <v>4063</v>
      </c>
      <c r="B2557" s="21" t="s">
        <v>2499</v>
      </c>
    </row>
    <row r="2558" spans="1:2" ht="14.4">
      <c r="A2558" s="6" t="s">
        <v>4064</v>
      </c>
      <c r="B2558" s="21" t="s">
        <v>2499</v>
      </c>
    </row>
    <row r="2559" spans="1:2" ht="14.4">
      <c r="A2559" s="6" t="s">
        <v>4065</v>
      </c>
      <c r="B2559" s="21" t="s">
        <v>2499</v>
      </c>
    </row>
    <row r="2560" spans="1:2" ht="14.4">
      <c r="A2560" s="6" t="s">
        <v>4066</v>
      </c>
      <c r="B2560" s="21" t="s">
        <v>2499</v>
      </c>
    </row>
    <row r="2561" spans="1:2" ht="14.4">
      <c r="A2561" s="6" t="s">
        <v>4067</v>
      </c>
      <c r="B2561" s="21" t="s">
        <v>2499</v>
      </c>
    </row>
    <row r="2562" spans="1:2" ht="14.4">
      <c r="A2562" s="6" t="s">
        <v>4068</v>
      </c>
      <c r="B2562" s="21" t="s">
        <v>2499</v>
      </c>
    </row>
    <row r="2563" spans="1:2" ht="14.4">
      <c r="A2563" s="6" t="s">
        <v>4069</v>
      </c>
      <c r="B2563" s="21" t="s">
        <v>2499</v>
      </c>
    </row>
    <row r="2564" spans="1:2" ht="14.4">
      <c r="A2564" s="6" t="s">
        <v>4070</v>
      </c>
      <c r="B2564" s="21" t="s">
        <v>2499</v>
      </c>
    </row>
    <row r="2565" spans="1:2" ht="14.4">
      <c r="A2565" s="6" t="s">
        <v>4071</v>
      </c>
      <c r="B2565" s="21" t="s">
        <v>2499</v>
      </c>
    </row>
    <row r="2566" spans="1:2" ht="14.4">
      <c r="A2566" s="6" t="s">
        <v>4072</v>
      </c>
      <c r="B2566" s="21" t="s">
        <v>2499</v>
      </c>
    </row>
    <row r="2567" spans="1:2" ht="14.4">
      <c r="A2567" s="6" t="s">
        <v>4073</v>
      </c>
      <c r="B2567" s="21" t="s">
        <v>2499</v>
      </c>
    </row>
    <row r="2568" spans="1:2" ht="14.4">
      <c r="A2568" s="6" t="s">
        <v>4074</v>
      </c>
      <c r="B2568" s="21" t="s">
        <v>2499</v>
      </c>
    </row>
    <row r="2569" spans="1:2" ht="14.4">
      <c r="A2569" s="6" t="s">
        <v>4075</v>
      </c>
      <c r="B2569" s="21" t="s">
        <v>2499</v>
      </c>
    </row>
    <row r="2570" spans="1:2" ht="14.4">
      <c r="A2570" s="6" t="s">
        <v>4076</v>
      </c>
      <c r="B2570" s="21" t="s">
        <v>2499</v>
      </c>
    </row>
    <row r="2571" spans="1:2" ht="14.4">
      <c r="A2571" s="6" t="s">
        <v>4077</v>
      </c>
      <c r="B2571" s="21" t="s">
        <v>2499</v>
      </c>
    </row>
    <row r="2572" spans="1:2" ht="14.4">
      <c r="A2572" s="6" t="s">
        <v>4078</v>
      </c>
      <c r="B2572" s="21" t="s">
        <v>2499</v>
      </c>
    </row>
    <row r="2573" spans="1:2" ht="14.4">
      <c r="A2573" s="6" t="s">
        <v>4079</v>
      </c>
      <c r="B2573" s="21" t="s">
        <v>2499</v>
      </c>
    </row>
    <row r="2574" spans="1:2" ht="14.4">
      <c r="A2574" s="6" t="s">
        <v>4080</v>
      </c>
      <c r="B2574" s="21" t="s">
        <v>2499</v>
      </c>
    </row>
    <row r="2575" spans="1:2" ht="14.4">
      <c r="A2575" s="6" t="s">
        <v>4081</v>
      </c>
      <c r="B2575" s="21" t="s">
        <v>2499</v>
      </c>
    </row>
    <row r="2576" spans="1:2" ht="14.4">
      <c r="A2576" s="6" t="s">
        <v>4082</v>
      </c>
      <c r="B2576" s="21" t="s">
        <v>2499</v>
      </c>
    </row>
    <row r="2577" spans="1:2" ht="14.4">
      <c r="A2577" s="6" t="s">
        <v>4083</v>
      </c>
      <c r="B2577" s="21" t="s">
        <v>2499</v>
      </c>
    </row>
    <row r="2578" spans="1:2" ht="14.4">
      <c r="A2578" s="6" t="s">
        <v>4084</v>
      </c>
      <c r="B2578" s="21" t="s">
        <v>2499</v>
      </c>
    </row>
    <row r="2579" spans="1:2" ht="14.4">
      <c r="A2579" s="6" t="s">
        <v>4085</v>
      </c>
      <c r="B2579" s="21" t="s">
        <v>2499</v>
      </c>
    </row>
    <row r="2580" spans="1:2" ht="14.4">
      <c r="A2580" s="6" t="s">
        <v>4086</v>
      </c>
      <c r="B2580" s="21" t="s">
        <v>2499</v>
      </c>
    </row>
    <row r="2581" spans="1:2" ht="14.4">
      <c r="A2581" s="6" t="s">
        <v>4087</v>
      </c>
      <c r="B2581" s="21" t="s">
        <v>2499</v>
      </c>
    </row>
    <row r="2582" spans="1:2" ht="14.4">
      <c r="A2582" s="6" t="s">
        <v>4088</v>
      </c>
      <c r="B2582" s="21" t="s">
        <v>2499</v>
      </c>
    </row>
    <row r="2583" spans="1:2" ht="14.4">
      <c r="A2583" s="6" t="s">
        <v>4089</v>
      </c>
      <c r="B2583" s="21" t="s">
        <v>2499</v>
      </c>
    </row>
    <row r="2584" spans="1:2" ht="14.4">
      <c r="A2584" s="6" t="s">
        <v>4090</v>
      </c>
      <c r="B2584" s="21" t="s">
        <v>2499</v>
      </c>
    </row>
    <row r="2585" spans="1:2" ht="14.4">
      <c r="A2585" s="6" t="s">
        <v>4091</v>
      </c>
      <c r="B2585" s="21" t="s">
        <v>2499</v>
      </c>
    </row>
    <row r="2586" spans="1:2" ht="14.4">
      <c r="A2586" s="6" t="s">
        <v>4092</v>
      </c>
      <c r="B2586" s="21" t="s">
        <v>2499</v>
      </c>
    </row>
    <row r="2587" spans="1:2" ht="14.4">
      <c r="A2587" s="6" t="s">
        <v>4093</v>
      </c>
      <c r="B2587" s="21" t="s">
        <v>2499</v>
      </c>
    </row>
    <row r="2588" spans="1:2" ht="14.4">
      <c r="A2588" s="6" t="s">
        <v>4094</v>
      </c>
      <c r="B2588" s="21" t="s">
        <v>2499</v>
      </c>
    </row>
    <row r="2589" spans="1:2" ht="14.4">
      <c r="A2589" s="6" t="s">
        <v>4095</v>
      </c>
      <c r="B2589" s="21" t="s">
        <v>2499</v>
      </c>
    </row>
    <row r="2590" spans="1:2" ht="14.4">
      <c r="A2590" s="6" t="s">
        <v>4096</v>
      </c>
      <c r="B2590" s="21" t="s">
        <v>2499</v>
      </c>
    </row>
    <row r="2591" spans="1:2" ht="14.4">
      <c r="A2591" s="6" t="s">
        <v>4097</v>
      </c>
      <c r="B2591" s="21" t="s">
        <v>2499</v>
      </c>
    </row>
    <row r="2592" spans="1:2" ht="14.4">
      <c r="A2592" s="6" t="s">
        <v>4098</v>
      </c>
      <c r="B2592" s="21" t="s">
        <v>2499</v>
      </c>
    </row>
    <row r="2593" spans="1:2" ht="14.4">
      <c r="A2593" s="6" t="s">
        <v>4099</v>
      </c>
      <c r="B2593" s="21" t="s">
        <v>2499</v>
      </c>
    </row>
    <row r="2594" spans="1:2" ht="14.4">
      <c r="A2594" s="6" t="s">
        <v>4100</v>
      </c>
      <c r="B2594" s="21" t="s">
        <v>2499</v>
      </c>
    </row>
    <row r="2595" spans="1:2" ht="14.4">
      <c r="A2595" s="6" t="s">
        <v>4101</v>
      </c>
      <c r="B2595" s="21" t="s">
        <v>2499</v>
      </c>
    </row>
    <row r="2596" spans="1:2" ht="14.4">
      <c r="A2596" s="6" t="s">
        <v>4102</v>
      </c>
      <c r="B2596" s="21" t="s">
        <v>2499</v>
      </c>
    </row>
    <row r="2597" spans="1:2" ht="14.4">
      <c r="A2597" s="6" t="s">
        <v>4103</v>
      </c>
      <c r="B2597" s="21" t="s">
        <v>2499</v>
      </c>
    </row>
    <row r="2598" spans="1:2" ht="14.4">
      <c r="A2598" s="6" t="s">
        <v>4104</v>
      </c>
      <c r="B2598" s="21" t="s">
        <v>2499</v>
      </c>
    </row>
    <row r="2599" spans="1:2" ht="14.4">
      <c r="A2599" s="6" t="s">
        <v>4105</v>
      </c>
      <c r="B2599" s="21" t="s">
        <v>2499</v>
      </c>
    </row>
    <row r="2600" spans="1:2" ht="14.4">
      <c r="A2600" s="6" t="s">
        <v>4106</v>
      </c>
      <c r="B2600" s="21" t="s">
        <v>2499</v>
      </c>
    </row>
    <row r="2601" spans="1:2" ht="14.4">
      <c r="A2601" s="6" t="s">
        <v>4107</v>
      </c>
      <c r="B2601" s="21" t="s">
        <v>2499</v>
      </c>
    </row>
    <row r="2602" spans="1:2" ht="14.4">
      <c r="A2602" s="6" t="s">
        <v>4108</v>
      </c>
      <c r="B2602" s="21" t="s">
        <v>2499</v>
      </c>
    </row>
    <row r="2603" spans="1:2" ht="14.4">
      <c r="A2603" s="6" t="s">
        <v>4109</v>
      </c>
      <c r="B2603" s="21" t="s">
        <v>2499</v>
      </c>
    </row>
    <row r="2604" spans="1:2" ht="14.4">
      <c r="A2604" s="6" t="s">
        <v>4110</v>
      </c>
      <c r="B2604" s="21" t="s">
        <v>2499</v>
      </c>
    </row>
    <row r="2605" spans="1:2" ht="14.4">
      <c r="A2605" s="6" t="s">
        <v>4111</v>
      </c>
      <c r="B2605" s="21" t="s">
        <v>2499</v>
      </c>
    </row>
    <row r="2606" spans="1:2" ht="14.4">
      <c r="A2606" s="6" t="s">
        <v>4112</v>
      </c>
      <c r="B2606" s="21" t="s">
        <v>2499</v>
      </c>
    </row>
    <row r="2607" spans="1:2" ht="14.4">
      <c r="A2607" s="6" t="s">
        <v>4113</v>
      </c>
      <c r="B2607" s="21" t="s">
        <v>2499</v>
      </c>
    </row>
    <row r="2608" spans="1:2" ht="14.4">
      <c r="A2608" s="6" t="s">
        <v>4114</v>
      </c>
      <c r="B2608" s="21" t="s">
        <v>2499</v>
      </c>
    </row>
    <row r="2609" spans="1:2" ht="14.4">
      <c r="A2609" s="6" t="s">
        <v>4115</v>
      </c>
      <c r="B2609" s="21" t="s">
        <v>2499</v>
      </c>
    </row>
    <row r="2610" spans="1:2" ht="14.4">
      <c r="A2610" s="6" t="s">
        <v>4116</v>
      </c>
      <c r="B2610" s="21" t="s">
        <v>2499</v>
      </c>
    </row>
    <row r="2611" spans="1:2" ht="14.4">
      <c r="A2611" s="6" t="s">
        <v>4117</v>
      </c>
      <c r="B2611" s="21" t="s">
        <v>2499</v>
      </c>
    </row>
    <row r="2612" spans="1:2" ht="14.4">
      <c r="A2612" s="6" t="s">
        <v>4118</v>
      </c>
      <c r="B2612" s="21" t="s">
        <v>2499</v>
      </c>
    </row>
    <row r="2613" spans="1:2" ht="14.4">
      <c r="A2613" s="6" t="s">
        <v>4119</v>
      </c>
      <c r="B2613" s="21" t="s">
        <v>2499</v>
      </c>
    </row>
    <row r="2614" spans="1:2" ht="14.4">
      <c r="A2614" s="6" t="s">
        <v>4120</v>
      </c>
      <c r="B2614" s="21" t="s">
        <v>2499</v>
      </c>
    </row>
    <row r="2615" spans="1:2" ht="14.4">
      <c r="A2615" s="6" t="s">
        <v>4121</v>
      </c>
      <c r="B2615" s="21" t="s">
        <v>2499</v>
      </c>
    </row>
    <row r="2616" spans="1:2" ht="14.4">
      <c r="A2616" s="6" t="s">
        <v>4122</v>
      </c>
      <c r="B2616" s="21" t="s">
        <v>2499</v>
      </c>
    </row>
    <row r="2617" spans="1:2" ht="14.4">
      <c r="A2617" s="6" t="s">
        <v>4123</v>
      </c>
      <c r="B2617" s="21" t="s">
        <v>2499</v>
      </c>
    </row>
    <row r="2618" spans="1:2" ht="14.4">
      <c r="A2618" s="6" t="s">
        <v>4124</v>
      </c>
      <c r="B2618" s="21" t="s">
        <v>2499</v>
      </c>
    </row>
    <row r="2619" spans="1:2" ht="14.4">
      <c r="A2619" s="6" t="s">
        <v>4125</v>
      </c>
      <c r="B2619" s="21" t="s">
        <v>2499</v>
      </c>
    </row>
    <row r="2620" spans="1:2" ht="14.4">
      <c r="A2620" s="6" t="s">
        <v>4126</v>
      </c>
      <c r="B2620" s="21" t="s">
        <v>2499</v>
      </c>
    </row>
    <row r="2621" spans="1:2" ht="14.4">
      <c r="A2621" s="6" t="s">
        <v>4127</v>
      </c>
      <c r="B2621" s="21" t="s">
        <v>2499</v>
      </c>
    </row>
    <row r="2622" spans="1:2" ht="14.4">
      <c r="A2622" s="6" t="s">
        <v>4128</v>
      </c>
      <c r="B2622" s="21" t="s">
        <v>2499</v>
      </c>
    </row>
    <row r="2623" spans="1:2" ht="14.4">
      <c r="A2623" s="6" t="s">
        <v>4129</v>
      </c>
      <c r="B2623" s="21" t="s">
        <v>2499</v>
      </c>
    </row>
    <row r="2624" spans="1:2" ht="14.4">
      <c r="A2624" s="6" t="s">
        <v>4130</v>
      </c>
      <c r="B2624" s="21" t="s">
        <v>2499</v>
      </c>
    </row>
    <row r="2625" spans="1:2" ht="14.4">
      <c r="A2625" s="6" t="s">
        <v>4131</v>
      </c>
      <c r="B2625" s="21" t="s">
        <v>2499</v>
      </c>
    </row>
    <row r="2626" spans="1:2" ht="14.4">
      <c r="A2626" s="6" t="s">
        <v>4132</v>
      </c>
      <c r="B2626" s="21" t="s">
        <v>2499</v>
      </c>
    </row>
    <row r="2627" spans="1:2" ht="14.4">
      <c r="A2627" s="6" t="s">
        <v>4133</v>
      </c>
      <c r="B2627" s="21" t="s">
        <v>2499</v>
      </c>
    </row>
    <row r="2628" spans="1:2" ht="14.4">
      <c r="A2628" s="6" t="s">
        <v>4134</v>
      </c>
      <c r="B2628" s="21" t="s">
        <v>2499</v>
      </c>
    </row>
    <row r="2629" spans="1:2" ht="14.4">
      <c r="A2629" s="6" t="s">
        <v>4135</v>
      </c>
      <c r="B2629" s="21" t="s">
        <v>2499</v>
      </c>
    </row>
    <row r="2630" spans="1:2" ht="14.4">
      <c r="A2630" s="6" t="s">
        <v>4136</v>
      </c>
      <c r="B2630" s="21" t="s">
        <v>2499</v>
      </c>
    </row>
    <row r="2631" spans="1:2" ht="14.4">
      <c r="A2631" s="6" t="s">
        <v>4137</v>
      </c>
      <c r="B2631" s="21" t="s">
        <v>2499</v>
      </c>
    </row>
    <row r="2632" spans="1:2" ht="14.4">
      <c r="A2632" s="6" t="s">
        <v>4138</v>
      </c>
      <c r="B2632" s="21" t="s">
        <v>2499</v>
      </c>
    </row>
    <row r="2633" spans="1:2" ht="14.4">
      <c r="A2633" s="6" t="s">
        <v>4139</v>
      </c>
      <c r="B2633" s="21" t="s">
        <v>2499</v>
      </c>
    </row>
    <row r="2634" spans="1:2" ht="14.4">
      <c r="A2634" s="6" t="s">
        <v>4140</v>
      </c>
      <c r="B2634" s="21" t="s">
        <v>2499</v>
      </c>
    </row>
    <row r="2635" spans="1:2" ht="14.4">
      <c r="A2635" s="6" t="s">
        <v>4141</v>
      </c>
      <c r="B2635" s="21" t="s">
        <v>2499</v>
      </c>
    </row>
    <row r="2636" spans="1:2" ht="14.4">
      <c r="A2636" s="6" t="s">
        <v>4142</v>
      </c>
      <c r="B2636" s="21" t="s">
        <v>2499</v>
      </c>
    </row>
    <row r="2637" spans="1:2" ht="14.4">
      <c r="A2637" s="6" t="s">
        <v>4143</v>
      </c>
      <c r="B2637" s="21" t="s">
        <v>2499</v>
      </c>
    </row>
    <row r="2638" spans="1:2" ht="14.4">
      <c r="A2638" s="6" t="s">
        <v>4144</v>
      </c>
      <c r="B2638" s="21" t="s">
        <v>2499</v>
      </c>
    </row>
    <row r="2639" spans="1:2" ht="14.4">
      <c r="A2639" s="6" t="s">
        <v>4145</v>
      </c>
      <c r="B2639" s="21" t="s">
        <v>2499</v>
      </c>
    </row>
    <row r="2640" spans="1:2" ht="14.4">
      <c r="A2640" s="6" t="s">
        <v>4146</v>
      </c>
      <c r="B2640" s="21" t="s">
        <v>2499</v>
      </c>
    </row>
    <row r="2641" spans="1:2" ht="14.4">
      <c r="A2641" s="6" t="s">
        <v>4147</v>
      </c>
      <c r="B2641" s="21" t="s">
        <v>2499</v>
      </c>
    </row>
    <row r="2642" spans="1:2" ht="14.4">
      <c r="A2642" s="6" t="s">
        <v>4148</v>
      </c>
      <c r="B2642" s="21" t="s">
        <v>2499</v>
      </c>
    </row>
    <row r="2643" spans="1:2" ht="14.4">
      <c r="A2643" s="6" t="s">
        <v>4149</v>
      </c>
      <c r="B2643" s="21" t="s">
        <v>2499</v>
      </c>
    </row>
    <row r="2644" spans="1:2" ht="14.4">
      <c r="A2644" s="6" t="s">
        <v>4150</v>
      </c>
      <c r="B2644" s="21" t="s">
        <v>2499</v>
      </c>
    </row>
    <row r="2645" spans="1:2" ht="14.4">
      <c r="A2645" s="6" t="s">
        <v>4151</v>
      </c>
      <c r="B2645" s="21" t="s">
        <v>2499</v>
      </c>
    </row>
    <row r="2646" spans="1:2" ht="14.4">
      <c r="A2646" s="6" t="s">
        <v>4152</v>
      </c>
      <c r="B2646" s="21" t="s">
        <v>2499</v>
      </c>
    </row>
    <row r="2647" spans="1:2" ht="14.4">
      <c r="A2647" s="6" t="s">
        <v>4153</v>
      </c>
      <c r="B2647" s="21" t="s">
        <v>2499</v>
      </c>
    </row>
    <row r="2648" spans="1:2" ht="14.4">
      <c r="A2648" s="6" t="s">
        <v>4154</v>
      </c>
      <c r="B2648" s="21" t="s">
        <v>2499</v>
      </c>
    </row>
    <row r="2649" spans="1:2" ht="14.4">
      <c r="A2649" s="6" t="s">
        <v>4155</v>
      </c>
      <c r="B2649" s="21" t="s">
        <v>2499</v>
      </c>
    </row>
    <row r="2650" spans="1:2" ht="14.4">
      <c r="A2650" s="6" t="s">
        <v>4156</v>
      </c>
      <c r="B2650" s="21" t="s">
        <v>2499</v>
      </c>
    </row>
    <row r="2651" spans="1:2" ht="14.4">
      <c r="A2651" s="6" t="s">
        <v>4157</v>
      </c>
      <c r="B2651" s="21" t="s">
        <v>2499</v>
      </c>
    </row>
    <row r="2652" spans="1:2" ht="14.4">
      <c r="A2652" s="6" t="s">
        <v>4158</v>
      </c>
      <c r="B2652" s="21" t="s">
        <v>2499</v>
      </c>
    </row>
    <row r="2653" spans="1:2" ht="14.4">
      <c r="A2653" s="6" t="s">
        <v>4159</v>
      </c>
      <c r="B2653" s="21" t="s">
        <v>2499</v>
      </c>
    </row>
    <row r="2654" spans="1:2" ht="14.4">
      <c r="A2654" s="6" t="s">
        <v>4160</v>
      </c>
      <c r="B2654" s="21" t="s">
        <v>2499</v>
      </c>
    </row>
    <row r="2655" spans="1:2" ht="14.4">
      <c r="A2655" s="6" t="s">
        <v>4161</v>
      </c>
      <c r="B2655" s="21" t="s">
        <v>2499</v>
      </c>
    </row>
    <row r="2656" spans="1:2" ht="14.4">
      <c r="A2656" s="6" t="s">
        <v>4162</v>
      </c>
      <c r="B2656" s="21" t="s">
        <v>2499</v>
      </c>
    </row>
    <row r="2657" spans="1:2" ht="14.4">
      <c r="A2657" s="6" t="s">
        <v>4163</v>
      </c>
      <c r="B2657" s="21" t="s">
        <v>2499</v>
      </c>
    </row>
    <row r="2658" spans="1:2" ht="14.4">
      <c r="A2658" s="6" t="s">
        <v>4164</v>
      </c>
      <c r="B2658" s="21" t="s">
        <v>2499</v>
      </c>
    </row>
    <row r="2659" spans="1:2" ht="14.4">
      <c r="A2659" s="6" t="s">
        <v>4165</v>
      </c>
      <c r="B2659" s="21" t="s">
        <v>2499</v>
      </c>
    </row>
    <row r="2660" spans="1:2" ht="14.4">
      <c r="A2660" s="6" t="s">
        <v>4166</v>
      </c>
      <c r="B2660" s="21" t="s">
        <v>2499</v>
      </c>
    </row>
    <row r="2661" spans="1:2" ht="14.4">
      <c r="A2661" s="6" t="s">
        <v>4167</v>
      </c>
      <c r="B2661" s="21" t="s">
        <v>2499</v>
      </c>
    </row>
    <row r="2662" spans="1:2" ht="14.4">
      <c r="A2662" s="6" t="s">
        <v>4168</v>
      </c>
      <c r="B2662" s="21" t="s">
        <v>2499</v>
      </c>
    </row>
    <row r="2663" spans="1:2" ht="14.4">
      <c r="A2663" s="6" t="s">
        <v>4169</v>
      </c>
      <c r="B2663" s="21" t="s">
        <v>2499</v>
      </c>
    </row>
    <row r="2664" spans="1:2" ht="14.4">
      <c r="A2664" s="6" t="s">
        <v>4170</v>
      </c>
      <c r="B2664" s="21" t="s">
        <v>2499</v>
      </c>
    </row>
    <row r="2665" spans="1:2" ht="14.4">
      <c r="A2665" s="6" t="s">
        <v>4171</v>
      </c>
      <c r="B2665" s="21" t="s">
        <v>2499</v>
      </c>
    </row>
    <row r="2666" spans="1:2" ht="14.4">
      <c r="A2666" s="6" t="s">
        <v>4172</v>
      </c>
      <c r="B2666" s="21" t="s">
        <v>2499</v>
      </c>
    </row>
    <row r="2667" spans="1:2" ht="14.4">
      <c r="A2667" s="6" t="s">
        <v>4173</v>
      </c>
      <c r="B2667" s="21" t="s">
        <v>2499</v>
      </c>
    </row>
    <row r="2668" spans="1:2" ht="14.4">
      <c r="A2668" s="6" t="s">
        <v>4174</v>
      </c>
      <c r="B2668" s="21" t="s">
        <v>2499</v>
      </c>
    </row>
    <row r="2669" spans="1:2" ht="14.4">
      <c r="A2669" s="6" t="s">
        <v>4175</v>
      </c>
      <c r="B2669" s="21" t="s">
        <v>2499</v>
      </c>
    </row>
    <row r="2670" spans="1:2" ht="14.4">
      <c r="A2670" s="6" t="s">
        <v>4176</v>
      </c>
      <c r="B2670" s="21" t="s">
        <v>2499</v>
      </c>
    </row>
    <row r="2671" spans="1:2" ht="14.4">
      <c r="A2671" s="6" t="s">
        <v>4177</v>
      </c>
      <c r="B2671" s="21" t="s">
        <v>2499</v>
      </c>
    </row>
    <row r="2672" spans="1:2" ht="14.4">
      <c r="A2672" s="6" t="s">
        <v>4178</v>
      </c>
      <c r="B2672" s="21" t="s">
        <v>2499</v>
      </c>
    </row>
    <row r="2673" spans="1:2" ht="14.4">
      <c r="A2673" s="6" t="s">
        <v>4179</v>
      </c>
      <c r="B2673" s="21" t="s">
        <v>2499</v>
      </c>
    </row>
    <row r="2674" spans="1:2" ht="14.4">
      <c r="A2674" s="6" t="s">
        <v>4180</v>
      </c>
      <c r="B2674" s="21" t="s">
        <v>2499</v>
      </c>
    </row>
    <row r="2675" spans="1:2" ht="14.4">
      <c r="A2675" s="6" t="s">
        <v>4181</v>
      </c>
      <c r="B2675" s="21" t="s">
        <v>2499</v>
      </c>
    </row>
    <row r="2676" spans="1:2" ht="14.4">
      <c r="A2676" s="6" t="s">
        <v>4182</v>
      </c>
      <c r="B2676" s="21" t="s">
        <v>2499</v>
      </c>
    </row>
    <row r="2677" spans="1:2" ht="14.4">
      <c r="A2677" s="6" t="s">
        <v>4183</v>
      </c>
      <c r="B2677" s="21" t="s">
        <v>2499</v>
      </c>
    </row>
    <row r="2678" spans="1:2" ht="14.4">
      <c r="A2678" s="6" t="s">
        <v>4184</v>
      </c>
      <c r="B2678" s="21" t="s">
        <v>2499</v>
      </c>
    </row>
    <row r="2679" spans="1:2" ht="14.4">
      <c r="A2679" s="6" t="s">
        <v>4185</v>
      </c>
      <c r="B2679" s="21" t="s">
        <v>2499</v>
      </c>
    </row>
    <row r="2680" spans="1:2" ht="14.4">
      <c r="A2680" s="6" t="s">
        <v>4186</v>
      </c>
      <c r="B2680" s="21" t="s">
        <v>2499</v>
      </c>
    </row>
    <row r="2681" spans="1:2" ht="14.4">
      <c r="A2681" s="6" t="s">
        <v>4187</v>
      </c>
      <c r="B2681" s="21" t="s">
        <v>2499</v>
      </c>
    </row>
    <row r="2682" spans="1:2" ht="14.4">
      <c r="A2682" s="6" t="s">
        <v>4188</v>
      </c>
      <c r="B2682" s="21" t="s">
        <v>2499</v>
      </c>
    </row>
    <row r="2683" spans="1:2" ht="14.4">
      <c r="A2683" s="6" t="s">
        <v>4189</v>
      </c>
      <c r="B2683" s="21" t="s">
        <v>2499</v>
      </c>
    </row>
    <row r="2684" spans="1:2" ht="14.4">
      <c r="A2684" s="6" t="s">
        <v>4190</v>
      </c>
      <c r="B2684" s="21" t="s">
        <v>2499</v>
      </c>
    </row>
    <row r="2685" spans="1:2" ht="14.4">
      <c r="A2685" s="6" t="s">
        <v>4191</v>
      </c>
      <c r="B2685" s="21" t="s">
        <v>2499</v>
      </c>
    </row>
    <row r="2686" spans="1:2" ht="14.4">
      <c r="A2686" s="6" t="s">
        <v>4192</v>
      </c>
      <c r="B2686" s="21" t="s">
        <v>2499</v>
      </c>
    </row>
    <row r="2687" spans="1:2" ht="14.4">
      <c r="A2687" s="6" t="s">
        <v>4193</v>
      </c>
      <c r="B2687" s="21" t="s">
        <v>2499</v>
      </c>
    </row>
    <row r="2688" spans="1:2" ht="14.4">
      <c r="A2688" s="6" t="s">
        <v>4194</v>
      </c>
      <c r="B2688" s="21" t="s">
        <v>2499</v>
      </c>
    </row>
    <row r="2689" spans="1:2" ht="14.4">
      <c r="A2689" s="6" t="s">
        <v>4195</v>
      </c>
      <c r="B2689" s="21" t="s">
        <v>2499</v>
      </c>
    </row>
    <row r="2690" spans="1:2" ht="14.4">
      <c r="A2690" s="6" t="s">
        <v>4196</v>
      </c>
      <c r="B2690" s="21" t="s">
        <v>2499</v>
      </c>
    </row>
    <row r="2691" spans="1:2" ht="14.4">
      <c r="A2691" s="6" t="s">
        <v>4197</v>
      </c>
      <c r="B2691" s="21" t="s">
        <v>2499</v>
      </c>
    </row>
    <row r="2692" spans="1:2" ht="14.4">
      <c r="A2692" s="6" t="s">
        <v>4198</v>
      </c>
      <c r="B2692" s="21" t="s">
        <v>2499</v>
      </c>
    </row>
    <row r="2693" spans="1:2" ht="14.4">
      <c r="A2693" s="6" t="s">
        <v>4199</v>
      </c>
      <c r="B2693" s="21" t="s">
        <v>2499</v>
      </c>
    </row>
    <row r="2694" spans="1:2" ht="14.4">
      <c r="A2694" s="6" t="s">
        <v>4200</v>
      </c>
      <c r="B2694" s="21" t="s">
        <v>2499</v>
      </c>
    </row>
    <row r="2695" spans="1:2" ht="14.4">
      <c r="A2695" s="6" t="s">
        <v>4201</v>
      </c>
      <c r="B2695" s="21" t="s">
        <v>2499</v>
      </c>
    </row>
    <row r="2696" spans="1:2" ht="14.4">
      <c r="A2696" s="6" t="s">
        <v>4202</v>
      </c>
      <c r="B2696" s="21" t="s">
        <v>2499</v>
      </c>
    </row>
    <row r="2697" spans="1:2" ht="14.4">
      <c r="A2697" s="6" t="s">
        <v>4203</v>
      </c>
      <c r="B2697" s="21" t="s">
        <v>2499</v>
      </c>
    </row>
    <row r="2698" spans="1:2" ht="14.4">
      <c r="A2698" s="6" t="s">
        <v>721</v>
      </c>
      <c r="B2698" s="21" t="s">
        <v>1985</v>
      </c>
    </row>
    <row r="2699" spans="1:2" ht="14.4">
      <c r="A2699" s="6" t="s">
        <v>551</v>
      </c>
      <c r="B2699" s="21" t="s">
        <v>1213</v>
      </c>
    </row>
    <row r="2700" spans="1:2" ht="14.4">
      <c r="A2700" s="6" t="s">
        <v>509</v>
      </c>
      <c r="B2700" s="21" t="s">
        <v>510</v>
      </c>
    </row>
    <row r="2701" spans="1:2" ht="14.4">
      <c r="A2701" s="6" t="s">
        <v>662</v>
      </c>
      <c r="B2701" s="21" t="s">
        <v>1212</v>
      </c>
    </row>
    <row r="2702" spans="1:2" ht="14.4">
      <c r="A2702" s="6" t="s">
        <v>22</v>
      </c>
      <c r="B2702" s="21" t="s">
        <v>23</v>
      </c>
    </row>
    <row r="2703" spans="1:2" ht="14.4">
      <c r="A2703" s="6" t="s">
        <v>418</v>
      </c>
      <c r="B2703" s="21" t="s">
        <v>1552</v>
      </c>
    </row>
    <row r="2704" spans="1:2" ht="14.4">
      <c r="A2704" s="6" t="s">
        <v>628</v>
      </c>
      <c r="B2704" s="21" t="s">
        <v>629</v>
      </c>
    </row>
    <row r="2705" spans="1:2" ht="14.4">
      <c r="A2705" s="6" t="s">
        <v>2512</v>
      </c>
      <c r="B2705" s="21" t="s">
        <v>4204</v>
      </c>
    </row>
    <row r="2706" spans="1:2" ht="14.4">
      <c r="A2706" s="6" t="s">
        <v>938</v>
      </c>
      <c r="B2706" s="21" t="s">
        <v>1207</v>
      </c>
    </row>
    <row r="2707" spans="1:2" ht="14.4">
      <c r="A2707" s="6" t="s">
        <v>616</v>
      </c>
      <c r="B2707" s="21" t="s">
        <v>2029</v>
      </c>
    </row>
    <row r="2708" spans="1:2" ht="14.4">
      <c r="A2708" s="6" t="s">
        <v>815</v>
      </c>
      <c r="B2708" s="21" t="s">
        <v>2040</v>
      </c>
    </row>
    <row r="2709" spans="1:2" ht="14.4">
      <c r="A2709" s="6" t="s">
        <v>671</v>
      </c>
      <c r="B2709" s="21" t="s">
        <v>2029</v>
      </c>
    </row>
    <row r="2710" spans="1:2" ht="14.4">
      <c r="A2710" s="6" t="s">
        <v>800</v>
      </c>
      <c r="B2710" s="21" t="s">
        <v>2198</v>
      </c>
    </row>
    <row r="2711" spans="1:2" ht="14.4">
      <c r="A2711" s="22" t="s">
        <v>634</v>
      </c>
      <c r="B2711" s="22" t="s">
        <v>1516</v>
      </c>
    </row>
    <row r="2712" spans="1:2" ht="14.4">
      <c r="A2712" s="22" t="s">
        <v>733</v>
      </c>
      <c r="B2712" s="22" t="s">
        <v>2039</v>
      </c>
    </row>
    <row r="2713" spans="1:2" ht="14.4">
      <c r="A2713" s="22" t="s">
        <v>950</v>
      </c>
      <c r="B2713" s="22" t="s">
        <v>2039</v>
      </c>
    </row>
    <row r="2714" spans="1:2" ht="14.4">
      <c r="A2714" s="22" t="s">
        <v>475</v>
      </c>
      <c r="B2714" s="22" t="s">
        <v>2039</v>
      </c>
    </row>
    <row r="2715" spans="1:2" ht="14.4">
      <c r="A2715" s="22" t="s">
        <v>692</v>
      </c>
      <c r="B2715" s="22" t="s">
        <v>1774</v>
      </c>
    </row>
    <row r="2716" spans="1:2" ht="14.4">
      <c r="A2716" s="22" t="s">
        <v>941</v>
      </c>
      <c r="B2716" s="22" t="s">
        <v>1484</v>
      </c>
    </row>
    <row r="2717" spans="1:2" ht="14.4">
      <c r="A2717" s="22" t="s">
        <v>1010</v>
      </c>
      <c r="B2717" s="22" t="s">
        <v>1217</v>
      </c>
    </row>
    <row r="2718" spans="1:2" ht="14.4">
      <c r="A2718" s="22" t="s">
        <v>435</v>
      </c>
      <c r="B2718" s="22" t="s">
        <v>2196</v>
      </c>
    </row>
    <row r="2719" spans="1:2" ht="14.4">
      <c r="A2719" s="22" t="s">
        <v>1115</v>
      </c>
      <c r="B2719" s="22" t="s">
        <v>2194</v>
      </c>
    </row>
    <row r="2720" spans="1:2" ht="14.4">
      <c r="A2720" s="22" t="s">
        <v>542</v>
      </c>
      <c r="B2720" s="22" t="s">
        <v>1755</v>
      </c>
    </row>
    <row r="2721" spans="1:2" ht="14.4">
      <c r="A2721" s="22" t="s">
        <v>934</v>
      </c>
      <c r="B2721" s="22" t="s">
        <v>2203</v>
      </c>
    </row>
    <row r="2722" spans="1:2" ht="14.4">
      <c r="A2722" s="22" t="s">
        <v>905</v>
      </c>
      <c r="B2722" s="22" t="s">
        <v>2205</v>
      </c>
    </row>
    <row r="2723" spans="1:2" ht="14.4">
      <c r="A2723" s="22" t="s">
        <v>160</v>
      </c>
      <c r="B2723" s="22" t="s">
        <v>23</v>
      </c>
    </row>
    <row r="2724" spans="1:2" ht="14.4">
      <c r="A2724" s="22" t="s">
        <v>962</v>
      </c>
      <c r="B2724" s="22" t="s">
        <v>2205</v>
      </c>
    </row>
    <row r="2725" spans="1:2" ht="14.4">
      <c r="A2725" s="13"/>
      <c r="B2725" s="13"/>
    </row>
    <row r="2726" spans="1:2" ht="14.4">
      <c r="A2726" s="13"/>
      <c r="B2726" s="13"/>
    </row>
    <row r="2727" spans="1:2" ht="14.4">
      <c r="A2727" s="13"/>
      <c r="B2727" s="13"/>
    </row>
    <row r="2728" spans="1:2" ht="14.4">
      <c r="A2728" s="13"/>
      <c r="B2728" s="13"/>
    </row>
    <row r="2729" spans="1:2" ht="14.4">
      <c r="A2729" s="13"/>
      <c r="B2729" s="13"/>
    </row>
    <row r="2730" spans="1:2" ht="14.4">
      <c r="A2730" s="13"/>
      <c r="B2730" s="13"/>
    </row>
    <row r="2731" spans="1:2" ht="14.4">
      <c r="A2731" s="13"/>
      <c r="B2731" s="13"/>
    </row>
    <row r="2732" spans="1:2" ht="14.4">
      <c r="A2732" s="13"/>
      <c r="B2732" s="13"/>
    </row>
    <row r="2733" spans="1:2" ht="14.4">
      <c r="A2733" s="13"/>
      <c r="B2733" s="13"/>
    </row>
    <row r="2734" spans="1:2" ht="14.4">
      <c r="A2734" s="13"/>
      <c r="B2734" s="13"/>
    </row>
    <row r="2735" spans="1:2" ht="14.4">
      <c r="A2735" s="13"/>
      <c r="B2735" s="13"/>
    </row>
    <row r="2736" spans="1:2" ht="14.4">
      <c r="A2736" s="13"/>
      <c r="B2736" s="13"/>
    </row>
    <row r="2737" spans="1:2" ht="14.4">
      <c r="A2737" s="13"/>
      <c r="B2737" s="13"/>
    </row>
    <row r="2738" spans="1:2" ht="14.4">
      <c r="A2738" s="13"/>
      <c r="B2738" s="13"/>
    </row>
    <row r="2739" spans="1:2" ht="14.4">
      <c r="A2739" s="13"/>
      <c r="B2739" s="13"/>
    </row>
    <row r="2740" spans="1:2" ht="14.4">
      <c r="A2740" s="13"/>
      <c r="B2740" s="13"/>
    </row>
    <row r="2741" spans="1:2" ht="14.4">
      <c r="A2741" s="13"/>
      <c r="B2741" s="13"/>
    </row>
    <row r="2742" spans="1:2" ht="14.4">
      <c r="A2742" s="13"/>
      <c r="B2742" s="13"/>
    </row>
    <row r="2743" spans="1:2" ht="14.4">
      <c r="A2743" s="13"/>
      <c r="B2743" s="13"/>
    </row>
    <row r="2744" spans="1:2" ht="14.4">
      <c r="A2744" s="13"/>
      <c r="B2744" s="13"/>
    </row>
    <row r="2745" spans="1:2" ht="14.4">
      <c r="A2745" s="13"/>
      <c r="B2745" s="13"/>
    </row>
    <row r="2746" spans="1:2" ht="14.4">
      <c r="A2746" s="13"/>
      <c r="B2746" s="13"/>
    </row>
    <row r="2747" spans="1:2" ht="14.4">
      <c r="A2747" s="13"/>
      <c r="B2747" s="13"/>
    </row>
    <row r="2748" spans="1:2" ht="14.4">
      <c r="A2748" s="13"/>
      <c r="B2748" s="13"/>
    </row>
    <row r="2749" spans="1:2" ht="14.4">
      <c r="A2749" s="13"/>
      <c r="B2749" s="13"/>
    </row>
    <row r="2750" spans="1:2" ht="14.4">
      <c r="A2750" s="13"/>
      <c r="B2750" s="13"/>
    </row>
    <row r="2751" spans="1:2" ht="14.4">
      <c r="A2751" s="13"/>
      <c r="B2751" s="13"/>
    </row>
    <row r="2752" spans="1:2" ht="14.4">
      <c r="A2752" s="13"/>
      <c r="B2752" s="13"/>
    </row>
    <row r="2753" spans="1:2" ht="14.4">
      <c r="A2753" s="13"/>
      <c r="B2753" s="13"/>
    </row>
    <row r="2754" spans="1:2" ht="14.4">
      <c r="A2754" s="13"/>
      <c r="B2754" s="13"/>
    </row>
    <row r="2755" spans="1:2" ht="14.4">
      <c r="A2755" s="13"/>
      <c r="B2755" s="13"/>
    </row>
    <row r="2756" spans="1:2" ht="14.4">
      <c r="A2756" s="13"/>
      <c r="B2756" s="13"/>
    </row>
    <row r="2757" spans="1:2" ht="14.4">
      <c r="A2757" s="13"/>
      <c r="B2757" s="13"/>
    </row>
    <row r="2758" spans="1:2" ht="14.4">
      <c r="A2758" s="13"/>
      <c r="B2758" s="13"/>
    </row>
    <row r="2759" spans="1:2" ht="14.4">
      <c r="A2759" s="13"/>
      <c r="B2759" s="13"/>
    </row>
    <row r="2760" spans="1:2" ht="14.4">
      <c r="A2760" s="13"/>
      <c r="B2760" s="13"/>
    </row>
    <row r="2761" spans="1:2" ht="14.4">
      <c r="A2761" s="13"/>
      <c r="B2761" s="13"/>
    </row>
    <row r="2762" spans="1:2" ht="14.4">
      <c r="A2762" s="13"/>
      <c r="B2762" s="13"/>
    </row>
    <row r="2763" spans="1:2" ht="14.4">
      <c r="A2763" s="13"/>
      <c r="B2763" s="13"/>
    </row>
    <row r="2764" spans="1:2" ht="14.4">
      <c r="A2764" s="13"/>
      <c r="B2764" s="13"/>
    </row>
    <row r="2765" spans="1:2" ht="14.4">
      <c r="A2765" s="13"/>
      <c r="B2765" s="13"/>
    </row>
    <row r="2766" spans="1:2" ht="14.4">
      <c r="A2766" s="13"/>
      <c r="B2766" s="13"/>
    </row>
    <row r="2767" spans="1:2" ht="14.4">
      <c r="A2767" s="13"/>
      <c r="B2767" s="13"/>
    </row>
    <row r="2768" spans="1:2" ht="14.4">
      <c r="A2768" s="13"/>
      <c r="B2768" s="13"/>
    </row>
    <row r="2769" spans="1:2" ht="14.4">
      <c r="A2769" s="13"/>
      <c r="B2769" s="13"/>
    </row>
    <row r="2770" spans="1:2" ht="14.4">
      <c r="A2770" s="13"/>
      <c r="B2770" s="13"/>
    </row>
    <row r="2771" spans="1:2" ht="14.4">
      <c r="A2771" s="13"/>
      <c r="B2771" s="13"/>
    </row>
    <row r="2772" spans="1:2" ht="14.4">
      <c r="A2772" s="13"/>
      <c r="B2772" s="13"/>
    </row>
    <row r="2773" spans="1:2" ht="14.4">
      <c r="A2773" s="13"/>
      <c r="B2773" s="13"/>
    </row>
    <row r="2774" spans="1:2" ht="14.4">
      <c r="A2774" s="13"/>
      <c r="B2774" s="13"/>
    </row>
    <row r="2775" spans="1:2" ht="14.4">
      <c r="A2775" s="13"/>
      <c r="B2775" s="13"/>
    </row>
    <row r="2776" spans="1:2" ht="14.4">
      <c r="A2776" s="13"/>
      <c r="B2776" s="13"/>
    </row>
    <row r="2777" spans="1:2" ht="14.4">
      <c r="A2777" s="13"/>
      <c r="B2777" s="13"/>
    </row>
    <row r="2778" spans="1:2" ht="14.4">
      <c r="A2778" s="13"/>
      <c r="B2778" s="13"/>
    </row>
    <row r="2779" spans="1:2" ht="14.4">
      <c r="A2779" s="13"/>
      <c r="B2779" s="13"/>
    </row>
    <row r="2780" spans="1:2" ht="14.4">
      <c r="A2780" s="13"/>
      <c r="B2780" s="13"/>
    </row>
    <row r="2781" spans="1:2" ht="14.4">
      <c r="A2781" s="13"/>
      <c r="B2781" s="13"/>
    </row>
    <row r="2782" spans="1:2" ht="14.4">
      <c r="A2782" s="13"/>
      <c r="B2782" s="13"/>
    </row>
    <row r="2783" spans="1:2" ht="14.4">
      <c r="A2783" s="13"/>
      <c r="B2783" s="13"/>
    </row>
    <row r="2784" spans="1:2" ht="14.4">
      <c r="A2784" s="13"/>
      <c r="B2784" s="13"/>
    </row>
    <row r="2785" spans="1:2" ht="14.4">
      <c r="A2785" s="13"/>
      <c r="B2785" s="13"/>
    </row>
    <row r="2786" spans="1:2" ht="14.4">
      <c r="A2786" s="13"/>
      <c r="B2786" s="13"/>
    </row>
    <row r="2787" spans="1:2" ht="14.4">
      <c r="A2787" s="13"/>
      <c r="B2787" s="13"/>
    </row>
    <row r="2788" spans="1:2" ht="14.4">
      <c r="A2788" s="13"/>
      <c r="B2788" s="13"/>
    </row>
    <row r="2789" spans="1:2" ht="14.4">
      <c r="A2789" s="13"/>
      <c r="B2789" s="13"/>
    </row>
    <row r="2790" spans="1:2" ht="14.4">
      <c r="A2790" s="13"/>
      <c r="B2790" s="13"/>
    </row>
    <row r="2791" spans="1:2" ht="14.4">
      <c r="A2791" s="13"/>
      <c r="B2791" s="13"/>
    </row>
    <row r="2792" spans="1:2" ht="14.4">
      <c r="A2792" s="13"/>
      <c r="B2792" s="13"/>
    </row>
    <row r="2793" spans="1:2" ht="14.4">
      <c r="A2793" s="13"/>
      <c r="B2793" s="13"/>
    </row>
    <row r="2794" spans="1:2" ht="14.4">
      <c r="A2794" s="13"/>
      <c r="B2794" s="13"/>
    </row>
    <row r="2795" spans="1:2" ht="14.4">
      <c r="A2795" s="13"/>
      <c r="B2795" s="13"/>
    </row>
    <row r="2796" spans="1:2" ht="14.4">
      <c r="A2796" s="13"/>
      <c r="B2796" s="13"/>
    </row>
    <row r="2797" spans="1:2" ht="14.4">
      <c r="A2797" s="13"/>
      <c r="B2797" s="13"/>
    </row>
    <row r="2798" spans="1:2" ht="14.4">
      <c r="A2798" s="13"/>
      <c r="B2798" s="13"/>
    </row>
    <row r="2799" spans="1:2" ht="14.4">
      <c r="A2799" s="13"/>
      <c r="B2799" s="13"/>
    </row>
    <row r="2800" spans="1:2" ht="14.4">
      <c r="A2800" s="13"/>
      <c r="B2800" s="13"/>
    </row>
    <row r="2801" spans="1:2" ht="14.4">
      <c r="A2801" s="13"/>
      <c r="B2801" s="13"/>
    </row>
    <row r="2802" spans="1:2" ht="14.4">
      <c r="A2802" s="13"/>
      <c r="B2802" s="13"/>
    </row>
    <row r="2803" spans="1:2" ht="14.4">
      <c r="A2803" s="13"/>
      <c r="B2803" s="13"/>
    </row>
    <row r="2804" spans="1:2" ht="14.4">
      <c r="A2804" s="13"/>
      <c r="B2804" s="13"/>
    </row>
    <row r="2805" spans="1:2" ht="14.4">
      <c r="A2805" s="13"/>
      <c r="B2805" s="13"/>
    </row>
    <row r="2806" spans="1:2" ht="14.4">
      <c r="A2806" s="13"/>
      <c r="B2806" s="13"/>
    </row>
    <row r="2807" spans="1:2" ht="14.4">
      <c r="A2807" s="13"/>
      <c r="B2807" s="13"/>
    </row>
    <row r="2808" spans="1:2" ht="14.4">
      <c r="A2808" s="13"/>
      <c r="B2808" s="13"/>
    </row>
    <row r="2809" spans="1:2" ht="14.4">
      <c r="A2809" s="13"/>
      <c r="B2809" s="13"/>
    </row>
    <row r="2810" spans="1:2" ht="14.4">
      <c r="A2810" s="13"/>
      <c r="B2810" s="13"/>
    </row>
    <row r="2811" spans="1:2" ht="14.4">
      <c r="A2811" s="13"/>
      <c r="B2811" s="13"/>
    </row>
    <row r="2812" spans="1:2" ht="14.4">
      <c r="A2812" s="13"/>
      <c r="B2812" s="13"/>
    </row>
    <row r="2813" spans="1:2" ht="14.4">
      <c r="A2813" s="13"/>
      <c r="B2813" s="13"/>
    </row>
    <row r="2814" spans="1:2" ht="14.4">
      <c r="A2814" s="13"/>
      <c r="B2814" s="13"/>
    </row>
    <row r="2815" spans="1:2" ht="14.4">
      <c r="A2815" s="13"/>
      <c r="B2815" s="13"/>
    </row>
    <row r="2816" spans="1:2" ht="14.4">
      <c r="A2816" s="13"/>
      <c r="B2816" s="13"/>
    </row>
    <row r="2817" spans="1:2" ht="14.4">
      <c r="A2817" s="13"/>
      <c r="B2817" s="13"/>
    </row>
    <row r="2818" spans="1:2" ht="14.4">
      <c r="A2818" s="13"/>
      <c r="B2818" s="13"/>
    </row>
    <row r="2819" spans="1:2" ht="14.4">
      <c r="A2819" s="13"/>
      <c r="B2819" s="13"/>
    </row>
    <row r="2820" spans="1:2" ht="14.4">
      <c r="A2820" s="13"/>
      <c r="B2820" s="13"/>
    </row>
    <row r="2821" spans="1:2" ht="14.4">
      <c r="A2821" s="13"/>
      <c r="B2821" s="13"/>
    </row>
    <row r="2822" spans="1:2" ht="14.4">
      <c r="A2822" s="13"/>
      <c r="B2822" s="13"/>
    </row>
    <row r="2823" spans="1:2" ht="14.4">
      <c r="A2823" s="13"/>
      <c r="B2823" s="13"/>
    </row>
    <row r="2824" spans="1:2" ht="14.4">
      <c r="A2824" s="13"/>
      <c r="B2824" s="13"/>
    </row>
    <row r="2825" spans="1:2" ht="14.4">
      <c r="A2825" s="13"/>
      <c r="B2825" s="13"/>
    </row>
    <row r="2826" spans="1:2" ht="14.4">
      <c r="A2826" s="13"/>
      <c r="B2826" s="13"/>
    </row>
    <row r="2827" spans="1:2" ht="14.4">
      <c r="A2827" s="13"/>
      <c r="B2827" s="13"/>
    </row>
    <row r="2828" spans="1:2" ht="14.4">
      <c r="A2828" s="13"/>
      <c r="B2828" s="13"/>
    </row>
    <row r="2829" spans="1:2" ht="14.4">
      <c r="A2829" s="13"/>
      <c r="B2829" s="13"/>
    </row>
    <row r="2830" spans="1:2" ht="14.4">
      <c r="A2830" s="13"/>
      <c r="B2830" s="13"/>
    </row>
    <row r="2831" spans="1:2" ht="14.4">
      <c r="A2831" s="13"/>
      <c r="B2831" s="13"/>
    </row>
    <row r="2832" spans="1:2" ht="14.4">
      <c r="A2832" s="13"/>
      <c r="B2832" s="13"/>
    </row>
    <row r="2833" spans="1:2" ht="14.4">
      <c r="A2833" s="13"/>
      <c r="B2833" s="13"/>
    </row>
    <row r="2834" spans="1:2" ht="14.4">
      <c r="A2834" s="13"/>
      <c r="B2834" s="13"/>
    </row>
    <row r="2835" spans="1:2" ht="14.4">
      <c r="A2835" s="13"/>
      <c r="B2835" s="13"/>
    </row>
    <row r="2836" spans="1:2" ht="14.4">
      <c r="A2836" s="13"/>
      <c r="B2836" s="13"/>
    </row>
    <row r="2837" spans="1:2" ht="14.4">
      <c r="A2837" s="13"/>
      <c r="B2837" s="13"/>
    </row>
    <row r="2838" spans="1:2" ht="14.4">
      <c r="A2838" s="13"/>
      <c r="B2838" s="13"/>
    </row>
    <row r="2839" spans="1:2" ht="14.4">
      <c r="A2839" s="13"/>
      <c r="B2839" s="13"/>
    </row>
    <row r="2840" spans="1:2" ht="14.4">
      <c r="A2840" s="13"/>
      <c r="B2840" s="13"/>
    </row>
    <row r="2841" spans="1:2" ht="14.4">
      <c r="A2841" s="13"/>
      <c r="B2841" s="13"/>
    </row>
    <row r="2842" spans="1:2" ht="14.4">
      <c r="A2842" s="13"/>
      <c r="B2842" s="13"/>
    </row>
    <row r="2843" spans="1:2" ht="14.4">
      <c r="A2843" s="13"/>
      <c r="B2843" s="13"/>
    </row>
    <row r="2844" spans="1:2" ht="14.4">
      <c r="A2844" s="13"/>
      <c r="B2844" s="13"/>
    </row>
    <row r="2845" spans="1:2" ht="14.4">
      <c r="A2845" s="13"/>
      <c r="B2845" s="13"/>
    </row>
    <row r="2846" spans="1:2" ht="14.4">
      <c r="A2846" s="13"/>
      <c r="B2846" s="13"/>
    </row>
    <row r="2847" spans="1:2" ht="14.4">
      <c r="A2847" s="13"/>
      <c r="B2847" s="13"/>
    </row>
    <row r="2848" spans="1:2" ht="14.4">
      <c r="A2848" s="13"/>
      <c r="B2848" s="13"/>
    </row>
    <row r="2849" spans="1:2" ht="14.4">
      <c r="A2849" s="13"/>
      <c r="B2849" s="13"/>
    </row>
    <row r="2850" spans="1:2" ht="14.4">
      <c r="A2850" s="13"/>
      <c r="B2850" s="13"/>
    </row>
    <row r="2851" spans="1:2" ht="14.4">
      <c r="A2851" s="13"/>
      <c r="B2851" s="13"/>
    </row>
    <row r="2852" spans="1:2" ht="14.4">
      <c r="A2852" s="13"/>
      <c r="B2852" s="13"/>
    </row>
    <row r="2853" spans="1:2" ht="14.4">
      <c r="A2853" s="13"/>
      <c r="B2853" s="13"/>
    </row>
    <row r="2854" spans="1:2" ht="14.4">
      <c r="A2854" s="13"/>
      <c r="B2854" s="13"/>
    </row>
    <row r="2855" spans="1:2" ht="14.4">
      <c r="A2855" s="13"/>
      <c r="B2855" s="13"/>
    </row>
    <row r="2856" spans="1:2" ht="14.4">
      <c r="A2856" s="13"/>
      <c r="B2856" s="13"/>
    </row>
    <row r="2857" spans="1:2" ht="14.4">
      <c r="A2857" s="13"/>
      <c r="B2857" s="13"/>
    </row>
    <row r="2858" spans="1:2" ht="14.4">
      <c r="A2858" s="13"/>
      <c r="B2858" s="13"/>
    </row>
    <row r="2859" spans="1:2" ht="14.4">
      <c r="A2859" s="13"/>
      <c r="B2859" s="13"/>
    </row>
    <row r="2860" spans="1:2" ht="14.4">
      <c r="A2860" s="13"/>
      <c r="B2860" s="13"/>
    </row>
    <row r="2861" spans="1:2" ht="14.4">
      <c r="A2861" s="13"/>
      <c r="B2861" s="13"/>
    </row>
    <row r="2862" spans="1:2" ht="14.4">
      <c r="A2862" s="13"/>
      <c r="B2862" s="13"/>
    </row>
    <row r="2863" spans="1:2" ht="14.4">
      <c r="A2863" s="13"/>
      <c r="B2863" s="13"/>
    </row>
    <row r="2864" spans="1:2" ht="14.4">
      <c r="A2864" s="13"/>
      <c r="B2864" s="13"/>
    </row>
    <row r="2865" spans="1:2" ht="14.4">
      <c r="A2865" s="13"/>
      <c r="B2865" s="13"/>
    </row>
    <row r="2866" spans="1:2" ht="14.4">
      <c r="A2866" s="13"/>
      <c r="B2866" s="13"/>
    </row>
    <row r="2867" spans="1:2" ht="14.4">
      <c r="A2867" s="13"/>
      <c r="B2867" s="13"/>
    </row>
    <row r="2868" spans="1:2" ht="14.4">
      <c r="A2868" s="13"/>
      <c r="B2868" s="13"/>
    </row>
    <row r="2869" spans="1:2" ht="14.4">
      <c r="A2869" s="13"/>
      <c r="B2869" s="13"/>
    </row>
    <row r="2870" spans="1:2" ht="14.4">
      <c r="A2870" s="13"/>
      <c r="B2870" s="13"/>
    </row>
    <row r="2871" spans="1:2" ht="14.4">
      <c r="A2871" s="13"/>
      <c r="B2871" s="13"/>
    </row>
    <row r="2872" spans="1:2" ht="14.4">
      <c r="A2872" s="13"/>
      <c r="B2872" s="13"/>
    </row>
    <row r="2873" spans="1:2" ht="14.4">
      <c r="A2873" s="13"/>
      <c r="B2873" s="13"/>
    </row>
    <row r="2874" spans="1:2" ht="14.4">
      <c r="A2874" s="13"/>
      <c r="B2874" s="13"/>
    </row>
    <row r="2875" spans="1:2" ht="14.4">
      <c r="A2875" s="13"/>
      <c r="B2875" s="13"/>
    </row>
    <row r="2876" spans="1:2" ht="14.4">
      <c r="A2876" s="13"/>
      <c r="B2876" s="13"/>
    </row>
    <row r="2877" spans="1:2" ht="14.4">
      <c r="A2877" s="13"/>
      <c r="B2877" s="13"/>
    </row>
    <row r="2878" spans="1:2" ht="14.4">
      <c r="A2878" s="13"/>
      <c r="B2878" s="13"/>
    </row>
    <row r="2879" spans="1:2" ht="14.4">
      <c r="A2879" s="13"/>
      <c r="B2879" s="13"/>
    </row>
    <row r="2880" spans="1:2" ht="14.4">
      <c r="A2880" s="13"/>
      <c r="B2880" s="13"/>
    </row>
    <row r="2881" spans="1:2" ht="14.4">
      <c r="A2881" s="13"/>
      <c r="B2881" s="13"/>
    </row>
    <row r="2882" spans="1:2" ht="14.4">
      <c r="A2882" s="13"/>
      <c r="B2882" s="13"/>
    </row>
    <row r="2883" spans="1:2" ht="14.4">
      <c r="A2883" s="13"/>
      <c r="B2883" s="13"/>
    </row>
    <row r="2884" spans="1:2" ht="14.4">
      <c r="A2884" s="13"/>
      <c r="B2884" s="13"/>
    </row>
    <row r="2885" spans="1:2" ht="14.4">
      <c r="A2885" s="13"/>
      <c r="B2885" s="13"/>
    </row>
    <row r="2886" spans="1:2" ht="14.4">
      <c r="A2886" s="13"/>
      <c r="B2886" s="13"/>
    </row>
    <row r="2887" spans="1:2" ht="14.4">
      <c r="A2887" s="13"/>
      <c r="B2887" s="13"/>
    </row>
    <row r="2888" spans="1:2" ht="14.4">
      <c r="A2888" s="13"/>
      <c r="B2888" s="13"/>
    </row>
    <row r="2889" spans="1:2" ht="14.4">
      <c r="A2889" s="13"/>
      <c r="B2889" s="13"/>
    </row>
    <row r="2890" spans="1:2" ht="14.4">
      <c r="A2890" s="13"/>
      <c r="B2890" s="13"/>
    </row>
    <row r="2891" spans="1:2" ht="14.4">
      <c r="A2891" s="13"/>
      <c r="B2891" s="13"/>
    </row>
    <row r="2892" spans="1:2" ht="14.4">
      <c r="A2892" s="13"/>
      <c r="B2892" s="13"/>
    </row>
    <row r="2893" spans="1:2" ht="14.4">
      <c r="A2893" s="13"/>
      <c r="B2893" s="13"/>
    </row>
    <row r="2894" spans="1:2" ht="14.4">
      <c r="A2894" s="13"/>
      <c r="B2894" s="13"/>
    </row>
    <row r="2895" spans="1:2" ht="14.4">
      <c r="A2895" s="13"/>
      <c r="B2895" s="13"/>
    </row>
    <row r="2896" spans="1:2" ht="14.4">
      <c r="A2896" s="13"/>
      <c r="B2896" s="13"/>
    </row>
    <row r="2897" spans="1:2" ht="14.4">
      <c r="A2897" s="13"/>
      <c r="B2897" s="13"/>
    </row>
    <row r="2898" spans="1:2" ht="14.4">
      <c r="A2898" s="13"/>
      <c r="B2898" s="13"/>
    </row>
    <row r="2899" spans="1:2" ht="14.4">
      <c r="A2899" s="13"/>
      <c r="B2899" s="13"/>
    </row>
    <row r="2900" spans="1:2" ht="14.4">
      <c r="A2900" s="13"/>
      <c r="B2900" s="13"/>
    </row>
    <row r="2901" spans="1:2" ht="14.4">
      <c r="A2901" s="13"/>
      <c r="B2901" s="13"/>
    </row>
    <row r="2902" spans="1:2" ht="14.4">
      <c r="A2902" s="13"/>
      <c r="B2902" s="13"/>
    </row>
    <row r="2903" spans="1:2" ht="14.4">
      <c r="A2903" s="13"/>
      <c r="B2903" s="13"/>
    </row>
    <row r="2904" spans="1:2" ht="14.4">
      <c r="A2904" s="13"/>
      <c r="B2904" s="13"/>
    </row>
    <row r="2905" spans="1:2" ht="14.4">
      <c r="A2905" s="13"/>
      <c r="B2905" s="13"/>
    </row>
    <row r="2906" spans="1:2" ht="14.4">
      <c r="A2906" s="13"/>
      <c r="B2906" s="13"/>
    </row>
    <row r="2907" spans="1:2" ht="14.4">
      <c r="A2907" s="13"/>
      <c r="B2907" s="13"/>
    </row>
    <row r="2908" spans="1:2" ht="14.4">
      <c r="A2908" s="13"/>
      <c r="B2908" s="13"/>
    </row>
    <row r="2909" spans="1:2" ht="14.4">
      <c r="A2909" s="13"/>
      <c r="B2909" s="13"/>
    </row>
    <row r="2910" spans="1:2" ht="14.4">
      <c r="A2910" s="13"/>
      <c r="B2910" s="13"/>
    </row>
    <row r="2911" spans="1:2" ht="14.4">
      <c r="A2911" s="13"/>
      <c r="B2911" s="13"/>
    </row>
    <row r="2912" spans="1:2" ht="14.4">
      <c r="A2912" s="13"/>
      <c r="B2912" s="13"/>
    </row>
    <row r="2913" spans="1:2" ht="14.4">
      <c r="A2913" s="13"/>
      <c r="B2913" s="13"/>
    </row>
    <row r="2914" spans="1:2" ht="14.4">
      <c r="A2914" s="13"/>
      <c r="B2914" s="13"/>
    </row>
    <row r="2915" spans="1:2" ht="14.4">
      <c r="A2915" s="13"/>
      <c r="B2915" s="13"/>
    </row>
    <row r="2916" spans="1:2" ht="14.4">
      <c r="A2916" s="13"/>
      <c r="B2916" s="13"/>
    </row>
    <row r="2917" spans="1:2" ht="14.4">
      <c r="A2917" s="13"/>
      <c r="B2917" s="13"/>
    </row>
    <row r="2918" spans="1:2" ht="14.4">
      <c r="A2918" s="13"/>
      <c r="B2918" s="13"/>
    </row>
    <row r="2919" spans="1:2" ht="14.4">
      <c r="A2919" s="13"/>
      <c r="B2919" s="13"/>
    </row>
    <row r="2920" spans="1:2" ht="14.4">
      <c r="A2920" s="13"/>
      <c r="B2920" s="13"/>
    </row>
    <row r="2921" spans="1:2" ht="14.4">
      <c r="A2921" s="13"/>
      <c r="B2921" s="13"/>
    </row>
    <row r="2922" spans="1:2" ht="14.4">
      <c r="A2922" s="13"/>
      <c r="B2922" s="13"/>
    </row>
    <row r="2923" spans="1:2" ht="14.4">
      <c r="A2923" s="13"/>
      <c r="B2923" s="13"/>
    </row>
    <row r="2924" spans="1:2" ht="14.4">
      <c r="A2924" s="13"/>
      <c r="B2924" s="13"/>
    </row>
    <row r="2925" spans="1:2" ht="14.4">
      <c r="A2925" s="13"/>
      <c r="B2925" s="13"/>
    </row>
    <row r="2926" spans="1:2" ht="14.4">
      <c r="A2926" s="13"/>
      <c r="B2926" s="13"/>
    </row>
    <row r="2927" spans="1:2" ht="14.4">
      <c r="A2927" s="13"/>
      <c r="B2927" s="13"/>
    </row>
    <row r="2928" spans="1:2" ht="14.4">
      <c r="A2928" s="13"/>
      <c r="B2928" s="13"/>
    </row>
    <row r="2929" spans="1:2" ht="14.4">
      <c r="A2929" s="13"/>
      <c r="B2929" s="13"/>
    </row>
    <row r="2930" spans="1:2" ht="14.4">
      <c r="A2930" s="13"/>
      <c r="B2930" s="13"/>
    </row>
    <row r="2931" spans="1:2" ht="14.4">
      <c r="A2931" s="13"/>
      <c r="B2931" s="13"/>
    </row>
    <row r="2932" spans="1:2" ht="14.4">
      <c r="A2932" s="13"/>
      <c r="B2932" s="13"/>
    </row>
    <row r="2933" spans="1:2" ht="14.4">
      <c r="A2933" s="13"/>
      <c r="B2933" s="13"/>
    </row>
    <row r="2934" spans="1:2" ht="14.4">
      <c r="A2934" s="13"/>
      <c r="B2934" s="13"/>
    </row>
    <row r="2935" spans="1:2" ht="14.4">
      <c r="A2935" s="13"/>
      <c r="B2935" s="13"/>
    </row>
    <row r="2936" spans="1:2" ht="14.4">
      <c r="A2936" s="13"/>
      <c r="B2936" s="13"/>
    </row>
    <row r="2937" spans="1:2" ht="14.4">
      <c r="A2937" s="13"/>
      <c r="B2937" s="13"/>
    </row>
    <row r="2938" spans="1:2" ht="14.4">
      <c r="A2938" s="13"/>
      <c r="B2938" s="13"/>
    </row>
    <row r="2939" spans="1:2" ht="14.4">
      <c r="A2939" s="13"/>
      <c r="B2939" s="13"/>
    </row>
    <row r="2940" spans="1:2" ht="14.4">
      <c r="A2940" s="13"/>
      <c r="B2940" s="13"/>
    </row>
    <row r="2941" spans="1:2" ht="14.4">
      <c r="A2941" s="13"/>
      <c r="B2941" s="13"/>
    </row>
    <row r="2942" spans="1:2" ht="14.4">
      <c r="A2942" s="13"/>
      <c r="B2942" s="13"/>
    </row>
    <row r="2943" spans="1:2" ht="14.4">
      <c r="A2943" s="13"/>
      <c r="B2943" s="13"/>
    </row>
    <row r="2944" spans="1:2" ht="14.4">
      <c r="A2944" s="13"/>
      <c r="B2944" s="13"/>
    </row>
    <row r="2945" spans="1:2" ht="14.4">
      <c r="A2945" s="13"/>
      <c r="B2945" s="13"/>
    </row>
    <row r="2946" spans="1:2" ht="14.4">
      <c r="A2946" s="13"/>
      <c r="B2946" s="13"/>
    </row>
    <row r="2947" spans="1:2" ht="14.4">
      <c r="A2947" s="13"/>
      <c r="B2947" s="13"/>
    </row>
    <row r="2948" spans="1:2" ht="14.4">
      <c r="A2948" s="13"/>
      <c r="B2948" s="13"/>
    </row>
    <row r="2949" spans="1:2" ht="14.4">
      <c r="A2949" s="13"/>
      <c r="B2949" s="13"/>
    </row>
    <row r="2950" spans="1:2" ht="14.4">
      <c r="A2950" s="13"/>
      <c r="B2950" s="13"/>
    </row>
    <row r="2951" spans="1:2" ht="14.4">
      <c r="A2951" s="13"/>
      <c r="B2951" s="13"/>
    </row>
    <row r="2952" spans="1:2" ht="14.4">
      <c r="A2952" s="13"/>
      <c r="B2952" s="13"/>
    </row>
    <row r="2953" spans="1:2" ht="14.4">
      <c r="A2953" s="13"/>
      <c r="B2953" s="13"/>
    </row>
    <row r="2954" spans="1:2" ht="14.4">
      <c r="A2954" s="13"/>
      <c r="B2954" s="13"/>
    </row>
    <row r="2955" spans="1:2" ht="14.4">
      <c r="A2955" s="13"/>
      <c r="B2955" s="13"/>
    </row>
    <row r="2956" spans="1:2" ht="14.4">
      <c r="A2956" s="13"/>
      <c r="B2956" s="13"/>
    </row>
    <row r="2957" spans="1:2" ht="14.4">
      <c r="A2957" s="13"/>
      <c r="B2957" s="13"/>
    </row>
    <row r="2958" spans="1:2" ht="14.4">
      <c r="A2958" s="13"/>
      <c r="B2958" s="13"/>
    </row>
    <row r="2959" spans="1:2" ht="14.4">
      <c r="A2959" s="13"/>
      <c r="B2959" s="13"/>
    </row>
    <row r="2960" spans="1:2" ht="14.4">
      <c r="A2960" s="13"/>
      <c r="B2960" s="13"/>
    </row>
    <row r="2961" spans="1:2" ht="14.4">
      <c r="A2961" s="13"/>
      <c r="B2961" s="13"/>
    </row>
    <row r="2962" spans="1:2" ht="14.4">
      <c r="A2962" s="13"/>
      <c r="B2962" s="13"/>
    </row>
    <row r="2963" spans="1:2" ht="14.4">
      <c r="A2963" s="13"/>
      <c r="B2963" s="13"/>
    </row>
    <row r="2964" spans="1:2" ht="14.4">
      <c r="A2964" s="13"/>
      <c r="B2964" s="13"/>
    </row>
    <row r="2965" spans="1:2" ht="14.4">
      <c r="A2965" s="13"/>
      <c r="B2965" s="13"/>
    </row>
    <row r="2966" spans="1:2" ht="14.4">
      <c r="A2966" s="13"/>
      <c r="B2966" s="13"/>
    </row>
    <row r="2967" spans="1:2" ht="14.4">
      <c r="A2967" s="13"/>
      <c r="B2967" s="13"/>
    </row>
    <row r="2968" spans="1:2" ht="14.4">
      <c r="A2968" s="13"/>
      <c r="B2968" s="13"/>
    </row>
    <row r="2969" spans="1:2" ht="14.4">
      <c r="A2969" s="13"/>
      <c r="B2969" s="13"/>
    </row>
    <row r="2970" spans="1:2" ht="14.4">
      <c r="A2970" s="13"/>
      <c r="B2970" s="13"/>
    </row>
    <row r="2971" spans="1:2" ht="14.4">
      <c r="A2971" s="13"/>
      <c r="B2971" s="13"/>
    </row>
    <row r="2972" spans="1:2" ht="14.4">
      <c r="A2972" s="13"/>
      <c r="B2972" s="13"/>
    </row>
    <row r="2973" spans="1:2" ht="14.4">
      <c r="A2973" s="13"/>
      <c r="B2973" s="13"/>
    </row>
    <row r="2974" spans="1:2" ht="14.4">
      <c r="A2974" s="13"/>
      <c r="B2974" s="13"/>
    </row>
    <row r="2975" spans="1:2" ht="14.4">
      <c r="A2975" s="13"/>
      <c r="B2975" s="13"/>
    </row>
    <row r="2976" spans="1:2" ht="14.4">
      <c r="A2976" s="13"/>
      <c r="B2976" s="13"/>
    </row>
    <row r="2977" spans="1:2" ht="14.4">
      <c r="A2977" s="13"/>
      <c r="B2977" s="13"/>
    </row>
    <row r="2978" spans="1:2" ht="14.4">
      <c r="A2978" s="13"/>
      <c r="B2978" s="13"/>
    </row>
    <row r="2979" spans="1:2" ht="14.4">
      <c r="A2979" s="13"/>
      <c r="B2979" s="13"/>
    </row>
    <row r="2980" spans="1:2" ht="14.4">
      <c r="A2980" s="13"/>
      <c r="B2980" s="13"/>
    </row>
    <row r="2981" spans="1:2" ht="14.4">
      <c r="A2981" s="13"/>
      <c r="B2981" s="13"/>
    </row>
    <row r="2982" spans="1:2" ht="14.4">
      <c r="A2982" s="13"/>
      <c r="B2982" s="13"/>
    </row>
    <row r="2983" spans="1:2" ht="14.4">
      <c r="A2983" s="13"/>
      <c r="B2983" s="13"/>
    </row>
    <row r="2984" spans="1:2" ht="14.4">
      <c r="A2984" s="13"/>
      <c r="B2984" s="13"/>
    </row>
    <row r="2985" spans="1:2" ht="14.4">
      <c r="A2985" s="13"/>
      <c r="B2985" s="13"/>
    </row>
    <row r="2986" spans="1:2" ht="14.4">
      <c r="A2986" s="13"/>
      <c r="B2986" s="13"/>
    </row>
    <row r="2987" spans="1:2" ht="14.4">
      <c r="A2987" s="13"/>
      <c r="B2987" s="13"/>
    </row>
    <row r="2988" spans="1:2" ht="14.4">
      <c r="A2988" s="13"/>
      <c r="B2988" s="13"/>
    </row>
    <row r="2989" spans="1:2" ht="14.4">
      <c r="A2989" s="13"/>
      <c r="B2989" s="13"/>
    </row>
    <row r="2990" spans="1:2" ht="14.4">
      <c r="A2990" s="13"/>
      <c r="B2990" s="13"/>
    </row>
    <row r="2991" spans="1:2" ht="14.4">
      <c r="A2991" s="13"/>
      <c r="B2991" s="13"/>
    </row>
    <row r="2992" spans="1:2" ht="14.4">
      <c r="A2992" s="13"/>
      <c r="B2992" s="13"/>
    </row>
    <row r="2993" spans="1:2" ht="14.4">
      <c r="A2993" s="13"/>
      <c r="B2993" s="13"/>
    </row>
    <row r="2994" spans="1:2" ht="14.4">
      <c r="A2994" s="13"/>
      <c r="B2994" s="13"/>
    </row>
    <row r="2995" spans="1:2" ht="14.4">
      <c r="A2995" s="13"/>
      <c r="B2995" s="13"/>
    </row>
    <row r="2996" spans="1:2" ht="14.4">
      <c r="A2996" s="13"/>
      <c r="B2996" s="13"/>
    </row>
    <row r="2997" spans="1:2" ht="14.4">
      <c r="A2997" s="13"/>
      <c r="B2997" s="13"/>
    </row>
    <row r="2998" spans="1:2" ht="14.4">
      <c r="A2998" s="13"/>
      <c r="B2998" s="13"/>
    </row>
    <row r="2999" spans="1:2" ht="14.4">
      <c r="A2999" s="13"/>
      <c r="B2999" s="13"/>
    </row>
    <row r="3000" spans="1:2" ht="14.4">
      <c r="A3000" s="13"/>
      <c r="B3000" s="13"/>
    </row>
    <row r="3001" spans="1:2" ht="14.4">
      <c r="A3001" s="13"/>
      <c r="B3001" s="13"/>
    </row>
    <row r="3002" spans="1:2" ht="14.4">
      <c r="A3002" s="13"/>
      <c r="B3002" s="13"/>
    </row>
    <row r="3003" spans="1:2" ht="14.4">
      <c r="A3003" s="13"/>
      <c r="B3003" s="13"/>
    </row>
    <row r="3004" spans="1:2" ht="14.4">
      <c r="A3004" s="13"/>
      <c r="B3004" s="13"/>
    </row>
    <row r="3005" spans="1:2" ht="14.4">
      <c r="A3005" s="13"/>
      <c r="B3005" s="13"/>
    </row>
    <row r="3006" spans="1:2" ht="14.4">
      <c r="A3006" s="13"/>
      <c r="B3006" s="13"/>
    </row>
    <row r="3007" spans="1:2" ht="14.4">
      <c r="A3007" s="13"/>
      <c r="B3007" s="13"/>
    </row>
    <row r="3008" spans="1:2" ht="14.4">
      <c r="A3008" s="13"/>
      <c r="B3008" s="13"/>
    </row>
    <row r="3009" spans="1:2" ht="14.4">
      <c r="A3009" s="13"/>
      <c r="B3009" s="13"/>
    </row>
    <row r="3010" spans="1:2" ht="14.4">
      <c r="A3010" s="13"/>
      <c r="B3010" s="13"/>
    </row>
    <row r="3011" spans="1:2" ht="14.4">
      <c r="A3011" s="13"/>
      <c r="B3011" s="13"/>
    </row>
    <row r="3012" spans="1:2" ht="14.4">
      <c r="A3012" s="13"/>
      <c r="B3012" s="13"/>
    </row>
    <row r="3013" spans="1:2" ht="14.4">
      <c r="A3013" s="13"/>
      <c r="B3013" s="13"/>
    </row>
    <row r="3014" spans="1:2" ht="14.4">
      <c r="A3014" s="13"/>
      <c r="B3014" s="13"/>
    </row>
    <row r="3015" spans="1:2" ht="14.4">
      <c r="A3015" s="13"/>
      <c r="B3015" s="13"/>
    </row>
    <row r="3016" spans="1:2" ht="14.4">
      <c r="A3016" s="13"/>
      <c r="B3016" s="13"/>
    </row>
    <row r="3017" spans="1:2" ht="14.4">
      <c r="A3017" s="13"/>
      <c r="B3017" s="13"/>
    </row>
    <row r="3018" spans="1:2" ht="14.4">
      <c r="A3018" s="13"/>
      <c r="B3018" s="13"/>
    </row>
    <row r="3019" spans="1:2" ht="14.4">
      <c r="A3019" s="13"/>
      <c r="B3019" s="13"/>
    </row>
    <row r="3020" spans="1:2" ht="14.4">
      <c r="A3020" s="13"/>
      <c r="B3020" s="13"/>
    </row>
    <row r="3021" spans="1:2" ht="14.4">
      <c r="A3021" s="13"/>
      <c r="B3021" s="13"/>
    </row>
    <row r="3022" spans="1:2" ht="14.4">
      <c r="A3022" s="13"/>
      <c r="B3022" s="13"/>
    </row>
    <row r="3023" spans="1:2" ht="14.4">
      <c r="A3023" s="13"/>
      <c r="B3023" s="13"/>
    </row>
    <row r="3024" spans="1:2" ht="14.4">
      <c r="A3024" s="13"/>
      <c r="B3024" s="13"/>
    </row>
    <row r="3025" spans="1:2" ht="14.4">
      <c r="A3025" s="13"/>
      <c r="B3025" s="13"/>
    </row>
    <row r="3026" spans="1:2" ht="14.4">
      <c r="A3026" s="13"/>
      <c r="B3026" s="13"/>
    </row>
    <row r="3027" spans="1:2" ht="14.4">
      <c r="A3027" s="13"/>
      <c r="B3027" s="13"/>
    </row>
    <row r="3028" spans="1:2" ht="14.4">
      <c r="A3028" s="13"/>
      <c r="B3028" s="13"/>
    </row>
    <row r="3029" spans="1:2" ht="14.4">
      <c r="A3029" s="13"/>
      <c r="B3029" s="13"/>
    </row>
    <row r="3030" spans="1:2" ht="14.4">
      <c r="A3030" s="13"/>
      <c r="B3030" s="13"/>
    </row>
    <row r="3031" spans="1:2" ht="14.4">
      <c r="A3031" s="13"/>
      <c r="B3031" s="13"/>
    </row>
    <row r="3032" spans="1:2" ht="14.4">
      <c r="A3032" s="13"/>
      <c r="B3032" s="13"/>
    </row>
    <row r="3033" spans="1:2" ht="14.4">
      <c r="A3033" s="13"/>
      <c r="B3033" s="13"/>
    </row>
    <row r="3034" spans="1:2" ht="14.4">
      <c r="A3034" s="13"/>
      <c r="B3034" s="13"/>
    </row>
    <row r="3035" spans="1:2" ht="14.4">
      <c r="A3035" s="13"/>
      <c r="B3035" s="13"/>
    </row>
    <row r="3036" spans="1:2" ht="14.4">
      <c r="A3036" s="13"/>
      <c r="B3036" s="13"/>
    </row>
    <row r="3037" spans="1:2" ht="14.4">
      <c r="A3037" s="13"/>
      <c r="B3037" s="13"/>
    </row>
    <row r="3038" spans="1:2" ht="14.4">
      <c r="A3038" s="13"/>
      <c r="B3038" s="13"/>
    </row>
    <row r="3039" spans="1:2" ht="14.4">
      <c r="A3039" s="13"/>
      <c r="B3039" s="13"/>
    </row>
    <row r="3040" spans="1:2" ht="14.4">
      <c r="A3040" s="13"/>
      <c r="B3040" s="13"/>
    </row>
    <row r="3041" spans="1:2" ht="14.4">
      <c r="A3041" s="13"/>
      <c r="B3041" s="13"/>
    </row>
    <row r="3042" spans="1:2" ht="14.4">
      <c r="A3042" s="13"/>
      <c r="B3042" s="13"/>
    </row>
    <row r="3043" spans="1:2" ht="14.4">
      <c r="A3043" s="13"/>
      <c r="B3043" s="13"/>
    </row>
    <row r="3044" spans="1:2" ht="14.4">
      <c r="A3044" s="13"/>
      <c r="B3044" s="13"/>
    </row>
    <row r="3045" spans="1:2" ht="14.4">
      <c r="A3045" s="13"/>
      <c r="B3045" s="13"/>
    </row>
    <row r="3046" spans="1:2" ht="14.4">
      <c r="A3046" s="13"/>
      <c r="B3046" s="13"/>
    </row>
    <row r="3047" spans="1:2" ht="14.4">
      <c r="A3047" s="13"/>
      <c r="B3047" s="13"/>
    </row>
    <row r="3048" spans="1:2" ht="14.4">
      <c r="A3048" s="13"/>
      <c r="B3048" s="13"/>
    </row>
    <row r="3049" spans="1:2" ht="14.4">
      <c r="A3049" s="13"/>
      <c r="B3049" s="13"/>
    </row>
    <row r="3050" spans="1:2" ht="14.4">
      <c r="A3050" s="13"/>
      <c r="B3050" s="13"/>
    </row>
    <row r="3051" spans="1:2" ht="14.4">
      <c r="A3051" s="13"/>
      <c r="B3051" s="13"/>
    </row>
    <row r="3052" spans="1:2" ht="14.4">
      <c r="A3052" s="13"/>
      <c r="B3052" s="13"/>
    </row>
    <row r="3053" spans="1:2" ht="14.4">
      <c r="A3053" s="13"/>
      <c r="B3053" s="13"/>
    </row>
    <row r="3054" spans="1:2" ht="14.4">
      <c r="A3054" s="13"/>
      <c r="B3054" s="13"/>
    </row>
    <row r="3055" spans="1:2" ht="14.4">
      <c r="A3055" s="13"/>
      <c r="B3055" s="13"/>
    </row>
    <row r="3056" spans="1:2" ht="14.4">
      <c r="A3056" s="13"/>
      <c r="B3056" s="13"/>
    </row>
    <row r="3057" spans="1:2" ht="14.4">
      <c r="A3057" s="13"/>
      <c r="B3057" s="13"/>
    </row>
    <row r="3058" spans="1:2" ht="14.4">
      <c r="A3058" s="13"/>
      <c r="B3058" s="13"/>
    </row>
    <row r="3059" spans="1:2" ht="14.4">
      <c r="A3059" s="13"/>
      <c r="B3059" s="13"/>
    </row>
    <row r="3060" spans="1:2" ht="14.4">
      <c r="A3060" s="13"/>
      <c r="B3060" s="13"/>
    </row>
    <row r="3061" spans="1:2" ht="14.4">
      <c r="A3061" s="13"/>
      <c r="B3061" s="13"/>
    </row>
    <row r="3062" spans="1:2" ht="14.4">
      <c r="A3062" s="13"/>
      <c r="B3062" s="13"/>
    </row>
    <row r="3063" spans="1:2" ht="14.4">
      <c r="A3063" s="13"/>
      <c r="B3063" s="13"/>
    </row>
    <row r="3064" spans="1:2" ht="14.4">
      <c r="A3064" s="13"/>
      <c r="B3064" s="13"/>
    </row>
    <row r="3065" spans="1:2" ht="14.4">
      <c r="A3065" s="13"/>
      <c r="B3065" s="13"/>
    </row>
    <row r="3066" spans="1:2" ht="14.4">
      <c r="A3066" s="13"/>
      <c r="B3066" s="13"/>
    </row>
    <row r="3067" spans="1:2" ht="14.4">
      <c r="A3067" s="13"/>
      <c r="B3067" s="13"/>
    </row>
    <row r="3068" spans="1:2" ht="14.4">
      <c r="A3068" s="13"/>
      <c r="B3068" s="13"/>
    </row>
    <row r="3069" spans="1:2" ht="14.4">
      <c r="A3069" s="13"/>
      <c r="B3069" s="13"/>
    </row>
    <row r="3070" spans="1:2" ht="14.4">
      <c r="A3070" s="13"/>
      <c r="B3070" s="13"/>
    </row>
    <row r="3071" spans="1:2" ht="14.4">
      <c r="A3071" s="13"/>
      <c r="B3071" s="13"/>
    </row>
    <row r="3072" spans="1:2" ht="14.4">
      <c r="A3072" s="13"/>
      <c r="B3072" s="13"/>
    </row>
    <row r="3073" spans="1:2" ht="14.4">
      <c r="A3073" s="13"/>
      <c r="B3073" s="13"/>
    </row>
    <row r="3074" spans="1:2" ht="14.4">
      <c r="A3074" s="13"/>
      <c r="B3074" s="13"/>
    </row>
    <row r="3075" spans="1:2" ht="14.4">
      <c r="A3075" s="13"/>
      <c r="B3075" s="13"/>
    </row>
    <row r="3076" spans="1:2" ht="14.4">
      <c r="A3076" s="13"/>
      <c r="B3076" s="13"/>
    </row>
    <row r="3077" spans="1:2" ht="14.4">
      <c r="A3077" s="13"/>
      <c r="B3077" s="13"/>
    </row>
    <row r="3078" spans="1:2" ht="14.4">
      <c r="A3078" s="13"/>
      <c r="B3078" s="13"/>
    </row>
    <row r="3079" spans="1:2" ht="14.4">
      <c r="A3079" s="13"/>
      <c r="B3079" s="13"/>
    </row>
    <row r="3080" spans="1:2" ht="14.4">
      <c r="A3080" s="13"/>
      <c r="B3080" s="13"/>
    </row>
    <row r="3081" spans="1:2" ht="14.4">
      <c r="A3081" s="13"/>
      <c r="B3081" s="13"/>
    </row>
    <row r="3082" spans="1:2" ht="14.4">
      <c r="A3082" s="13"/>
      <c r="B3082" s="13"/>
    </row>
    <row r="3083" spans="1:2" ht="14.4">
      <c r="A3083" s="13"/>
      <c r="B3083" s="13"/>
    </row>
    <row r="3084" spans="1:2" ht="14.4">
      <c r="A3084" s="13"/>
      <c r="B3084" s="13"/>
    </row>
    <row r="3085" spans="1:2" ht="14.4">
      <c r="A3085" s="13"/>
      <c r="B3085" s="13"/>
    </row>
    <row r="3086" spans="1:2" ht="14.4">
      <c r="A3086" s="13"/>
      <c r="B3086" s="13"/>
    </row>
    <row r="3087" spans="1:2" ht="14.4">
      <c r="A3087" s="13"/>
      <c r="B3087" s="13"/>
    </row>
    <row r="3088" spans="1:2" ht="14.4">
      <c r="A3088" s="13"/>
      <c r="B3088" s="13"/>
    </row>
    <row r="3089" spans="1:2" ht="14.4">
      <c r="A3089" s="13"/>
      <c r="B3089" s="13"/>
    </row>
    <row r="3090" spans="1:2" ht="14.4">
      <c r="A3090" s="13"/>
      <c r="B3090" s="13"/>
    </row>
    <row r="3091" spans="1:2" ht="14.4">
      <c r="A3091" s="13"/>
      <c r="B3091" s="13"/>
    </row>
    <row r="3092" spans="1:2" ht="14.4">
      <c r="A3092" s="13"/>
      <c r="B3092" s="13"/>
    </row>
    <row r="3093" spans="1:2" ht="14.4">
      <c r="A3093" s="13"/>
      <c r="B3093" s="13"/>
    </row>
    <row r="3094" spans="1:2" ht="14.4">
      <c r="A3094" s="13"/>
      <c r="B3094" s="13"/>
    </row>
    <row r="3095" spans="1:2" ht="14.4">
      <c r="A3095" s="13"/>
      <c r="B3095" s="13"/>
    </row>
    <row r="3096" spans="1:2" ht="14.4">
      <c r="A3096" s="13"/>
      <c r="B3096" s="13"/>
    </row>
    <row r="3097" spans="1:2" ht="14.4">
      <c r="A3097" s="13"/>
      <c r="B3097" s="13"/>
    </row>
    <row r="3098" spans="1:2" ht="14.4">
      <c r="A3098" s="13"/>
      <c r="B3098" s="13"/>
    </row>
    <row r="3099" spans="1:2" ht="14.4">
      <c r="A3099" s="13"/>
      <c r="B3099" s="13"/>
    </row>
    <row r="3100" spans="1:2" ht="14.4">
      <c r="A3100" s="13"/>
      <c r="B3100" s="13"/>
    </row>
    <row r="3101" spans="1:2" ht="14.4">
      <c r="A3101" s="13"/>
      <c r="B3101" s="13"/>
    </row>
    <row r="3102" spans="1:2" ht="14.4">
      <c r="A3102" s="13"/>
      <c r="B3102" s="13"/>
    </row>
    <row r="3103" spans="1:2" ht="14.4">
      <c r="A3103" s="13"/>
      <c r="B3103" s="13"/>
    </row>
    <row r="3104" spans="1:2" ht="14.4">
      <c r="A3104" s="13"/>
      <c r="B3104" s="13"/>
    </row>
    <row r="3105" spans="1:2" ht="14.4">
      <c r="A3105" s="13"/>
      <c r="B3105" s="13"/>
    </row>
    <row r="3106" spans="1:2" ht="14.4">
      <c r="A3106" s="13"/>
      <c r="B3106" s="13"/>
    </row>
    <row r="3107" spans="1:2" ht="14.4">
      <c r="A3107" s="13"/>
      <c r="B3107" s="13"/>
    </row>
    <row r="3108" spans="1:2" ht="14.4">
      <c r="A3108" s="13"/>
      <c r="B3108" s="13"/>
    </row>
    <row r="3109" spans="1:2" ht="14.4">
      <c r="A3109" s="13"/>
      <c r="B3109" s="13"/>
    </row>
    <row r="3110" spans="1:2" ht="14.4">
      <c r="A3110" s="13"/>
      <c r="B3110" s="13"/>
    </row>
    <row r="3111" spans="1:2" ht="14.4">
      <c r="A3111" s="13"/>
      <c r="B3111" s="13"/>
    </row>
    <row r="3112" spans="1:2" ht="14.4">
      <c r="A3112" s="13"/>
      <c r="B3112" s="13"/>
    </row>
    <row r="3113" spans="1:2" ht="14.4">
      <c r="A3113" s="13"/>
      <c r="B3113" s="13"/>
    </row>
    <row r="3114" spans="1:2" ht="14.4">
      <c r="A3114" s="13"/>
      <c r="B3114" s="13"/>
    </row>
    <row r="3115" spans="1:2" ht="14.4">
      <c r="A3115" s="13"/>
      <c r="B3115" s="13"/>
    </row>
    <row r="3116" spans="1:2" ht="14.4">
      <c r="A3116" s="13"/>
      <c r="B3116" s="13"/>
    </row>
    <row r="3117" spans="1:2" ht="14.4">
      <c r="A3117" s="13"/>
      <c r="B3117" s="13"/>
    </row>
    <row r="3118" spans="1:2" ht="14.4">
      <c r="A3118" s="13"/>
      <c r="B3118" s="13"/>
    </row>
    <row r="3119" spans="1:2" ht="14.4">
      <c r="A3119" s="13"/>
      <c r="B3119" s="13"/>
    </row>
    <row r="3120" spans="1:2" ht="14.4">
      <c r="A3120" s="13"/>
      <c r="B3120" s="13"/>
    </row>
    <row r="3121" spans="1:2" ht="14.4">
      <c r="A3121" s="13"/>
      <c r="B3121" s="13"/>
    </row>
    <row r="3122" spans="1:2" ht="14.4">
      <c r="A3122" s="13"/>
      <c r="B3122" s="13"/>
    </row>
    <row r="3123" spans="1:2" ht="14.4">
      <c r="A3123" s="13"/>
      <c r="B3123" s="13"/>
    </row>
    <row r="3124" spans="1:2" ht="14.4">
      <c r="A3124" s="13"/>
      <c r="B3124" s="13"/>
    </row>
    <row r="3125" spans="1:2" ht="14.4">
      <c r="A3125" s="13"/>
      <c r="B3125" s="13"/>
    </row>
    <row r="3126" spans="1:2" ht="14.4">
      <c r="A3126" s="13"/>
      <c r="B3126" s="13"/>
    </row>
    <row r="3127" spans="1:2" ht="14.4">
      <c r="A3127" s="13"/>
      <c r="B3127" s="13"/>
    </row>
    <row r="3128" spans="1:2" ht="14.4">
      <c r="A3128" s="13"/>
      <c r="B3128" s="13"/>
    </row>
    <row r="3129" spans="1:2" ht="14.4">
      <c r="A3129" s="13"/>
      <c r="B3129" s="13"/>
    </row>
    <row r="3130" spans="1:2" ht="14.4">
      <c r="A3130" s="13"/>
      <c r="B3130" s="13"/>
    </row>
    <row r="3131" spans="1:2" ht="14.4">
      <c r="A3131" s="13"/>
      <c r="B3131" s="13"/>
    </row>
    <row r="3132" spans="1:2" ht="14.4">
      <c r="A3132" s="13"/>
      <c r="B3132" s="13"/>
    </row>
    <row r="3133" spans="1:2" ht="14.4">
      <c r="A3133" s="13"/>
      <c r="B3133" s="13"/>
    </row>
    <row r="3134" spans="1:2" ht="14.4">
      <c r="A3134" s="13"/>
      <c r="B3134" s="13"/>
    </row>
    <row r="3135" spans="1:2" ht="14.4">
      <c r="A3135" s="13"/>
      <c r="B3135" s="13"/>
    </row>
    <row r="3136" spans="1:2" ht="14.4">
      <c r="A3136" s="13"/>
      <c r="B3136" s="13"/>
    </row>
    <row r="3137" spans="1:2" ht="14.4">
      <c r="A3137" s="13"/>
      <c r="B3137" s="13"/>
    </row>
    <row r="3138" spans="1:2" ht="14.4">
      <c r="A3138" s="13"/>
      <c r="B3138" s="13"/>
    </row>
    <row r="3139" spans="1:2" ht="14.4">
      <c r="A3139" s="13"/>
      <c r="B3139" s="13"/>
    </row>
    <row r="3140" spans="1:2" ht="14.4">
      <c r="A3140" s="13"/>
      <c r="B3140" s="13"/>
    </row>
    <row r="3141" spans="1:2" ht="14.4">
      <c r="A3141" s="13"/>
      <c r="B3141" s="13"/>
    </row>
    <row r="3142" spans="1:2" ht="14.4">
      <c r="A3142" s="13"/>
      <c r="B3142" s="13"/>
    </row>
    <row r="3143" spans="1:2" ht="14.4">
      <c r="A3143" s="13"/>
      <c r="B3143" s="13"/>
    </row>
    <row r="3144" spans="1:2" ht="14.4">
      <c r="A3144" s="13"/>
      <c r="B3144" s="13"/>
    </row>
    <row r="3145" spans="1:2" ht="14.4">
      <c r="A3145" s="13"/>
      <c r="B3145" s="13"/>
    </row>
    <row r="3146" spans="1:2" ht="14.4">
      <c r="A3146" s="13"/>
      <c r="B3146" s="13"/>
    </row>
    <row r="3147" spans="1:2" ht="14.4">
      <c r="A3147" s="13"/>
      <c r="B3147" s="13"/>
    </row>
    <row r="3148" spans="1:2" ht="14.4">
      <c r="A3148" s="13"/>
      <c r="B3148" s="13"/>
    </row>
    <row r="3149" spans="1:2" ht="14.4">
      <c r="A3149" s="13"/>
      <c r="B3149" s="13"/>
    </row>
    <row r="3150" spans="1:2" ht="14.4">
      <c r="A3150" s="13"/>
      <c r="B3150" s="13"/>
    </row>
    <row r="3151" spans="1:2" ht="14.4">
      <c r="A3151" s="13"/>
      <c r="B3151" s="13"/>
    </row>
    <row r="3152" spans="1:2" ht="14.4">
      <c r="A3152" s="13"/>
      <c r="B3152" s="13"/>
    </row>
    <row r="3153" spans="1:2" ht="14.4">
      <c r="A3153" s="13"/>
      <c r="B3153" s="13"/>
    </row>
    <row r="3154" spans="1:2" ht="14.4">
      <c r="A3154" s="13"/>
      <c r="B3154" s="13"/>
    </row>
    <row r="3155" spans="1:2" ht="14.4">
      <c r="A3155" s="13"/>
      <c r="B3155" s="13"/>
    </row>
    <row r="3156" spans="1:2" ht="14.4">
      <c r="A3156" s="13"/>
      <c r="B3156" s="13"/>
    </row>
    <row r="3157" spans="1:2" ht="14.4">
      <c r="A3157" s="13"/>
      <c r="B3157" s="13"/>
    </row>
    <row r="3158" spans="1:2" ht="14.4">
      <c r="A3158" s="13"/>
      <c r="B3158" s="13"/>
    </row>
    <row r="3159" spans="1:2" ht="14.4">
      <c r="A3159" s="13"/>
      <c r="B3159" s="13"/>
    </row>
    <row r="3160" spans="1:2" ht="14.4">
      <c r="A3160" s="13"/>
      <c r="B3160" s="13"/>
    </row>
    <row r="3161" spans="1:2" ht="14.4">
      <c r="A3161" s="13"/>
      <c r="B3161" s="13"/>
    </row>
    <row r="3162" spans="1:2" ht="14.4">
      <c r="A3162" s="13"/>
      <c r="B3162" s="13"/>
    </row>
    <row r="3163" spans="1:2" ht="14.4">
      <c r="A3163" s="13"/>
      <c r="B3163" s="13"/>
    </row>
    <row r="3164" spans="1:2" ht="14.4">
      <c r="A3164" s="13"/>
      <c r="B3164" s="13"/>
    </row>
    <row r="3165" spans="1:2" ht="14.4">
      <c r="A3165" s="13"/>
      <c r="B3165" s="13"/>
    </row>
    <row r="3166" spans="1:2" ht="14.4">
      <c r="A3166" s="13"/>
      <c r="B3166" s="13"/>
    </row>
    <row r="3167" spans="1:2" ht="14.4">
      <c r="A3167" s="13"/>
      <c r="B3167" s="13"/>
    </row>
    <row r="3168" spans="1:2" ht="14.4">
      <c r="A3168" s="13"/>
      <c r="B3168" s="13"/>
    </row>
    <row r="3169" spans="1:2" ht="14.4">
      <c r="A3169" s="13"/>
      <c r="B3169" s="13"/>
    </row>
    <row r="3170" spans="1:2" ht="14.4">
      <c r="A3170" s="13"/>
      <c r="B3170" s="13"/>
    </row>
    <row r="3171" spans="1:2" ht="14.4">
      <c r="A3171" s="13"/>
      <c r="B3171" s="13"/>
    </row>
    <row r="3172" spans="1:2" ht="14.4">
      <c r="A3172" s="13"/>
      <c r="B3172" s="13"/>
    </row>
    <row r="3173" spans="1:2" ht="14.4">
      <c r="A3173" s="13"/>
      <c r="B3173" s="13"/>
    </row>
    <row r="3174" spans="1:2" ht="14.4">
      <c r="A3174" s="13"/>
      <c r="B3174" s="13"/>
    </row>
    <row r="3175" spans="1:2" ht="14.4">
      <c r="A3175" s="13"/>
      <c r="B3175" s="13"/>
    </row>
    <row r="3176" spans="1:2" ht="14.4">
      <c r="A3176" s="13"/>
      <c r="B3176" s="13"/>
    </row>
    <row r="3177" spans="1:2" ht="14.4">
      <c r="A3177" s="13"/>
      <c r="B3177" s="13"/>
    </row>
    <row r="3178" spans="1:2" ht="14.4">
      <c r="A3178" s="13"/>
      <c r="B3178" s="13"/>
    </row>
    <row r="3179" spans="1:2" ht="14.4">
      <c r="A3179" s="13"/>
      <c r="B3179" s="13"/>
    </row>
    <row r="3180" spans="1:2" ht="14.4">
      <c r="A3180" s="13"/>
      <c r="B3180" s="13"/>
    </row>
    <row r="3181" spans="1:2" ht="14.4">
      <c r="A3181" s="13"/>
      <c r="B3181" s="13"/>
    </row>
    <row r="3182" spans="1:2" ht="14.4">
      <c r="A3182" s="13"/>
      <c r="B3182" s="13"/>
    </row>
    <row r="3183" spans="1:2" ht="14.4">
      <c r="A3183" s="13"/>
      <c r="B3183" s="13"/>
    </row>
    <row r="3184" spans="1:2" ht="14.4">
      <c r="A3184" s="13"/>
      <c r="B3184" s="13"/>
    </row>
    <row r="3185" spans="1:2" ht="14.4">
      <c r="A3185" s="13"/>
      <c r="B3185" s="13"/>
    </row>
    <row r="3186" spans="1:2" ht="14.4">
      <c r="A3186" s="13"/>
      <c r="B3186" s="13"/>
    </row>
    <row r="3187" spans="1:2" ht="14.4">
      <c r="A3187" s="13"/>
      <c r="B3187" s="13"/>
    </row>
    <row r="3188" spans="1:2" ht="14.4">
      <c r="A3188" s="13"/>
      <c r="B3188" s="13"/>
    </row>
    <row r="3189" spans="1:2" ht="14.4">
      <c r="A3189" s="13"/>
      <c r="B3189" s="13"/>
    </row>
    <row r="3190" spans="1:2" ht="14.4">
      <c r="A3190" s="13"/>
      <c r="B3190" s="13"/>
    </row>
    <row r="3191" spans="1:2" ht="14.4">
      <c r="A3191" s="13"/>
      <c r="B3191" s="13"/>
    </row>
    <row r="3192" spans="1:2" ht="14.4">
      <c r="A3192" s="13"/>
      <c r="B3192" s="13"/>
    </row>
    <row r="3193" spans="1:2" ht="14.4">
      <c r="A3193" s="13"/>
      <c r="B3193" s="13"/>
    </row>
    <row r="3194" spans="1:2" ht="14.4">
      <c r="A3194" s="13"/>
      <c r="B3194" s="13"/>
    </row>
    <row r="3195" spans="1:2" ht="14.4">
      <c r="A3195" s="13"/>
      <c r="B3195" s="13"/>
    </row>
    <row r="3196" spans="1:2" ht="14.4">
      <c r="A3196" s="13"/>
      <c r="B3196" s="13"/>
    </row>
    <row r="3197" spans="1:2" ht="14.4">
      <c r="A3197" s="13"/>
      <c r="B3197" s="13"/>
    </row>
    <row r="3198" spans="1:2" ht="14.4">
      <c r="A3198" s="13"/>
      <c r="B3198" s="13"/>
    </row>
    <row r="3199" spans="1:2" ht="14.4">
      <c r="A3199" s="13"/>
      <c r="B3199" s="13"/>
    </row>
    <row r="3200" spans="1:2" ht="14.4">
      <c r="A3200" s="13"/>
      <c r="B3200" s="13"/>
    </row>
    <row r="3201" spans="1:2" ht="14.4">
      <c r="A3201" s="13"/>
      <c r="B3201" s="13"/>
    </row>
    <row r="3202" spans="1:2" ht="14.4">
      <c r="A3202" s="13"/>
      <c r="B3202" s="13"/>
    </row>
    <row r="3203" spans="1:2" ht="14.4">
      <c r="A3203" s="13"/>
      <c r="B3203" s="13"/>
    </row>
    <row r="3204" spans="1:2" ht="14.4">
      <c r="A3204" s="13"/>
      <c r="B3204" s="13"/>
    </row>
    <row r="3205" spans="1:2" ht="14.4">
      <c r="A3205" s="13"/>
      <c r="B3205" s="13"/>
    </row>
    <row r="3206" spans="1:2" ht="14.4">
      <c r="A3206" s="13"/>
      <c r="B3206" s="13"/>
    </row>
    <row r="3207" spans="1:2" ht="14.4">
      <c r="A3207" s="13"/>
      <c r="B3207" s="13"/>
    </row>
    <row r="3208" spans="1:2" ht="14.4">
      <c r="A3208" s="13"/>
      <c r="B3208" s="13"/>
    </row>
    <row r="3209" spans="1:2" ht="14.4">
      <c r="A3209" s="13"/>
      <c r="B3209" s="13"/>
    </row>
    <row r="3210" spans="1:2" ht="14.4">
      <c r="A3210" s="13"/>
      <c r="B3210" s="13"/>
    </row>
    <row r="3211" spans="1:2" ht="14.4">
      <c r="A3211" s="13"/>
      <c r="B3211" s="13"/>
    </row>
    <row r="3212" spans="1:2" ht="14.4">
      <c r="A3212" s="13"/>
      <c r="B3212" s="13"/>
    </row>
    <row r="3213" spans="1:2" ht="14.4">
      <c r="A3213" s="13"/>
      <c r="B3213" s="13"/>
    </row>
    <row r="3214" spans="1:2" ht="14.4">
      <c r="A3214" s="13"/>
      <c r="B3214" s="13"/>
    </row>
    <row r="3215" spans="1:2" ht="14.4">
      <c r="A3215" s="13"/>
      <c r="B3215" s="13"/>
    </row>
    <row r="3216" spans="1:2" ht="14.4">
      <c r="A3216" s="13"/>
      <c r="B3216" s="13"/>
    </row>
    <row r="3217" spans="1:2" ht="14.4">
      <c r="A3217" s="13"/>
      <c r="B3217" s="13"/>
    </row>
    <row r="3218" spans="1:2" ht="14.4">
      <c r="A3218" s="13"/>
      <c r="B3218" s="13"/>
    </row>
    <row r="3219" spans="1:2" ht="14.4">
      <c r="A3219" s="13"/>
      <c r="B3219" s="13"/>
    </row>
    <row r="3220" spans="1:2" ht="14.4">
      <c r="A3220" s="13"/>
      <c r="B3220" s="13"/>
    </row>
    <row r="3221" spans="1:2" ht="14.4">
      <c r="A3221" s="13"/>
      <c r="B3221" s="13"/>
    </row>
    <row r="3222" spans="1:2" ht="14.4">
      <c r="A3222" s="13"/>
      <c r="B3222" s="13"/>
    </row>
    <row r="3223" spans="1:2" ht="14.4">
      <c r="A3223" s="13"/>
      <c r="B3223" s="13"/>
    </row>
    <row r="3224" spans="1:2" ht="14.4">
      <c r="A3224" s="13"/>
      <c r="B3224" s="13"/>
    </row>
    <row r="3225" spans="1:2" ht="14.4">
      <c r="A3225" s="13"/>
      <c r="B3225" s="13"/>
    </row>
    <row r="3226" spans="1:2" ht="14.4">
      <c r="A3226" s="13"/>
      <c r="B3226" s="13"/>
    </row>
    <row r="3227" spans="1:2" ht="14.4">
      <c r="A3227" s="13"/>
      <c r="B3227" s="13"/>
    </row>
    <row r="3228" spans="1:2" ht="14.4">
      <c r="A3228" s="13"/>
      <c r="B3228" s="13"/>
    </row>
    <row r="3229" spans="1:2" ht="14.4">
      <c r="A3229" s="13"/>
      <c r="B3229" s="13"/>
    </row>
    <row r="3230" spans="1:2" ht="14.4">
      <c r="A3230" s="13"/>
      <c r="B3230" s="13"/>
    </row>
    <row r="3231" spans="1:2" ht="14.4">
      <c r="A3231" s="13"/>
      <c r="B3231" s="13"/>
    </row>
    <row r="3232" spans="1:2" ht="14.4">
      <c r="A3232" s="13"/>
      <c r="B3232" s="13"/>
    </row>
    <row r="3233" spans="1:2" ht="14.4">
      <c r="A3233" s="13"/>
      <c r="B3233" s="13"/>
    </row>
    <row r="3234" spans="1:2" ht="14.4">
      <c r="A3234" s="13"/>
      <c r="B3234" s="13"/>
    </row>
    <row r="3235" spans="1:2" ht="14.4">
      <c r="A3235" s="13"/>
      <c r="B3235" s="13"/>
    </row>
    <row r="3236" spans="1:2" ht="14.4">
      <c r="A3236" s="13"/>
      <c r="B3236" s="13"/>
    </row>
    <row r="3237" spans="1:2" ht="14.4">
      <c r="A3237" s="13"/>
      <c r="B3237" s="13"/>
    </row>
    <row r="3238" spans="1:2" ht="14.4">
      <c r="A3238" s="13"/>
      <c r="B3238" s="13"/>
    </row>
    <row r="3239" spans="1:2" ht="14.4">
      <c r="A3239" s="13"/>
      <c r="B3239" s="13"/>
    </row>
    <row r="3240" spans="1:2" ht="14.4">
      <c r="A3240" s="13"/>
      <c r="B3240" s="13"/>
    </row>
    <row r="3241" spans="1:2" ht="14.4">
      <c r="A3241" s="13"/>
      <c r="B3241" s="13"/>
    </row>
    <row r="3242" spans="1:2" ht="14.4">
      <c r="A3242" s="13"/>
      <c r="B3242" s="13"/>
    </row>
    <row r="3243" spans="1:2" ht="14.4">
      <c r="A3243" s="13"/>
      <c r="B3243" s="13"/>
    </row>
    <row r="3244" spans="1:2" ht="14.4">
      <c r="A3244" s="13"/>
      <c r="B3244" s="13"/>
    </row>
    <row r="3245" spans="1:2" ht="14.4">
      <c r="A3245" s="13"/>
      <c r="B3245" s="13"/>
    </row>
    <row r="3246" spans="1:2" ht="14.4">
      <c r="A3246" s="13"/>
      <c r="B3246" s="13"/>
    </row>
    <row r="3247" spans="1:2" ht="14.4">
      <c r="A3247" s="13"/>
      <c r="B3247" s="13"/>
    </row>
    <row r="3248" spans="1:2" ht="14.4">
      <c r="A3248" s="13"/>
      <c r="B3248" s="13"/>
    </row>
    <row r="3249" spans="1:2" ht="14.4">
      <c r="A3249" s="13"/>
      <c r="B3249" s="13"/>
    </row>
    <row r="3250" spans="1:2" ht="14.4">
      <c r="A3250" s="13"/>
      <c r="B3250" s="13"/>
    </row>
    <row r="3251" spans="1:2" ht="14.4">
      <c r="A3251" s="13"/>
      <c r="B3251" s="13"/>
    </row>
    <row r="3252" spans="1:2" ht="14.4">
      <c r="A3252" s="13"/>
      <c r="B3252" s="13"/>
    </row>
    <row r="3253" spans="1:2" ht="14.4">
      <c r="A3253" s="13"/>
      <c r="B3253" s="13"/>
    </row>
    <row r="3254" spans="1:2" ht="14.4">
      <c r="A3254" s="13"/>
      <c r="B3254" s="13"/>
    </row>
    <row r="3255" spans="1:2" ht="14.4">
      <c r="A3255" s="13"/>
      <c r="B3255" s="13"/>
    </row>
    <row r="3256" spans="1:2" ht="14.4">
      <c r="A3256" s="13"/>
      <c r="B3256" s="13"/>
    </row>
    <row r="3257" spans="1:2" ht="14.4">
      <c r="A3257" s="13"/>
      <c r="B3257" s="13"/>
    </row>
    <row r="3258" spans="1:2" ht="14.4">
      <c r="A3258" s="13"/>
      <c r="B3258" s="13"/>
    </row>
    <row r="3259" spans="1:2" ht="14.4">
      <c r="A3259" s="13"/>
      <c r="B3259" s="13"/>
    </row>
    <row r="3260" spans="1:2" ht="14.4">
      <c r="A3260" s="13"/>
      <c r="B3260" s="13"/>
    </row>
    <row r="3261" spans="1:2" ht="14.4">
      <c r="A3261" s="13"/>
      <c r="B3261" s="13"/>
    </row>
    <row r="3262" spans="1:2" ht="14.4">
      <c r="A3262" s="13"/>
      <c r="B3262" s="13"/>
    </row>
    <row r="3263" spans="1:2" ht="14.4">
      <c r="A3263" s="13"/>
      <c r="B3263" s="13"/>
    </row>
    <row r="3264" spans="1:2" ht="14.4">
      <c r="A3264" s="13"/>
      <c r="B3264" s="13"/>
    </row>
    <row r="3265" spans="1:2" ht="14.4">
      <c r="A3265" s="13"/>
      <c r="B3265" s="13"/>
    </row>
    <row r="3266" spans="1:2" ht="14.4">
      <c r="A3266" s="13"/>
      <c r="B3266" s="13"/>
    </row>
    <row r="3267" spans="1:2" ht="14.4">
      <c r="A3267" s="13"/>
      <c r="B3267" s="13"/>
    </row>
    <row r="3268" spans="1:2" ht="14.4">
      <c r="A3268" s="13"/>
      <c r="B3268" s="13"/>
    </row>
    <row r="3269" spans="1:2" ht="14.4">
      <c r="A3269" s="13"/>
      <c r="B3269" s="13"/>
    </row>
    <row r="3270" spans="1:2" ht="14.4">
      <c r="A3270" s="13"/>
      <c r="B3270" s="13"/>
    </row>
    <row r="3271" spans="1:2" ht="14.4">
      <c r="A3271" s="13"/>
      <c r="B3271" s="13"/>
    </row>
    <row r="3272" spans="1:2" ht="14.4">
      <c r="A3272" s="13"/>
      <c r="B3272" s="13"/>
    </row>
    <row r="3273" spans="1:2" ht="14.4">
      <c r="A3273" s="13"/>
      <c r="B3273" s="13"/>
    </row>
    <row r="3274" spans="1:2" ht="14.4">
      <c r="A3274" s="13"/>
      <c r="B3274" s="13"/>
    </row>
    <row r="3275" spans="1:2" ht="14.4">
      <c r="A3275" s="13"/>
      <c r="B3275" s="13"/>
    </row>
    <row r="3276" spans="1:2" ht="14.4">
      <c r="A3276" s="13"/>
      <c r="B3276" s="13"/>
    </row>
    <row r="3277" spans="1:2" ht="14.4">
      <c r="A3277" s="13"/>
      <c r="B3277" s="13"/>
    </row>
    <row r="3278" spans="1:2" ht="14.4">
      <c r="A3278" s="13"/>
      <c r="B3278" s="13"/>
    </row>
    <row r="3279" spans="1:2" ht="14.4">
      <c r="A3279" s="13"/>
      <c r="B3279" s="13"/>
    </row>
    <row r="3280" spans="1:2" ht="14.4">
      <c r="A3280" s="13"/>
      <c r="B3280" s="13"/>
    </row>
    <row r="3281" spans="1:2" ht="14.4">
      <c r="A3281" s="13"/>
      <c r="B3281" s="13"/>
    </row>
    <row r="3282" spans="1:2" ht="14.4">
      <c r="A3282" s="13"/>
      <c r="B3282" s="13"/>
    </row>
    <row r="3283" spans="1:2" ht="14.4">
      <c r="A3283" s="13"/>
      <c r="B3283" s="13"/>
    </row>
    <row r="3284" spans="1:2" ht="14.4">
      <c r="A3284" s="13"/>
      <c r="B3284" s="13"/>
    </row>
    <row r="3285" spans="1:2" ht="14.4">
      <c r="A3285" s="13"/>
      <c r="B3285" s="13"/>
    </row>
    <row r="3286" spans="1:2" ht="14.4">
      <c r="A3286" s="13"/>
      <c r="B3286" s="13"/>
    </row>
    <row r="3287" spans="1:2" ht="14.4">
      <c r="A3287" s="13"/>
      <c r="B3287" s="13"/>
    </row>
    <row r="3288" spans="1:2" ht="14.4">
      <c r="A3288" s="13"/>
      <c r="B3288" s="13"/>
    </row>
    <row r="3289" spans="1:2" ht="14.4">
      <c r="A3289" s="13"/>
      <c r="B3289" s="13"/>
    </row>
    <row r="3290" spans="1:2" ht="14.4">
      <c r="A3290" s="13"/>
      <c r="B3290" s="13"/>
    </row>
    <row r="3291" spans="1:2" ht="14.4">
      <c r="A3291" s="13"/>
      <c r="B3291" s="13"/>
    </row>
    <row r="3292" spans="1:2" ht="14.4">
      <c r="A3292" s="13"/>
      <c r="B3292" s="13"/>
    </row>
    <row r="3293" spans="1:2" ht="14.4">
      <c r="A3293" s="13"/>
      <c r="B3293" s="13"/>
    </row>
    <row r="3294" spans="1:2" ht="14.4">
      <c r="A3294" s="13"/>
      <c r="B3294" s="13"/>
    </row>
    <row r="3295" spans="1:2" ht="14.4">
      <c r="A3295" s="13"/>
      <c r="B3295" s="13"/>
    </row>
    <row r="3296" spans="1:2" ht="14.4">
      <c r="A3296" s="13"/>
      <c r="B3296" s="13"/>
    </row>
    <row r="3297" spans="1:2" ht="14.4">
      <c r="A3297" s="13"/>
      <c r="B3297" s="13"/>
    </row>
    <row r="3298" spans="1:2" ht="14.4">
      <c r="A3298" s="13"/>
      <c r="B3298" s="13"/>
    </row>
    <row r="3299" spans="1:2" ht="14.4">
      <c r="A3299" s="13"/>
      <c r="B3299" s="13"/>
    </row>
    <row r="3300" spans="1:2" ht="14.4">
      <c r="A3300" s="13"/>
      <c r="B3300" s="13"/>
    </row>
    <row r="3301" spans="1:2" ht="14.4">
      <c r="A3301" s="13"/>
      <c r="B3301" s="13"/>
    </row>
    <row r="3302" spans="1:2" ht="14.4">
      <c r="A3302" s="13"/>
      <c r="B3302" s="13"/>
    </row>
    <row r="3303" spans="1:2" ht="14.4">
      <c r="A3303" s="13"/>
      <c r="B3303" s="13"/>
    </row>
    <row r="3304" spans="1:2" ht="14.4">
      <c r="A3304" s="13"/>
      <c r="B3304" s="13"/>
    </row>
    <row r="3305" spans="1:2" ht="14.4">
      <c r="A3305" s="13"/>
      <c r="B3305" s="13"/>
    </row>
    <row r="3306" spans="1:2" ht="14.4">
      <c r="A3306" s="13"/>
      <c r="B3306" s="13"/>
    </row>
    <row r="3307" spans="1:2" ht="14.4">
      <c r="A3307" s="13"/>
      <c r="B3307" s="13"/>
    </row>
    <row r="3308" spans="1:2" ht="14.4">
      <c r="A3308" s="13"/>
      <c r="B3308" s="13"/>
    </row>
    <row r="3309" spans="1:2" ht="14.4">
      <c r="A3309" s="13"/>
      <c r="B3309" s="13"/>
    </row>
    <row r="3310" spans="1:2" ht="14.4">
      <c r="A3310" s="13"/>
      <c r="B3310" s="13"/>
    </row>
    <row r="3311" spans="1:2" ht="14.4">
      <c r="A3311" s="13"/>
      <c r="B3311" s="13"/>
    </row>
    <row r="3312" spans="1:2" ht="14.4">
      <c r="A3312" s="13"/>
      <c r="B3312" s="13"/>
    </row>
    <row r="3313" spans="1:2" ht="14.4">
      <c r="A3313" s="13"/>
      <c r="B3313" s="13"/>
    </row>
    <row r="3314" spans="1:2" ht="14.4">
      <c r="A3314" s="13"/>
      <c r="B3314" s="13"/>
    </row>
    <row r="3315" spans="1:2" ht="14.4">
      <c r="A3315" s="13"/>
      <c r="B3315" s="13"/>
    </row>
    <row r="3316" spans="1:2" ht="14.4">
      <c r="A3316" s="13"/>
      <c r="B3316" s="13"/>
    </row>
    <row r="3317" spans="1:2" ht="14.4">
      <c r="A3317" s="13"/>
      <c r="B3317" s="13"/>
    </row>
    <row r="3318" spans="1:2" ht="14.4">
      <c r="A3318" s="13"/>
      <c r="B3318" s="13"/>
    </row>
    <row r="3319" spans="1:2" ht="14.4">
      <c r="A3319" s="13"/>
      <c r="B3319" s="13"/>
    </row>
    <row r="3320" spans="1:2" ht="14.4">
      <c r="A3320" s="13"/>
      <c r="B3320" s="13"/>
    </row>
    <row r="3321" spans="1:2" ht="14.4">
      <c r="A3321" s="13"/>
      <c r="B3321" s="13"/>
    </row>
    <row r="3322" spans="1:2" ht="14.4">
      <c r="A3322" s="13"/>
      <c r="B3322" s="13"/>
    </row>
    <row r="3323" spans="1:2" ht="14.4">
      <c r="A3323" s="13"/>
      <c r="B3323" s="13"/>
    </row>
    <row r="3324" spans="1:2" ht="14.4">
      <c r="A3324" s="13"/>
      <c r="B3324" s="13"/>
    </row>
    <row r="3325" spans="1:2" ht="14.4">
      <c r="A3325" s="13"/>
      <c r="B3325" s="13"/>
    </row>
    <row r="3326" spans="1:2" ht="14.4">
      <c r="A3326" s="13"/>
      <c r="B3326" s="13"/>
    </row>
    <row r="3327" spans="1:2" ht="14.4">
      <c r="A3327" s="13"/>
      <c r="B3327" s="13"/>
    </row>
    <row r="3328" spans="1:2" ht="14.4">
      <c r="A3328" s="13"/>
      <c r="B3328" s="13"/>
    </row>
    <row r="3329" spans="1:2" ht="14.4">
      <c r="A3329" s="13"/>
      <c r="B3329" s="13"/>
    </row>
    <row r="3330" spans="1:2" ht="14.4">
      <c r="A3330" s="13"/>
      <c r="B3330" s="13"/>
    </row>
    <row r="3331" spans="1:2" ht="14.4">
      <c r="A3331" s="13"/>
      <c r="B3331" s="13"/>
    </row>
    <row r="3332" spans="1:2" ht="14.4">
      <c r="A3332" s="13"/>
      <c r="B3332" s="13"/>
    </row>
    <row r="3333" spans="1:2" ht="14.4">
      <c r="A3333" s="13"/>
      <c r="B3333" s="13"/>
    </row>
    <row r="3334" spans="1:2" ht="14.4">
      <c r="A3334" s="13"/>
      <c r="B3334" s="13"/>
    </row>
    <row r="3335" spans="1:2" ht="14.4">
      <c r="A3335" s="13"/>
      <c r="B3335" s="13"/>
    </row>
    <row r="3336" spans="1:2" ht="14.4">
      <c r="A3336" s="13"/>
      <c r="B3336" s="13"/>
    </row>
    <row r="3337" spans="1:2" ht="14.4">
      <c r="A3337" s="13"/>
      <c r="B3337" s="13"/>
    </row>
    <row r="3338" spans="1:2" ht="14.4">
      <c r="A3338" s="13"/>
      <c r="B3338" s="13"/>
    </row>
    <row r="3339" spans="1:2" ht="14.4">
      <c r="A3339" s="13"/>
      <c r="B3339" s="13"/>
    </row>
    <row r="3340" spans="1:2" ht="14.4">
      <c r="A3340" s="13"/>
      <c r="B3340" s="13"/>
    </row>
    <row r="3341" spans="1:2" ht="14.4">
      <c r="A3341" s="13"/>
      <c r="B3341" s="13"/>
    </row>
    <row r="3342" spans="1:2" ht="14.4">
      <c r="A3342" s="13"/>
      <c r="B3342" s="13"/>
    </row>
    <row r="3343" spans="1:2" ht="14.4">
      <c r="A3343" s="13"/>
      <c r="B3343" s="13"/>
    </row>
    <row r="3344" spans="1:2" ht="14.4">
      <c r="A3344" s="13"/>
      <c r="B3344" s="13"/>
    </row>
    <row r="3345" spans="1:2" ht="14.4">
      <c r="A3345" s="13"/>
      <c r="B3345" s="13"/>
    </row>
    <row r="3346" spans="1:2" ht="14.4">
      <c r="A3346" s="13"/>
      <c r="B3346" s="13"/>
    </row>
    <row r="3347" spans="1:2" ht="14.4">
      <c r="A3347" s="13"/>
      <c r="B3347" s="13"/>
    </row>
    <row r="3348" spans="1:2" ht="14.4">
      <c r="A3348" s="13"/>
      <c r="B3348" s="13"/>
    </row>
    <row r="3349" spans="1:2" ht="14.4">
      <c r="A3349" s="13"/>
      <c r="B3349" s="13"/>
    </row>
    <row r="3350" spans="1:2" ht="14.4">
      <c r="A3350" s="13"/>
      <c r="B3350" s="13"/>
    </row>
    <row r="3351" spans="1:2" ht="14.4">
      <c r="A3351" s="13"/>
      <c r="B3351" s="13"/>
    </row>
    <row r="3352" spans="1:2" ht="14.4">
      <c r="A3352" s="13"/>
      <c r="B3352" s="13"/>
    </row>
    <row r="3353" spans="1:2" ht="14.4">
      <c r="A3353" s="13"/>
      <c r="B3353" s="13"/>
    </row>
    <row r="3354" spans="1:2" ht="14.4">
      <c r="A3354" s="13"/>
      <c r="B3354" s="13"/>
    </row>
    <row r="3355" spans="1:2" ht="14.4">
      <c r="A3355" s="13"/>
      <c r="B3355" s="13"/>
    </row>
    <row r="3356" spans="1:2" ht="14.4">
      <c r="A3356" s="13"/>
      <c r="B3356" s="13"/>
    </row>
    <row r="3357" spans="1:2" ht="14.4">
      <c r="A3357" s="13"/>
      <c r="B3357" s="13"/>
    </row>
    <row r="3358" spans="1:2" ht="14.4">
      <c r="A3358" s="13"/>
      <c r="B3358" s="13"/>
    </row>
    <row r="3359" spans="1:2" ht="14.4">
      <c r="A3359" s="13"/>
      <c r="B3359" s="13"/>
    </row>
    <row r="3360" spans="1:2" ht="14.4">
      <c r="A3360" s="13"/>
      <c r="B3360" s="13"/>
    </row>
    <row r="3361" spans="1:2" ht="14.4">
      <c r="A3361" s="13"/>
      <c r="B3361" s="13"/>
    </row>
    <row r="3362" spans="1:2" ht="14.4">
      <c r="A3362" s="13"/>
      <c r="B3362" s="13"/>
    </row>
    <row r="3363" spans="1:2" ht="14.4">
      <c r="A3363" s="13"/>
      <c r="B3363" s="13"/>
    </row>
    <row r="3364" spans="1:2" ht="14.4">
      <c r="A3364" s="13"/>
      <c r="B3364" s="13"/>
    </row>
    <row r="3365" spans="1:2" ht="14.4">
      <c r="A3365" s="13"/>
      <c r="B3365" s="13"/>
    </row>
    <row r="3366" spans="1:2" ht="14.4">
      <c r="A3366" s="13"/>
      <c r="B3366" s="13"/>
    </row>
    <row r="3367" spans="1:2" ht="14.4">
      <c r="A3367" s="13"/>
      <c r="B3367" s="13"/>
    </row>
    <row r="3368" spans="1:2" ht="14.4">
      <c r="A3368" s="13"/>
      <c r="B3368" s="13"/>
    </row>
    <row r="3369" spans="1:2" ht="14.4">
      <c r="A3369" s="13"/>
      <c r="B3369" s="13"/>
    </row>
    <row r="3370" spans="1:2" ht="14.4">
      <c r="A3370" s="13"/>
      <c r="B3370" s="13"/>
    </row>
    <row r="3371" spans="1:2" ht="14.4">
      <c r="A3371" s="13"/>
      <c r="B3371" s="13"/>
    </row>
    <row r="3372" spans="1:2" ht="14.4">
      <c r="A3372" s="13"/>
      <c r="B3372" s="13"/>
    </row>
    <row r="3373" spans="1:2" ht="14.4">
      <c r="A3373" s="13"/>
      <c r="B3373" s="13"/>
    </row>
    <row r="3374" spans="1:2" ht="14.4">
      <c r="A3374" s="13"/>
      <c r="B3374" s="13"/>
    </row>
    <row r="3375" spans="1:2" ht="14.4">
      <c r="A3375" s="13"/>
      <c r="B3375" s="13"/>
    </row>
    <row r="3376" spans="1:2" ht="14.4">
      <c r="A3376" s="13"/>
      <c r="B3376" s="13"/>
    </row>
    <row r="3377" spans="1:2" ht="14.4">
      <c r="A3377" s="13"/>
      <c r="B3377" s="13"/>
    </row>
    <row r="3378" spans="1:2" ht="14.4">
      <c r="A3378" s="13"/>
      <c r="B3378" s="13"/>
    </row>
    <row r="3379" spans="1:2" ht="14.4">
      <c r="A3379" s="13"/>
      <c r="B3379" s="13"/>
    </row>
    <row r="3380" spans="1:2" ht="14.4">
      <c r="A3380" s="13"/>
      <c r="B3380" s="13"/>
    </row>
    <row r="3381" spans="1:2" ht="14.4">
      <c r="A3381" s="13"/>
      <c r="B3381" s="13"/>
    </row>
    <row r="3382" spans="1:2" ht="14.4">
      <c r="A3382" s="13"/>
      <c r="B3382" s="13"/>
    </row>
    <row r="3383" spans="1:2" ht="14.4">
      <c r="A3383" s="13"/>
      <c r="B3383" s="13"/>
    </row>
    <row r="3384" spans="1:2" ht="14.4">
      <c r="A3384" s="13"/>
      <c r="B3384" s="13"/>
    </row>
    <row r="3385" spans="1:2" ht="14.4">
      <c r="A3385" s="13"/>
      <c r="B3385" s="13"/>
    </row>
    <row r="3386" spans="1:2" ht="14.4">
      <c r="A3386" s="13"/>
      <c r="B3386" s="13"/>
    </row>
    <row r="3387" spans="1:2" ht="14.4">
      <c r="A3387" s="13"/>
      <c r="B3387" s="13"/>
    </row>
    <row r="3388" spans="1:2" ht="14.4">
      <c r="A3388" s="13"/>
      <c r="B3388" s="13"/>
    </row>
    <row r="3389" spans="1:2" ht="14.4">
      <c r="A3389" s="13"/>
      <c r="B3389" s="13"/>
    </row>
    <row r="3390" spans="1:2" ht="14.4">
      <c r="A3390" s="13"/>
      <c r="B3390" s="13"/>
    </row>
    <row r="3391" spans="1:2" ht="14.4">
      <c r="A3391" s="13"/>
      <c r="B3391" s="13"/>
    </row>
    <row r="3392" spans="1:2" ht="14.4">
      <c r="A3392" s="13"/>
      <c r="B3392" s="13"/>
    </row>
    <row r="3393" spans="1:2" ht="14.4">
      <c r="A3393" s="13"/>
      <c r="B3393" s="13"/>
    </row>
    <row r="3394" spans="1:2" ht="14.4">
      <c r="A3394" s="13"/>
      <c r="B3394" s="13"/>
    </row>
    <row r="3395" spans="1:2" ht="14.4">
      <c r="A3395" s="13"/>
      <c r="B3395" s="13"/>
    </row>
    <row r="3396" spans="1:2" ht="14.4">
      <c r="A3396" s="13"/>
      <c r="B3396" s="13"/>
    </row>
    <row r="3397" spans="1:2" ht="14.4">
      <c r="A3397" s="13"/>
      <c r="B3397" s="13"/>
    </row>
    <row r="3398" spans="1:2" ht="14.4">
      <c r="A3398" s="13"/>
      <c r="B3398" s="13"/>
    </row>
    <row r="3399" spans="1:2" ht="14.4">
      <c r="A3399" s="13"/>
      <c r="B3399" s="13"/>
    </row>
    <row r="3400" spans="1:2" ht="14.4">
      <c r="A3400" s="13"/>
      <c r="B3400" s="13"/>
    </row>
    <row r="3401" spans="1:2" ht="14.4">
      <c r="A3401" s="13"/>
      <c r="B3401" s="13"/>
    </row>
    <row r="3402" spans="1:2" ht="14.4">
      <c r="A3402" s="13"/>
      <c r="B3402" s="13"/>
    </row>
    <row r="3403" spans="1:2" ht="14.4">
      <c r="A3403" s="13"/>
      <c r="B3403" s="13"/>
    </row>
    <row r="3404" spans="1:2" ht="14.4">
      <c r="A3404" s="13"/>
      <c r="B3404" s="13"/>
    </row>
    <row r="3405" spans="1:2" ht="14.4">
      <c r="A3405" s="13"/>
      <c r="B3405" s="13"/>
    </row>
    <row r="3406" spans="1:2" ht="14.4">
      <c r="A3406" s="13"/>
      <c r="B3406" s="13"/>
    </row>
    <row r="3407" spans="1:2" ht="14.4">
      <c r="A3407" s="13"/>
      <c r="B3407" s="13"/>
    </row>
    <row r="3408" spans="1:2" ht="14.4">
      <c r="A3408" s="13"/>
      <c r="B3408" s="13"/>
    </row>
    <row r="3409" spans="1:2" ht="14.4">
      <c r="A3409" s="13"/>
      <c r="B3409" s="13"/>
    </row>
    <row r="3410" spans="1:2" ht="14.4">
      <c r="A3410" s="13"/>
      <c r="B3410" s="13"/>
    </row>
    <row r="3411" spans="1:2" ht="14.4">
      <c r="A3411" s="13"/>
      <c r="B3411" s="13"/>
    </row>
    <row r="3412" spans="1:2" ht="14.4">
      <c r="A3412" s="13"/>
      <c r="B3412" s="13"/>
    </row>
    <row r="3413" spans="1:2" ht="14.4">
      <c r="A3413" s="13"/>
      <c r="B3413" s="13"/>
    </row>
    <row r="3414" spans="1:2" ht="14.4">
      <c r="A3414" s="13"/>
      <c r="B3414" s="13"/>
    </row>
    <row r="3415" spans="1:2" ht="14.4">
      <c r="A3415" s="13"/>
      <c r="B3415" s="13"/>
    </row>
    <row r="3416" spans="1:2" ht="14.4">
      <c r="A3416" s="13"/>
      <c r="B3416" s="13"/>
    </row>
    <row r="3417" spans="1:2" ht="14.4">
      <c r="A3417" s="13"/>
      <c r="B3417" s="13"/>
    </row>
    <row r="3418" spans="1:2" ht="14.4">
      <c r="A3418" s="13"/>
      <c r="B3418" s="13"/>
    </row>
    <row r="3419" spans="1:2" ht="14.4">
      <c r="A3419" s="13"/>
      <c r="B3419" s="13"/>
    </row>
    <row r="3420" spans="1:2" ht="14.4">
      <c r="A3420" s="13"/>
      <c r="B3420" s="13"/>
    </row>
    <row r="3421" spans="1:2" ht="14.4">
      <c r="A3421" s="13"/>
      <c r="B3421" s="13"/>
    </row>
    <row r="3422" spans="1:2" ht="14.4">
      <c r="A3422" s="13"/>
      <c r="B3422" s="13"/>
    </row>
    <row r="3423" spans="1:2" ht="14.4">
      <c r="A3423" s="13"/>
      <c r="B3423" s="13"/>
    </row>
    <row r="3424" spans="1:2" ht="14.4">
      <c r="A3424" s="13"/>
      <c r="B3424" s="13"/>
    </row>
    <row r="3425" spans="1:2" ht="14.4">
      <c r="A3425" s="13"/>
      <c r="B3425" s="13"/>
    </row>
    <row r="3426" spans="1:2" ht="14.4">
      <c r="A3426" s="13"/>
      <c r="B3426" s="13"/>
    </row>
    <row r="3427" spans="1:2" ht="14.4">
      <c r="A3427" s="13"/>
      <c r="B3427" s="13"/>
    </row>
    <row r="3428" spans="1:2" ht="14.4">
      <c r="A3428" s="13"/>
      <c r="B3428" s="13"/>
    </row>
    <row r="3429" spans="1:2" ht="14.4">
      <c r="A3429" s="13"/>
      <c r="B3429" s="13"/>
    </row>
    <row r="3430" spans="1:2" ht="14.4">
      <c r="A3430" s="13"/>
      <c r="B3430" s="13"/>
    </row>
    <row r="3431" spans="1:2" ht="14.4">
      <c r="A3431" s="13"/>
      <c r="B3431" s="13"/>
    </row>
    <row r="3432" spans="1:2" ht="14.4">
      <c r="A3432" s="13"/>
      <c r="B3432" s="13"/>
    </row>
    <row r="3433" spans="1:2" ht="14.4">
      <c r="A3433" s="13"/>
      <c r="B3433" s="13"/>
    </row>
    <row r="3434" spans="1:2" ht="14.4">
      <c r="A3434" s="13"/>
      <c r="B3434" s="13"/>
    </row>
    <row r="3435" spans="1:2" ht="14.4">
      <c r="A3435" s="13"/>
      <c r="B3435" s="13"/>
    </row>
    <row r="3436" spans="1:2" ht="14.4">
      <c r="A3436" s="13"/>
      <c r="B3436" s="13"/>
    </row>
    <row r="3437" spans="1:2" ht="14.4">
      <c r="A3437" s="13"/>
      <c r="B3437" s="13"/>
    </row>
    <row r="3438" spans="1:2" ht="14.4">
      <c r="A3438" s="13"/>
      <c r="B3438" s="13"/>
    </row>
    <row r="3439" spans="1:2" ht="14.4">
      <c r="A3439" s="13"/>
      <c r="B3439" s="13"/>
    </row>
    <row r="3440" spans="1:2" ht="14.4">
      <c r="A3440" s="13"/>
      <c r="B3440" s="13"/>
    </row>
    <row r="3441" spans="1:2" ht="14.4">
      <c r="A3441" s="13"/>
      <c r="B3441" s="13"/>
    </row>
    <row r="3442" spans="1:2" ht="14.4">
      <c r="A3442" s="13"/>
      <c r="B3442" s="13"/>
    </row>
    <row r="3443" spans="1:2" ht="14.4">
      <c r="A3443" s="13"/>
      <c r="B3443" s="13"/>
    </row>
    <row r="3444" spans="1:2" ht="14.4">
      <c r="A3444" s="13"/>
      <c r="B3444" s="13"/>
    </row>
    <row r="3445" spans="1:2" ht="14.4">
      <c r="A3445" s="13"/>
      <c r="B3445" s="13"/>
    </row>
    <row r="3446" spans="1:2" ht="14.4">
      <c r="A3446" s="13"/>
      <c r="B3446" s="13"/>
    </row>
    <row r="3447" spans="1:2" ht="14.4">
      <c r="A3447" s="13"/>
      <c r="B3447" s="13"/>
    </row>
    <row r="3448" spans="1:2" ht="14.4">
      <c r="A3448" s="13"/>
      <c r="B3448" s="13"/>
    </row>
    <row r="3449" spans="1:2" ht="14.4">
      <c r="A3449" s="13"/>
      <c r="B3449" s="13"/>
    </row>
    <row r="3450" spans="1:2" ht="14.4">
      <c r="A3450" s="13"/>
      <c r="B3450" s="13"/>
    </row>
    <row r="3451" spans="1:2" ht="14.4">
      <c r="A3451" s="13"/>
      <c r="B3451" s="13"/>
    </row>
    <row r="3452" spans="1:2" ht="14.4">
      <c r="A3452" s="13"/>
      <c r="B3452" s="13"/>
    </row>
    <row r="3453" spans="1:2" ht="14.4">
      <c r="A3453" s="13"/>
      <c r="B3453" s="13"/>
    </row>
    <row r="3454" spans="1:2" ht="14.4">
      <c r="A3454" s="13"/>
      <c r="B3454" s="13"/>
    </row>
    <row r="3455" spans="1:2" ht="14.4">
      <c r="A3455" s="13"/>
      <c r="B3455" s="13"/>
    </row>
    <row r="3456" spans="1:2" ht="14.4">
      <c r="A3456" s="13"/>
      <c r="B3456" s="13"/>
    </row>
    <row r="3457" spans="1:2" ht="14.4">
      <c r="A3457" s="13"/>
      <c r="B3457" s="13"/>
    </row>
    <row r="3458" spans="1:2" ht="14.4">
      <c r="A3458" s="13"/>
      <c r="B3458" s="13"/>
    </row>
    <row r="3459" spans="1:2" ht="14.4">
      <c r="A3459" s="13"/>
      <c r="B3459" s="13"/>
    </row>
    <row r="3460" spans="1:2" ht="14.4">
      <c r="A3460" s="13"/>
      <c r="B3460" s="13"/>
    </row>
    <row r="3461" spans="1:2" ht="14.4">
      <c r="A3461" s="13"/>
      <c r="B3461" s="13"/>
    </row>
    <row r="3462" spans="1:2" ht="14.4">
      <c r="A3462" s="13"/>
      <c r="B3462" s="13"/>
    </row>
    <row r="3463" spans="1:2" ht="14.4">
      <c r="A3463" s="13"/>
      <c r="B3463" s="13"/>
    </row>
    <row r="3464" spans="1:2" ht="14.4">
      <c r="A3464" s="13"/>
      <c r="B3464" s="13"/>
    </row>
    <row r="3465" spans="1:2" ht="14.4">
      <c r="A3465" s="13"/>
      <c r="B3465" s="13"/>
    </row>
    <row r="3466" spans="1:2" ht="14.4">
      <c r="A3466" s="13"/>
      <c r="B3466" s="13"/>
    </row>
    <row r="3467" spans="1:2" ht="14.4">
      <c r="A3467" s="13"/>
      <c r="B3467" s="13"/>
    </row>
    <row r="3468" spans="1:2" ht="14.4">
      <c r="A3468" s="13"/>
      <c r="B3468" s="13"/>
    </row>
    <row r="3469" spans="1:2" ht="14.4">
      <c r="A3469" s="13"/>
      <c r="B3469" s="13"/>
    </row>
    <row r="3470" spans="1:2" ht="14.4">
      <c r="A3470" s="13"/>
      <c r="B3470" s="13"/>
    </row>
    <row r="3471" spans="1:2" ht="14.4">
      <c r="A3471" s="13"/>
      <c r="B3471" s="13"/>
    </row>
    <row r="3472" spans="1:2" ht="14.4">
      <c r="A3472" s="13"/>
      <c r="B3472" s="13"/>
    </row>
    <row r="3473" spans="1:2" ht="14.4">
      <c r="A3473" s="13"/>
      <c r="B3473" s="13"/>
    </row>
    <row r="3474" spans="1:2" ht="14.4">
      <c r="A3474" s="13"/>
      <c r="B3474" s="13"/>
    </row>
    <row r="3475" spans="1:2" ht="14.4">
      <c r="A3475" s="13"/>
      <c r="B3475" s="13"/>
    </row>
    <row r="3476" spans="1:2" ht="14.4">
      <c r="A3476" s="13"/>
      <c r="B3476" s="13"/>
    </row>
    <row r="3477" spans="1:2" ht="14.4">
      <c r="A3477" s="13"/>
      <c r="B3477" s="13"/>
    </row>
    <row r="3478" spans="1:2" ht="14.4">
      <c r="A3478" s="13"/>
      <c r="B3478" s="13"/>
    </row>
    <row r="3479" spans="1:2" ht="14.4">
      <c r="A3479" s="13"/>
      <c r="B3479" s="13"/>
    </row>
    <row r="3480" spans="1:2" ht="14.4">
      <c r="A3480" s="13"/>
      <c r="B3480" s="13"/>
    </row>
    <row r="3481" spans="1:2" ht="14.4">
      <c r="A3481" s="13"/>
      <c r="B3481" s="13"/>
    </row>
    <row r="3482" spans="1:2" ht="14.4">
      <c r="A3482" s="13"/>
      <c r="B3482" s="13"/>
    </row>
    <row r="3483" spans="1:2" ht="14.4">
      <c r="A3483" s="13"/>
      <c r="B3483" s="13"/>
    </row>
    <row r="3484" spans="1:2" ht="14.4">
      <c r="A3484" s="13"/>
      <c r="B3484" s="13"/>
    </row>
    <row r="3485" spans="1:2" ht="14.4">
      <c r="A3485" s="13"/>
      <c r="B3485" s="13"/>
    </row>
    <row r="3486" spans="1:2" ht="14.4">
      <c r="A3486" s="13"/>
      <c r="B3486" s="13"/>
    </row>
    <row r="3487" spans="1:2" ht="14.4">
      <c r="A3487" s="13"/>
      <c r="B3487" s="13"/>
    </row>
    <row r="3488" spans="1:2" ht="14.4">
      <c r="A3488" s="13"/>
      <c r="B3488" s="13"/>
    </row>
    <row r="3489" spans="1:2" ht="14.4">
      <c r="A3489" s="13"/>
      <c r="B3489" s="13"/>
    </row>
    <row r="3490" spans="1:2" ht="14.4">
      <c r="A3490" s="13"/>
      <c r="B3490" s="13"/>
    </row>
    <row r="3491" spans="1:2" ht="14.4">
      <c r="A3491" s="13"/>
      <c r="B3491" s="13"/>
    </row>
    <row r="3492" spans="1:2" ht="14.4">
      <c r="A3492" s="13"/>
      <c r="B3492" s="13"/>
    </row>
    <row r="3493" spans="1:2" ht="14.4">
      <c r="A3493" s="13"/>
      <c r="B3493" s="13"/>
    </row>
    <row r="3494" spans="1:2" ht="14.4">
      <c r="A3494" s="13"/>
      <c r="B3494" s="13"/>
    </row>
    <row r="3495" spans="1:2" ht="14.4">
      <c r="A3495" s="13"/>
      <c r="B3495" s="13"/>
    </row>
    <row r="3496" spans="1:2" ht="14.4">
      <c r="A3496" s="13"/>
      <c r="B3496" s="13"/>
    </row>
    <row r="3497" spans="1:2" ht="14.4">
      <c r="A3497" s="13"/>
      <c r="B3497" s="13"/>
    </row>
    <row r="3498" spans="1:2" ht="14.4">
      <c r="A3498" s="13"/>
      <c r="B3498" s="13"/>
    </row>
    <row r="3499" spans="1:2" ht="14.4">
      <c r="A3499" s="13"/>
      <c r="B3499" s="13"/>
    </row>
    <row r="3500" spans="1:2" ht="14.4">
      <c r="A3500" s="13"/>
      <c r="B3500" s="13"/>
    </row>
    <row r="3501" spans="1:2" ht="14.4">
      <c r="A3501" s="13"/>
      <c r="B3501" s="13"/>
    </row>
    <row r="3502" spans="1:2" ht="14.4">
      <c r="A3502" s="13"/>
      <c r="B3502" s="13"/>
    </row>
    <row r="3503" spans="1:2" ht="14.4">
      <c r="A3503" s="13"/>
      <c r="B3503" s="13"/>
    </row>
    <row r="3504" spans="1:2" ht="14.4">
      <c r="A3504" s="13"/>
      <c r="B3504" s="13"/>
    </row>
    <row r="3505" spans="1:2" ht="14.4">
      <c r="A3505" s="13"/>
      <c r="B3505" s="13"/>
    </row>
    <row r="3506" spans="1:2" ht="14.4">
      <c r="A3506" s="13"/>
      <c r="B3506" s="13"/>
    </row>
    <row r="3507" spans="1:2" ht="14.4">
      <c r="A3507" s="13"/>
      <c r="B3507" s="13"/>
    </row>
    <row r="3508" spans="1:2" ht="14.4">
      <c r="A3508" s="13"/>
      <c r="B3508" s="13"/>
    </row>
    <row r="3509" spans="1:2" ht="14.4">
      <c r="A3509" s="13"/>
      <c r="B3509" s="13"/>
    </row>
    <row r="3510" spans="1:2" ht="14.4">
      <c r="A3510" s="13"/>
      <c r="B3510" s="13"/>
    </row>
    <row r="3511" spans="1:2" ht="14.4">
      <c r="A3511" s="13"/>
      <c r="B3511" s="13"/>
    </row>
    <row r="3512" spans="1:2" ht="14.4">
      <c r="A3512" s="13"/>
      <c r="B3512" s="13"/>
    </row>
    <row r="3513" spans="1:2" ht="14.4">
      <c r="A3513" s="13"/>
      <c r="B3513" s="13"/>
    </row>
    <row r="3514" spans="1:2" ht="14.4">
      <c r="A3514" s="13"/>
      <c r="B3514" s="13"/>
    </row>
    <row r="3515" spans="1:2" ht="14.4">
      <c r="A3515" s="13"/>
      <c r="B3515" s="13"/>
    </row>
    <row r="3516" spans="1:2" ht="14.4">
      <c r="A3516" s="13"/>
      <c r="B3516" s="13"/>
    </row>
    <row r="3517" spans="1:2" ht="14.4">
      <c r="A3517" s="13"/>
      <c r="B3517" s="13"/>
    </row>
    <row r="3518" spans="1:2" ht="14.4">
      <c r="A3518" s="13"/>
      <c r="B3518" s="13"/>
    </row>
    <row r="3519" spans="1:2" ht="14.4">
      <c r="A3519" s="13"/>
      <c r="B3519" s="13"/>
    </row>
    <row r="3520" spans="1:2" ht="14.4">
      <c r="A3520" s="13"/>
      <c r="B3520" s="13"/>
    </row>
    <row r="3521" spans="1:2" ht="14.4">
      <c r="A3521" s="13"/>
      <c r="B3521" s="13"/>
    </row>
    <row r="3522" spans="1:2" ht="14.4">
      <c r="A3522" s="13"/>
      <c r="B3522" s="13"/>
    </row>
    <row r="3523" spans="1:2" ht="14.4">
      <c r="A3523" s="13"/>
      <c r="B3523" s="13"/>
    </row>
    <row r="3524" spans="1:2" ht="14.4">
      <c r="A3524" s="13"/>
      <c r="B3524" s="13"/>
    </row>
    <row r="3525" spans="1:2" ht="14.4">
      <c r="A3525" s="13"/>
      <c r="B3525" s="13"/>
    </row>
    <row r="3526" spans="1:2" ht="14.4">
      <c r="A3526" s="13"/>
      <c r="B3526" s="13"/>
    </row>
    <row r="3527" spans="1:2" ht="14.4">
      <c r="A3527" s="13"/>
      <c r="B3527" s="13"/>
    </row>
    <row r="3528" spans="1:2" ht="14.4">
      <c r="A3528" s="13"/>
      <c r="B3528" s="13"/>
    </row>
    <row r="3529" spans="1:2" ht="14.4">
      <c r="A3529" s="13"/>
      <c r="B3529" s="13"/>
    </row>
    <row r="3530" spans="1:2" ht="14.4">
      <c r="A3530" s="13"/>
      <c r="B3530" s="13"/>
    </row>
    <row r="3531" spans="1:2" ht="14.4">
      <c r="A3531" s="13"/>
      <c r="B3531" s="13"/>
    </row>
    <row r="3532" spans="1:2" ht="14.4">
      <c r="A3532" s="13"/>
      <c r="B3532" s="13"/>
    </row>
    <row r="3533" spans="1:2" ht="14.4">
      <c r="A3533" s="13"/>
      <c r="B3533" s="13"/>
    </row>
    <row r="3534" spans="1:2" ht="14.4">
      <c r="A3534" s="13"/>
      <c r="B3534" s="13"/>
    </row>
    <row r="3535" spans="1:2" ht="14.4">
      <c r="A3535" s="13"/>
      <c r="B3535" s="13"/>
    </row>
    <row r="3536" spans="1:2" ht="14.4">
      <c r="A3536" s="13"/>
      <c r="B3536" s="13"/>
    </row>
    <row r="3537" spans="1:2" ht="14.4">
      <c r="A3537" s="13"/>
      <c r="B3537" s="13"/>
    </row>
    <row r="3538" spans="1:2" ht="14.4">
      <c r="A3538" s="13"/>
      <c r="B3538" s="13"/>
    </row>
    <row r="3539" spans="1:2" ht="14.4">
      <c r="A3539" s="13"/>
      <c r="B3539" s="13"/>
    </row>
    <row r="3540" spans="1:2" ht="14.4">
      <c r="A3540" s="13"/>
      <c r="B3540" s="13"/>
    </row>
    <row r="3541" spans="1:2" ht="14.4">
      <c r="A3541" s="13"/>
      <c r="B3541" s="13"/>
    </row>
    <row r="3542" spans="1:2" ht="14.4">
      <c r="A3542" s="13"/>
      <c r="B3542" s="13"/>
    </row>
    <row r="3543" spans="1:2" ht="14.4">
      <c r="A3543" s="13"/>
      <c r="B3543" s="13"/>
    </row>
    <row r="3544" spans="1:2" ht="14.4">
      <c r="A3544" s="13"/>
      <c r="B3544" s="13"/>
    </row>
    <row r="3545" spans="1:2" ht="14.4">
      <c r="A3545" s="13"/>
      <c r="B3545" s="13"/>
    </row>
    <row r="3546" spans="1:2" ht="14.4">
      <c r="A3546" s="13"/>
      <c r="B3546" s="13"/>
    </row>
    <row r="3547" spans="1:2" ht="14.4">
      <c r="A3547" s="13"/>
      <c r="B3547" s="13"/>
    </row>
    <row r="3548" spans="1:2" ht="14.4">
      <c r="A3548" s="13"/>
      <c r="B3548" s="13"/>
    </row>
    <row r="3549" spans="1:2" ht="14.4">
      <c r="A3549" s="13"/>
      <c r="B3549" s="13"/>
    </row>
    <row r="3550" spans="1:2" ht="14.4">
      <c r="A3550" s="13"/>
      <c r="B3550" s="13"/>
    </row>
    <row r="3551" spans="1:2" ht="14.4">
      <c r="A3551" s="13"/>
      <c r="B3551" s="13"/>
    </row>
    <row r="3552" spans="1:2" ht="14.4">
      <c r="A3552" s="13"/>
      <c r="B3552" s="13"/>
    </row>
    <row r="3553" spans="1:2" ht="14.4">
      <c r="A3553" s="13"/>
      <c r="B3553" s="13"/>
    </row>
    <row r="3554" spans="1:2" ht="14.4">
      <c r="A3554" s="13"/>
      <c r="B3554" s="13"/>
    </row>
    <row r="3555" spans="1:2" ht="14.4">
      <c r="A3555" s="13"/>
      <c r="B3555" s="13"/>
    </row>
    <row r="3556" spans="1:2" ht="14.4">
      <c r="A3556" s="13"/>
      <c r="B3556" s="13"/>
    </row>
    <row r="3557" spans="1:2" ht="14.4">
      <c r="A3557" s="13"/>
      <c r="B3557" s="13"/>
    </row>
    <row r="3558" spans="1:2" ht="14.4">
      <c r="A3558" s="13"/>
      <c r="B3558" s="13"/>
    </row>
    <row r="3559" spans="1:2" ht="14.4">
      <c r="A3559" s="13"/>
      <c r="B3559" s="13"/>
    </row>
    <row r="3560" spans="1:2" ht="14.4">
      <c r="A3560" s="13"/>
      <c r="B3560" s="13"/>
    </row>
    <row r="3561" spans="1:2" ht="14.4">
      <c r="A3561" s="13"/>
      <c r="B3561" s="13"/>
    </row>
    <row r="3562" spans="1:2" ht="14.4">
      <c r="A3562" s="13"/>
      <c r="B3562" s="13"/>
    </row>
    <row r="3563" spans="1:2" ht="14.4">
      <c r="A3563" s="13"/>
      <c r="B3563" s="13"/>
    </row>
    <row r="3564" spans="1:2" ht="14.4">
      <c r="A3564" s="13"/>
      <c r="B3564" s="13"/>
    </row>
    <row r="3565" spans="1:2" ht="14.4">
      <c r="A3565" s="13"/>
      <c r="B3565" s="13"/>
    </row>
    <row r="3566" spans="1:2" ht="14.4">
      <c r="A3566" s="13"/>
      <c r="B3566" s="13"/>
    </row>
    <row r="3567" spans="1:2" ht="14.4">
      <c r="A3567" s="13"/>
      <c r="B3567" s="13"/>
    </row>
    <row r="3568" spans="1:2" ht="14.4">
      <c r="A3568" s="13"/>
      <c r="B3568" s="13"/>
    </row>
    <row r="3569" spans="1:2" ht="14.4">
      <c r="A3569" s="13"/>
      <c r="B3569" s="13"/>
    </row>
    <row r="3570" spans="1:2" ht="14.4">
      <c r="A3570" s="13"/>
      <c r="B3570" s="13"/>
    </row>
    <row r="3571" spans="1:2" ht="14.4">
      <c r="A3571" s="13"/>
      <c r="B3571" s="13"/>
    </row>
    <row r="3572" spans="1:2" ht="14.4">
      <c r="A3572" s="13"/>
      <c r="B3572" s="13"/>
    </row>
    <row r="3573" spans="1:2" ht="14.4">
      <c r="A3573" s="13"/>
      <c r="B3573" s="13"/>
    </row>
    <row r="3574" spans="1:2" ht="14.4">
      <c r="A3574" s="13"/>
      <c r="B3574" s="13"/>
    </row>
    <row r="3575" spans="1:2" ht="14.4">
      <c r="A3575" s="13"/>
      <c r="B3575" s="13"/>
    </row>
    <row r="3576" spans="1:2" ht="14.4">
      <c r="A3576" s="13"/>
      <c r="B3576" s="13"/>
    </row>
    <row r="3577" spans="1:2" ht="14.4">
      <c r="A3577" s="13"/>
      <c r="B3577" s="13"/>
    </row>
    <row r="3578" spans="1:2" ht="14.4">
      <c r="A3578" s="13"/>
      <c r="B3578" s="13"/>
    </row>
    <row r="3579" spans="1:2" ht="14.4">
      <c r="A3579" s="13"/>
      <c r="B3579" s="13"/>
    </row>
    <row r="3580" spans="1:2" ht="14.4">
      <c r="A3580" s="13"/>
      <c r="B3580" s="13"/>
    </row>
    <row r="3581" spans="1:2" ht="14.4">
      <c r="A3581" s="13"/>
      <c r="B3581" s="13"/>
    </row>
    <row r="3582" spans="1:2" ht="14.4">
      <c r="A3582" s="13"/>
      <c r="B3582" s="13"/>
    </row>
    <row r="3583" spans="1:2" ht="14.4">
      <c r="A3583" s="13"/>
      <c r="B3583" s="13"/>
    </row>
    <row r="3584" spans="1:2" ht="14.4">
      <c r="A3584" s="13"/>
      <c r="B3584" s="13"/>
    </row>
    <row r="3585" spans="1:2" ht="14.4">
      <c r="A3585" s="13"/>
      <c r="B3585" s="13"/>
    </row>
    <row r="3586" spans="1:2" ht="14.4">
      <c r="A3586" s="13"/>
      <c r="B3586" s="13"/>
    </row>
    <row r="3587" spans="1:2" ht="14.4">
      <c r="A3587" s="13"/>
      <c r="B3587" s="13"/>
    </row>
    <row r="3588" spans="1:2" ht="14.4">
      <c r="A3588" s="13"/>
      <c r="B3588" s="13"/>
    </row>
    <row r="3589" spans="1:2" ht="14.4">
      <c r="A3589" s="13"/>
      <c r="B3589" s="13"/>
    </row>
    <row r="3590" spans="1:2" ht="14.4">
      <c r="A3590" s="13"/>
      <c r="B3590" s="13"/>
    </row>
    <row r="3591" spans="1:2" ht="14.4">
      <c r="A3591" s="13"/>
      <c r="B3591" s="13"/>
    </row>
    <row r="3592" spans="1:2" ht="14.4">
      <c r="A3592" s="13"/>
      <c r="B3592" s="13"/>
    </row>
    <row r="3593" spans="1:2" ht="14.4">
      <c r="A3593" s="13"/>
      <c r="B3593" s="13"/>
    </row>
    <row r="3594" spans="1:2" ht="14.4">
      <c r="A3594" s="13"/>
      <c r="B3594" s="13"/>
    </row>
    <row r="3595" spans="1:2" ht="14.4">
      <c r="A3595" s="13"/>
      <c r="B3595" s="13"/>
    </row>
    <row r="3596" spans="1:2" ht="14.4">
      <c r="A3596" s="13"/>
      <c r="B3596" s="13"/>
    </row>
    <row r="3597" spans="1:2" ht="14.4">
      <c r="A3597" s="13"/>
      <c r="B3597" s="13"/>
    </row>
    <row r="3598" spans="1:2" ht="14.4">
      <c r="A3598" s="13"/>
      <c r="B3598" s="13"/>
    </row>
    <row r="3599" spans="1:2" ht="14.4">
      <c r="A3599" s="13"/>
      <c r="B3599" s="13"/>
    </row>
    <row r="3600" spans="1:2" ht="14.4">
      <c r="A3600" s="13"/>
      <c r="B3600" s="13"/>
    </row>
    <row r="3601" spans="1:2" ht="14.4">
      <c r="A3601" s="13"/>
      <c r="B3601" s="13"/>
    </row>
    <row r="3602" spans="1:2" ht="14.4">
      <c r="A3602" s="13"/>
      <c r="B3602" s="13"/>
    </row>
    <row r="3603" spans="1:2" ht="14.4">
      <c r="A3603" s="13"/>
      <c r="B3603" s="13"/>
    </row>
    <row r="3604" spans="1:2" ht="14.4">
      <c r="A3604" s="13"/>
      <c r="B3604" s="13"/>
    </row>
    <row r="3605" spans="1:2" ht="14.4">
      <c r="A3605" s="13"/>
      <c r="B3605" s="13"/>
    </row>
    <row r="3606" spans="1:2" ht="14.4">
      <c r="A3606" s="13"/>
      <c r="B3606" s="13"/>
    </row>
    <row r="3607" spans="1:2" ht="14.4">
      <c r="A3607" s="13"/>
      <c r="B3607" s="13"/>
    </row>
    <row r="3608" spans="1:2" ht="14.4">
      <c r="A3608" s="13"/>
      <c r="B3608" s="13"/>
    </row>
    <row r="3609" spans="1:2" ht="14.4">
      <c r="A3609" s="13"/>
      <c r="B3609" s="13"/>
    </row>
    <row r="3610" spans="1:2" ht="14.4">
      <c r="A3610" s="13"/>
      <c r="B3610" s="13"/>
    </row>
    <row r="3611" spans="1:2" ht="14.4">
      <c r="A3611" s="13"/>
      <c r="B3611" s="13"/>
    </row>
    <row r="3612" spans="1:2" ht="14.4">
      <c r="A3612" s="13"/>
      <c r="B3612" s="13"/>
    </row>
    <row r="3613" spans="1:2" ht="14.4">
      <c r="A3613" s="13"/>
      <c r="B3613" s="13"/>
    </row>
    <row r="3614" spans="1:2" ht="14.4">
      <c r="A3614" s="13"/>
      <c r="B3614" s="13"/>
    </row>
    <row r="3615" spans="1:2" ht="14.4">
      <c r="A3615" s="13"/>
      <c r="B3615" s="13"/>
    </row>
    <row r="3616" spans="1:2" ht="14.4">
      <c r="A3616" s="13"/>
      <c r="B3616" s="13"/>
    </row>
    <row r="3617" spans="1:2" ht="14.4">
      <c r="A3617" s="13"/>
      <c r="B3617" s="13"/>
    </row>
    <row r="3618" spans="1:2" ht="14.4">
      <c r="A3618" s="13"/>
      <c r="B3618" s="13"/>
    </row>
    <row r="3619" spans="1:2" ht="14.4">
      <c r="A3619" s="13"/>
      <c r="B3619" s="13"/>
    </row>
    <row r="3620" spans="1:2" ht="14.4">
      <c r="A3620" s="13"/>
      <c r="B3620" s="13"/>
    </row>
    <row r="3621" spans="1:2" ht="14.4">
      <c r="A3621" s="13"/>
      <c r="B3621" s="13"/>
    </row>
    <row r="3622" spans="1:2" ht="14.4">
      <c r="A3622" s="13"/>
      <c r="B3622" s="13"/>
    </row>
    <row r="3623" spans="1:2" ht="14.4">
      <c r="A3623" s="13"/>
      <c r="B3623" s="13"/>
    </row>
    <row r="3624" spans="1:2" ht="14.4">
      <c r="A3624" s="13"/>
      <c r="B3624" s="13"/>
    </row>
    <row r="3625" spans="1:2" ht="14.4">
      <c r="A3625" s="13"/>
      <c r="B3625" s="13"/>
    </row>
    <row r="3626" spans="1:2" ht="14.4">
      <c r="A3626" s="13"/>
      <c r="B3626" s="13"/>
    </row>
    <row r="3627" spans="1:2" ht="14.4">
      <c r="A3627" s="13"/>
      <c r="B3627" s="13"/>
    </row>
    <row r="3628" spans="1:2" ht="14.4">
      <c r="A3628" s="13"/>
      <c r="B3628" s="13"/>
    </row>
    <row r="3629" spans="1:2" ht="14.4">
      <c r="A3629" s="13"/>
      <c r="B3629" s="13"/>
    </row>
    <row r="3630" spans="1:2" ht="14.4">
      <c r="A3630" s="13"/>
      <c r="B3630" s="13"/>
    </row>
    <row r="3631" spans="1:2" ht="14.4">
      <c r="A3631" s="13"/>
      <c r="B3631" s="13"/>
    </row>
    <row r="3632" spans="1:2" ht="14.4">
      <c r="A3632" s="13"/>
      <c r="B3632" s="13"/>
    </row>
    <row r="3633" spans="1:2" ht="14.4">
      <c r="A3633" s="13"/>
      <c r="B3633" s="13"/>
    </row>
    <row r="3634" spans="1:2" ht="14.4">
      <c r="A3634" s="13"/>
      <c r="B3634" s="13"/>
    </row>
    <row r="3635" spans="1:2" ht="14.4">
      <c r="A3635" s="13"/>
      <c r="B3635" s="13"/>
    </row>
    <row r="3636" spans="1:2" ht="14.4">
      <c r="A3636" s="13"/>
      <c r="B3636" s="13"/>
    </row>
    <row r="3637" spans="1:2" ht="14.4">
      <c r="A3637" s="13"/>
      <c r="B3637" s="13"/>
    </row>
    <row r="3638" spans="1:2" ht="14.4">
      <c r="A3638" s="13"/>
      <c r="B3638" s="13"/>
    </row>
    <row r="3639" spans="1:2" ht="14.4">
      <c r="A3639" s="13"/>
      <c r="B3639" s="13"/>
    </row>
    <row r="3640" spans="1:2" ht="14.4">
      <c r="A3640" s="13"/>
      <c r="B3640" s="13"/>
    </row>
    <row r="3641" spans="1:2" ht="14.4">
      <c r="A3641" s="13"/>
      <c r="B3641" s="13"/>
    </row>
    <row r="3642" spans="1:2" ht="14.4">
      <c r="A3642" s="13"/>
      <c r="B3642" s="13"/>
    </row>
    <row r="3643" spans="1:2" ht="14.4">
      <c r="A3643" s="13"/>
      <c r="B3643" s="13"/>
    </row>
    <row r="3644" spans="1:2" ht="14.4">
      <c r="A3644" s="13"/>
      <c r="B3644" s="13"/>
    </row>
    <row r="3645" spans="1:2" ht="14.4">
      <c r="A3645" s="13"/>
      <c r="B3645" s="13"/>
    </row>
    <row r="3646" spans="1:2" ht="14.4">
      <c r="A3646" s="13"/>
      <c r="B3646" s="13"/>
    </row>
    <row r="3647" spans="1:2" ht="14.4">
      <c r="A3647" s="13"/>
      <c r="B3647" s="13"/>
    </row>
    <row r="3648" spans="1:2" ht="14.4">
      <c r="A3648" s="13"/>
      <c r="B3648" s="13"/>
    </row>
    <row r="3649" spans="1:2" ht="14.4">
      <c r="A3649" s="13"/>
      <c r="B3649" s="13"/>
    </row>
    <row r="3650" spans="1:2" ht="14.4">
      <c r="A3650" s="13"/>
      <c r="B3650" s="13"/>
    </row>
    <row r="3651" spans="1:2" ht="14.4">
      <c r="A3651" s="13"/>
      <c r="B3651" s="13"/>
    </row>
    <row r="3652" spans="1:2" ht="14.4">
      <c r="A3652" s="13"/>
      <c r="B3652" s="13"/>
    </row>
    <row r="3653" spans="1:2" ht="14.4">
      <c r="A3653" s="13"/>
      <c r="B3653" s="13"/>
    </row>
    <row r="3654" spans="1:2" ht="14.4">
      <c r="A3654" s="13"/>
      <c r="B3654" s="13"/>
    </row>
    <row r="3655" spans="1:2" ht="14.4">
      <c r="A3655" s="13"/>
      <c r="B3655" s="13"/>
    </row>
    <row r="3656" spans="1:2" ht="14.4">
      <c r="A3656" s="13"/>
      <c r="B3656" s="13"/>
    </row>
    <row r="3657" spans="1:2" ht="14.4">
      <c r="A3657" s="13"/>
      <c r="B3657" s="13"/>
    </row>
    <row r="3658" spans="1:2" ht="14.4">
      <c r="A3658" s="13"/>
      <c r="B3658" s="13"/>
    </row>
    <row r="3659" spans="1:2" ht="14.4">
      <c r="A3659" s="13"/>
      <c r="B3659" s="13"/>
    </row>
    <row r="3660" spans="1:2" ht="14.4">
      <c r="A3660" s="13"/>
      <c r="B3660" s="13"/>
    </row>
    <row r="3661" spans="1:2" ht="14.4">
      <c r="A3661" s="13"/>
      <c r="B3661" s="13"/>
    </row>
    <row r="3662" spans="1:2" ht="14.4">
      <c r="A3662" s="13"/>
      <c r="B3662" s="13"/>
    </row>
    <row r="3663" spans="1:2" ht="14.4">
      <c r="A3663" s="13"/>
      <c r="B3663" s="13"/>
    </row>
    <row r="3664" spans="1:2" ht="14.4">
      <c r="A3664" s="13"/>
      <c r="B3664" s="13"/>
    </row>
    <row r="3665" spans="1:2" ht="14.4">
      <c r="A3665" s="13"/>
      <c r="B3665" s="13"/>
    </row>
    <row r="3666" spans="1:2" ht="14.4">
      <c r="A3666" s="13"/>
      <c r="B3666" s="13"/>
    </row>
    <row r="3667" spans="1:2" ht="14.4">
      <c r="A3667" s="13"/>
      <c r="B3667" s="13"/>
    </row>
    <row r="3668" spans="1:2" ht="14.4">
      <c r="A3668" s="13"/>
      <c r="B3668" s="13"/>
    </row>
    <row r="3669" spans="1:2" ht="14.4">
      <c r="A3669" s="13"/>
      <c r="B3669" s="13"/>
    </row>
    <row r="3670" spans="1:2" ht="14.4">
      <c r="A3670" s="13"/>
      <c r="B3670" s="13"/>
    </row>
    <row r="3671" spans="1:2" ht="14.4">
      <c r="A3671" s="13"/>
      <c r="B3671" s="13"/>
    </row>
    <row r="3672" spans="1:2" ht="14.4">
      <c r="A3672" s="13"/>
      <c r="B3672" s="13"/>
    </row>
    <row r="3673" spans="1:2" ht="14.4">
      <c r="A3673" s="13"/>
      <c r="B3673" s="13"/>
    </row>
    <row r="3674" spans="1:2" ht="14.4">
      <c r="A3674" s="13"/>
      <c r="B3674" s="13"/>
    </row>
    <row r="3675" spans="1:2" ht="14.4">
      <c r="A3675" s="13"/>
      <c r="B3675" s="13"/>
    </row>
    <row r="3676" spans="1:2" ht="14.4">
      <c r="A3676" s="13"/>
      <c r="B3676" s="13"/>
    </row>
    <row r="3677" spans="1:2" ht="14.4">
      <c r="A3677" s="13"/>
      <c r="B3677" s="13"/>
    </row>
    <row r="3678" spans="1:2" ht="14.4">
      <c r="A3678" s="13"/>
      <c r="B3678" s="13"/>
    </row>
    <row r="3679" spans="1:2" ht="14.4">
      <c r="A3679" s="13"/>
      <c r="B3679" s="13"/>
    </row>
    <row r="3680" spans="1:2" ht="14.4">
      <c r="A3680" s="13"/>
      <c r="B3680" s="13"/>
    </row>
    <row r="3681" spans="1:2" ht="14.4">
      <c r="A3681" s="13"/>
      <c r="B3681" s="13"/>
    </row>
    <row r="3682" spans="1:2" ht="14.4">
      <c r="A3682" s="13"/>
      <c r="B3682" s="13"/>
    </row>
    <row r="3683" spans="1:2" ht="14.4">
      <c r="A3683" s="13"/>
      <c r="B3683" s="13"/>
    </row>
    <row r="3684" spans="1:2" ht="14.4">
      <c r="A3684" s="13"/>
      <c r="B3684" s="13"/>
    </row>
    <row r="3685" spans="1:2" ht="14.4">
      <c r="A3685" s="13"/>
      <c r="B3685" s="13"/>
    </row>
    <row r="3686" spans="1:2" ht="14.4">
      <c r="A3686" s="13"/>
      <c r="B3686" s="13"/>
    </row>
    <row r="3687" spans="1:2" ht="14.4">
      <c r="A3687" s="13"/>
      <c r="B3687" s="13"/>
    </row>
    <row r="3688" spans="1:2" ht="14.4">
      <c r="A3688" s="13"/>
      <c r="B3688" s="13"/>
    </row>
    <row r="3689" spans="1:2" ht="14.4">
      <c r="A3689" s="13"/>
      <c r="B3689" s="13"/>
    </row>
    <row r="3690" spans="1:2" ht="14.4">
      <c r="A3690" s="13"/>
      <c r="B3690" s="13"/>
    </row>
    <row r="3691" spans="1:2" ht="14.4">
      <c r="A3691" s="13"/>
      <c r="B3691" s="13"/>
    </row>
    <row r="3692" spans="1:2" ht="14.4">
      <c r="A3692" s="13"/>
      <c r="B3692" s="13"/>
    </row>
    <row r="3693" spans="1:2" ht="14.4">
      <c r="A3693" s="13"/>
      <c r="B3693" s="13"/>
    </row>
    <row r="3694" spans="1:2" ht="14.4">
      <c r="A3694" s="13"/>
      <c r="B3694" s="13"/>
    </row>
    <row r="3695" spans="1:2" ht="14.4">
      <c r="A3695" s="13"/>
      <c r="B3695" s="13"/>
    </row>
    <row r="3696" spans="1:2" ht="14.4">
      <c r="A3696" s="13"/>
      <c r="B3696" s="13"/>
    </row>
    <row r="3697" spans="1:2" ht="14.4">
      <c r="A3697" s="13"/>
      <c r="B3697" s="13"/>
    </row>
    <row r="3698" spans="1:2" ht="14.4">
      <c r="A3698" s="13"/>
      <c r="B3698" s="13"/>
    </row>
    <row r="3699" spans="1:2" ht="14.4">
      <c r="A3699" s="13"/>
      <c r="B3699" s="13"/>
    </row>
    <row r="3700" spans="1:2" ht="14.4">
      <c r="A3700" s="13"/>
      <c r="B3700" s="13"/>
    </row>
    <row r="3701" spans="1:2" ht="14.4">
      <c r="A3701" s="13"/>
      <c r="B3701" s="13"/>
    </row>
    <row r="3702" spans="1:2" ht="14.4">
      <c r="A3702" s="13"/>
      <c r="B3702" s="13"/>
    </row>
    <row r="3703" spans="1:2" ht="14.4">
      <c r="A3703" s="13"/>
      <c r="B3703" s="13"/>
    </row>
    <row r="3704" spans="1:2" ht="14.4">
      <c r="A3704" s="13"/>
      <c r="B3704" s="13"/>
    </row>
    <row r="3705" spans="1:2" ht="14.4">
      <c r="A3705" s="13"/>
      <c r="B3705" s="13"/>
    </row>
    <row r="3706" spans="1:2" ht="14.4">
      <c r="A3706" s="13"/>
      <c r="B3706" s="13"/>
    </row>
    <row r="3707" spans="1:2" ht="14.4">
      <c r="A3707" s="13"/>
      <c r="B3707" s="13"/>
    </row>
    <row r="3708" spans="1:2" ht="14.4">
      <c r="A3708" s="13"/>
      <c r="B3708" s="13"/>
    </row>
    <row r="3709" spans="1:2" ht="14.4">
      <c r="A3709" s="13"/>
      <c r="B3709" s="13"/>
    </row>
    <row r="3710" spans="1:2" ht="14.4">
      <c r="A3710" s="13"/>
      <c r="B3710" s="13"/>
    </row>
    <row r="3711" spans="1:2" ht="14.4">
      <c r="A3711" s="13"/>
      <c r="B3711" s="13"/>
    </row>
    <row r="3712" spans="1:2" ht="14.4">
      <c r="A3712" s="13"/>
      <c r="B3712" s="13"/>
    </row>
    <row r="3713" spans="1:2" ht="14.4">
      <c r="A3713" s="13"/>
      <c r="B3713" s="13"/>
    </row>
    <row r="3714" spans="1:2" ht="14.4">
      <c r="A3714" s="13"/>
      <c r="B3714" s="13"/>
    </row>
    <row r="3715" spans="1:2" ht="14.4">
      <c r="A3715" s="13"/>
      <c r="B3715" s="13"/>
    </row>
    <row r="3716" spans="1:2" ht="14.4">
      <c r="A3716" s="13"/>
      <c r="B3716" s="13"/>
    </row>
    <row r="3717" spans="1:2" ht="14.4">
      <c r="A3717" s="13"/>
      <c r="B3717" s="13"/>
    </row>
    <row r="3718" spans="1:2" ht="14.4">
      <c r="A3718" s="13"/>
      <c r="B3718" s="13"/>
    </row>
    <row r="3719" spans="1:2" ht="14.4">
      <c r="A3719" s="13"/>
      <c r="B3719" s="13"/>
    </row>
    <row r="3720" spans="1:2" ht="14.4">
      <c r="A3720" s="13"/>
      <c r="B3720" s="13"/>
    </row>
    <row r="3721" spans="1:2" ht="14.4">
      <c r="A3721" s="13"/>
      <c r="B3721" s="13"/>
    </row>
    <row r="3722" spans="1:2" ht="14.4">
      <c r="A3722" s="13"/>
      <c r="B3722" s="13"/>
    </row>
    <row r="3723" spans="1:2" ht="14.4">
      <c r="A3723" s="13"/>
      <c r="B3723" s="13"/>
    </row>
    <row r="3724" spans="1:2" ht="14.4">
      <c r="A3724" s="13"/>
      <c r="B3724" s="13"/>
    </row>
    <row r="3725" spans="1:2" ht="14.4">
      <c r="A3725" s="13"/>
      <c r="B3725" s="13"/>
    </row>
    <row r="3726" spans="1:2" ht="14.4">
      <c r="A3726" s="13"/>
      <c r="B3726" s="13"/>
    </row>
    <row r="3727" spans="1:2" ht="14.4">
      <c r="A3727" s="13"/>
      <c r="B3727" s="13"/>
    </row>
    <row r="3728" spans="1:2" ht="14.4">
      <c r="A3728" s="13"/>
      <c r="B3728" s="13"/>
    </row>
    <row r="3729" spans="1:2" ht="14.4">
      <c r="A3729" s="13"/>
      <c r="B3729" s="13"/>
    </row>
    <row r="3730" spans="1:2" ht="14.4">
      <c r="A3730" s="13"/>
      <c r="B3730" s="13"/>
    </row>
    <row r="3731" spans="1:2" ht="14.4">
      <c r="A3731" s="13"/>
      <c r="B3731" s="13"/>
    </row>
    <row r="3732" spans="1:2" ht="14.4">
      <c r="A3732" s="13"/>
      <c r="B3732" s="13"/>
    </row>
    <row r="3733" spans="1:2" ht="14.4">
      <c r="A3733" s="13"/>
      <c r="B3733" s="13"/>
    </row>
    <row r="3734" spans="1:2" ht="14.4">
      <c r="A3734" s="13"/>
      <c r="B3734" s="13"/>
    </row>
    <row r="3735" spans="1:2" ht="14.4">
      <c r="A3735" s="13"/>
      <c r="B3735" s="13"/>
    </row>
    <row r="3736" spans="1:2" ht="14.4">
      <c r="A3736" s="13"/>
      <c r="B3736" s="13"/>
    </row>
    <row r="3737" spans="1:2" ht="14.4">
      <c r="A3737" s="13"/>
      <c r="B3737" s="13"/>
    </row>
    <row r="3738" spans="1:2" ht="14.4">
      <c r="A3738" s="13"/>
      <c r="B3738" s="13"/>
    </row>
    <row r="3739" spans="1:2" ht="14.4">
      <c r="A3739" s="13"/>
      <c r="B3739" s="13"/>
    </row>
    <row r="3740" spans="1:2" ht="14.4">
      <c r="A3740" s="13"/>
      <c r="B3740" s="13"/>
    </row>
    <row r="3741" spans="1:2" ht="14.4">
      <c r="A3741" s="13"/>
      <c r="B3741" s="13"/>
    </row>
    <row r="3742" spans="1:2" ht="14.4">
      <c r="A3742" s="13"/>
      <c r="B3742" s="13"/>
    </row>
    <row r="3743" spans="1:2" ht="14.4">
      <c r="A3743" s="13"/>
      <c r="B3743" s="13"/>
    </row>
    <row r="3744" spans="1:2" ht="14.4">
      <c r="A3744" s="13"/>
      <c r="B3744" s="13"/>
    </row>
    <row r="3745" spans="1:2" ht="14.4">
      <c r="A3745" s="13"/>
      <c r="B3745" s="13"/>
    </row>
    <row r="3746" spans="1:2" ht="14.4">
      <c r="A3746" s="13"/>
      <c r="B3746" s="13"/>
    </row>
    <row r="3747" spans="1:2" ht="14.4">
      <c r="A3747" s="13"/>
      <c r="B3747" s="13"/>
    </row>
    <row r="3748" spans="1:2" ht="14.4">
      <c r="A3748" s="13"/>
      <c r="B3748" s="13"/>
    </row>
    <row r="3749" spans="1:2" ht="14.4">
      <c r="A3749" s="13"/>
      <c r="B3749" s="13"/>
    </row>
    <row r="3750" spans="1:2" ht="14.4">
      <c r="A3750" s="13"/>
      <c r="B3750" s="13"/>
    </row>
    <row r="3751" spans="1:2" ht="14.4">
      <c r="A3751" s="13"/>
      <c r="B3751" s="13"/>
    </row>
    <row r="3752" spans="1:2" ht="14.4">
      <c r="A3752" s="13"/>
      <c r="B3752" s="13"/>
    </row>
    <row r="3753" spans="1:2" ht="14.4">
      <c r="A3753" s="13"/>
      <c r="B3753" s="13"/>
    </row>
    <row r="3754" spans="1:2" ht="14.4">
      <c r="A3754" s="13"/>
      <c r="B3754" s="13"/>
    </row>
    <row r="3755" spans="1:2" ht="14.4">
      <c r="A3755" s="13"/>
      <c r="B3755" s="13"/>
    </row>
    <row r="3756" spans="1:2" ht="14.4">
      <c r="A3756" s="13"/>
      <c r="B3756" s="13"/>
    </row>
    <row r="3757" spans="1:2" ht="14.4">
      <c r="A3757" s="13"/>
      <c r="B3757" s="13"/>
    </row>
    <row r="3758" spans="1:2" ht="14.4">
      <c r="A3758" s="13"/>
      <c r="B3758" s="13"/>
    </row>
    <row r="3759" spans="1:2" ht="14.4">
      <c r="A3759" s="13"/>
      <c r="B3759" s="13"/>
    </row>
    <row r="3760" spans="1:2" ht="14.4">
      <c r="A3760" s="13"/>
      <c r="B3760" s="13"/>
    </row>
    <row r="3761" spans="1:2" ht="14.4">
      <c r="A3761" s="13"/>
      <c r="B3761" s="13"/>
    </row>
    <row r="3762" spans="1:2" ht="14.4">
      <c r="A3762" s="13"/>
      <c r="B3762" s="13"/>
    </row>
    <row r="3763" spans="1:2" ht="14.4">
      <c r="A3763" s="13"/>
      <c r="B3763" s="13"/>
    </row>
    <row r="3764" spans="1:2" ht="14.4">
      <c r="A3764" s="13"/>
      <c r="B3764" s="13"/>
    </row>
    <row r="3765" spans="1:2" ht="14.4">
      <c r="A3765" s="13"/>
      <c r="B3765" s="13"/>
    </row>
    <row r="3766" spans="1:2" ht="14.4">
      <c r="A3766" s="13"/>
      <c r="B3766" s="13"/>
    </row>
    <row r="3767" spans="1:2" ht="14.4">
      <c r="A3767" s="13"/>
      <c r="B3767" s="13"/>
    </row>
    <row r="3768" spans="1:2" ht="14.4">
      <c r="A3768" s="13"/>
      <c r="B3768" s="13"/>
    </row>
    <row r="3769" spans="1:2" ht="14.4">
      <c r="A3769" s="13"/>
      <c r="B3769" s="13"/>
    </row>
    <row r="3770" spans="1:2" ht="14.4">
      <c r="A3770" s="13"/>
      <c r="B3770" s="13"/>
    </row>
    <row r="3771" spans="1:2" ht="14.4">
      <c r="A3771" s="13"/>
      <c r="B3771" s="13"/>
    </row>
    <row r="3772" spans="1:2" ht="14.4">
      <c r="A3772" s="13"/>
      <c r="B3772" s="13"/>
    </row>
    <row r="3773" spans="1:2" ht="14.4">
      <c r="A3773" s="13"/>
      <c r="B3773" s="13"/>
    </row>
    <row r="3774" spans="1:2" ht="14.4">
      <c r="A3774" s="13"/>
      <c r="B3774" s="13"/>
    </row>
    <row r="3775" spans="1:2" ht="14.4">
      <c r="A3775" s="13"/>
      <c r="B3775" s="13"/>
    </row>
    <row r="3776" spans="1:2" ht="14.4">
      <c r="A3776" s="13"/>
      <c r="B3776" s="13"/>
    </row>
    <row r="3777" spans="1:2" ht="14.4">
      <c r="A3777" s="13"/>
      <c r="B3777" s="13"/>
    </row>
    <row r="3778" spans="1:2" ht="14.4">
      <c r="A3778" s="13"/>
      <c r="B3778" s="13"/>
    </row>
    <row r="3779" spans="1:2" ht="14.4">
      <c r="A3779" s="13"/>
      <c r="B3779" s="13"/>
    </row>
    <row r="3780" spans="1:2" ht="14.4">
      <c r="A3780" s="13"/>
      <c r="B3780" s="13"/>
    </row>
    <row r="3781" spans="1:2" ht="14.4">
      <c r="A3781" s="13"/>
      <c r="B3781" s="13"/>
    </row>
    <row r="3782" spans="1:2" ht="14.4">
      <c r="A3782" s="13"/>
      <c r="B3782" s="13"/>
    </row>
    <row r="3783" spans="1:2" ht="14.4">
      <c r="A3783" s="13"/>
      <c r="B3783" s="13"/>
    </row>
    <row r="3784" spans="1:2" ht="14.4">
      <c r="A3784" s="13"/>
      <c r="B3784" s="13"/>
    </row>
    <row r="3785" spans="1:2" ht="14.4">
      <c r="A3785" s="13"/>
      <c r="B3785" s="13"/>
    </row>
    <row r="3786" spans="1:2" ht="14.4">
      <c r="A3786" s="13"/>
      <c r="B3786" s="13"/>
    </row>
    <row r="3787" spans="1:2" ht="14.4">
      <c r="A3787" s="13"/>
      <c r="B3787" s="13"/>
    </row>
    <row r="3788" spans="1:2" ht="14.4">
      <c r="A3788" s="13"/>
      <c r="B3788" s="13"/>
    </row>
    <row r="3789" spans="1:2" ht="14.4">
      <c r="A3789" s="13"/>
      <c r="B3789" s="13"/>
    </row>
    <row r="3790" spans="1:2" ht="14.4">
      <c r="A3790" s="13"/>
      <c r="B3790" s="13"/>
    </row>
    <row r="3791" spans="1:2" ht="14.4">
      <c r="A3791" s="13"/>
      <c r="B3791" s="13"/>
    </row>
    <row r="3792" spans="1:2" ht="14.4">
      <c r="A3792" s="13"/>
      <c r="B3792" s="13"/>
    </row>
    <row r="3793" spans="1:2" ht="14.4">
      <c r="A3793" s="13"/>
      <c r="B3793" s="13"/>
    </row>
    <row r="3794" spans="1:2" ht="14.4">
      <c r="A3794" s="13"/>
      <c r="B3794" s="13"/>
    </row>
    <row r="3795" spans="1:2" ht="14.4">
      <c r="A3795" s="13"/>
      <c r="B3795" s="13"/>
    </row>
    <row r="3796" spans="1:2" ht="14.4">
      <c r="A3796" s="13"/>
      <c r="B3796" s="13"/>
    </row>
    <row r="3797" spans="1:2" ht="14.4">
      <c r="A3797" s="13"/>
      <c r="B3797" s="13"/>
    </row>
    <row r="3798" spans="1:2" ht="14.4">
      <c r="A3798" s="13"/>
      <c r="B3798" s="13"/>
    </row>
    <row r="3799" spans="1:2" ht="14.4">
      <c r="A3799" s="13"/>
      <c r="B3799" s="13"/>
    </row>
    <row r="3800" spans="1:2" ht="14.4">
      <c r="A3800" s="13"/>
      <c r="B3800" s="13"/>
    </row>
    <row r="3801" spans="1:2" ht="14.4">
      <c r="A3801" s="13"/>
      <c r="B3801" s="13"/>
    </row>
    <row r="3802" spans="1:2" ht="14.4">
      <c r="A3802" s="13"/>
      <c r="B3802" s="13"/>
    </row>
    <row r="3803" spans="1:2" ht="14.4">
      <c r="A3803" s="13"/>
      <c r="B3803" s="13"/>
    </row>
    <row r="3804" spans="1:2" ht="14.4">
      <c r="A3804" s="13"/>
      <c r="B3804" s="13"/>
    </row>
    <row r="3805" spans="1:2" ht="14.4">
      <c r="A3805" s="13"/>
      <c r="B3805" s="13"/>
    </row>
    <row r="3806" spans="1:2" ht="14.4">
      <c r="A3806" s="13"/>
      <c r="B3806" s="13"/>
    </row>
    <row r="3807" spans="1:2" ht="14.4">
      <c r="A3807" s="13"/>
      <c r="B3807" s="13"/>
    </row>
    <row r="3808" spans="1:2" ht="14.4">
      <c r="A3808" s="13"/>
      <c r="B3808" s="13"/>
    </row>
    <row r="3809" spans="1:2" ht="14.4">
      <c r="A3809" s="13"/>
      <c r="B3809" s="13"/>
    </row>
    <row r="3810" spans="1:2" ht="14.4">
      <c r="A3810" s="13"/>
      <c r="B3810" s="13"/>
    </row>
    <row r="3811" spans="1:2" ht="14.4">
      <c r="A3811" s="13"/>
      <c r="B3811" s="13"/>
    </row>
    <row r="3812" spans="1:2" ht="14.4">
      <c r="A3812" s="13"/>
      <c r="B3812" s="13"/>
    </row>
    <row r="3813" spans="1:2" ht="14.4">
      <c r="A3813" s="13"/>
      <c r="B3813" s="13"/>
    </row>
    <row r="3814" spans="1:2" ht="14.4">
      <c r="A3814" s="13"/>
      <c r="B3814" s="13"/>
    </row>
    <row r="3815" spans="1:2" ht="14.4">
      <c r="A3815" s="13"/>
      <c r="B3815" s="13"/>
    </row>
    <row r="3816" spans="1:2" ht="14.4">
      <c r="A3816" s="13"/>
      <c r="B3816" s="13"/>
    </row>
    <row r="3817" spans="1:2" ht="14.4">
      <c r="A3817" s="13"/>
      <c r="B3817" s="13"/>
    </row>
    <row r="3818" spans="1:2" ht="14.4">
      <c r="A3818" s="13"/>
      <c r="B3818" s="13"/>
    </row>
    <row r="3819" spans="1:2" ht="14.4">
      <c r="A3819" s="13"/>
      <c r="B3819" s="13"/>
    </row>
    <row r="3820" spans="1:2" ht="14.4">
      <c r="A3820" s="13"/>
      <c r="B3820" s="13"/>
    </row>
    <row r="3821" spans="1:2" ht="14.4">
      <c r="A3821" s="13"/>
      <c r="B3821" s="13"/>
    </row>
    <row r="3822" spans="1:2" ht="14.4">
      <c r="A3822" s="13"/>
      <c r="B3822" s="13"/>
    </row>
    <row r="3823" spans="1:2" ht="14.4">
      <c r="A3823" s="13"/>
      <c r="B3823" s="13"/>
    </row>
    <row r="3824" spans="1:2" ht="14.4">
      <c r="A3824" s="13"/>
      <c r="B3824" s="13"/>
    </row>
    <row r="3825" spans="1:2" ht="14.4">
      <c r="A3825" s="13"/>
      <c r="B3825" s="13"/>
    </row>
    <row r="3826" spans="1:2" ht="14.4">
      <c r="A3826" s="13"/>
      <c r="B3826" s="13"/>
    </row>
    <row r="3827" spans="1:2" ht="14.4">
      <c r="A3827" s="13"/>
      <c r="B3827" s="13"/>
    </row>
    <row r="3828" spans="1:2" ht="14.4">
      <c r="A3828" s="13"/>
      <c r="B3828" s="13"/>
    </row>
    <row r="3829" spans="1:2" ht="14.4">
      <c r="A3829" s="13"/>
      <c r="B3829" s="13"/>
    </row>
    <row r="3830" spans="1:2" ht="14.4">
      <c r="A3830" s="13"/>
      <c r="B3830" s="13"/>
    </row>
    <row r="3831" spans="1:2" ht="14.4">
      <c r="A3831" s="13"/>
      <c r="B3831" s="13"/>
    </row>
    <row r="3832" spans="1:2" ht="14.4">
      <c r="A3832" s="13"/>
      <c r="B3832" s="13"/>
    </row>
    <row r="3833" spans="1:2" ht="14.4">
      <c r="A3833" s="13"/>
      <c r="B3833" s="13"/>
    </row>
    <row r="3834" spans="1:2" ht="14.4">
      <c r="A3834" s="13"/>
      <c r="B3834" s="13"/>
    </row>
    <row r="3835" spans="1:2" ht="14.4">
      <c r="A3835" s="13"/>
      <c r="B3835" s="13"/>
    </row>
    <row r="3836" spans="1:2" ht="14.4">
      <c r="A3836" s="13"/>
      <c r="B3836" s="13"/>
    </row>
    <row r="3837" spans="1:2" ht="14.4">
      <c r="A3837" s="13"/>
      <c r="B3837" s="13"/>
    </row>
    <row r="3838" spans="1:2" ht="14.4">
      <c r="A3838" s="13"/>
      <c r="B3838" s="13"/>
    </row>
    <row r="3839" spans="1:2" ht="14.4">
      <c r="A3839" s="13"/>
      <c r="B3839" s="13"/>
    </row>
    <row r="3840" spans="1:2" ht="14.4">
      <c r="A3840" s="13"/>
      <c r="B3840" s="13"/>
    </row>
    <row r="3841" spans="1:2" ht="14.4">
      <c r="A3841" s="13"/>
      <c r="B3841" s="13"/>
    </row>
    <row r="3842" spans="1:2" ht="14.4">
      <c r="A3842" s="13"/>
      <c r="B3842" s="13"/>
    </row>
    <row r="3843" spans="1:2" ht="14.4">
      <c r="A3843" s="13"/>
      <c r="B3843" s="13"/>
    </row>
    <row r="3844" spans="1:2" ht="14.4">
      <c r="A3844" s="13"/>
      <c r="B3844" s="13"/>
    </row>
    <row r="3845" spans="1:2" ht="14.4">
      <c r="A3845" s="13"/>
      <c r="B3845" s="13"/>
    </row>
    <row r="3846" spans="1:2" ht="14.4">
      <c r="A3846" s="13"/>
      <c r="B3846" s="13"/>
    </row>
    <row r="3847" spans="1:2" ht="14.4">
      <c r="A3847" s="13"/>
      <c r="B3847" s="13"/>
    </row>
    <row r="3848" spans="1:2" ht="14.4">
      <c r="A3848" s="13"/>
      <c r="B3848" s="13"/>
    </row>
    <row r="3849" spans="1:2" ht="14.4">
      <c r="A3849" s="13"/>
      <c r="B3849" s="13"/>
    </row>
    <row r="3850" spans="1:2" ht="14.4">
      <c r="A3850" s="13"/>
      <c r="B3850" s="13"/>
    </row>
    <row r="3851" spans="1:2" ht="14.4">
      <c r="A3851" s="13"/>
      <c r="B3851" s="13"/>
    </row>
    <row r="3852" spans="1:2" ht="14.4">
      <c r="A3852" s="13"/>
      <c r="B3852" s="13"/>
    </row>
    <row r="3853" spans="1:2" ht="14.4">
      <c r="A3853" s="13"/>
      <c r="B3853" s="13"/>
    </row>
    <row r="3854" spans="1:2" ht="14.4">
      <c r="A3854" s="13"/>
      <c r="B3854" s="13"/>
    </row>
    <row r="3855" spans="1:2" ht="14.4">
      <c r="A3855" s="13"/>
      <c r="B3855" s="13"/>
    </row>
    <row r="3856" spans="1:2" ht="14.4">
      <c r="A3856" s="13"/>
      <c r="B3856" s="13"/>
    </row>
    <row r="3857" spans="1:2" ht="14.4">
      <c r="A3857" s="13"/>
      <c r="B3857" s="13"/>
    </row>
    <row r="3858" spans="1:2" ht="14.4">
      <c r="A3858" s="13"/>
      <c r="B3858" s="13"/>
    </row>
    <row r="3859" spans="1:2" ht="14.4">
      <c r="A3859" s="13"/>
      <c r="B3859" s="13"/>
    </row>
    <row r="3860" spans="1:2" ht="14.4">
      <c r="A3860" s="13"/>
      <c r="B3860" s="13"/>
    </row>
    <row r="3861" spans="1:2" ht="14.4">
      <c r="A3861" s="13"/>
      <c r="B3861" s="13"/>
    </row>
    <row r="3862" spans="1:2" ht="14.4">
      <c r="A3862" s="13"/>
      <c r="B3862" s="13"/>
    </row>
    <row r="3863" spans="1:2" ht="14.4">
      <c r="A3863" s="13"/>
      <c r="B3863" s="13"/>
    </row>
    <row r="3864" spans="1:2" ht="14.4">
      <c r="A3864" s="13"/>
      <c r="B3864" s="13"/>
    </row>
    <row r="3865" spans="1:2" ht="14.4">
      <c r="A3865" s="13"/>
      <c r="B3865" s="13"/>
    </row>
    <row r="3866" spans="1:2" ht="14.4">
      <c r="A3866" s="13"/>
      <c r="B3866" s="13"/>
    </row>
    <row r="3867" spans="1:2" ht="14.4">
      <c r="A3867" s="13"/>
      <c r="B3867" s="13"/>
    </row>
    <row r="3868" spans="1:2" ht="14.4">
      <c r="A3868" s="13"/>
      <c r="B3868" s="13"/>
    </row>
    <row r="3869" spans="1:2" ht="14.4">
      <c r="A3869" s="13"/>
      <c r="B3869" s="13"/>
    </row>
    <row r="3870" spans="1:2" ht="14.4">
      <c r="A3870" s="13"/>
      <c r="B3870" s="13"/>
    </row>
    <row r="3871" spans="1:2" ht="14.4">
      <c r="A3871" s="13"/>
      <c r="B3871" s="13"/>
    </row>
    <row r="3872" spans="1:2" ht="14.4">
      <c r="A3872" s="13"/>
      <c r="B3872" s="13"/>
    </row>
    <row r="3873" spans="1:2" ht="14.4">
      <c r="A3873" s="13"/>
      <c r="B3873" s="13"/>
    </row>
    <row r="3874" spans="1:2" ht="14.4">
      <c r="A3874" s="13"/>
      <c r="B3874" s="13"/>
    </row>
    <row r="3875" spans="1:2" ht="14.4">
      <c r="A3875" s="13"/>
      <c r="B3875" s="13"/>
    </row>
    <row r="3876" spans="1:2" ht="14.4">
      <c r="A3876" s="13"/>
      <c r="B3876" s="13"/>
    </row>
    <row r="3877" spans="1:2" ht="14.4">
      <c r="A3877" s="13"/>
      <c r="B3877" s="13"/>
    </row>
    <row r="3878" spans="1:2" ht="14.4">
      <c r="A3878" s="13"/>
      <c r="B3878" s="13"/>
    </row>
    <row r="3879" spans="1:2" ht="14.4">
      <c r="A3879" s="13"/>
      <c r="B3879" s="13"/>
    </row>
    <row r="3880" spans="1:2" ht="14.4">
      <c r="A3880" s="13"/>
      <c r="B3880" s="13"/>
    </row>
    <row r="3881" spans="1:2" ht="14.4">
      <c r="A3881" s="13"/>
      <c r="B3881" s="13"/>
    </row>
    <row r="3882" spans="1:2" ht="14.4">
      <c r="A3882" s="13"/>
      <c r="B3882" s="13"/>
    </row>
    <row r="3883" spans="1:2" ht="14.4">
      <c r="A3883" s="13"/>
      <c r="B3883" s="13"/>
    </row>
    <row r="3884" spans="1:2" ht="14.4">
      <c r="A3884" s="13"/>
      <c r="B3884" s="13"/>
    </row>
    <row r="3885" spans="1:2" ht="14.4">
      <c r="A3885" s="13"/>
      <c r="B3885" s="13"/>
    </row>
    <row r="3886" spans="1:2" ht="14.4">
      <c r="A3886" s="13"/>
      <c r="B3886" s="13"/>
    </row>
    <row r="3887" spans="1:2" ht="14.4">
      <c r="A3887" s="13"/>
      <c r="B3887" s="13"/>
    </row>
    <row r="3888" spans="1:2" ht="14.4">
      <c r="A3888" s="13"/>
      <c r="B3888" s="13"/>
    </row>
    <row r="3889" spans="1:2" ht="14.4">
      <c r="A3889" s="13"/>
      <c r="B3889" s="13"/>
    </row>
    <row r="3890" spans="1:2" ht="14.4">
      <c r="A3890" s="13"/>
      <c r="B3890" s="13"/>
    </row>
    <row r="3891" spans="1:2" ht="14.4">
      <c r="A3891" s="13"/>
      <c r="B3891" s="13"/>
    </row>
    <row r="3892" spans="1:2" ht="14.4">
      <c r="A3892" s="13"/>
      <c r="B3892" s="13"/>
    </row>
    <row r="3893" spans="1:2" ht="14.4">
      <c r="A3893" s="13"/>
      <c r="B3893" s="13"/>
    </row>
    <row r="3894" spans="1:2" ht="14.4">
      <c r="A3894" s="13"/>
      <c r="B3894" s="13"/>
    </row>
    <row r="3895" spans="1:2" ht="14.4">
      <c r="A3895" s="13"/>
      <c r="B3895" s="13"/>
    </row>
    <row r="3896" spans="1:2" ht="14.4">
      <c r="A3896" s="13"/>
      <c r="B3896" s="13"/>
    </row>
    <row r="3897" spans="1:2" ht="14.4">
      <c r="A3897" s="13"/>
      <c r="B3897" s="13"/>
    </row>
    <row r="3898" spans="1:2" ht="14.4">
      <c r="A3898" s="13"/>
      <c r="B3898" s="13"/>
    </row>
    <row r="3899" spans="1:2" ht="14.4">
      <c r="A3899" s="13"/>
      <c r="B3899" s="13"/>
    </row>
    <row r="3900" spans="1:2" ht="14.4">
      <c r="A3900" s="13"/>
      <c r="B3900" s="13"/>
    </row>
    <row r="3901" spans="1:2" ht="14.4">
      <c r="A3901" s="13"/>
      <c r="B3901" s="13"/>
    </row>
    <row r="3902" spans="1:2" ht="14.4">
      <c r="A3902" s="13"/>
      <c r="B3902" s="13"/>
    </row>
    <row r="3903" spans="1:2" ht="14.4">
      <c r="A3903" s="13"/>
      <c r="B3903" s="13"/>
    </row>
    <row r="3904" spans="1:2" ht="14.4">
      <c r="A3904" s="13"/>
      <c r="B3904" s="13"/>
    </row>
    <row r="3905" spans="1:2" ht="14.4">
      <c r="A3905" s="13"/>
      <c r="B3905" s="13"/>
    </row>
    <row r="3906" spans="1:2" ht="14.4">
      <c r="A3906" s="13"/>
      <c r="B3906" s="13"/>
    </row>
    <row r="3907" spans="1:2" ht="14.4">
      <c r="A3907" s="13"/>
      <c r="B3907" s="13"/>
    </row>
    <row r="3908" spans="1:2" ht="14.4">
      <c r="A3908" s="13"/>
      <c r="B3908" s="13"/>
    </row>
    <row r="3909" spans="1:2" ht="14.4">
      <c r="A3909" s="13"/>
      <c r="B3909" s="13"/>
    </row>
    <row r="3910" spans="1:2" ht="14.4">
      <c r="A3910" s="13"/>
      <c r="B3910" s="13"/>
    </row>
    <row r="3911" spans="1:2" ht="14.4">
      <c r="A3911" s="13"/>
      <c r="B3911" s="13"/>
    </row>
    <row r="3912" spans="1:2" ht="14.4">
      <c r="A3912" s="13"/>
      <c r="B3912" s="13"/>
    </row>
    <row r="3913" spans="1:2" ht="14.4">
      <c r="A3913" s="13"/>
      <c r="B3913" s="13"/>
    </row>
    <row r="3914" spans="1:2" ht="14.4">
      <c r="A3914" s="13"/>
      <c r="B3914" s="13"/>
    </row>
    <row r="3915" spans="1:2" ht="14.4">
      <c r="A3915" s="13"/>
      <c r="B3915" s="13"/>
    </row>
    <row r="3916" spans="1:2" ht="14.4">
      <c r="A3916" s="13"/>
      <c r="B3916" s="13"/>
    </row>
    <row r="3917" spans="1:2" ht="14.4">
      <c r="A3917" s="13"/>
      <c r="B3917" s="13"/>
    </row>
    <row r="3918" spans="1:2" ht="14.4">
      <c r="A3918" s="13"/>
      <c r="B3918" s="13"/>
    </row>
    <row r="3919" spans="1:2" ht="14.4">
      <c r="A3919" s="13"/>
      <c r="B3919" s="13"/>
    </row>
    <row r="3920" spans="1:2" ht="14.4">
      <c r="A3920" s="13"/>
      <c r="B3920" s="13"/>
    </row>
    <row r="3921" spans="1:2" ht="14.4">
      <c r="A3921" s="13"/>
      <c r="B3921" s="13"/>
    </row>
    <row r="3922" spans="1:2" ht="14.4">
      <c r="A3922" s="13"/>
      <c r="B3922" s="13"/>
    </row>
    <row r="3923" spans="1:2" ht="14.4">
      <c r="A3923" s="13"/>
      <c r="B3923" s="13"/>
    </row>
    <row r="3924" spans="1:2" ht="14.4">
      <c r="A3924" s="13"/>
      <c r="B3924" s="13"/>
    </row>
    <row r="3925" spans="1:2" ht="14.4">
      <c r="A3925" s="13"/>
      <c r="B3925" s="13"/>
    </row>
    <row r="3926" spans="1:2" ht="14.4">
      <c r="A3926" s="13"/>
      <c r="B3926" s="13"/>
    </row>
    <row r="3927" spans="1:2" ht="14.4">
      <c r="A3927" s="13"/>
      <c r="B3927" s="13"/>
    </row>
    <row r="3928" spans="1:2" ht="14.4">
      <c r="A3928" s="13"/>
      <c r="B3928" s="13"/>
    </row>
    <row r="3929" spans="1:2" ht="14.4">
      <c r="A3929" s="13"/>
      <c r="B3929" s="13"/>
    </row>
    <row r="3930" spans="1:2" ht="14.4">
      <c r="A3930" s="13"/>
      <c r="B3930" s="13"/>
    </row>
    <row r="3931" spans="1:2" ht="14.4">
      <c r="A3931" s="13"/>
      <c r="B3931" s="13"/>
    </row>
    <row r="3932" spans="1:2" ht="14.4">
      <c r="A3932" s="13"/>
      <c r="B3932" s="13"/>
    </row>
    <row r="3933" spans="1:2" ht="14.4">
      <c r="A3933" s="13"/>
      <c r="B3933" s="13"/>
    </row>
    <row r="3934" spans="1:2" ht="14.4">
      <c r="A3934" s="13"/>
      <c r="B3934" s="13"/>
    </row>
    <row r="3935" spans="1:2" ht="14.4">
      <c r="A3935" s="13"/>
      <c r="B3935" s="13"/>
    </row>
    <row r="3936" spans="1:2" ht="14.4">
      <c r="A3936" s="13"/>
      <c r="B3936" s="13"/>
    </row>
    <row r="3937" spans="1:2" ht="14.4">
      <c r="A3937" s="13"/>
      <c r="B3937" s="13"/>
    </row>
    <row r="3938" spans="1:2" ht="14.4">
      <c r="A3938" s="13"/>
      <c r="B3938" s="13"/>
    </row>
    <row r="3939" spans="1:2" ht="14.4">
      <c r="A3939" s="13"/>
      <c r="B3939" s="13"/>
    </row>
    <row r="3940" spans="1:2" ht="14.4">
      <c r="A3940" s="13"/>
      <c r="B3940" s="13"/>
    </row>
    <row r="3941" spans="1:2" ht="14.4">
      <c r="A3941" s="13"/>
      <c r="B3941" s="13"/>
    </row>
    <row r="3942" spans="1:2" ht="14.4">
      <c r="A3942" s="13"/>
      <c r="B3942" s="13"/>
    </row>
    <row r="3943" spans="1:2" ht="14.4">
      <c r="A3943" s="13"/>
      <c r="B3943" s="13"/>
    </row>
    <row r="3944" spans="1:2" ht="14.4">
      <c r="A3944" s="13"/>
      <c r="B3944" s="13"/>
    </row>
    <row r="3945" spans="1:2" ht="14.4">
      <c r="A3945" s="13"/>
      <c r="B3945" s="13"/>
    </row>
    <row r="3946" spans="1:2" ht="14.4">
      <c r="A3946" s="13"/>
      <c r="B3946" s="13"/>
    </row>
    <row r="3947" spans="1:2" ht="14.4">
      <c r="A3947" s="13"/>
      <c r="B3947" s="13"/>
    </row>
    <row r="3948" spans="1:2" ht="14.4">
      <c r="A3948" s="13"/>
      <c r="B3948" s="13"/>
    </row>
    <row r="3949" spans="1:2" ht="14.4">
      <c r="A3949" s="13"/>
      <c r="B3949" s="13"/>
    </row>
    <row r="3950" spans="1:2" ht="14.4">
      <c r="A3950" s="13"/>
      <c r="B3950" s="13"/>
    </row>
    <row r="3951" spans="1:2" ht="14.4">
      <c r="A3951" s="13"/>
      <c r="B3951" s="13"/>
    </row>
    <row r="3952" spans="1:2" ht="14.4">
      <c r="A3952" s="13"/>
      <c r="B3952" s="13"/>
    </row>
    <row r="3953" spans="1:2" ht="14.4">
      <c r="A3953" s="13"/>
      <c r="B3953" s="13"/>
    </row>
    <row r="3954" spans="1:2" ht="14.4">
      <c r="A3954" s="13"/>
      <c r="B3954" s="13"/>
    </row>
    <row r="3955" spans="1:2" ht="14.4">
      <c r="A3955" s="13"/>
      <c r="B3955" s="13"/>
    </row>
    <row r="3956" spans="1:2" ht="14.4">
      <c r="A3956" s="13"/>
      <c r="B3956" s="13"/>
    </row>
    <row r="3957" spans="1:2" ht="14.4">
      <c r="A3957" s="13"/>
      <c r="B3957" s="13"/>
    </row>
    <row r="3958" spans="1:2" ht="14.4">
      <c r="A3958" s="13"/>
      <c r="B3958" s="13"/>
    </row>
    <row r="3959" spans="1:2" ht="14.4">
      <c r="A3959" s="13"/>
      <c r="B3959" s="13"/>
    </row>
    <row r="3960" spans="1:2" ht="14.4">
      <c r="A3960" s="13"/>
      <c r="B3960" s="13"/>
    </row>
    <row r="3961" spans="1:2" ht="14.4">
      <c r="A3961" s="13"/>
      <c r="B3961" s="13"/>
    </row>
    <row r="3962" spans="1:2" ht="14.4">
      <c r="A3962" s="13"/>
      <c r="B3962" s="13"/>
    </row>
    <row r="3963" spans="1:2" ht="14.4">
      <c r="A3963" s="13"/>
      <c r="B3963" s="13"/>
    </row>
    <row r="3964" spans="1:2" ht="14.4">
      <c r="A3964" s="13"/>
      <c r="B3964" s="13"/>
    </row>
    <row r="3965" spans="1:2" ht="14.4">
      <c r="A3965" s="13"/>
      <c r="B3965" s="13"/>
    </row>
    <row r="3966" spans="1:2" ht="14.4">
      <c r="A3966" s="13"/>
      <c r="B3966" s="13"/>
    </row>
    <row r="3967" spans="1:2" ht="14.4">
      <c r="A3967" s="13"/>
      <c r="B3967" s="13"/>
    </row>
    <row r="3968" spans="1:2" ht="14.4">
      <c r="A3968" s="13"/>
      <c r="B3968" s="13"/>
    </row>
    <row r="3969" spans="1:2" ht="14.4">
      <c r="A3969" s="13"/>
      <c r="B3969" s="13"/>
    </row>
    <row r="3970" spans="1:2" ht="14.4">
      <c r="A3970" s="13"/>
      <c r="B3970" s="13"/>
    </row>
    <row r="3971" spans="1:2" ht="14.4">
      <c r="A3971" s="13"/>
      <c r="B3971" s="13"/>
    </row>
    <row r="3972" spans="1:2" ht="14.4">
      <c r="A3972" s="13"/>
      <c r="B3972" s="13"/>
    </row>
    <row r="3973" spans="1:2" ht="14.4">
      <c r="A3973" s="13"/>
      <c r="B3973" s="13"/>
    </row>
    <row r="3974" spans="1:2" ht="14.4">
      <c r="A3974" s="13"/>
      <c r="B3974" s="13"/>
    </row>
    <row r="3975" spans="1:2" ht="14.4">
      <c r="A3975" s="13"/>
      <c r="B3975" s="13"/>
    </row>
    <row r="3976" spans="1:2" ht="14.4">
      <c r="A3976" s="13"/>
      <c r="B3976" s="13"/>
    </row>
    <row r="3977" spans="1:2" ht="14.4">
      <c r="A3977" s="13"/>
      <c r="B3977" s="13"/>
    </row>
    <row r="3978" spans="1:2" ht="14.4">
      <c r="A3978" s="13"/>
      <c r="B3978" s="13"/>
    </row>
    <row r="3979" spans="1:2" ht="14.4">
      <c r="A3979" s="13"/>
      <c r="B3979" s="13"/>
    </row>
    <row r="3980" spans="1:2" ht="14.4">
      <c r="A3980" s="13"/>
      <c r="B3980" s="13"/>
    </row>
    <row r="3981" spans="1:2" ht="14.4">
      <c r="A3981" s="13"/>
      <c r="B3981" s="13"/>
    </row>
    <row r="3982" spans="1:2" ht="14.4">
      <c r="A3982" s="13"/>
      <c r="B3982" s="13"/>
    </row>
    <row r="3983" spans="1:2" ht="14.4">
      <c r="A3983" s="13"/>
      <c r="B3983" s="13"/>
    </row>
    <row r="3984" spans="1:2" ht="14.4">
      <c r="A3984" s="13"/>
      <c r="B3984" s="13"/>
    </row>
    <row r="3985" spans="1:2" ht="14.4">
      <c r="A3985" s="13"/>
      <c r="B3985" s="13"/>
    </row>
    <row r="3986" spans="1:2" ht="14.4">
      <c r="A3986" s="13"/>
      <c r="B3986" s="13"/>
    </row>
    <row r="3987" spans="1:2" ht="14.4">
      <c r="A3987" s="13"/>
      <c r="B3987" s="13"/>
    </row>
    <row r="3988" spans="1:2" ht="14.4">
      <c r="A3988" s="13"/>
      <c r="B3988" s="13"/>
    </row>
    <row r="3989" spans="1:2" ht="14.4">
      <c r="A3989" s="13"/>
      <c r="B3989" s="13"/>
    </row>
    <row r="3990" spans="1:2" ht="14.4">
      <c r="A3990" s="13"/>
      <c r="B3990" s="13"/>
    </row>
    <row r="3991" spans="1:2" ht="14.4">
      <c r="A3991" s="13"/>
      <c r="B3991" s="13"/>
    </row>
    <row r="3992" spans="1:2" ht="14.4">
      <c r="A3992" s="13"/>
      <c r="B3992" s="13"/>
    </row>
    <row r="3993" spans="1:2" ht="14.4">
      <c r="A3993" s="13"/>
      <c r="B3993" s="13"/>
    </row>
    <row r="3994" spans="1:2" ht="14.4">
      <c r="A3994" s="13"/>
      <c r="B3994" s="13"/>
    </row>
    <row r="3995" spans="1:2" ht="14.4">
      <c r="A3995" s="13"/>
      <c r="B3995" s="13"/>
    </row>
    <row r="3996" spans="1:2" ht="14.4">
      <c r="A3996" s="13"/>
      <c r="B3996" s="13"/>
    </row>
    <row r="3997" spans="1:2" ht="14.4">
      <c r="A3997" s="13"/>
      <c r="B3997" s="13"/>
    </row>
    <row r="3998" spans="1:2" ht="14.4">
      <c r="A3998" s="13"/>
      <c r="B3998" s="13"/>
    </row>
    <row r="3999" spans="1:2" ht="14.4">
      <c r="A3999" s="13"/>
      <c r="B3999" s="13"/>
    </row>
    <row r="4000" spans="1:2" ht="14.4">
      <c r="A4000" s="13"/>
      <c r="B4000" s="13"/>
    </row>
    <row r="4001" spans="1:2" ht="14.4">
      <c r="A4001" s="13"/>
      <c r="B4001" s="13"/>
    </row>
    <row r="4002" spans="1:2" ht="14.4">
      <c r="A4002" s="13"/>
      <c r="B4002" s="13"/>
    </row>
    <row r="4003" spans="1:2" ht="14.4">
      <c r="A4003" s="13"/>
      <c r="B4003" s="13"/>
    </row>
    <row r="4004" spans="1:2" ht="14.4">
      <c r="A4004" s="13"/>
      <c r="B4004" s="13"/>
    </row>
    <row r="4005" spans="1:2" ht="14.4">
      <c r="A4005" s="13"/>
      <c r="B4005" s="13"/>
    </row>
    <row r="4006" spans="1:2" ht="14.4">
      <c r="A4006" s="13"/>
      <c r="B4006" s="13"/>
    </row>
    <row r="4007" spans="1:2" ht="14.4">
      <c r="A4007" s="13"/>
      <c r="B4007" s="13"/>
    </row>
    <row r="4008" spans="1:2" ht="14.4">
      <c r="A4008" s="13"/>
      <c r="B4008" s="13"/>
    </row>
    <row r="4009" spans="1:2" ht="14.4">
      <c r="A4009" s="13"/>
      <c r="B4009" s="13"/>
    </row>
    <row r="4010" spans="1:2" ht="14.4">
      <c r="A4010" s="13"/>
      <c r="B4010" s="13"/>
    </row>
    <row r="4011" spans="1:2" ht="14.4">
      <c r="A4011" s="13"/>
      <c r="B4011" s="13"/>
    </row>
    <row r="4012" spans="1:2" ht="14.4">
      <c r="A4012" s="13"/>
      <c r="B4012" s="13"/>
    </row>
    <row r="4013" spans="1:2" ht="14.4">
      <c r="A4013" s="13"/>
      <c r="B4013" s="13"/>
    </row>
    <row r="4014" spans="1:2" ht="14.4">
      <c r="A4014" s="13"/>
      <c r="B4014" s="13"/>
    </row>
    <row r="4015" spans="1:2" ht="14.4">
      <c r="A4015" s="13"/>
      <c r="B4015" s="13"/>
    </row>
    <row r="4016" spans="1:2" ht="14.4">
      <c r="A4016" s="13"/>
      <c r="B4016" s="13"/>
    </row>
    <row r="4017" spans="1:2" ht="14.4">
      <c r="A4017" s="13"/>
      <c r="B4017" s="13"/>
    </row>
    <row r="4018" spans="1:2" ht="14.4">
      <c r="A4018" s="13"/>
      <c r="B4018" s="13"/>
    </row>
    <row r="4019" spans="1:2" ht="14.4">
      <c r="A4019" s="13"/>
      <c r="B4019" s="13"/>
    </row>
    <row r="4020" spans="1:2" ht="14.4">
      <c r="A4020" s="13"/>
      <c r="B4020" s="13"/>
    </row>
    <row r="4021" spans="1:2" ht="14.4">
      <c r="A4021" s="13"/>
      <c r="B4021" s="13"/>
    </row>
    <row r="4022" spans="1:2" ht="14.4">
      <c r="A4022" s="13"/>
      <c r="B4022" s="13"/>
    </row>
    <row r="4023" spans="1:2" ht="14.4">
      <c r="A4023" s="13"/>
      <c r="B4023" s="13"/>
    </row>
    <row r="4024" spans="1:2" ht="14.4">
      <c r="A4024" s="13"/>
      <c r="B4024" s="13"/>
    </row>
    <row r="4025" spans="1:2" ht="14.4">
      <c r="A4025" s="13"/>
      <c r="B4025" s="13"/>
    </row>
    <row r="4026" spans="1:2" ht="14.4">
      <c r="A4026" s="13"/>
      <c r="B4026" s="13"/>
    </row>
    <row r="4027" spans="1:2" ht="14.4">
      <c r="A4027" s="13"/>
      <c r="B4027" s="13"/>
    </row>
    <row r="4028" spans="1:2" ht="14.4">
      <c r="A4028" s="13"/>
      <c r="B4028" s="13"/>
    </row>
    <row r="4029" spans="1:2" ht="14.4">
      <c r="A4029" s="13"/>
      <c r="B4029" s="13"/>
    </row>
    <row r="4030" spans="1:2" ht="14.4">
      <c r="A4030" s="13"/>
      <c r="B4030" s="13"/>
    </row>
    <row r="4031" spans="1:2" ht="14.4">
      <c r="A4031" s="13"/>
      <c r="B4031" s="13"/>
    </row>
    <row r="4032" spans="1:2" ht="14.4">
      <c r="A4032" s="13"/>
      <c r="B4032" s="13"/>
    </row>
    <row r="4033" spans="1:2" ht="14.4">
      <c r="A4033" s="13"/>
      <c r="B4033" s="13"/>
    </row>
    <row r="4034" spans="1:2" ht="14.4">
      <c r="A4034" s="13"/>
      <c r="B4034" s="13"/>
    </row>
    <row r="4035" spans="1:2" ht="14.4">
      <c r="A4035" s="13"/>
      <c r="B4035" s="13"/>
    </row>
    <row r="4036" spans="1:2" ht="14.4">
      <c r="A4036" s="13"/>
      <c r="B4036" s="13"/>
    </row>
    <row r="4037" spans="1:2" ht="14.4">
      <c r="A4037" s="13"/>
      <c r="B4037" s="13"/>
    </row>
    <row r="4038" spans="1:2" ht="14.4">
      <c r="A4038" s="13"/>
      <c r="B4038" s="13"/>
    </row>
    <row r="4039" spans="1:2" ht="14.4">
      <c r="A4039" s="13"/>
      <c r="B4039" s="13"/>
    </row>
    <row r="4040" spans="1:2" ht="14.4">
      <c r="A4040" s="13"/>
      <c r="B4040" s="13"/>
    </row>
    <row r="4041" spans="1:2" ht="14.4">
      <c r="A4041" s="13"/>
      <c r="B4041" s="13"/>
    </row>
    <row r="4042" spans="1:2" ht="14.4">
      <c r="A4042" s="13"/>
      <c r="B4042" s="13"/>
    </row>
    <row r="4043" spans="1:2" ht="14.4">
      <c r="A4043" s="13"/>
      <c r="B4043" s="13"/>
    </row>
    <row r="4044" spans="1:2" ht="14.4">
      <c r="A4044" s="13"/>
      <c r="B4044" s="13"/>
    </row>
    <row r="4045" spans="1:2" ht="14.4">
      <c r="A4045" s="13"/>
      <c r="B4045" s="13"/>
    </row>
    <row r="4046" spans="1:2" ht="14.4">
      <c r="A4046" s="13"/>
      <c r="B4046" s="13"/>
    </row>
    <row r="4047" spans="1:2" ht="14.4">
      <c r="A4047" s="13"/>
      <c r="B4047" s="13"/>
    </row>
    <row r="4048" spans="1:2" ht="14.4">
      <c r="A4048" s="13"/>
      <c r="B4048" s="13"/>
    </row>
    <row r="4049" spans="1:2" ht="14.4">
      <c r="A4049" s="13"/>
      <c r="B4049" s="13"/>
    </row>
    <row r="4050" spans="1:2" ht="14.4">
      <c r="A4050" s="13"/>
      <c r="B4050" s="13"/>
    </row>
    <row r="4051" spans="1:2" ht="14.4">
      <c r="A4051" s="13"/>
      <c r="B4051" s="13"/>
    </row>
    <row r="4052" spans="1:2" ht="14.4">
      <c r="A4052" s="13"/>
      <c r="B4052" s="13"/>
    </row>
    <row r="4053" spans="1:2" ht="14.4">
      <c r="A4053" s="13"/>
      <c r="B4053" s="13"/>
    </row>
    <row r="4054" spans="1:2" ht="14.4">
      <c r="A4054" s="13"/>
      <c r="B4054" s="13"/>
    </row>
    <row r="4055" spans="1:2" ht="14.4">
      <c r="A4055" s="13"/>
      <c r="B4055" s="13"/>
    </row>
    <row r="4056" spans="1:2" ht="14.4">
      <c r="A4056" s="13"/>
      <c r="B4056" s="13"/>
    </row>
    <row r="4057" spans="1:2" ht="14.4">
      <c r="A4057" s="13"/>
      <c r="B4057" s="13"/>
    </row>
    <row r="4058" spans="1:2" ht="14.4">
      <c r="A4058" s="13"/>
      <c r="B4058" s="13"/>
    </row>
    <row r="4059" spans="1:2" ht="14.4">
      <c r="A4059" s="13"/>
      <c r="B4059" s="13"/>
    </row>
    <row r="4060" spans="1:2" ht="14.4">
      <c r="A4060" s="13"/>
      <c r="B4060" s="13"/>
    </row>
    <row r="4061" spans="1:2" ht="14.4">
      <c r="A4061" s="13"/>
      <c r="B4061" s="13"/>
    </row>
    <row r="4062" spans="1:2" ht="14.4">
      <c r="A4062" s="13"/>
      <c r="B4062" s="13"/>
    </row>
    <row r="4063" spans="1:2" ht="14.4">
      <c r="A4063" s="13"/>
      <c r="B4063" s="13"/>
    </row>
    <row r="4064" spans="1:2" ht="14.4">
      <c r="A4064" s="13"/>
      <c r="B4064" s="13"/>
    </row>
    <row r="4065" spans="1:2" ht="14.4">
      <c r="A4065" s="13"/>
      <c r="B4065" s="13"/>
    </row>
    <row r="4066" spans="1:2" ht="14.4">
      <c r="A4066" s="13"/>
      <c r="B4066" s="13"/>
    </row>
    <row r="4067" spans="1:2" ht="14.4">
      <c r="A4067" s="13"/>
      <c r="B4067" s="13"/>
    </row>
    <row r="4068" spans="1:2" ht="14.4">
      <c r="A4068" s="13"/>
      <c r="B4068" s="13"/>
    </row>
    <row r="4069" spans="1:2" ht="14.4">
      <c r="A4069" s="13"/>
      <c r="B4069" s="13"/>
    </row>
    <row r="4070" spans="1:2" ht="14.4">
      <c r="A4070" s="13"/>
      <c r="B4070" s="13"/>
    </row>
    <row r="4071" spans="1:2" ht="14.4">
      <c r="A4071" s="13"/>
      <c r="B4071" s="13"/>
    </row>
    <row r="4072" spans="1:2" ht="14.4">
      <c r="A4072" s="13"/>
      <c r="B4072" s="13"/>
    </row>
    <row r="4073" spans="1:2" ht="14.4">
      <c r="A4073" s="13"/>
      <c r="B4073" s="13"/>
    </row>
    <row r="4074" spans="1:2" ht="14.4">
      <c r="A4074" s="13"/>
      <c r="B4074" s="13"/>
    </row>
    <row r="4075" spans="1:2" ht="14.4">
      <c r="A4075" s="13"/>
      <c r="B4075" s="13"/>
    </row>
    <row r="4076" spans="1:2" ht="14.4">
      <c r="A4076" s="13"/>
      <c r="B4076" s="13"/>
    </row>
    <row r="4077" spans="1:2" ht="14.4">
      <c r="A4077" s="13"/>
      <c r="B4077" s="13"/>
    </row>
    <row r="4078" spans="1:2" ht="14.4">
      <c r="A4078" s="13"/>
      <c r="B4078" s="13"/>
    </row>
    <row r="4079" spans="1:2" ht="14.4">
      <c r="A4079" s="13"/>
      <c r="B4079" s="13"/>
    </row>
    <row r="4080" spans="1:2" ht="14.4">
      <c r="A4080" s="13"/>
      <c r="B4080" s="13"/>
    </row>
    <row r="4081" spans="1:2" ht="14.4">
      <c r="A4081" s="13"/>
      <c r="B4081" s="13"/>
    </row>
    <row r="4082" spans="1:2" ht="14.4">
      <c r="A4082" s="13"/>
      <c r="B4082" s="13"/>
    </row>
    <row r="4083" spans="1:2" ht="14.4">
      <c r="A4083" s="13"/>
      <c r="B4083" s="13"/>
    </row>
    <row r="4084" spans="1:2" ht="14.4">
      <c r="A4084" s="13"/>
      <c r="B4084" s="13"/>
    </row>
    <row r="4085" spans="1:2" ht="14.4">
      <c r="A4085" s="13"/>
      <c r="B4085" s="13"/>
    </row>
    <row r="4086" spans="1:2" ht="14.4">
      <c r="A4086" s="13"/>
      <c r="B4086" s="13"/>
    </row>
    <row r="4087" spans="1:2" ht="14.4">
      <c r="A4087" s="13"/>
      <c r="B4087" s="13"/>
    </row>
    <row r="4088" spans="1:2" ht="14.4">
      <c r="A4088" s="13"/>
      <c r="B4088" s="13"/>
    </row>
    <row r="4089" spans="1:2" ht="14.4">
      <c r="A4089" s="13"/>
      <c r="B4089" s="13"/>
    </row>
    <row r="4090" spans="1:2" ht="14.4">
      <c r="A4090" s="13"/>
      <c r="B4090" s="13"/>
    </row>
    <row r="4091" spans="1:2" ht="14.4">
      <c r="A4091" s="13"/>
      <c r="B4091" s="13"/>
    </row>
    <row r="4092" spans="1:2" ht="14.4">
      <c r="A4092" s="13"/>
      <c r="B4092" s="13"/>
    </row>
    <row r="4093" spans="1:2" ht="14.4">
      <c r="A4093" s="13"/>
      <c r="B4093" s="13"/>
    </row>
    <row r="4094" spans="1:2" ht="14.4">
      <c r="A4094" s="13"/>
      <c r="B4094" s="13"/>
    </row>
    <row r="4095" spans="1:2" ht="14.4">
      <c r="A4095" s="13"/>
      <c r="B4095" s="13"/>
    </row>
    <row r="4096" spans="1:2" ht="14.4">
      <c r="A4096" s="13"/>
      <c r="B4096" s="13"/>
    </row>
    <row r="4097" spans="1:2" ht="14.4">
      <c r="A4097" s="13"/>
      <c r="B4097" s="13"/>
    </row>
    <row r="4098" spans="1:2" ht="14.4">
      <c r="A4098" s="13"/>
      <c r="B4098" s="13"/>
    </row>
    <row r="4099" spans="1:2" ht="14.4">
      <c r="A4099" s="13"/>
      <c r="B4099" s="13"/>
    </row>
    <row r="4100" spans="1:2" ht="14.4">
      <c r="A4100" s="13"/>
      <c r="B4100" s="13"/>
    </row>
    <row r="4101" spans="1:2" ht="14.4">
      <c r="A4101" s="13"/>
      <c r="B4101" s="13"/>
    </row>
    <row r="4102" spans="1:2" ht="14.4">
      <c r="A4102" s="13"/>
      <c r="B4102" s="13"/>
    </row>
    <row r="4103" spans="1:2" ht="14.4">
      <c r="A4103" s="13"/>
      <c r="B4103" s="13"/>
    </row>
    <row r="4104" spans="1:2" ht="14.4">
      <c r="A4104" s="13"/>
      <c r="B4104" s="13"/>
    </row>
    <row r="4105" spans="1:2" ht="14.4">
      <c r="A4105" s="13"/>
      <c r="B4105" s="13"/>
    </row>
    <row r="4106" spans="1:2" ht="14.4">
      <c r="A4106" s="13"/>
      <c r="B4106" s="13"/>
    </row>
    <row r="4107" spans="1:2" ht="14.4">
      <c r="A4107" s="13"/>
      <c r="B4107" s="13"/>
    </row>
    <row r="4108" spans="1:2" ht="14.4">
      <c r="A4108" s="13"/>
      <c r="B4108" s="13"/>
    </row>
    <row r="4109" spans="1:2" ht="14.4">
      <c r="A4109" s="13"/>
      <c r="B4109" s="13"/>
    </row>
    <row r="4110" spans="1:2" ht="14.4">
      <c r="A4110" s="13"/>
      <c r="B4110" s="13"/>
    </row>
    <row r="4111" spans="1:2" ht="14.4">
      <c r="A4111" s="13"/>
      <c r="B4111" s="13"/>
    </row>
    <row r="4112" spans="1:2" ht="14.4">
      <c r="A4112" s="13"/>
      <c r="B4112" s="13"/>
    </row>
    <row r="4113" spans="1:2" ht="14.4">
      <c r="A4113" s="13"/>
      <c r="B4113" s="13"/>
    </row>
    <row r="4114" spans="1:2" ht="14.4">
      <c r="A4114" s="13"/>
      <c r="B4114" s="13"/>
    </row>
    <row r="4115" spans="1:2" ht="14.4">
      <c r="A4115" s="13"/>
      <c r="B4115" s="13"/>
    </row>
    <row r="4116" spans="1:2" ht="14.4">
      <c r="A4116" s="13"/>
      <c r="B4116" s="13"/>
    </row>
    <row r="4117" spans="1:2" ht="14.4">
      <c r="A4117" s="13"/>
      <c r="B4117" s="13"/>
    </row>
    <row r="4118" spans="1:2" ht="14.4">
      <c r="A4118" s="13"/>
      <c r="B4118" s="13"/>
    </row>
    <row r="4119" spans="1:2" ht="14.4">
      <c r="A4119" s="13"/>
      <c r="B4119" s="13"/>
    </row>
    <row r="4120" spans="1:2" ht="14.4">
      <c r="A4120" s="13"/>
      <c r="B4120" s="13"/>
    </row>
    <row r="4121" spans="1:2" ht="14.4">
      <c r="A4121" s="13"/>
      <c r="B4121" s="13"/>
    </row>
    <row r="4122" spans="1:2" ht="14.4">
      <c r="A4122" s="13"/>
      <c r="B4122" s="13"/>
    </row>
    <row r="4123" spans="1:2" ht="14.4">
      <c r="A4123" s="13"/>
      <c r="B4123" s="13"/>
    </row>
    <row r="4124" spans="1:2" ht="14.4">
      <c r="A4124" s="13"/>
      <c r="B4124" s="13"/>
    </row>
    <row r="4125" spans="1:2" ht="14.4">
      <c r="A4125" s="13"/>
      <c r="B4125" s="13"/>
    </row>
    <row r="4126" spans="1:2" ht="14.4">
      <c r="A4126" s="13"/>
      <c r="B4126" s="13"/>
    </row>
    <row r="4127" spans="1:2" ht="14.4">
      <c r="A4127" s="13"/>
      <c r="B4127" s="13"/>
    </row>
    <row r="4128" spans="1:2" ht="14.4">
      <c r="A4128" s="13"/>
      <c r="B4128" s="13"/>
    </row>
    <row r="4129" spans="1:2" ht="14.4">
      <c r="A4129" s="13"/>
      <c r="B4129" s="13"/>
    </row>
    <row r="4130" spans="1:2" ht="14.4">
      <c r="A4130" s="13"/>
      <c r="B4130" s="13"/>
    </row>
    <row r="4131" spans="1:2" ht="14.4">
      <c r="A4131" s="13"/>
      <c r="B4131" s="13"/>
    </row>
    <row r="4132" spans="1:2" ht="14.4">
      <c r="A4132" s="13"/>
      <c r="B4132" s="13"/>
    </row>
    <row r="4133" spans="1:2" ht="14.4">
      <c r="A4133" s="13"/>
      <c r="B4133" s="13"/>
    </row>
    <row r="4134" spans="1:2" ht="14.4">
      <c r="A4134" s="13"/>
      <c r="B4134" s="13"/>
    </row>
    <row r="4135" spans="1:2" ht="14.4">
      <c r="A4135" s="13"/>
      <c r="B4135" s="13"/>
    </row>
    <row r="4136" spans="1:2" ht="14.4">
      <c r="A4136" s="13"/>
      <c r="B4136" s="13"/>
    </row>
    <row r="4137" spans="1:2" ht="14.4">
      <c r="A4137" s="13"/>
      <c r="B4137" s="13"/>
    </row>
    <row r="4138" spans="1:2" ht="14.4">
      <c r="A4138" s="13"/>
      <c r="B4138" s="13"/>
    </row>
    <row r="4139" spans="1:2" ht="14.4">
      <c r="A4139" s="13"/>
      <c r="B4139" s="13"/>
    </row>
    <row r="4140" spans="1:2" ht="14.4">
      <c r="A4140" s="13"/>
      <c r="B4140" s="13"/>
    </row>
    <row r="4141" spans="1:2" ht="14.4">
      <c r="A4141" s="13"/>
      <c r="B4141" s="13"/>
    </row>
    <row r="4142" spans="1:2" ht="14.4">
      <c r="A4142" s="13"/>
      <c r="B4142" s="13"/>
    </row>
    <row r="4143" spans="1:2" ht="14.4">
      <c r="A4143" s="13"/>
      <c r="B4143" s="13"/>
    </row>
    <row r="4144" spans="1:2" ht="14.4">
      <c r="A4144" s="13"/>
      <c r="B4144" s="13"/>
    </row>
    <row r="4145" spans="1:2" ht="14.4">
      <c r="A4145" s="13"/>
      <c r="B4145" s="13"/>
    </row>
    <row r="4146" spans="1:2" ht="14.4">
      <c r="A4146" s="13"/>
      <c r="B4146" s="13"/>
    </row>
    <row r="4147" spans="1:2" ht="14.4">
      <c r="A4147" s="13"/>
      <c r="B4147" s="13"/>
    </row>
    <row r="4148" spans="1:2" ht="14.4">
      <c r="A4148" s="13"/>
      <c r="B4148" s="13"/>
    </row>
    <row r="4149" spans="1:2" ht="14.4">
      <c r="A4149" s="13"/>
      <c r="B4149" s="13"/>
    </row>
    <row r="4150" spans="1:2" ht="14.4">
      <c r="A4150" s="13"/>
      <c r="B4150" s="13"/>
    </row>
    <row r="4151" spans="1:2" ht="14.4">
      <c r="A4151" s="13"/>
      <c r="B4151" s="13"/>
    </row>
    <row r="4152" spans="1:2" ht="14.4">
      <c r="A4152" s="13"/>
      <c r="B4152" s="13"/>
    </row>
    <row r="4153" spans="1:2" ht="14.4">
      <c r="A4153" s="13"/>
      <c r="B4153" s="13"/>
    </row>
    <row r="4154" spans="1:2" ht="14.4">
      <c r="A4154" s="13"/>
      <c r="B4154" s="13"/>
    </row>
    <row r="4155" spans="1:2" ht="14.4">
      <c r="A4155" s="13"/>
      <c r="B4155" s="13"/>
    </row>
    <row r="4156" spans="1:2" ht="14.4">
      <c r="A4156" s="13"/>
      <c r="B4156" s="13"/>
    </row>
    <row r="4157" spans="1:2" ht="14.4">
      <c r="A4157" s="13"/>
      <c r="B4157" s="13"/>
    </row>
    <row r="4158" spans="1:2" ht="14.4">
      <c r="A4158" s="13"/>
      <c r="B4158" s="13"/>
    </row>
    <row r="4159" spans="1:2" ht="14.4">
      <c r="A4159" s="13"/>
      <c r="B4159" s="13"/>
    </row>
    <row r="4160" spans="1:2" ht="14.4">
      <c r="A4160" s="13"/>
      <c r="B4160" s="13"/>
    </row>
    <row r="4161" spans="1:2" ht="14.4">
      <c r="A4161" s="13"/>
      <c r="B4161" s="13"/>
    </row>
    <row r="4162" spans="1:2" ht="14.4">
      <c r="A4162" s="13"/>
      <c r="B4162" s="13"/>
    </row>
    <row r="4163" spans="1:2" ht="14.4">
      <c r="A4163" s="13"/>
      <c r="B4163" s="13"/>
    </row>
    <row r="4164" spans="1:2" ht="14.4">
      <c r="A4164" s="13"/>
      <c r="B4164" s="13"/>
    </row>
    <row r="4165" spans="1:2" ht="14.4">
      <c r="A4165" s="13"/>
      <c r="B4165" s="13"/>
    </row>
    <row r="4166" spans="1:2" ht="14.4">
      <c r="A4166" s="13"/>
      <c r="B4166" s="13"/>
    </row>
    <row r="4167" spans="1:2" ht="14.4">
      <c r="A4167" s="13"/>
      <c r="B4167" s="13"/>
    </row>
    <row r="4168" spans="1:2" ht="14.4">
      <c r="A4168" s="13"/>
      <c r="B4168" s="13"/>
    </row>
    <row r="4169" spans="1:2" ht="14.4">
      <c r="A4169" s="13"/>
      <c r="B4169" s="13"/>
    </row>
    <row r="4170" spans="1:2" ht="14.4">
      <c r="A4170" s="13"/>
      <c r="B4170" s="13"/>
    </row>
    <row r="4171" spans="1:2" ht="14.4">
      <c r="A4171" s="13"/>
      <c r="B4171" s="13"/>
    </row>
    <row r="4172" spans="1:2" ht="14.4">
      <c r="A4172" s="13"/>
      <c r="B4172" s="13"/>
    </row>
    <row r="4173" spans="1:2" ht="14.4">
      <c r="A4173" s="13"/>
      <c r="B4173" s="13"/>
    </row>
    <row r="4174" spans="1:2" ht="14.4">
      <c r="A4174" s="13"/>
      <c r="B4174" s="13"/>
    </row>
    <row r="4175" spans="1:2" ht="14.4">
      <c r="A4175" s="13"/>
      <c r="B4175" s="13"/>
    </row>
    <row r="4176" spans="1:2" ht="14.4">
      <c r="A4176" s="13"/>
      <c r="B4176" s="13"/>
    </row>
    <row r="4177" spans="1:2" ht="14.4">
      <c r="A4177" s="13"/>
      <c r="B4177" s="13"/>
    </row>
    <row r="4178" spans="1:2" ht="14.4">
      <c r="A4178" s="13"/>
      <c r="B4178" s="13"/>
    </row>
    <row r="4179" spans="1:2" ht="14.4">
      <c r="A4179" s="13"/>
      <c r="B4179" s="13"/>
    </row>
    <row r="4180" spans="1:2" ht="14.4">
      <c r="A4180" s="13"/>
      <c r="B4180" s="13"/>
    </row>
    <row r="4181" spans="1:2" ht="14.4">
      <c r="A4181" s="13"/>
      <c r="B4181" s="13"/>
    </row>
    <row r="4182" spans="1:2" ht="14.4">
      <c r="A4182" s="13"/>
      <c r="B4182" s="13"/>
    </row>
    <row r="4183" spans="1:2" ht="14.4">
      <c r="A4183" s="13"/>
      <c r="B4183" s="13"/>
    </row>
    <row r="4184" spans="1:2" ht="14.4">
      <c r="A4184" s="13"/>
      <c r="B4184" s="13"/>
    </row>
    <row r="4185" spans="1:2" ht="14.4">
      <c r="A4185" s="13"/>
      <c r="B4185" s="13"/>
    </row>
    <row r="4186" spans="1:2" ht="14.4">
      <c r="A4186" s="13"/>
      <c r="B4186" s="13"/>
    </row>
    <row r="4187" spans="1:2" ht="14.4">
      <c r="A4187" s="13"/>
      <c r="B4187" s="13"/>
    </row>
    <row r="4188" spans="1:2" ht="14.4">
      <c r="A4188" s="13"/>
      <c r="B4188" s="13"/>
    </row>
    <row r="4189" spans="1:2" ht="14.4">
      <c r="A4189" s="13"/>
      <c r="B4189" s="13"/>
    </row>
    <row r="4190" spans="1:2" ht="14.4">
      <c r="A4190" s="13"/>
      <c r="B4190" s="13"/>
    </row>
    <row r="4191" spans="1:2" ht="14.4">
      <c r="A4191" s="13"/>
      <c r="B4191" s="13"/>
    </row>
    <row r="4192" spans="1:2" ht="14.4">
      <c r="A4192" s="13"/>
      <c r="B4192" s="13"/>
    </row>
    <row r="4193" spans="1:2" ht="14.4">
      <c r="A4193" s="13"/>
      <c r="B4193" s="13"/>
    </row>
    <row r="4194" spans="1:2" ht="14.4">
      <c r="A4194" s="13"/>
      <c r="B4194" s="13"/>
    </row>
    <row r="4195" spans="1:2" ht="14.4">
      <c r="A4195" s="13"/>
      <c r="B4195" s="13"/>
    </row>
    <row r="4196" spans="1:2" ht="14.4">
      <c r="A4196" s="13"/>
      <c r="B4196" s="13"/>
    </row>
    <row r="4197" spans="1:2" ht="14.4">
      <c r="A4197" s="13"/>
      <c r="B4197" s="13"/>
    </row>
    <row r="4198" spans="1:2" ht="14.4">
      <c r="A4198" s="13"/>
      <c r="B4198" s="13"/>
    </row>
    <row r="4199" spans="1:2" ht="14.4">
      <c r="A4199" s="13"/>
      <c r="B4199" s="13"/>
    </row>
    <row r="4200" spans="1:2" ht="14.4">
      <c r="A4200" s="13"/>
      <c r="B4200" s="13"/>
    </row>
    <row r="4201" spans="1:2" ht="14.4">
      <c r="A4201" s="13"/>
      <c r="B4201" s="13"/>
    </row>
    <row r="4202" spans="1:2" ht="14.4">
      <c r="A4202" s="13"/>
      <c r="B4202" s="13"/>
    </row>
    <row r="4203" spans="1:2" ht="14.4">
      <c r="A4203" s="13"/>
      <c r="B4203" s="13"/>
    </row>
    <row r="4204" spans="1:2" ht="14.4">
      <c r="A4204" s="13"/>
      <c r="B4204" s="13"/>
    </row>
    <row r="4205" spans="1:2" ht="14.4">
      <c r="A4205" s="13"/>
      <c r="B4205" s="13"/>
    </row>
    <row r="4206" spans="1:2" ht="14.4">
      <c r="A4206" s="13"/>
      <c r="B4206" s="13"/>
    </row>
    <row r="4207" spans="1:2" ht="14.4">
      <c r="A4207" s="13"/>
      <c r="B4207" s="13"/>
    </row>
    <row r="4208" spans="1:2" ht="14.4">
      <c r="A4208" s="13"/>
      <c r="B4208" s="13"/>
    </row>
    <row r="4209" spans="1:2" ht="14.4">
      <c r="A4209" s="13"/>
      <c r="B4209" s="13"/>
    </row>
    <row r="4210" spans="1:2" ht="14.4">
      <c r="A4210" s="13"/>
      <c r="B4210" s="13"/>
    </row>
    <row r="4211" spans="1:2" ht="14.4">
      <c r="A4211" s="13"/>
      <c r="B4211" s="13"/>
    </row>
    <row r="4212" spans="1:2" ht="14.4">
      <c r="A4212" s="13"/>
      <c r="B4212" s="13"/>
    </row>
    <row r="4213" spans="1:2" ht="14.4">
      <c r="A4213" s="13"/>
      <c r="B4213" s="13"/>
    </row>
    <row r="4214" spans="1:2" ht="14.4">
      <c r="A4214" s="13"/>
      <c r="B4214" s="13"/>
    </row>
    <row r="4215" spans="1:2" ht="14.4">
      <c r="A4215" s="13"/>
      <c r="B4215" s="13"/>
    </row>
    <row r="4216" spans="1:2" ht="14.4">
      <c r="A4216" s="13"/>
      <c r="B4216" s="13"/>
    </row>
    <row r="4217" spans="1:2" ht="14.4">
      <c r="A4217" s="13"/>
      <c r="B4217" s="13"/>
    </row>
    <row r="4218" spans="1:2" ht="14.4">
      <c r="A4218" s="13"/>
      <c r="B4218" s="13"/>
    </row>
    <row r="4219" spans="1:2" ht="14.4">
      <c r="A4219" s="13"/>
      <c r="B4219" s="13"/>
    </row>
    <row r="4220" spans="1:2" ht="14.4">
      <c r="A4220" s="13"/>
      <c r="B4220" s="13"/>
    </row>
    <row r="4221" spans="1:2" ht="14.4">
      <c r="A4221" s="13"/>
      <c r="B4221" s="13"/>
    </row>
    <row r="4222" spans="1:2" ht="14.4">
      <c r="A4222" s="13"/>
      <c r="B4222" s="13"/>
    </row>
    <row r="4223" spans="1:2" ht="14.4">
      <c r="A4223" s="13"/>
      <c r="B4223" s="13"/>
    </row>
    <row r="4224" spans="1:2" ht="14.4">
      <c r="A4224" s="13"/>
      <c r="B4224" s="13"/>
    </row>
    <row r="4225" spans="1:2" ht="14.4">
      <c r="A4225" s="13"/>
      <c r="B4225" s="13"/>
    </row>
    <row r="4226" spans="1:2" ht="14.4">
      <c r="A4226" s="13"/>
      <c r="B4226" s="13"/>
    </row>
    <row r="4227" spans="1:2" ht="14.4">
      <c r="A4227" s="13"/>
      <c r="B4227" s="13"/>
    </row>
    <row r="4228" spans="1:2" ht="14.4">
      <c r="A4228" s="13"/>
      <c r="B4228" s="13"/>
    </row>
    <row r="4229" spans="1:2" ht="14.4">
      <c r="A4229" s="13"/>
      <c r="B4229" s="13"/>
    </row>
    <row r="4230" spans="1:2" ht="14.4">
      <c r="A4230" s="13"/>
      <c r="B4230" s="13"/>
    </row>
    <row r="4231" spans="1:2" ht="14.4">
      <c r="A4231" s="13"/>
      <c r="B4231" s="13"/>
    </row>
    <row r="4232" spans="1:2" ht="14.4">
      <c r="A4232" s="13"/>
      <c r="B4232" s="13"/>
    </row>
    <row r="4233" spans="1:2" ht="14.4">
      <c r="A4233" s="13"/>
      <c r="B4233" s="13"/>
    </row>
    <row r="4234" spans="1:2" ht="14.4">
      <c r="A4234" s="13"/>
      <c r="B4234" s="13"/>
    </row>
    <row r="4235" spans="1:2" ht="14.4">
      <c r="A4235" s="13"/>
      <c r="B4235" s="13"/>
    </row>
    <row r="4236" spans="1:2" ht="14.4">
      <c r="A4236" s="13"/>
      <c r="B4236" s="13"/>
    </row>
    <row r="4237" spans="1:2" ht="14.4">
      <c r="A4237" s="13"/>
      <c r="B4237" s="13"/>
    </row>
    <row r="4238" spans="1:2" ht="14.4">
      <c r="A4238" s="13"/>
      <c r="B4238" s="13"/>
    </row>
    <row r="4239" spans="1:2" ht="14.4">
      <c r="A4239" s="13"/>
      <c r="B4239" s="13"/>
    </row>
    <row r="4240" spans="1:2" ht="14.4">
      <c r="A4240" s="13"/>
      <c r="B4240" s="13"/>
    </row>
    <row r="4241" spans="1:2" ht="14.4">
      <c r="A4241" s="13"/>
      <c r="B4241" s="13"/>
    </row>
    <row r="4242" spans="1:2" ht="14.4">
      <c r="A4242" s="13"/>
      <c r="B4242" s="13"/>
    </row>
    <row r="4243" spans="1:2" ht="14.4">
      <c r="A4243" s="13"/>
      <c r="B4243" s="13"/>
    </row>
    <row r="4244" spans="1:2" ht="14.4">
      <c r="A4244" s="13"/>
      <c r="B4244" s="13"/>
    </row>
    <row r="4245" spans="1:2" ht="14.4">
      <c r="A4245" s="13"/>
      <c r="B4245" s="13"/>
    </row>
    <row r="4246" spans="1:2" ht="14.4">
      <c r="A4246" s="13"/>
      <c r="B4246" s="13"/>
    </row>
    <row r="4247" spans="1:2" ht="14.4">
      <c r="A4247" s="13"/>
      <c r="B4247" s="13"/>
    </row>
    <row r="4248" spans="1:2" ht="14.4">
      <c r="A4248" s="13"/>
      <c r="B4248" s="13"/>
    </row>
    <row r="4249" spans="1:2" ht="14.4">
      <c r="A4249" s="13"/>
      <c r="B4249" s="13"/>
    </row>
    <row r="4250" spans="1:2" ht="14.4">
      <c r="A4250" s="13"/>
      <c r="B4250" s="13"/>
    </row>
    <row r="4251" spans="1:2" ht="14.4">
      <c r="A4251" s="13"/>
      <c r="B4251" s="13"/>
    </row>
    <row r="4252" spans="1:2" ht="14.4">
      <c r="A4252" s="13"/>
      <c r="B4252" s="13"/>
    </row>
    <row r="4253" spans="1:2" ht="14.4">
      <c r="A4253" s="13"/>
      <c r="B4253" s="13"/>
    </row>
    <row r="4254" spans="1:2" ht="14.4">
      <c r="A4254" s="13"/>
      <c r="B4254" s="13"/>
    </row>
    <row r="4255" spans="1:2" ht="14.4">
      <c r="A4255" s="13"/>
      <c r="B4255" s="13"/>
    </row>
    <row r="4256" spans="1:2" ht="14.4">
      <c r="A4256" s="13"/>
      <c r="B4256" s="13"/>
    </row>
    <row r="4257" spans="1:2" ht="14.4">
      <c r="A4257" s="13"/>
      <c r="B4257" s="13"/>
    </row>
    <row r="4258" spans="1:2" ht="14.4">
      <c r="A4258" s="13"/>
      <c r="B4258" s="13"/>
    </row>
    <row r="4259" spans="1:2" ht="14.4">
      <c r="A4259" s="13"/>
      <c r="B4259" s="13"/>
    </row>
    <row r="4260" spans="1:2" ht="14.4">
      <c r="A4260" s="13"/>
      <c r="B4260" s="13"/>
    </row>
    <row r="4261" spans="1:2" ht="14.4">
      <c r="A4261" s="13"/>
      <c r="B4261" s="13"/>
    </row>
    <row r="4262" spans="1:2" ht="14.4">
      <c r="A4262" s="13"/>
      <c r="B4262" s="13"/>
    </row>
    <row r="4263" spans="1:2" ht="14.4">
      <c r="A4263" s="13"/>
      <c r="B4263" s="13"/>
    </row>
    <row r="4264" spans="1:2" ht="14.4">
      <c r="A4264" s="13"/>
      <c r="B4264" s="13"/>
    </row>
    <row r="4265" spans="1:2" ht="14.4">
      <c r="A4265" s="13"/>
      <c r="B4265" s="13"/>
    </row>
    <row r="4266" spans="1:2" ht="14.4">
      <c r="A4266" s="13"/>
      <c r="B4266" s="13"/>
    </row>
    <row r="4267" spans="1:2" ht="14.4">
      <c r="A4267" s="13"/>
      <c r="B4267" s="13"/>
    </row>
    <row r="4268" spans="1:2" ht="14.4">
      <c r="A4268" s="13"/>
      <c r="B4268" s="13"/>
    </row>
    <row r="4269" spans="1:2" ht="14.4">
      <c r="A4269" s="13"/>
      <c r="B4269" s="13"/>
    </row>
    <row r="4270" spans="1:2" ht="14.4">
      <c r="A4270" s="13"/>
      <c r="B4270" s="13"/>
    </row>
    <row r="4271" spans="1:2" ht="14.4">
      <c r="A4271" s="13"/>
      <c r="B4271" s="13"/>
    </row>
    <row r="4272" spans="1:2" ht="14.4">
      <c r="A4272" s="13"/>
      <c r="B4272" s="13"/>
    </row>
    <row r="4273" spans="1:2" ht="14.4">
      <c r="A4273" s="13"/>
      <c r="B4273" s="13"/>
    </row>
    <row r="4274" spans="1:2" ht="14.4">
      <c r="A4274" s="13"/>
      <c r="B4274" s="13"/>
    </row>
    <row r="4275" spans="1:2" ht="14.4">
      <c r="A4275" s="13"/>
      <c r="B4275" s="13"/>
    </row>
    <row r="4276" spans="1:2" ht="14.4">
      <c r="A4276" s="13"/>
      <c r="B4276" s="13"/>
    </row>
    <row r="4277" spans="1:2" ht="14.4">
      <c r="A4277" s="13"/>
      <c r="B4277" s="13"/>
    </row>
    <row r="4278" spans="1:2" ht="14.4">
      <c r="A4278" s="13"/>
      <c r="B4278" s="13"/>
    </row>
    <row r="4279" spans="1:2" ht="14.4">
      <c r="A4279" s="13"/>
      <c r="B4279" s="13"/>
    </row>
    <row r="4280" spans="1:2" ht="14.4">
      <c r="A4280" s="13"/>
      <c r="B4280" s="13"/>
    </row>
    <row r="4281" spans="1:2" ht="14.4">
      <c r="A4281" s="13"/>
      <c r="B4281" s="13"/>
    </row>
    <row r="4282" spans="1:2" ht="14.4">
      <c r="A4282" s="13"/>
      <c r="B4282" s="13"/>
    </row>
    <row r="4283" spans="1:2" ht="14.4">
      <c r="A4283" s="13"/>
      <c r="B4283" s="13"/>
    </row>
    <row r="4284" spans="1:2" ht="14.4">
      <c r="A4284" s="13"/>
      <c r="B4284" s="13"/>
    </row>
    <row r="4285" spans="1:2" ht="14.4">
      <c r="A4285" s="13"/>
      <c r="B4285" s="13"/>
    </row>
    <row r="4286" spans="1:2" ht="14.4">
      <c r="A4286" s="13"/>
      <c r="B4286" s="13"/>
    </row>
    <row r="4287" spans="1:2" ht="14.4">
      <c r="A4287" s="13"/>
      <c r="B4287" s="13"/>
    </row>
    <row r="4288" spans="1:2" ht="14.4">
      <c r="A4288" s="13"/>
      <c r="B4288" s="13"/>
    </row>
    <row r="4289" spans="1:2" ht="14.4">
      <c r="A4289" s="13"/>
      <c r="B4289" s="13"/>
    </row>
    <row r="4290" spans="1:2" ht="14.4">
      <c r="A4290" s="13"/>
      <c r="B4290" s="13"/>
    </row>
    <row r="4291" spans="1:2" ht="14.4">
      <c r="A4291" s="13"/>
      <c r="B4291" s="13"/>
    </row>
    <row r="4292" spans="1:2" ht="14.4">
      <c r="A4292" s="13"/>
      <c r="B4292" s="13"/>
    </row>
    <row r="4293" spans="1:2" ht="14.4">
      <c r="A4293" s="13"/>
      <c r="B4293" s="13"/>
    </row>
    <row r="4294" spans="1:2" ht="14.4">
      <c r="A4294" s="13"/>
      <c r="B4294" s="13"/>
    </row>
    <row r="4295" spans="1:2" ht="14.4">
      <c r="A4295" s="13"/>
      <c r="B4295" s="13"/>
    </row>
    <row r="4296" spans="1:2" ht="14.4">
      <c r="A4296" s="13"/>
      <c r="B4296" s="13"/>
    </row>
    <row r="4297" spans="1:2" ht="14.4">
      <c r="A4297" s="13"/>
      <c r="B4297" s="13"/>
    </row>
    <row r="4298" spans="1:2" ht="14.4">
      <c r="A4298" s="13"/>
      <c r="B4298" s="13"/>
    </row>
    <row r="4299" spans="1:2" ht="14.4">
      <c r="A4299" s="13"/>
      <c r="B4299" s="13"/>
    </row>
    <row r="4300" spans="1:2" ht="14.4">
      <c r="A4300" s="13"/>
      <c r="B4300" s="13"/>
    </row>
    <row r="4301" spans="1:2" ht="14.4">
      <c r="A4301" s="13"/>
      <c r="B4301" s="13"/>
    </row>
    <row r="4302" spans="1:2" ht="14.4">
      <c r="A4302" s="13"/>
      <c r="B4302" s="13"/>
    </row>
    <row r="4303" spans="1:2" ht="14.4">
      <c r="A4303" s="13"/>
      <c r="B4303" s="13"/>
    </row>
    <row r="4304" spans="1:2" ht="14.4">
      <c r="A4304" s="13"/>
      <c r="B4304" s="13"/>
    </row>
    <row r="4305" spans="1:2" ht="14.4">
      <c r="A4305" s="13"/>
      <c r="B4305" s="13"/>
    </row>
    <row r="4306" spans="1:2" ht="14.4">
      <c r="A4306" s="13"/>
      <c r="B4306" s="13"/>
    </row>
    <row r="4307" spans="1:2" ht="14.4">
      <c r="A4307" s="13"/>
      <c r="B4307" s="13"/>
    </row>
    <row r="4308" spans="1:2" ht="14.4">
      <c r="A4308" s="13"/>
      <c r="B4308" s="13"/>
    </row>
    <row r="4309" spans="1:2" ht="14.4">
      <c r="A4309" s="13"/>
      <c r="B4309" s="13"/>
    </row>
    <row r="4310" spans="1:2" ht="14.4">
      <c r="A4310" s="13"/>
      <c r="B4310" s="13"/>
    </row>
    <row r="4311" spans="1:2" ht="14.4">
      <c r="A4311" s="13"/>
      <c r="B4311" s="13"/>
    </row>
    <row r="4312" spans="1:2" ht="14.4">
      <c r="A4312" s="13"/>
      <c r="B4312" s="13"/>
    </row>
    <row r="4313" spans="1:2" ht="14.4">
      <c r="A4313" s="13"/>
      <c r="B4313" s="13"/>
    </row>
    <row r="4314" spans="1:2" ht="14.4">
      <c r="A4314" s="13"/>
      <c r="B4314" s="13"/>
    </row>
    <row r="4315" spans="1:2" ht="14.4">
      <c r="A4315" s="13"/>
      <c r="B4315" s="13"/>
    </row>
    <row r="4316" spans="1:2" ht="14.4">
      <c r="A4316" s="13"/>
      <c r="B4316" s="13"/>
    </row>
    <row r="4317" spans="1:2" ht="14.4">
      <c r="A4317" s="13"/>
      <c r="B4317" s="13"/>
    </row>
    <row r="4318" spans="1:2" ht="14.4">
      <c r="A4318" s="13"/>
      <c r="B4318" s="13"/>
    </row>
    <row r="4319" spans="1:2" ht="14.4">
      <c r="A4319" s="13"/>
      <c r="B4319" s="13"/>
    </row>
    <row r="4320" spans="1:2" ht="14.4">
      <c r="A4320" s="13"/>
      <c r="B4320" s="13"/>
    </row>
    <row r="4321" spans="1:2" ht="14.4">
      <c r="A4321" s="13"/>
      <c r="B4321" s="13"/>
    </row>
    <row r="4322" spans="1:2" ht="14.4">
      <c r="A4322" s="13"/>
      <c r="B4322" s="13"/>
    </row>
    <row r="4323" spans="1:2" ht="14.4">
      <c r="A4323" s="13"/>
      <c r="B4323" s="13"/>
    </row>
    <row r="4324" spans="1:2" ht="14.4">
      <c r="A4324" s="13"/>
      <c r="B4324" s="13"/>
    </row>
    <row r="4325" spans="1:2" ht="14.4">
      <c r="A4325" s="13"/>
      <c r="B4325" s="13"/>
    </row>
    <row r="4326" spans="1:2" ht="14.4">
      <c r="A4326" s="13"/>
      <c r="B4326" s="13"/>
    </row>
    <row r="4327" spans="1:2" ht="14.4">
      <c r="A4327" s="13"/>
      <c r="B4327" s="13"/>
    </row>
    <row r="4328" spans="1:2" ht="14.4">
      <c r="A4328" s="13"/>
      <c r="B4328" s="13"/>
    </row>
    <row r="4329" spans="1:2" ht="14.4">
      <c r="A4329" s="13"/>
      <c r="B4329" s="13"/>
    </row>
    <row r="4330" spans="1:2" ht="14.4">
      <c r="A4330" s="13"/>
      <c r="B4330" s="13"/>
    </row>
    <row r="4331" spans="1:2" ht="14.4">
      <c r="A4331" s="13"/>
      <c r="B4331" s="13"/>
    </row>
    <row r="4332" spans="1:2" ht="14.4">
      <c r="A4332" s="13"/>
      <c r="B4332" s="13"/>
    </row>
    <row r="4333" spans="1:2" ht="14.4">
      <c r="A4333" s="13"/>
      <c r="B4333" s="13"/>
    </row>
    <row r="4334" spans="1:2" ht="14.4">
      <c r="A4334" s="13"/>
      <c r="B4334" s="13"/>
    </row>
    <row r="4335" spans="1:2" ht="14.4">
      <c r="A4335" s="13"/>
      <c r="B4335" s="13"/>
    </row>
    <row r="4336" spans="1:2" ht="14.4">
      <c r="A4336" s="13"/>
      <c r="B4336" s="13"/>
    </row>
    <row r="4337" spans="1:2" ht="14.4">
      <c r="A4337" s="13"/>
      <c r="B4337" s="13"/>
    </row>
    <row r="4338" spans="1:2" ht="14.4">
      <c r="A4338" s="13"/>
      <c r="B4338" s="13"/>
    </row>
    <row r="4339" spans="1:2" ht="14.4">
      <c r="A4339" s="13"/>
      <c r="B4339" s="13"/>
    </row>
    <row r="4340" spans="1:2" ht="14.4">
      <c r="A4340" s="13"/>
      <c r="B4340" s="13"/>
    </row>
    <row r="4341" spans="1:2" ht="14.4">
      <c r="A4341" s="13"/>
      <c r="B4341" s="13"/>
    </row>
    <row r="4342" spans="1:2" ht="14.4">
      <c r="A4342" s="13"/>
      <c r="B4342" s="13"/>
    </row>
    <row r="4343" spans="1:2" ht="14.4">
      <c r="A4343" s="13"/>
      <c r="B4343" s="13"/>
    </row>
    <row r="4344" spans="1:2" ht="14.4">
      <c r="A4344" s="13"/>
      <c r="B4344" s="13"/>
    </row>
    <row r="4345" spans="1:2" ht="14.4">
      <c r="A4345" s="13"/>
      <c r="B4345" s="13"/>
    </row>
    <row r="4346" spans="1:2" ht="14.4">
      <c r="A4346" s="13"/>
      <c r="B4346" s="13"/>
    </row>
    <row r="4347" spans="1:2" ht="14.4">
      <c r="A4347" s="13"/>
      <c r="B4347" s="13"/>
    </row>
    <row r="4348" spans="1:2" ht="14.4">
      <c r="A4348" s="13"/>
      <c r="B4348" s="13"/>
    </row>
    <row r="4349" spans="1:2" ht="14.4">
      <c r="A4349" s="13"/>
      <c r="B4349" s="13"/>
    </row>
    <row r="4350" spans="1:2" ht="14.4">
      <c r="A4350" s="13"/>
      <c r="B4350" s="13"/>
    </row>
    <row r="4351" spans="1:2" ht="14.4">
      <c r="A4351" s="13"/>
      <c r="B4351" s="13"/>
    </row>
    <row r="4352" spans="1:2" ht="14.4">
      <c r="A4352" s="13"/>
      <c r="B4352" s="13"/>
    </row>
    <row r="4353" spans="1:2" ht="14.4">
      <c r="A4353" s="13"/>
      <c r="B4353" s="13"/>
    </row>
    <row r="4354" spans="1:2" ht="14.4">
      <c r="A4354" s="13"/>
      <c r="B4354" s="13"/>
    </row>
    <row r="4355" spans="1:2" ht="14.4">
      <c r="A4355" s="13"/>
      <c r="B4355" s="13"/>
    </row>
    <row r="4356" spans="1:2" ht="14.4">
      <c r="A4356" s="13"/>
      <c r="B4356" s="13"/>
    </row>
    <row r="4357" spans="1:2" ht="14.4">
      <c r="A4357" s="13"/>
      <c r="B4357" s="13"/>
    </row>
    <row r="4358" spans="1:2" ht="14.4">
      <c r="A4358" s="13"/>
      <c r="B4358" s="13"/>
    </row>
    <row r="4359" spans="1:2" ht="14.4">
      <c r="A4359" s="13"/>
      <c r="B4359" s="13"/>
    </row>
    <row r="4360" spans="1:2" ht="14.4">
      <c r="A4360" s="13"/>
      <c r="B4360" s="13"/>
    </row>
    <row r="4361" spans="1:2" ht="14.4">
      <c r="A4361" s="13"/>
      <c r="B4361" s="13"/>
    </row>
    <row r="4362" spans="1:2" ht="14.4">
      <c r="A4362" s="13"/>
      <c r="B4362" s="13"/>
    </row>
    <row r="4363" spans="1:2" ht="14.4">
      <c r="A4363" s="13"/>
      <c r="B4363" s="13"/>
    </row>
    <row r="4364" spans="1:2" ht="14.4">
      <c r="A4364" s="13"/>
      <c r="B4364" s="13"/>
    </row>
    <row r="4365" spans="1:2" ht="14.4">
      <c r="A4365" s="13"/>
      <c r="B4365" s="13"/>
    </row>
    <row r="4366" spans="1:2" ht="14.4">
      <c r="A4366" s="13"/>
      <c r="B4366" s="13"/>
    </row>
    <row r="4367" spans="1:2" ht="14.4">
      <c r="A4367" s="13"/>
      <c r="B4367" s="13"/>
    </row>
    <row r="4368" spans="1:2" ht="14.4">
      <c r="A4368" s="13"/>
      <c r="B4368" s="13"/>
    </row>
    <row r="4369" spans="1:2" ht="14.4">
      <c r="A4369" s="13"/>
      <c r="B4369" s="13"/>
    </row>
    <row r="4370" spans="1:2" ht="14.4">
      <c r="A4370" s="13"/>
      <c r="B4370" s="13"/>
    </row>
    <row r="4371" spans="1:2" ht="14.4">
      <c r="A4371" s="13"/>
      <c r="B4371" s="13"/>
    </row>
    <row r="4372" spans="1:2" ht="14.4">
      <c r="A4372" s="13"/>
      <c r="B4372" s="13"/>
    </row>
    <row r="4373" spans="1:2" ht="14.4">
      <c r="A4373" s="13"/>
      <c r="B4373" s="13"/>
    </row>
    <row r="4374" spans="1:2" ht="14.4">
      <c r="A4374" s="13"/>
      <c r="B4374" s="13"/>
    </row>
    <row r="4375" spans="1:2" ht="14.4">
      <c r="A4375" s="13"/>
      <c r="B4375" s="13"/>
    </row>
    <row r="4376" spans="1:2" ht="14.4">
      <c r="A4376" s="13"/>
      <c r="B4376" s="13"/>
    </row>
    <row r="4377" spans="1:2" ht="14.4">
      <c r="A4377" s="13"/>
      <c r="B4377" s="13"/>
    </row>
    <row r="4378" spans="1:2" ht="14.4">
      <c r="A4378" s="13"/>
      <c r="B4378" s="13"/>
    </row>
    <row r="4379" spans="1:2" ht="14.4">
      <c r="A4379" s="13"/>
      <c r="B4379" s="13"/>
    </row>
    <row r="4380" spans="1:2" ht="14.4">
      <c r="A4380" s="13"/>
      <c r="B4380" s="13"/>
    </row>
    <row r="4381" spans="1:2" ht="14.4">
      <c r="A4381" s="13"/>
      <c r="B4381" s="13"/>
    </row>
    <row r="4382" spans="1:2" ht="14.4">
      <c r="A4382" s="13"/>
      <c r="B4382" s="13"/>
    </row>
    <row r="4383" spans="1:2" ht="14.4">
      <c r="A4383" s="13"/>
      <c r="B4383" s="13"/>
    </row>
    <row r="4384" spans="1:2" ht="14.4">
      <c r="A4384" s="13"/>
      <c r="B4384" s="13"/>
    </row>
    <row r="4385" spans="1:2" ht="14.4">
      <c r="A4385" s="13"/>
      <c r="B4385" s="13"/>
    </row>
    <row r="4386" spans="1:2" ht="14.4">
      <c r="A4386" s="13"/>
      <c r="B4386" s="13"/>
    </row>
    <row r="4387" spans="1:2" ht="14.4">
      <c r="A4387" s="13"/>
      <c r="B4387" s="13"/>
    </row>
    <row r="4388" spans="1:2" ht="14.4">
      <c r="A4388" s="13"/>
      <c r="B4388" s="13"/>
    </row>
    <row r="4389" spans="1:2" ht="14.4">
      <c r="A4389" s="13"/>
      <c r="B4389" s="13"/>
    </row>
    <row r="4390" spans="1:2" ht="14.4">
      <c r="A4390" s="13"/>
      <c r="B4390" s="13"/>
    </row>
    <row r="4391" spans="1:2" ht="14.4">
      <c r="A4391" s="13"/>
      <c r="B4391" s="13"/>
    </row>
    <row r="4392" spans="1:2" ht="14.4">
      <c r="A4392" s="13"/>
      <c r="B4392" s="13"/>
    </row>
    <row r="4393" spans="1:2" ht="14.4">
      <c r="A4393" s="13"/>
      <c r="B4393" s="13"/>
    </row>
    <row r="4394" spans="1:2" ht="14.4">
      <c r="A4394" s="13"/>
      <c r="B4394" s="13"/>
    </row>
    <row r="4395" spans="1:2" ht="14.4">
      <c r="A4395" s="13"/>
      <c r="B4395" s="13"/>
    </row>
    <row r="4396" spans="1:2" ht="14.4">
      <c r="A4396" s="13"/>
      <c r="B4396" s="13"/>
    </row>
    <row r="4397" spans="1:2" ht="14.4">
      <c r="A4397" s="13"/>
      <c r="B4397" s="13"/>
    </row>
    <row r="4398" spans="1:2" ht="14.4">
      <c r="A4398" s="13"/>
      <c r="B4398" s="13"/>
    </row>
    <row r="4399" spans="1:2" ht="14.4">
      <c r="A4399" s="13"/>
      <c r="B4399" s="13"/>
    </row>
    <row r="4400" spans="1:2" ht="14.4">
      <c r="A4400" s="13"/>
      <c r="B4400" s="13"/>
    </row>
    <row r="4401" spans="1:2" ht="14.4">
      <c r="A4401" s="13"/>
      <c r="B4401" s="13"/>
    </row>
    <row r="4402" spans="1:2" ht="14.4">
      <c r="A4402" s="13"/>
      <c r="B4402" s="13"/>
    </row>
    <row r="4403" spans="1:2" ht="14.4">
      <c r="A4403" s="13"/>
      <c r="B4403" s="13"/>
    </row>
    <row r="4404" spans="1:2" ht="14.4">
      <c r="A4404" s="13"/>
      <c r="B4404" s="13"/>
    </row>
    <row r="4405" spans="1:2" ht="14.4">
      <c r="A4405" s="13"/>
      <c r="B4405" s="13"/>
    </row>
    <row r="4406" spans="1:2" ht="14.4">
      <c r="A4406" s="13"/>
      <c r="B4406" s="13"/>
    </row>
    <row r="4407" spans="1:2" ht="14.4">
      <c r="A4407" s="13"/>
      <c r="B4407" s="13"/>
    </row>
    <row r="4408" spans="1:2" ht="14.4">
      <c r="A4408" s="13"/>
      <c r="B4408" s="13"/>
    </row>
    <row r="4409" spans="1:2" ht="14.4">
      <c r="A4409" s="13"/>
      <c r="B4409" s="13"/>
    </row>
    <row r="4410" spans="1:2" ht="14.4">
      <c r="A4410" s="13"/>
      <c r="B4410" s="13"/>
    </row>
    <row r="4411" spans="1:2" ht="14.4">
      <c r="A4411" s="13"/>
      <c r="B4411" s="13"/>
    </row>
    <row r="4412" spans="1:2" ht="14.4">
      <c r="A4412" s="13"/>
      <c r="B4412" s="13"/>
    </row>
    <row r="4413" spans="1:2" ht="14.4">
      <c r="A4413" s="13"/>
      <c r="B4413" s="13"/>
    </row>
    <row r="4414" spans="1:2" ht="14.4">
      <c r="A4414" s="13"/>
      <c r="B4414" s="13"/>
    </row>
    <row r="4415" spans="1:2" ht="14.4">
      <c r="A4415" s="13"/>
      <c r="B4415" s="13"/>
    </row>
    <row r="4416" spans="1:2" ht="14.4">
      <c r="A4416" s="13"/>
      <c r="B4416" s="13"/>
    </row>
    <row r="4417" spans="1:2" ht="14.4">
      <c r="A4417" s="13"/>
      <c r="B4417" s="13"/>
    </row>
    <row r="4418" spans="1:2" ht="14.4">
      <c r="A4418" s="13"/>
      <c r="B4418" s="13"/>
    </row>
    <row r="4419" spans="1:2" ht="14.4">
      <c r="A4419" s="13"/>
      <c r="B4419" s="13"/>
    </row>
    <row r="4420" spans="1:2" ht="14.4">
      <c r="A4420" s="13"/>
      <c r="B4420" s="13"/>
    </row>
    <row r="4421" spans="1:2" ht="14.4">
      <c r="A4421" s="13"/>
      <c r="B4421" s="13"/>
    </row>
    <row r="4422" spans="1:2" ht="14.4">
      <c r="A4422" s="13"/>
      <c r="B4422" s="13"/>
    </row>
    <row r="4423" spans="1:2" ht="14.4">
      <c r="A4423" s="13"/>
      <c r="B4423" s="13"/>
    </row>
    <row r="4424" spans="1:2" ht="14.4">
      <c r="A4424" s="13"/>
      <c r="B4424" s="13"/>
    </row>
    <row r="4425" spans="1:2" ht="14.4">
      <c r="A4425" s="13"/>
      <c r="B4425" s="13"/>
    </row>
    <row r="4426" spans="1:2" ht="14.4">
      <c r="A4426" s="13"/>
      <c r="B4426" s="13"/>
    </row>
    <row r="4427" spans="1:2" ht="14.4">
      <c r="A4427" s="13"/>
      <c r="B4427" s="13"/>
    </row>
    <row r="4428" spans="1:2" ht="14.4">
      <c r="A4428" s="13"/>
      <c r="B4428" s="13"/>
    </row>
    <row r="4429" spans="1:2" ht="14.4">
      <c r="A4429" s="13"/>
      <c r="B4429" s="13"/>
    </row>
    <row r="4430" spans="1:2" ht="14.4">
      <c r="A4430" s="13"/>
      <c r="B4430" s="13"/>
    </row>
    <row r="4431" spans="1:2" ht="14.4">
      <c r="A4431" s="13"/>
      <c r="B4431" s="13"/>
    </row>
    <row r="4432" spans="1:2" ht="14.4">
      <c r="A4432" s="13"/>
      <c r="B4432" s="13"/>
    </row>
    <row r="4433" spans="1:2" ht="14.4">
      <c r="A4433" s="13"/>
      <c r="B4433" s="13"/>
    </row>
    <row r="4434" spans="1:2" ht="14.4">
      <c r="A4434" s="13"/>
      <c r="B4434" s="13"/>
    </row>
    <row r="4435" spans="1:2" ht="14.4">
      <c r="A4435" s="13"/>
      <c r="B4435" s="13"/>
    </row>
    <row r="4436" spans="1:2" ht="14.4">
      <c r="A4436" s="13"/>
      <c r="B4436" s="13"/>
    </row>
    <row r="4437" spans="1:2" ht="14.4">
      <c r="A4437" s="13"/>
      <c r="B4437" s="13"/>
    </row>
    <row r="4438" spans="1:2" ht="14.4">
      <c r="A4438" s="13"/>
      <c r="B4438" s="13"/>
    </row>
    <row r="4439" spans="1:2" ht="14.4">
      <c r="A4439" s="13"/>
      <c r="B4439" s="13"/>
    </row>
    <row r="4440" spans="1:2" ht="14.4">
      <c r="A4440" s="13"/>
      <c r="B4440" s="13"/>
    </row>
    <row r="4441" spans="1:2" ht="14.4">
      <c r="A4441" s="13"/>
      <c r="B4441" s="13"/>
    </row>
    <row r="4442" spans="1:2" ht="14.4">
      <c r="A4442" s="13"/>
      <c r="B4442" s="13"/>
    </row>
    <row r="4443" spans="1:2" ht="14.4">
      <c r="A4443" s="13"/>
      <c r="B4443" s="13"/>
    </row>
    <row r="4444" spans="1:2" ht="14.4">
      <c r="A4444" s="13"/>
      <c r="B4444" s="13"/>
    </row>
    <row r="4445" spans="1:2" ht="14.4">
      <c r="A4445" s="13"/>
      <c r="B4445" s="13"/>
    </row>
    <row r="4446" spans="1:2" ht="14.4">
      <c r="A4446" s="13"/>
      <c r="B4446" s="13"/>
    </row>
    <row r="4447" spans="1:2" ht="14.4">
      <c r="A4447" s="13"/>
      <c r="B4447" s="13"/>
    </row>
    <row r="4448" spans="1:2" ht="14.4">
      <c r="A4448" s="13"/>
      <c r="B4448" s="13"/>
    </row>
    <row r="4449" spans="1:2" ht="14.4">
      <c r="A4449" s="13"/>
      <c r="B4449" s="13"/>
    </row>
    <row r="4450" spans="1:2" ht="14.4">
      <c r="A4450" s="13"/>
      <c r="B4450" s="13"/>
    </row>
    <row r="4451" spans="1:2" ht="14.4">
      <c r="A4451" s="13"/>
      <c r="B4451" s="13"/>
    </row>
    <row r="4452" spans="1:2" ht="14.4">
      <c r="A4452" s="13"/>
      <c r="B4452" s="13"/>
    </row>
    <row r="4453" spans="1:2" ht="14.4">
      <c r="A4453" s="13"/>
      <c r="B4453" s="13"/>
    </row>
    <row r="4454" spans="1:2" ht="14.4">
      <c r="A4454" s="13"/>
      <c r="B4454" s="13"/>
    </row>
    <row r="4455" spans="1:2" ht="14.4">
      <c r="A4455" s="13"/>
      <c r="B4455" s="13"/>
    </row>
    <row r="4456" spans="1:2" ht="14.4">
      <c r="A4456" s="13"/>
      <c r="B4456" s="13"/>
    </row>
    <row r="4457" spans="1:2" ht="14.4">
      <c r="A4457" s="13"/>
      <c r="B4457" s="13"/>
    </row>
    <row r="4458" spans="1:2" ht="14.4">
      <c r="A4458" s="13"/>
      <c r="B4458" s="13"/>
    </row>
    <row r="4459" spans="1:2" ht="14.4">
      <c r="A4459" s="13"/>
      <c r="B4459" s="13"/>
    </row>
    <row r="4460" spans="1:2" ht="14.4">
      <c r="A4460" s="13"/>
      <c r="B4460" s="13"/>
    </row>
    <row r="4461" spans="1:2" ht="14.4">
      <c r="A4461" s="13"/>
      <c r="B4461" s="13"/>
    </row>
    <row r="4462" spans="1:2" ht="14.4">
      <c r="A4462" s="13"/>
      <c r="B4462" s="13"/>
    </row>
    <row r="4463" spans="1:2" ht="14.4">
      <c r="A4463" s="13"/>
      <c r="B4463" s="13"/>
    </row>
    <row r="4464" spans="1:2" ht="14.4">
      <c r="A4464" s="13"/>
      <c r="B4464" s="13"/>
    </row>
    <row r="4465" spans="1:2" ht="14.4">
      <c r="A4465" s="13"/>
      <c r="B4465" s="13"/>
    </row>
    <row r="4466" spans="1:2" ht="14.4">
      <c r="A4466" s="13"/>
      <c r="B4466" s="13"/>
    </row>
    <row r="4467" spans="1:2" ht="14.4">
      <c r="A4467" s="13"/>
      <c r="B4467" s="13"/>
    </row>
    <row r="4468" spans="1:2" ht="14.4">
      <c r="A4468" s="13"/>
      <c r="B4468" s="13"/>
    </row>
    <row r="4469" spans="1:2" ht="14.4">
      <c r="A4469" s="13"/>
      <c r="B4469" s="13"/>
    </row>
    <row r="4470" spans="1:2" ht="14.4">
      <c r="A4470" s="13"/>
      <c r="B4470" s="13"/>
    </row>
    <row r="4471" spans="1:2" ht="14.4">
      <c r="A4471" s="13"/>
      <c r="B4471" s="13"/>
    </row>
    <row r="4472" spans="1:2" ht="14.4">
      <c r="A4472" s="13"/>
      <c r="B4472" s="13"/>
    </row>
    <row r="4473" spans="1:2" ht="14.4">
      <c r="A4473" s="13"/>
      <c r="B4473" s="13"/>
    </row>
    <row r="4474" spans="1:2" ht="14.4">
      <c r="A4474" s="13"/>
      <c r="B4474" s="13"/>
    </row>
    <row r="4475" spans="1:2" ht="14.4">
      <c r="A4475" s="13"/>
      <c r="B4475" s="13"/>
    </row>
    <row r="4476" spans="1:2" ht="14.4">
      <c r="A4476" s="13"/>
      <c r="B4476" s="13"/>
    </row>
    <row r="4477" spans="1:2" ht="14.4">
      <c r="A4477" s="13"/>
      <c r="B4477" s="13"/>
    </row>
    <row r="4478" spans="1:2" ht="14.4">
      <c r="A4478" s="13"/>
      <c r="B4478" s="13"/>
    </row>
    <row r="4479" spans="1:2" ht="14.4">
      <c r="A4479" s="13"/>
      <c r="B4479" s="13"/>
    </row>
    <row r="4480" spans="1:2" ht="14.4">
      <c r="A4480" s="13"/>
      <c r="B4480" s="13"/>
    </row>
    <row r="4481" spans="1:2" ht="14.4">
      <c r="A4481" s="13"/>
      <c r="B4481" s="13"/>
    </row>
    <row r="4482" spans="1:2" ht="14.4">
      <c r="A4482" s="13"/>
      <c r="B4482" s="13"/>
    </row>
    <row r="4483" spans="1:2" ht="14.4">
      <c r="A4483" s="13"/>
      <c r="B4483" s="13"/>
    </row>
    <row r="4484" spans="1:2" ht="14.4">
      <c r="A4484" s="13"/>
      <c r="B4484" s="13"/>
    </row>
    <row r="4485" spans="1:2" ht="14.4">
      <c r="A4485" s="13"/>
      <c r="B4485" s="13"/>
    </row>
    <row r="4486" spans="1:2" ht="14.4">
      <c r="A4486" s="13"/>
      <c r="B4486" s="13"/>
    </row>
    <row r="4487" spans="1:2" ht="14.4">
      <c r="A4487" s="13"/>
      <c r="B4487" s="13"/>
    </row>
    <row r="4488" spans="1:2" ht="14.4">
      <c r="A4488" s="13"/>
      <c r="B4488" s="13"/>
    </row>
    <row r="4489" spans="1:2" ht="14.4">
      <c r="A4489" s="13"/>
      <c r="B4489" s="13"/>
    </row>
    <row r="4490" spans="1:2" ht="14.4">
      <c r="A4490" s="13"/>
      <c r="B4490" s="13"/>
    </row>
    <row r="4491" spans="1:2" ht="14.4">
      <c r="A4491" s="13"/>
      <c r="B4491" s="13"/>
    </row>
    <row r="4492" spans="1:2" ht="14.4">
      <c r="A4492" s="13"/>
      <c r="B4492" s="13"/>
    </row>
    <row r="4493" spans="1:2" ht="14.4">
      <c r="A4493" s="13"/>
      <c r="B4493" s="13"/>
    </row>
    <row r="4494" spans="1:2" ht="14.4">
      <c r="A4494" s="13"/>
      <c r="B4494" s="13"/>
    </row>
    <row r="4495" spans="1:2" ht="14.4">
      <c r="A4495" s="13"/>
      <c r="B4495" s="13"/>
    </row>
    <row r="4496" spans="1:2" ht="14.4">
      <c r="A4496" s="13"/>
      <c r="B4496" s="13"/>
    </row>
    <row r="4497" spans="1:2" ht="14.4">
      <c r="A4497" s="13"/>
      <c r="B4497" s="13"/>
    </row>
    <row r="4498" spans="1:2" ht="14.4">
      <c r="A4498" s="13"/>
      <c r="B4498" s="13"/>
    </row>
    <row r="4499" spans="1:2" ht="14.4">
      <c r="A4499" s="13"/>
      <c r="B4499" s="13"/>
    </row>
    <row r="4500" spans="1:2" ht="14.4">
      <c r="A4500" s="13"/>
      <c r="B4500" s="13"/>
    </row>
    <row r="4501" spans="1:2" ht="14.4">
      <c r="A4501" s="13"/>
      <c r="B4501" s="13"/>
    </row>
    <row r="4502" spans="1:2" ht="14.4">
      <c r="A4502" s="13"/>
      <c r="B4502" s="13"/>
    </row>
    <row r="4503" spans="1:2" ht="14.4">
      <c r="A4503" s="13"/>
      <c r="B4503" s="13"/>
    </row>
    <row r="4504" spans="1:2" ht="14.4">
      <c r="A4504" s="13"/>
      <c r="B4504" s="13"/>
    </row>
    <row r="4505" spans="1:2" ht="14.4">
      <c r="A4505" s="13"/>
      <c r="B4505" s="13"/>
    </row>
    <row r="4506" spans="1:2" ht="14.4">
      <c r="A4506" s="13"/>
      <c r="B4506" s="13"/>
    </row>
    <row r="4507" spans="1:2" ht="14.4">
      <c r="A4507" s="13"/>
      <c r="B4507" s="13"/>
    </row>
    <row r="4508" spans="1:2" ht="14.4">
      <c r="A4508" s="13"/>
      <c r="B4508" s="13"/>
    </row>
    <row r="4509" spans="1:2" ht="14.4">
      <c r="A4509" s="13"/>
      <c r="B4509" s="13"/>
    </row>
    <row r="4510" spans="1:2" ht="14.4">
      <c r="A4510" s="13"/>
      <c r="B4510" s="13"/>
    </row>
    <row r="4511" spans="1:2" ht="14.4">
      <c r="A4511" s="13"/>
      <c r="B4511" s="13"/>
    </row>
    <row r="4512" spans="1:2" ht="14.4">
      <c r="A4512" s="13"/>
      <c r="B4512" s="13"/>
    </row>
    <row r="4513" spans="1:2" ht="14.4">
      <c r="A4513" s="13"/>
      <c r="B4513" s="13"/>
    </row>
    <row r="4514" spans="1:2" ht="14.4">
      <c r="A4514" s="13"/>
      <c r="B4514" s="13"/>
    </row>
    <row r="4515" spans="1:2" ht="14.4">
      <c r="A4515" s="13"/>
      <c r="B4515" s="13"/>
    </row>
    <row r="4516" spans="1:2" ht="14.4">
      <c r="A4516" s="13"/>
      <c r="B4516" s="13"/>
    </row>
    <row r="4517" spans="1:2" ht="14.4">
      <c r="A4517" s="13"/>
      <c r="B4517" s="13"/>
    </row>
    <row r="4518" spans="1:2" ht="14.4">
      <c r="A4518" s="13"/>
      <c r="B4518" s="13"/>
    </row>
    <row r="4519" spans="1:2" ht="14.4">
      <c r="A4519" s="13"/>
      <c r="B4519" s="13"/>
    </row>
    <row r="4520" spans="1:2" ht="14.4">
      <c r="A4520" s="13"/>
      <c r="B4520" s="13"/>
    </row>
    <row r="4521" spans="1:2" ht="14.4">
      <c r="A4521" s="13"/>
      <c r="B4521" s="13"/>
    </row>
    <row r="4522" spans="1:2" ht="14.4">
      <c r="A4522" s="13"/>
      <c r="B4522" s="13"/>
    </row>
    <row r="4523" spans="1:2" ht="14.4">
      <c r="A4523" s="13"/>
      <c r="B4523" s="13"/>
    </row>
    <row r="4524" spans="1:2" ht="14.4">
      <c r="A4524" s="13"/>
      <c r="B4524" s="13"/>
    </row>
    <row r="4525" spans="1:2" ht="14.4">
      <c r="A4525" s="13"/>
      <c r="B4525" s="13"/>
    </row>
    <row r="4526" spans="1:2" ht="14.4">
      <c r="A4526" s="13"/>
      <c r="B4526" s="13"/>
    </row>
    <row r="4527" spans="1:2" ht="14.4">
      <c r="A4527" s="13"/>
      <c r="B4527" s="13"/>
    </row>
    <row r="4528" spans="1:2" ht="14.4">
      <c r="A4528" s="13"/>
      <c r="B4528" s="13"/>
    </row>
    <row r="4529" spans="1:2" ht="14.4">
      <c r="A4529" s="13"/>
      <c r="B4529" s="13"/>
    </row>
    <row r="4530" spans="1:2" ht="14.4">
      <c r="A4530" s="13"/>
      <c r="B4530" s="13"/>
    </row>
    <row r="4531" spans="1:2" ht="14.4">
      <c r="A4531" s="13"/>
      <c r="B4531" s="13"/>
    </row>
    <row r="4532" spans="1:2" ht="14.4">
      <c r="A4532" s="13"/>
      <c r="B4532" s="13"/>
    </row>
    <row r="4533" spans="1:2" ht="14.4">
      <c r="A4533" s="13"/>
      <c r="B4533" s="13"/>
    </row>
    <row r="4534" spans="1:2" ht="14.4">
      <c r="A4534" s="13"/>
      <c r="B4534" s="13"/>
    </row>
    <row r="4535" spans="1:2" ht="14.4">
      <c r="A4535" s="13"/>
      <c r="B4535" s="13"/>
    </row>
    <row r="4536" spans="1:2" ht="14.4">
      <c r="A4536" s="13"/>
      <c r="B4536" s="13"/>
    </row>
    <row r="4537" spans="1:2" ht="14.4">
      <c r="A4537" s="13"/>
      <c r="B4537" s="13"/>
    </row>
    <row r="4538" spans="1:2" ht="14.4">
      <c r="A4538" s="13"/>
      <c r="B4538" s="13"/>
    </row>
    <row r="4539" spans="1:2" ht="14.4">
      <c r="A4539" s="13"/>
      <c r="B4539" s="13"/>
    </row>
    <row r="4540" spans="1:2" ht="14.4">
      <c r="A4540" s="13"/>
      <c r="B4540" s="13"/>
    </row>
    <row r="4541" spans="1:2" ht="14.4">
      <c r="A4541" s="13"/>
      <c r="B4541" s="13"/>
    </row>
    <row r="4542" spans="1:2" ht="14.4">
      <c r="A4542" s="13"/>
      <c r="B4542" s="13"/>
    </row>
    <row r="4543" spans="1:2" ht="14.4">
      <c r="A4543" s="13"/>
      <c r="B4543" s="13"/>
    </row>
    <row r="4544" spans="1:2" ht="14.4">
      <c r="A4544" s="13"/>
      <c r="B4544" s="13"/>
    </row>
    <row r="4545" spans="1:2" ht="14.4">
      <c r="A4545" s="13"/>
      <c r="B4545" s="13"/>
    </row>
    <row r="4546" spans="1:2" ht="14.4">
      <c r="A4546" s="13"/>
      <c r="B4546" s="13"/>
    </row>
    <row r="4547" spans="1:2" ht="14.4">
      <c r="A4547" s="13"/>
      <c r="B4547" s="13"/>
    </row>
    <row r="4548" spans="1:2" ht="14.4">
      <c r="A4548" s="13"/>
      <c r="B4548" s="13"/>
    </row>
    <row r="4549" spans="1:2" ht="14.4">
      <c r="A4549" s="13"/>
      <c r="B4549" s="13"/>
    </row>
    <row r="4550" spans="1:2" ht="14.4">
      <c r="A4550" s="13"/>
      <c r="B4550" s="13"/>
    </row>
    <row r="4551" spans="1:2" ht="14.4">
      <c r="A4551" s="13"/>
      <c r="B4551" s="13"/>
    </row>
    <row r="4552" spans="1:2" ht="14.4">
      <c r="A4552" s="13"/>
      <c r="B4552" s="13"/>
    </row>
    <row r="4553" spans="1:2" ht="14.4">
      <c r="A4553" s="13"/>
      <c r="B4553" s="13"/>
    </row>
    <row r="4554" spans="1:2" ht="14.4">
      <c r="A4554" s="13"/>
      <c r="B4554" s="13"/>
    </row>
    <row r="4555" spans="1:2" ht="14.4">
      <c r="A4555" s="13"/>
      <c r="B4555" s="13"/>
    </row>
    <row r="4556" spans="1:2" ht="14.4">
      <c r="A4556" s="13"/>
      <c r="B4556" s="13"/>
    </row>
    <row r="4557" spans="1:2" ht="14.4">
      <c r="A4557" s="13"/>
      <c r="B4557" s="13"/>
    </row>
    <row r="4558" spans="1:2" ht="14.4">
      <c r="A4558" s="13"/>
      <c r="B4558" s="13"/>
    </row>
    <row r="4559" spans="1:2" ht="14.4">
      <c r="A4559" s="13"/>
      <c r="B4559" s="13"/>
    </row>
    <row r="4560" spans="1:2" ht="14.4">
      <c r="A4560" s="13"/>
      <c r="B4560" s="13"/>
    </row>
    <row r="4561" spans="1:2" ht="14.4">
      <c r="A4561" s="13"/>
      <c r="B4561" s="13"/>
    </row>
    <row r="4562" spans="1:2" ht="14.4">
      <c r="A4562" s="13"/>
      <c r="B4562" s="13"/>
    </row>
    <row r="4563" spans="1:2" ht="14.4">
      <c r="A4563" s="13"/>
      <c r="B4563" s="13"/>
    </row>
    <row r="4564" spans="1:2" ht="14.4">
      <c r="A4564" s="13"/>
      <c r="B4564" s="13"/>
    </row>
    <row r="4565" spans="1:2" ht="14.4">
      <c r="A4565" s="13"/>
      <c r="B4565" s="13"/>
    </row>
    <row r="4566" spans="1:2" ht="14.4">
      <c r="A4566" s="13"/>
      <c r="B4566" s="13"/>
    </row>
    <row r="4567" spans="1:2" ht="14.4">
      <c r="A4567" s="13"/>
      <c r="B4567" s="13"/>
    </row>
    <row r="4568" spans="1:2" ht="14.4">
      <c r="A4568" s="13"/>
      <c r="B4568" s="13"/>
    </row>
    <row r="4569" spans="1:2" ht="14.4">
      <c r="A4569" s="13"/>
      <c r="B4569" s="13"/>
    </row>
    <row r="4570" spans="1:2" ht="14.4">
      <c r="A4570" s="13"/>
      <c r="B4570" s="13"/>
    </row>
    <row r="4571" spans="1:2" ht="14.4">
      <c r="A4571" s="13"/>
      <c r="B4571" s="13"/>
    </row>
    <row r="4572" spans="1:2" ht="14.4">
      <c r="A4572" s="13"/>
      <c r="B4572" s="13"/>
    </row>
    <row r="4573" spans="1:2" ht="14.4">
      <c r="A4573" s="13"/>
      <c r="B4573" s="13"/>
    </row>
    <row r="4574" spans="1:2" ht="14.4">
      <c r="A4574" s="13"/>
      <c r="B4574" s="13"/>
    </row>
    <row r="4575" spans="1:2" ht="14.4">
      <c r="A4575" s="13"/>
      <c r="B4575" s="13"/>
    </row>
    <row r="4576" spans="1:2" ht="14.4">
      <c r="A4576" s="13"/>
      <c r="B4576" s="13"/>
    </row>
    <row r="4577" spans="1:2" ht="14.4">
      <c r="A4577" s="13"/>
      <c r="B4577" s="13"/>
    </row>
    <row r="4578" spans="1:2" ht="14.4">
      <c r="A4578" s="13"/>
      <c r="B4578" s="13"/>
    </row>
    <row r="4579" spans="1:2" ht="14.4">
      <c r="A4579" s="13"/>
      <c r="B4579" s="13"/>
    </row>
    <row r="4580" spans="1:2" ht="14.4">
      <c r="A4580" s="13"/>
      <c r="B4580" s="13"/>
    </row>
    <row r="4581" spans="1:2" ht="14.4">
      <c r="A4581" s="13"/>
      <c r="B4581" s="13"/>
    </row>
    <row r="4582" spans="1:2" ht="14.4">
      <c r="A4582" s="13"/>
      <c r="B4582" s="13"/>
    </row>
    <row r="4583" spans="1:2" ht="14.4">
      <c r="A4583" s="13"/>
      <c r="B4583" s="13"/>
    </row>
    <row r="4584" spans="1:2" ht="14.4">
      <c r="A4584" s="13"/>
      <c r="B4584" s="13"/>
    </row>
    <row r="4585" spans="1:2" ht="14.4">
      <c r="A4585" s="13"/>
      <c r="B4585" s="13"/>
    </row>
    <row r="4586" spans="1:2" ht="14.4">
      <c r="A4586" s="13"/>
      <c r="B4586" s="13"/>
    </row>
    <row r="4587" spans="1:2" ht="14.4">
      <c r="A4587" s="13"/>
      <c r="B4587" s="13"/>
    </row>
    <row r="4588" spans="1:2" ht="14.4">
      <c r="A4588" s="13"/>
      <c r="B4588" s="13"/>
    </row>
    <row r="4589" spans="1:2" ht="14.4">
      <c r="A4589" s="13"/>
      <c r="B4589" s="13"/>
    </row>
    <row r="4590" spans="1:2" ht="14.4">
      <c r="A4590" s="13"/>
      <c r="B4590" s="13"/>
    </row>
    <row r="4591" spans="1:2" ht="14.4">
      <c r="A4591" s="13"/>
      <c r="B4591" s="13"/>
    </row>
    <row r="4592" spans="1:2" ht="14.4">
      <c r="A4592" s="13"/>
      <c r="B4592" s="13"/>
    </row>
    <row r="4593" spans="1:2" ht="14.4">
      <c r="A4593" s="13"/>
      <c r="B4593" s="13"/>
    </row>
    <row r="4594" spans="1:2" ht="14.4">
      <c r="A4594" s="13"/>
      <c r="B4594" s="13"/>
    </row>
    <row r="4595" spans="1:2" ht="14.4">
      <c r="A4595" s="13"/>
      <c r="B4595" s="13"/>
    </row>
    <row r="4596" spans="1:2" ht="14.4">
      <c r="A4596" s="13"/>
      <c r="B4596" s="13"/>
    </row>
    <row r="4597" spans="1:2" ht="14.4">
      <c r="A4597" s="13"/>
      <c r="B4597" s="13"/>
    </row>
    <row r="4598" spans="1:2" ht="14.4">
      <c r="A4598" s="13"/>
      <c r="B4598" s="13"/>
    </row>
    <row r="4599" spans="1:2" ht="14.4">
      <c r="A4599" s="13"/>
      <c r="B4599" s="13"/>
    </row>
    <row r="4600" spans="1:2" ht="14.4">
      <c r="A4600" s="13"/>
      <c r="B4600" s="13"/>
    </row>
    <row r="4601" spans="1:2" ht="14.4">
      <c r="A4601" s="13"/>
      <c r="B4601" s="13"/>
    </row>
    <row r="4602" spans="1:2" ht="14.4">
      <c r="A4602" s="13"/>
      <c r="B4602" s="13"/>
    </row>
    <row r="4603" spans="1:2" ht="14.4">
      <c r="A4603" s="13"/>
      <c r="B4603" s="13"/>
    </row>
    <row r="4604" spans="1:2" ht="14.4">
      <c r="A4604" s="13"/>
      <c r="B4604" s="13"/>
    </row>
    <row r="4605" spans="1:2" ht="14.4">
      <c r="A4605" s="13"/>
      <c r="B4605" s="13"/>
    </row>
    <row r="4606" spans="1:2" ht="14.4">
      <c r="A4606" s="13"/>
      <c r="B4606" s="13"/>
    </row>
    <row r="4607" spans="1:2" ht="14.4">
      <c r="A4607" s="13"/>
      <c r="B4607" s="13"/>
    </row>
    <row r="4608" spans="1:2" ht="14.4">
      <c r="A4608" s="13"/>
      <c r="B4608" s="13"/>
    </row>
    <row r="4609" spans="1:2" ht="14.4">
      <c r="A4609" s="13"/>
      <c r="B4609" s="13"/>
    </row>
    <row r="4610" spans="1:2" ht="14.4">
      <c r="A4610" s="13"/>
      <c r="B4610" s="13"/>
    </row>
    <row r="4611" spans="1:2" ht="14.4">
      <c r="A4611" s="13"/>
      <c r="B4611" s="13"/>
    </row>
    <row r="4612" spans="1:2" ht="14.4">
      <c r="A4612" s="13"/>
      <c r="B4612" s="13"/>
    </row>
    <row r="4613" spans="1:2" ht="14.4">
      <c r="A4613" s="13"/>
      <c r="B4613" s="13"/>
    </row>
    <row r="4614" spans="1:2" ht="14.4">
      <c r="A4614" s="13"/>
      <c r="B4614" s="13"/>
    </row>
    <row r="4615" spans="1:2" ht="14.4">
      <c r="A4615" s="13"/>
      <c r="B4615" s="13"/>
    </row>
    <row r="4616" spans="1:2" ht="14.4">
      <c r="A4616" s="13"/>
      <c r="B4616" s="13"/>
    </row>
    <row r="4617" spans="1:2" ht="14.4">
      <c r="A4617" s="13"/>
      <c r="B4617" s="13"/>
    </row>
    <row r="4618" spans="1:2" ht="14.4">
      <c r="A4618" s="13"/>
      <c r="B4618" s="13"/>
    </row>
    <row r="4619" spans="1:2" ht="14.4">
      <c r="A4619" s="13"/>
      <c r="B4619" s="13"/>
    </row>
    <row r="4620" spans="1:2" ht="14.4">
      <c r="A4620" s="13"/>
      <c r="B4620" s="13"/>
    </row>
    <row r="4621" spans="1:2" ht="14.4">
      <c r="A4621" s="13"/>
      <c r="B4621" s="13"/>
    </row>
    <row r="4622" spans="1:2" ht="14.4">
      <c r="A4622" s="13"/>
      <c r="B4622" s="13"/>
    </row>
    <row r="4623" spans="1:2" ht="14.4">
      <c r="A4623" s="13"/>
      <c r="B4623" s="13"/>
    </row>
    <row r="4624" spans="1:2" ht="14.4">
      <c r="A4624" s="13"/>
      <c r="B4624" s="13"/>
    </row>
    <row r="4625" spans="1:2" ht="14.4">
      <c r="A4625" s="13"/>
      <c r="B4625" s="13"/>
    </row>
    <row r="4626" spans="1:2" ht="14.4">
      <c r="A4626" s="13"/>
      <c r="B4626" s="13"/>
    </row>
    <row r="4627" spans="1:2" ht="14.4">
      <c r="A4627" s="13"/>
      <c r="B4627" s="13"/>
    </row>
    <row r="4628" spans="1:2" ht="14.4">
      <c r="A4628" s="13"/>
      <c r="B4628" s="13"/>
    </row>
    <row r="4629" spans="1:2" ht="14.4">
      <c r="A4629" s="13"/>
      <c r="B4629" s="13"/>
    </row>
    <row r="4630" spans="1:2" ht="14.4">
      <c r="A4630" s="13"/>
      <c r="B4630" s="13"/>
    </row>
    <row r="4631" spans="1:2" ht="14.4">
      <c r="A4631" s="13"/>
      <c r="B4631" s="13"/>
    </row>
    <row r="4632" spans="1:2" ht="14.4">
      <c r="A4632" s="13"/>
      <c r="B4632" s="13"/>
    </row>
    <row r="4633" spans="1:2" ht="14.4">
      <c r="A4633" s="13"/>
      <c r="B4633" s="13"/>
    </row>
    <row r="4634" spans="1:2" ht="14.4">
      <c r="A4634" s="13"/>
      <c r="B4634" s="13"/>
    </row>
    <row r="4635" spans="1:2" ht="14.4">
      <c r="A4635" s="13"/>
      <c r="B4635" s="13"/>
    </row>
    <row r="4636" spans="1:2" ht="14.4">
      <c r="A4636" s="13"/>
      <c r="B4636" s="13"/>
    </row>
    <row r="4637" spans="1:2" ht="14.4">
      <c r="A4637" s="13"/>
      <c r="B4637" s="13"/>
    </row>
    <row r="4638" spans="1:2" ht="14.4">
      <c r="A4638" s="13"/>
      <c r="B4638" s="13"/>
    </row>
    <row r="4639" spans="1:2" ht="14.4">
      <c r="A4639" s="13"/>
      <c r="B4639" s="13"/>
    </row>
    <row r="4640" spans="1:2" ht="14.4">
      <c r="A4640" s="13"/>
      <c r="B4640" s="13"/>
    </row>
    <row r="4641" spans="1:2" ht="14.4">
      <c r="A4641" s="13"/>
      <c r="B4641" s="13"/>
    </row>
    <row r="4642" spans="1:2" ht="14.4">
      <c r="A4642" s="13"/>
      <c r="B4642" s="13"/>
    </row>
    <row r="4643" spans="1:2" ht="14.4">
      <c r="A4643" s="13"/>
      <c r="B4643" s="13"/>
    </row>
    <row r="4644" spans="1:2" ht="14.4">
      <c r="A4644" s="13"/>
      <c r="B4644" s="13"/>
    </row>
    <row r="4645" spans="1:2" ht="14.4">
      <c r="A4645" s="13"/>
      <c r="B4645" s="13"/>
    </row>
    <row r="4646" spans="1:2" ht="14.4">
      <c r="A4646" s="13"/>
      <c r="B4646" s="13"/>
    </row>
    <row r="4647" spans="1:2" ht="14.4">
      <c r="A4647" s="13"/>
      <c r="B4647" s="13"/>
    </row>
    <row r="4648" spans="1:2" ht="14.4">
      <c r="A4648" s="13"/>
      <c r="B4648" s="13"/>
    </row>
    <row r="4649" spans="1:2" ht="14.4">
      <c r="A4649" s="13"/>
      <c r="B4649" s="13"/>
    </row>
    <row r="4650" spans="1:2" ht="14.4">
      <c r="A4650" s="13"/>
      <c r="B4650" s="13"/>
    </row>
    <row r="4651" spans="1:2" ht="14.4">
      <c r="A4651" s="13"/>
      <c r="B4651" s="13"/>
    </row>
    <row r="4652" spans="1:2" ht="14.4">
      <c r="A4652" s="13"/>
      <c r="B4652" s="13"/>
    </row>
    <row r="4653" spans="1:2" ht="14.4">
      <c r="A4653" s="13"/>
      <c r="B4653" s="13"/>
    </row>
    <row r="4654" spans="1:2" ht="14.4">
      <c r="A4654" s="13"/>
      <c r="B4654" s="13"/>
    </row>
    <row r="4655" spans="1:2" ht="14.4">
      <c r="A4655" s="13"/>
      <c r="B4655" s="13"/>
    </row>
    <row r="4656" spans="1:2" ht="14.4">
      <c r="A4656" s="13"/>
      <c r="B4656" s="13"/>
    </row>
    <row r="4657" spans="1:2" ht="14.4">
      <c r="A4657" s="13"/>
      <c r="B4657" s="13"/>
    </row>
    <row r="4658" spans="1:2" ht="14.4">
      <c r="A4658" s="13"/>
      <c r="B4658" s="13"/>
    </row>
    <row r="4659" spans="1:2" ht="14.4">
      <c r="A4659" s="13"/>
      <c r="B4659" s="13"/>
    </row>
    <row r="4660" spans="1:2" ht="14.4">
      <c r="A4660" s="13"/>
      <c r="B4660" s="13"/>
    </row>
    <row r="4661" spans="1:2" ht="14.4">
      <c r="A4661" s="13"/>
      <c r="B4661" s="13"/>
    </row>
    <row r="4662" spans="1:2" ht="14.4">
      <c r="A4662" s="13"/>
      <c r="B4662" s="13"/>
    </row>
    <row r="4663" spans="1:2" ht="14.4">
      <c r="A4663" s="13"/>
      <c r="B4663" s="13"/>
    </row>
    <row r="4664" spans="1:2" ht="14.4">
      <c r="A4664" s="13"/>
      <c r="B4664" s="13"/>
    </row>
    <row r="4665" spans="1:2" ht="14.4">
      <c r="A4665" s="13"/>
      <c r="B4665" s="13"/>
    </row>
    <row r="4666" spans="1:2" ht="14.4">
      <c r="A4666" s="13"/>
      <c r="B4666" s="13"/>
    </row>
    <row r="4667" spans="1:2" ht="14.4">
      <c r="A4667" s="13"/>
      <c r="B4667" s="13"/>
    </row>
    <row r="4668" spans="1:2" ht="14.4">
      <c r="A4668" s="13"/>
      <c r="B4668" s="13"/>
    </row>
    <row r="4669" spans="1:2" ht="14.4">
      <c r="A4669" s="13"/>
      <c r="B4669" s="13"/>
    </row>
    <row r="4670" spans="1:2" ht="14.4">
      <c r="A4670" s="13"/>
      <c r="B4670" s="13"/>
    </row>
    <row r="4671" spans="1:2" ht="14.4">
      <c r="A4671" s="13"/>
      <c r="B4671" s="13"/>
    </row>
    <row r="4672" spans="1:2" ht="14.4">
      <c r="A4672" s="13"/>
      <c r="B4672" s="13"/>
    </row>
    <row r="4673" spans="1:2" ht="14.4">
      <c r="A4673" s="13"/>
      <c r="B4673" s="13"/>
    </row>
    <row r="4674" spans="1:2" ht="14.4">
      <c r="A4674" s="13"/>
      <c r="B4674" s="13"/>
    </row>
    <row r="4675" spans="1:2" ht="14.4">
      <c r="A4675" s="13"/>
      <c r="B4675" s="13"/>
    </row>
    <row r="4676" spans="1:2" ht="14.4">
      <c r="A4676" s="13"/>
      <c r="B4676" s="13"/>
    </row>
    <row r="4677" spans="1:2" ht="14.4">
      <c r="A4677" s="13"/>
      <c r="B4677" s="13"/>
    </row>
    <row r="4678" spans="1:2" ht="14.4">
      <c r="A4678" s="13"/>
      <c r="B4678" s="13"/>
    </row>
    <row r="4679" spans="1:2" ht="14.4">
      <c r="A4679" s="13"/>
      <c r="B4679" s="13"/>
    </row>
    <row r="4680" spans="1:2" ht="14.4">
      <c r="A4680" s="13"/>
      <c r="B4680" s="13"/>
    </row>
    <row r="4681" spans="1:2" ht="14.4">
      <c r="A4681" s="13"/>
      <c r="B4681" s="13"/>
    </row>
    <row r="4682" spans="1:2" ht="14.4">
      <c r="A4682" s="13"/>
      <c r="B4682" s="13"/>
    </row>
    <row r="4683" spans="1:2" ht="14.4">
      <c r="A4683" s="13"/>
      <c r="B4683" s="13"/>
    </row>
    <row r="4684" spans="1:2" ht="14.4">
      <c r="A4684" s="13"/>
      <c r="B4684" s="13"/>
    </row>
    <row r="4685" spans="1:2" ht="14.4">
      <c r="A4685" s="13"/>
      <c r="B4685" s="13"/>
    </row>
    <row r="4686" spans="1:2" ht="14.4">
      <c r="A4686" s="13"/>
      <c r="B4686" s="13"/>
    </row>
    <row r="4687" spans="1:2" ht="14.4">
      <c r="A4687" s="13"/>
      <c r="B4687" s="13"/>
    </row>
    <row r="4688" spans="1:2" ht="14.4">
      <c r="A4688" s="13"/>
      <c r="B4688" s="13"/>
    </row>
    <row r="4689" spans="1:2" ht="14.4">
      <c r="A4689" s="13"/>
      <c r="B4689" s="13"/>
    </row>
    <row r="4690" spans="1:2" ht="14.4">
      <c r="A4690" s="13"/>
      <c r="B4690" s="13"/>
    </row>
    <row r="4691" spans="1:2" ht="14.4">
      <c r="A4691" s="13"/>
      <c r="B4691" s="13"/>
    </row>
    <row r="4692" spans="1:2" ht="14.4">
      <c r="A4692" s="13"/>
      <c r="B4692" s="13"/>
    </row>
    <row r="4693" spans="1:2" ht="14.4">
      <c r="A4693" s="13"/>
      <c r="B4693" s="13"/>
    </row>
    <row r="4694" spans="1:2" ht="14.4">
      <c r="A4694" s="13"/>
      <c r="B4694" s="13"/>
    </row>
    <row r="4695" spans="1:2" ht="14.4">
      <c r="A4695" s="13"/>
      <c r="B4695" s="13"/>
    </row>
    <row r="4696" spans="1:2" ht="14.4">
      <c r="A4696" s="13"/>
      <c r="B4696" s="13"/>
    </row>
    <row r="4697" spans="1:2" ht="14.4">
      <c r="A4697" s="13"/>
      <c r="B4697" s="13"/>
    </row>
    <row r="4698" spans="1:2" ht="14.4">
      <c r="A4698" s="13"/>
      <c r="B4698" s="13"/>
    </row>
    <row r="4699" spans="1:2" ht="14.4">
      <c r="A4699" s="13"/>
      <c r="B4699" s="13"/>
    </row>
    <row r="4700" spans="1:2" ht="14.4">
      <c r="A4700" s="13"/>
      <c r="B4700" s="13"/>
    </row>
    <row r="4701" spans="1:2" ht="14.4">
      <c r="A4701" s="13"/>
      <c r="B4701" s="13"/>
    </row>
    <row r="4702" spans="1:2" ht="14.4">
      <c r="A4702" s="13"/>
      <c r="B4702" s="13"/>
    </row>
    <row r="4703" spans="1:2" ht="14.4">
      <c r="A4703" s="13"/>
      <c r="B4703" s="13"/>
    </row>
    <row r="4704" spans="1:2" ht="14.4">
      <c r="A4704" s="13"/>
      <c r="B4704" s="13"/>
    </row>
    <row r="4705" spans="1:2" ht="14.4">
      <c r="A4705" s="13"/>
      <c r="B4705" s="13"/>
    </row>
    <row r="4706" spans="1:2" ht="14.4">
      <c r="A4706" s="13"/>
      <c r="B4706" s="13"/>
    </row>
    <row r="4707" spans="1:2" ht="14.4">
      <c r="A4707" s="13"/>
      <c r="B4707" s="13"/>
    </row>
    <row r="4708" spans="1:2" ht="14.4">
      <c r="A4708" s="13"/>
      <c r="B4708" s="13"/>
    </row>
    <row r="4709" spans="1:2" ht="14.4">
      <c r="A4709" s="13"/>
      <c r="B4709" s="13"/>
    </row>
    <row r="4710" spans="1:2" ht="14.4">
      <c r="A4710" s="13"/>
      <c r="B4710"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B3:I16"/>
  <sheetViews>
    <sheetView topLeftCell="A3" workbookViewId="0">
      <selection activeCell="C4" sqref="C4"/>
    </sheetView>
  </sheetViews>
  <sheetFormatPr defaultColWidth="12.6640625" defaultRowHeight="15.75" customHeight="1"/>
  <cols>
    <col min="3" max="3" width="10" bestFit="1" customWidth="1"/>
    <col min="4" max="4" width="28.33203125" bestFit="1" customWidth="1"/>
    <col min="5" max="5" width="22.21875" bestFit="1" customWidth="1"/>
    <col min="6" max="6" width="27.21875" bestFit="1" customWidth="1"/>
    <col min="7" max="7" width="17.77734375" bestFit="1" customWidth="1"/>
    <col min="9" max="9" width="16.77734375" bestFit="1" customWidth="1"/>
  </cols>
  <sheetData>
    <row r="3" spans="2:9" ht="15.75" customHeight="1">
      <c r="B3" s="22" t="s">
        <v>3</v>
      </c>
      <c r="C3" s="22" t="s">
        <v>4205</v>
      </c>
      <c r="D3" s="22" t="s">
        <v>4206</v>
      </c>
      <c r="E3" s="22" t="s">
        <v>4207</v>
      </c>
      <c r="F3" s="22" t="s">
        <v>4208</v>
      </c>
      <c r="G3" s="22" t="s">
        <v>4209</v>
      </c>
      <c r="H3" s="22" t="s">
        <v>4210</v>
      </c>
      <c r="I3" s="22" t="s">
        <v>4211</v>
      </c>
    </row>
    <row r="4" spans="2:9" ht="15.75" customHeight="1">
      <c r="B4" s="48" t="s">
        <v>20</v>
      </c>
      <c r="C4" s="49">
        <v>-3984.57</v>
      </c>
      <c r="D4" s="49">
        <v>-3924.35</v>
      </c>
      <c r="E4" s="49">
        <v>-60.22</v>
      </c>
      <c r="F4" s="49">
        <v>0</v>
      </c>
      <c r="G4" s="49">
        <v>-88269.22</v>
      </c>
      <c r="H4" s="49">
        <v>-96238.36</v>
      </c>
      <c r="I4" s="49">
        <v>65996.12</v>
      </c>
    </row>
    <row r="5" spans="2:9" ht="15.75" customHeight="1">
      <c r="B5" s="48" t="s">
        <v>507</v>
      </c>
      <c r="C5" s="49">
        <v>0</v>
      </c>
      <c r="D5" s="49">
        <v>0</v>
      </c>
      <c r="E5" s="49">
        <v>0</v>
      </c>
      <c r="F5" s="49">
        <v>0</v>
      </c>
      <c r="G5" s="49">
        <v>-60.64</v>
      </c>
      <c r="H5" s="49">
        <v>-60.64</v>
      </c>
      <c r="I5" s="49">
        <v>67.31</v>
      </c>
    </row>
    <row r="6" spans="2:9" ht="15.75" customHeight="1">
      <c r="B6" s="48" t="s">
        <v>1054</v>
      </c>
      <c r="C6" s="49">
        <v>0</v>
      </c>
      <c r="D6" s="49">
        <v>0</v>
      </c>
      <c r="E6" s="49">
        <v>0</v>
      </c>
      <c r="F6" s="49">
        <v>0</v>
      </c>
      <c r="G6" s="49">
        <v>-11.28</v>
      </c>
      <c r="H6" s="49">
        <v>-11.28</v>
      </c>
      <c r="I6" s="49">
        <v>-11.28</v>
      </c>
    </row>
    <row r="7" spans="2:9" ht="15.75" customHeight="1">
      <c r="B7" s="48" t="s">
        <v>12</v>
      </c>
      <c r="C7" s="49">
        <v>-656.38</v>
      </c>
      <c r="D7" s="49">
        <v>-397.91</v>
      </c>
      <c r="E7" s="49">
        <v>0</v>
      </c>
      <c r="F7" s="49">
        <v>-258.47000000000003</v>
      </c>
      <c r="G7" s="49">
        <v>-102972.49</v>
      </c>
      <c r="H7" s="49">
        <v>-104285.25</v>
      </c>
      <c r="I7" s="49">
        <v>73594.34</v>
      </c>
    </row>
    <row r="8" spans="2:9" ht="15.75" customHeight="1">
      <c r="B8" s="48" t="s">
        <v>834</v>
      </c>
      <c r="C8" s="49">
        <v>-0.61</v>
      </c>
      <c r="D8" s="49">
        <v>-0.61</v>
      </c>
      <c r="E8" s="49">
        <v>0</v>
      </c>
      <c r="F8" s="49">
        <v>0</v>
      </c>
      <c r="G8" s="49">
        <v>-39.799999999999997</v>
      </c>
      <c r="H8" s="49">
        <v>-41.02</v>
      </c>
      <c r="I8" s="49">
        <v>-32.5</v>
      </c>
    </row>
    <row r="9" spans="2:9" ht="15.75" customHeight="1">
      <c r="B9" s="48" t="s">
        <v>891</v>
      </c>
      <c r="C9" s="49">
        <v>0</v>
      </c>
      <c r="D9" s="49">
        <v>0</v>
      </c>
      <c r="E9" s="49">
        <v>0</v>
      </c>
      <c r="F9" s="49">
        <v>0</v>
      </c>
      <c r="G9" s="49">
        <v>4.53</v>
      </c>
      <c r="H9" s="49">
        <v>4.53</v>
      </c>
      <c r="I9" s="49">
        <v>4.53</v>
      </c>
    </row>
    <row r="10" spans="2:9" ht="15.75" customHeight="1">
      <c r="B10" s="48" t="s">
        <v>694</v>
      </c>
      <c r="C10" s="49">
        <v>0</v>
      </c>
      <c r="D10" s="49">
        <v>0</v>
      </c>
      <c r="E10" s="49">
        <v>0</v>
      </c>
      <c r="F10" s="49">
        <v>0</v>
      </c>
      <c r="G10" s="49">
        <v>-3.9</v>
      </c>
      <c r="H10" s="49">
        <v>-3.9</v>
      </c>
      <c r="I10" s="49">
        <v>17.09</v>
      </c>
    </row>
    <row r="11" spans="2:9" ht="15.75" customHeight="1">
      <c r="B11" s="48" t="s">
        <v>936</v>
      </c>
      <c r="C11" s="49">
        <v>0</v>
      </c>
      <c r="D11" s="49">
        <v>0</v>
      </c>
      <c r="E11" s="49">
        <v>0</v>
      </c>
      <c r="F11" s="49">
        <v>0</v>
      </c>
      <c r="G11" s="49">
        <v>-0.16</v>
      </c>
      <c r="H11" s="49">
        <v>-0.16</v>
      </c>
      <c r="I11" s="49">
        <v>-0.16</v>
      </c>
    </row>
    <row r="12" spans="2:9" ht="15.75" customHeight="1">
      <c r="B12" s="48" t="s">
        <v>16</v>
      </c>
      <c r="C12" s="49">
        <v>-647.89</v>
      </c>
      <c r="D12" s="49">
        <v>-647.89</v>
      </c>
      <c r="E12" s="49">
        <v>0</v>
      </c>
      <c r="F12" s="49">
        <v>0</v>
      </c>
      <c r="G12" s="49">
        <v>-57400.41</v>
      </c>
      <c r="H12" s="49">
        <v>-58696.19</v>
      </c>
      <c r="I12" s="49">
        <v>56926.400000000001</v>
      </c>
    </row>
    <row r="13" spans="2:9" ht="15.75" customHeight="1">
      <c r="B13" s="48" t="s">
        <v>398</v>
      </c>
      <c r="C13" s="49">
        <v>0</v>
      </c>
      <c r="D13" s="49">
        <v>0</v>
      </c>
      <c r="E13" s="49">
        <v>0</v>
      </c>
      <c r="F13" s="49">
        <v>0</v>
      </c>
      <c r="G13" s="49">
        <v>-278.95999999999998</v>
      </c>
      <c r="H13" s="49">
        <v>-278.95999999999998</v>
      </c>
      <c r="I13" s="49">
        <v>180.14</v>
      </c>
    </row>
    <row r="14" spans="2:9" ht="15.75" customHeight="1">
      <c r="B14" s="48" t="s">
        <v>299</v>
      </c>
      <c r="C14" s="49">
        <v>0</v>
      </c>
      <c r="D14" s="49">
        <v>0</v>
      </c>
      <c r="E14" s="49">
        <v>0</v>
      </c>
      <c r="F14" s="49">
        <v>0</v>
      </c>
      <c r="G14" s="49">
        <v>-354.04</v>
      </c>
      <c r="H14" s="49">
        <v>-354.04</v>
      </c>
      <c r="I14" s="49">
        <v>355.57</v>
      </c>
    </row>
    <row r="15" spans="2:9" ht="15.75" customHeight="1">
      <c r="B15" s="48" t="s">
        <v>738</v>
      </c>
      <c r="C15" s="49">
        <v>0</v>
      </c>
      <c r="D15" s="49">
        <v>0</v>
      </c>
      <c r="E15" s="49">
        <v>0</v>
      </c>
      <c r="F15" s="49">
        <v>0</v>
      </c>
      <c r="G15" s="49">
        <v>-2.85</v>
      </c>
      <c r="H15" s="49">
        <v>-2.85</v>
      </c>
      <c r="I15" s="49">
        <v>16.13</v>
      </c>
    </row>
    <row r="16" spans="2:9" ht="15.75" customHeight="1">
      <c r="B16" s="48" t="s">
        <v>1186</v>
      </c>
      <c r="C16" s="49">
        <v>-5289.45</v>
      </c>
      <c r="D16" s="49">
        <v>-4970.76</v>
      </c>
      <c r="E16" s="49">
        <v>-60.22</v>
      </c>
      <c r="F16" s="49">
        <v>-258.47000000000003</v>
      </c>
      <c r="G16" s="49">
        <v>-249389.22</v>
      </c>
      <c r="H16" s="49">
        <v>-259968.12</v>
      </c>
      <c r="I16" s="49">
        <v>197113.69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E661"/>
  <sheetViews>
    <sheetView topLeftCell="G1" workbookViewId="0">
      <selection activeCell="F29" sqref="F29:G29"/>
    </sheetView>
  </sheetViews>
  <sheetFormatPr defaultColWidth="12.6640625" defaultRowHeight="15.75" customHeight="1"/>
  <cols>
    <col min="6" max="6" width="205.33203125" bestFit="1" customWidth="1"/>
  </cols>
  <sheetData>
    <row r="1" spans="1:31">
      <c r="A1" s="50" t="s">
        <v>4212</v>
      </c>
      <c r="B1" s="50" t="s">
        <v>0</v>
      </c>
      <c r="C1" s="50" t="s">
        <v>1</v>
      </c>
      <c r="D1" s="50" t="s">
        <v>2</v>
      </c>
      <c r="E1" s="50" t="s">
        <v>3</v>
      </c>
      <c r="F1" s="50" t="s">
        <v>4</v>
      </c>
      <c r="G1" s="50" t="s">
        <v>4213</v>
      </c>
      <c r="H1" s="50" t="s">
        <v>4214</v>
      </c>
      <c r="I1" s="50" t="s">
        <v>4215</v>
      </c>
      <c r="J1" s="50" t="s">
        <v>4216</v>
      </c>
      <c r="K1" s="50" t="s">
        <v>4217</v>
      </c>
      <c r="L1" s="50" t="s">
        <v>4218</v>
      </c>
      <c r="M1" s="50" t="s">
        <v>4219</v>
      </c>
      <c r="N1" s="50" t="s">
        <v>4220</v>
      </c>
      <c r="O1" s="50" t="s">
        <v>4221</v>
      </c>
      <c r="P1" s="50" t="s">
        <v>4222</v>
      </c>
      <c r="Q1" s="50" t="s">
        <v>4223</v>
      </c>
      <c r="R1" s="50" t="s">
        <v>4224</v>
      </c>
      <c r="S1" s="50" t="s">
        <v>4225</v>
      </c>
      <c r="T1" s="50" t="s">
        <v>4226</v>
      </c>
      <c r="U1" s="50" t="s">
        <v>4227</v>
      </c>
      <c r="V1" s="50" t="s">
        <v>4228</v>
      </c>
      <c r="W1" s="50" t="s">
        <v>4229</v>
      </c>
      <c r="X1" s="50" t="s">
        <v>4230</v>
      </c>
      <c r="Y1" s="50" t="s">
        <v>1195</v>
      </c>
      <c r="Z1" s="50" t="s">
        <v>4231</v>
      </c>
      <c r="AA1" s="50" t="s">
        <v>4232</v>
      </c>
      <c r="AB1" s="50" t="s">
        <v>4233</v>
      </c>
      <c r="AC1" s="50" t="s">
        <v>4234</v>
      </c>
      <c r="AD1" s="50" t="s">
        <v>4235</v>
      </c>
      <c r="AE1" s="50" t="s">
        <v>4236</v>
      </c>
    </row>
    <row r="2" spans="1:31">
      <c r="A2" s="50" t="s">
        <v>4237</v>
      </c>
      <c r="B2" s="50" t="s">
        <v>18</v>
      </c>
      <c r="C2" s="50" t="s">
        <v>19</v>
      </c>
      <c r="D2" s="50" t="e">
        <f ca="1">Image("https://images-na.ssl-images-amazon.com/images/I/51G57dAxSOL.jpg;https://images-na.ssl-images-amazon.com/images/I/51Dm33QSwjL.jpg;https://images-na.ssl-images-amazon.com/images/I/61TkksL6baL.jpg;https://images-na.ssl-images-amazon.com/images/I/51RywEkoTtL"&amp;".jpg;https://images-na.ssl-images-amazon.com/images/I/31jvCD4jNjL.jpg;https://images-na.ssl-images-amazon.com/images/I/51APxXUrzfL.jpg")</f>
        <v>#NAME?</v>
      </c>
      <c r="E2" s="50" t="s">
        <v>20</v>
      </c>
      <c r="F2" s="50" t="s">
        <v>21</v>
      </c>
      <c r="G2" s="50">
        <v>782</v>
      </c>
      <c r="H2" s="50">
        <v>19</v>
      </c>
      <c r="I2" s="50">
        <v>9392.42</v>
      </c>
      <c r="K2" s="50">
        <v>-135.72999999999999</v>
      </c>
      <c r="L2" s="50">
        <v>-135.72999999999999</v>
      </c>
      <c r="R2" s="50">
        <v>2.4300000000000002</v>
      </c>
      <c r="S2" s="50">
        <v>40</v>
      </c>
      <c r="T2" s="50">
        <v>-191.33</v>
      </c>
      <c r="U2" s="50">
        <v>-5296.81</v>
      </c>
      <c r="W2" s="50">
        <v>3768.55</v>
      </c>
      <c r="X2" s="50">
        <v>3768.55</v>
      </c>
      <c r="Y2" s="50">
        <v>3768.55</v>
      </c>
      <c r="AA2" s="50">
        <v>40.119999999999997</v>
      </c>
      <c r="AC2" s="50">
        <v>93818</v>
      </c>
      <c r="AD2" s="50">
        <v>1.45</v>
      </c>
      <c r="AE2" s="50" t="s">
        <v>4238</v>
      </c>
    </row>
    <row r="3" spans="1:31">
      <c r="A3" s="50" t="s">
        <v>4239</v>
      </c>
      <c r="B3" s="50" t="s">
        <v>25</v>
      </c>
      <c r="C3" s="50" t="s">
        <v>26</v>
      </c>
      <c r="D3" s="50" t="e">
        <f ca="1">Image("https://images-na.ssl-images-amazon.com/images/I/41sUHVqpF-L.jpg;https://images-na.ssl-images-amazon.com/images/I/51FTRdPiG4L.jpg;https://images-na.ssl-images-amazon.com/images/I/51sg8npK3+L.jpg;https://images-na.ssl-images-amazon.com/images/I/51b+Fcjt19L"&amp;".jpg;https://images-na.ssl-images-amazon.com/images/I/61m+NIwIFzL.jpg;https://images-na.ssl-images-amazon.com/images/I/317+gBlW+yL.jpg")</f>
        <v>#NAME?</v>
      </c>
      <c r="E3" s="50" t="s">
        <v>12</v>
      </c>
      <c r="F3" s="50" t="s">
        <v>27</v>
      </c>
      <c r="G3" s="50">
        <v>595</v>
      </c>
      <c r="H3" s="50">
        <v>28</v>
      </c>
      <c r="I3" s="50">
        <v>10574.57</v>
      </c>
      <c r="R3" s="50">
        <v>4.71</v>
      </c>
      <c r="S3" s="50">
        <v>38.1</v>
      </c>
      <c r="T3" s="50">
        <v>-441.74</v>
      </c>
      <c r="U3" s="50">
        <v>-4850.13</v>
      </c>
      <c r="W3" s="50">
        <v>5282.7</v>
      </c>
      <c r="X3" s="50">
        <v>5282.7</v>
      </c>
      <c r="Y3" s="50">
        <v>5282.7</v>
      </c>
      <c r="AA3" s="50">
        <v>49.96</v>
      </c>
      <c r="AC3" s="50">
        <v>1568</v>
      </c>
      <c r="AE3" s="50" t="s">
        <v>4238</v>
      </c>
    </row>
    <row r="4" spans="1:31">
      <c r="A4" s="50" t="s">
        <v>4240</v>
      </c>
      <c r="B4" s="50" t="s">
        <v>31</v>
      </c>
      <c r="C4" s="50" t="s">
        <v>32</v>
      </c>
      <c r="D4" s="50" t="e">
        <f ca="1">Image("https://images-na.ssl-images-amazon.com/images/I/51hpfk8d-oL.jpg;https://images-na.ssl-images-amazon.com/images/I/51Xp1dzFxPL.jpg;https://images-na.ssl-images-amazon.com/images/I/51a1-EYbZOL.jpg;https://images-na.ssl-images-amazon.com/images/I/51Exg-ZkqoL"&amp;".jpg")</f>
        <v>#NAME?</v>
      </c>
      <c r="E4" s="50" t="s">
        <v>20</v>
      </c>
      <c r="F4" s="50" t="s">
        <v>33</v>
      </c>
      <c r="G4" s="50">
        <v>390</v>
      </c>
      <c r="H4" s="50">
        <v>7</v>
      </c>
      <c r="I4" s="50">
        <v>3896.1</v>
      </c>
      <c r="R4" s="50">
        <v>1.79</v>
      </c>
      <c r="T4" s="50">
        <v>-65.45</v>
      </c>
      <c r="U4" s="50">
        <v>-1804.23</v>
      </c>
      <c r="W4" s="50">
        <v>2026.42</v>
      </c>
      <c r="X4" s="50">
        <v>2026.42</v>
      </c>
      <c r="Y4" s="50">
        <v>2026.42</v>
      </c>
      <c r="AA4" s="50">
        <v>52.01</v>
      </c>
      <c r="AC4" s="50">
        <v>47839</v>
      </c>
      <c r="AE4" s="50" t="s">
        <v>4238</v>
      </c>
    </row>
    <row r="5" spans="1:31">
      <c r="A5" s="50" t="s">
        <v>4241</v>
      </c>
      <c r="B5" s="50" t="s">
        <v>103</v>
      </c>
      <c r="C5" s="50" t="s">
        <v>104</v>
      </c>
      <c r="D5" s="50" t="e">
        <f ca="1">Image("https://images-na.ssl-images-amazon.com/images/I/51i+SfRFHdL.jpg;https://images-na.ssl-images-amazon.com/images/I/71+KsOmS3BL.jpg;https://images-na.ssl-images-amazon.com/images/I/61pV-HlDrTL.jpg;https://images-na.ssl-images-amazon.com/images/I/411fU-c6aZL"&amp;".jpg;https://images-na.ssl-images-amazon.com/images/I/41cS4Y02AbL.jpg")</f>
        <v>#NAME?</v>
      </c>
      <c r="E5" s="50" t="s">
        <v>16</v>
      </c>
      <c r="F5" s="50" t="s">
        <v>105</v>
      </c>
      <c r="G5" s="50">
        <v>295</v>
      </c>
      <c r="H5" s="50">
        <v>14</v>
      </c>
      <c r="I5" s="50">
        <v>2776.14</v>
      </c>
      <c r="R5" s="50">
        <v>4.75</v>
      </c>
      <c r="S5" s="50">
        <v>40</v>
      </c>
      <c r="T5" s="50">
        <v>-112.28</v>
      </c>
      <c r="U5" s="50">
        <v>-1850.65</v>
      </c>
      <c r="W5" s="50">
        <v>813.21</v>
      </c>
      <c r="X5" s="50">
        <v>813.21</v>
      </c>
      <c r="Y5" s="50">
        <v>813.21</v>
      </c>
      <c r="AA5" s="50">
        <v>29.29</v>
      </c>
      <c r="AC5" s="50">
        <v>88557</v>
      </c>
      <c r="AE5" s="50" t="s">
        <v>4238</v>
      </c>
    </row>
    <row r="6" spans="1:31">
      <c r="A6" s="50" t="s">
        <v>4242</v>
      </c>
      <c r="B6" s="50" t="s">
        <v>154</v>
      </c>
      <c r="C6" s="50" t="s">
        <v>155</v>
      </c>
      <c r="D6" s="50" t="e">
        <f ca="1">Image("https://images-na.ssl-images-amazon.com/images/I/418r1Ul4f6S.jpg;https://images-na.ssl-images-amazon.com/images/I/51+FjnQX7mS.jpg;https://images-na.ssl-images-amazon.com/images/I/41ldPjktwDS.jpg;https://images-na.ssl-images-amazon.com/images/I/61vB7MZUz3S"&amp;".jpg;https://images-na.ssl-images-amazon.com/images/I/314g2uvo+QS.jpg;https://images-na.ssl-images-amazon.com/images/I/41poqv9TyTL.jpg")</f>
        <v>#NAME?</v>
      </c>
      <c r="E6" s="50" t="s">
        <v>20</v>
      </c>
      <c r="F6" s="50" t="s">
        <v>156</v>
      </c>
      <c r="G6" s="50">
        <v>255</v>
      </c>
      <c r="H6" s="50">
        <v>6</v>
      </c>
      <c r="I6" s="50">
        <v>2274.4299999999998</v>
      </c>
      <c r="K6" s="50">
        <v>-325.29000000000002</v>
      </c>
      <c r="L6" s="50">
        <v>-325.29000000000002</v>
      </c>
      <c r="R6" s="50">
        <v>2.35</v>
      </c>
      <c r="S6" s="50">
        <v>100</v>
      </c>
      <c r="T6" s="50">
        <v>-47.49</v>
      </c>
      <c r="U6" s="50">
        <v>-1315.83</v>
      </c>
      <c r="W6" s="50">
        <v>585.82000000000005</v>
      </c>
      <c r="X6" s="50">
        <v>585.82000000000005</v>
      </c>
      <c r="Y6" s="50">
        <v>585.82000000000005</v>
      </c>
      <c r="AA6" s="50">
        <v>25.76</v>
      </c>
      <c r="AD6" s="50">
        <v>14.3</v>
      </c>
      <c r="AE6" s="50" t="s">
        <v>4238</v>
      </c>
    </row>
    <row r="7" spans="1:31">
      <c r="A7" s="50" t="s">
        <v>4243</v>
      </c>
      <c r="B7" s="50" t="s">
        <v>64</v>
      </c>
      <c r="C7" s="50" t="s">
        <v>65</v>
      </c>
      <c r="D7" s="50" t="e">
        <f ca="1">Image("https://images-na.ssl-images-amazon.com/images/I/41AOEKiwIhL.jpg;https://images-na.ssl-images-amazon.com/images/I/31exv-sLHFS.jpg;https://images-na.ssl-images-amazon.com/images/I/31wvL5ZhC-S.jpg;https://images-na.ssl-images-amazon.com/images/I/31Q5U5NIiXS"&amp;".jpg;https://images-na.ssl-images-amazon.com/images/I/31RGHfa+tWS.jpg;https://images-na.ssl-images-amazon.com/images/I/51zXI6J2ljS.jpg")</f>
        <v>#NAME?</v>
      </c>
      <c r="E7" s="50" t="s">
        <v>16</v>
      </c>
      <c r="F7" s="50" t="s">
        <v>66</v>
      </c>
      <c r="G7" s="50">
        <v>186</v>
      </c>
      <c r="H7" s="50">
        <v>13</v>
      </c>
      <c r="I7" s="50">
        <v>2197.59</v>
      </c>
      <c r="R7" s="50">
        <v>6.99</v>
      </c>
      <c r="S7" s="50">
        <v>41.67</v>
      </c>
      <c r="T7" s="50">
        <v>-127.48</v>
      </c>
      <c r="U7" s="50">
        <v>-1090.23</v>
      </c>
      <c r="W7" s="50">
        <v>979.88</v>
      </c>
      <c r="X7" s="50">
        <v>979.88</v>
      </c>
      <c r="Y7" s="50">
        <v>979.88</v>
      </c>
      <c r="AA7" s="50">
        <v>44.59</v>
      </c>
      <c r="AC7" s="50">
        <v>154464</v>
      </c>
      <c r="AE7" s="50" t="s">
        <v>4238</v>
      </c>
    </row>
    <row r="8" spans="1:31">
      <c r="A8" s="50" t="s">
        <v>4244</v>
      </c>
      <c r="B8" s="50" t="s">
        <v>148</v>
      </c>
      <c r="C8" s="50" t="s">
        <v>149</v>
      </c>
      <c r="D8" s="50" t="e">
        <f ca="1">Image("https://images-na.ssl-images-amazon.com/images/I/51lJ6C7xETL.jpg;https://images-na.ssl-images-amazon.com/images/I/619-4yd5huL.jpg;https://images-na.ssl-images-amazon.com/images/I/51g24DSmvwL.jpg;https://images-na.ssl-images-amazon.com/images/I/41ZV3p4+usL"&amp;".jpg;https://images-na.ssl-images-amazon.com/images/I/41SRZzSBCPL.jpg")</f>
        <v>#NAME?</v>
      </c>
      <c r="E8" s="50" t="s">
        <v>16</v>
      </c>
      <c r="F8" s="50" t="s">
        <v>150</v>
      </c>
      <c r="G8" s="50">
        <v>170</v>
      </c>
      <c r="H8" s="50">
        <v>9</v>
      </c>
      <c r="I8" s="50">
        <v>1635.65</v>
      </c>
      <c r="R8" s="50">
        <v>5.29</v>
      </c>
      <c r="S8" s="50">
        <v>100</v>
      </c>
      <c r="T8" s="50">
        <v>-68.55</v>
      </c>
      <c r="U8" s="50">
        <v>-983.62</v>
      </c>
      <c r="W8" s="50">
        <v>583.48</v>
      </c>
      <c r="X8" s="50">
        <v>583.48</v>
      </c>
      <c r="Y8" s="50">
        <v>583.48</v>
      </c>
      <c r="AA8" s="50">
        <v>35.67</v>
      </c>
      <c r="AC8" s="50">
        <v>63081</v>
      </c>
      <c r="AE8" s="50" t="s">
        <v>4238</v>
      </c>
    </row>
    <row r="9" spans="1:31">
      <c r="A9" s="50" t="s">
        <v>4245</v>
      </c>
      <c r="B9" s="50" t="s">
        <v>22</v>
      </c>
      <c r="C9" s="50" t="s">
        <v>23</v>
      </c>
      <c r="D9" s="50" t="e">
        <f ca="1">Image("https://images-na.ssl-images-amazon.com/images/I/51Ty4k4RvPL.jpg;https://images-na.ssl-images-amazon.com/images/I/51PrNjO7d-L.jpg;https://images-na.ssl-images-amazon.com/images/I/51sg8npK3+L.jpg;https://images-na.ssl-images-amazon.com/images/I/51b+Fcjt19L"&amp;".jpg;https://images-na.ssl-images-amazon.com/images/I/61m+NIwIFzL.jpg;https://images-na.ssl-images-amazon.com/images/I/317+gBlW+yL.jpg;https://images-na.ssl-images-amazon.com/images/I/51Ty4k4RvPL.jpg")</f>
        <v>#NAME?</v>
      </c>
      <c r="E9" s="50" t="s">
        <v>12</v>
      </c>
      <c r="F9" s="50" t="s">
        <v>24</v>
      </c>
      <c r="G9" s="50">
        <v>133</v>
      </c>
      <c r="H9" s="50">
        <v>5</v>
      </c>
      <c r="I9" s="50">
        <v>2796.67</v>
      </c>
      <c r="R9" s="50">
        <v>3.76</v>
      </c>
      <c r="S9" s="50">
        <v>50</v>
      </c>
      <c r="T9" s="50">
        <v>-93.23</v>
      </c>
      <c r="U9" s="50">
        <v>-1264.8699999999999</v>
      </c>
      <c r="W9" s="50">
        <v>1438.57</v>
      </c>
      <c r="X9" s="50">
        <v>1438.57</v>
      </c>
      <c r="Y9" s="50">
        <v>1438.57</v>
      </c>
      <c r="AA9" s="50">
        <v>51.44</v>
      </c>
      <c r="AC9" s="50">
        <v>1568</v>
      </c>
      <c r="AE9" s="50" t="s">
        <v>4238</v>
      </c>
    </row>
    <row r="10" spans="1:31">
      <c r="A10" s="50" t="s">
        <v>4246</v>
      </c>
      <c r="B10" s="50" t="s">
        <v>37</v>
      </c>
      <c r="C10" s="50" t="s">
        <v>38</v>
      </c>
      <c r="D10" s="50" t="e">
        <f ca="1">Image("https://images-na.ssl-images-amazon.com/images/I/51QNrY7+45L.jpg;https://images-na.ssl-images-amazon.com/images/I/41BGqOsQRbL.jpg;https://images-na.ssl-images-amazon.com/images/I/41mZYBF9UML.jpg;https://images-na.ssl-images-amazon.com/images/I/41f3-al81pL"&amp;".jpg;https://images-na.ssl-images-amazon.com/images/I/51tdwZD6Z1L.jpg;https://images-na.ssl-images-amazon.com/images/I/611wZYAJlEL.jpg;https://images-na.ssl-images-amazon.com/images/I/51SmOiqXgtL.jpg")</f>
        <v>#NAME?</v>
      </c>
      <c r="E10" s="50" t="s">
        <v>20</v>
      </c>
      <c r="F10" s="50" t="s">
        <v>39</v>
      </c>
      <c r="G10" s="50">
        <v>130</v>
      </c>
      <c r="H10" s="50">
        <v>9</v>
      </c>
      <c r="I10" s="50">
        <v>1571.88</v>
      </c>
      <c r="R10" s="50">
        <v>6.92</v>
      </c>
      <c r="S10" s="50">
        <v>44.44</v>
      </c>
      <c r="T10" s="50">
        <v>-94.31</v>
      </c>
      <c r="U10" s="50">
        <v>-1011.06</v>
      </c>
      <c r="W10" s="50">
        <v>466.51</v>
      </c>
      <c r="X10" s="50">
        <v>466.51</v>
      </c>
      <c r="Y10" s="50">
        <v>466.51</v>
      </c>
      <c r="AA10" s="50">
        <v>29.68</v>
      </c>
      <c r="AC10" s="50">
        <v>44037</v>
      </c>
      <c r="AE10" s="50" t="s">
        <v>4238</v>
      </c>
    </row>
    <row r="11" spans="1:31">
      <c r="A11" s="50" t="s">
        <v>4247</v>
      </c>
      <c r="B11" s="50" t="s">
        <v>88</v>
      </c>
      <c r="C11" s="50" t="s">
        <v>89</v>
      </c>
      <c r="D11" s="50" t="e">
        <f ca="1">Image("https://images-na.ssl-images-amazon.com/images/I/41aEb7Hdp4L.jpg;https://images-na.ssl-images-amazon.com/images/I/51RNobz9zqL.jpg;https://images-na.ssl-images-amazon.com/images/I/41SNgC83nwL.jpg;https://images-na.ssl-images-amazon.com/images/I/51hyWzhfNcL"&amp;".jpg;https://images-na.ssl-images-amazon.com/images/I/51YJISElv5L.jpg;https://images-na.ssl-images-amazon.com/images/I/51CYNJk1TWL.jpg;https://images-na.ssl-images-amazon.com/images/I/51qeaNwt+9L.jpg;https://images-na.ssl-images-amazon.com/images/I/512t8z"&amp;"C0MGL.jpg")</f>
        <v>#NAME?</v>
      </c>
      <c r="E11" s="50" t="s">
        <v>20</v>
      </c>
      <c r="F11" s="50" t="s">
        <v>90</v>
      </c>
      <c r="G11" s="50">
        <v>102</v>
      </c>
      <c r="H11" s="50">
        <v>1</v>
      </c>
      <c r="I11" s="50">
        <v>1178.0999999999999</v>
      </c>
      <c r="R11" s="50">
        <v>0.98</v>
      </c>
      <c r="S11" s="50" t="s">
        <v>1217</v>
      </c>
      <c r="T11" s="50">
        <v>-10.17</v>
      </c>
      <c r="U11" s="50">
        <v>-588.16999999999996</v>
      </c>
      <c r="W11" s="50">
        <v>579.76</v>
      </c>
      <c r="X11" s="50">
        <v>579.76</v>
      </c>
      <c r="Y11" s="50">
        <v>579.76</v>
      </c>
      <c r="AA11" s="50">
        <v>49.21</v>
      </c>
      <c r="AC11" s="50">
        <v>259895</v>
      </c>
      <c r="AE11" s="50" t="s">
        <v>4238</v>
      </c>
    </row>
    <row r="12" spans="1:31">
      <c r="A12" s="50" t="s">
        <v>4248</v>
      </c>
      <c r="B12" s="50" t="s">
        <v>396</v>
      </c>
      <c r="C12" s="50" t="s">
        <v>397</v>
      </c>
      <c r="D12" s="50" t="e">
        <f ca="1">Image("https://images-na.ssl-images-amazon.com/images/I/519wTG9762L.jpg")</f>
        <v>#NAME?</v>
      </c>
      <c r="E12" s="50" t="s">
        <v>398</v>
      </c>
      <c r="F12" s="50" t="s">
        <v>399</v>
      </c>
      <c r="G12" s="50">
        <v>41</v>
      </c>
      <c r="H12" s="50">
        <v>3</v>
      </c>
      <c r="I12" s="50">
        <v>338.7</v>
      </c>
      <c r="R12" s="50">
        <v>7.32</v>
      </c>
      <c r="S12" s="50">
        <v>100</v>
      </c>
      <c r="T12" s="50">
        <v>-23.49</v>
      </c>
      <c r="U12" s="50">
        <v>-193.55</v>
      </c>
      <c r="W12" s="50">
        <v>121.66</v>
      </c>
      <c r="X12" s="50">
        <v>121.66</v>
      </c>
      <c r="Y12" s="50">
        <v>121.66</v>
      </c>
      <c r="AA12" s="50">
        <v>35.92</v>
      </c>
      <c r="AC12" s="50">
        <v>233442</v>
      </c>
      <c r="AE12" s="50" t="s">
        <v>4238</v>
      </c>
    </row>
    <row r="13" spans="1:31">
      <c r="A13" s="50" t="s">
        <v>4249</v>
      </c>
      <c r="B13" s="50" t="s">
        <v>67</v>
      </c>
      <c r="C13" s="50" t="s">
        <v>68</v>
      </c>
      <c r="D13" s="50" t="e">
        <f ca="1">Image("https://images-na.ssl-images-amazon.com/images/I/51QqFxw8lHL.jpg;https://images-na.ssl-images-amazon.com/images/I/61A8tYoCoIL.jpg;https://images-na.ssl-images-amazon.com/images/I/51Zu6TkvbkL.jpg;https://images-na.ssl-images-amazon.com/images/I/51yI9L0VtZL"&amp;".jpg;https://images-na.ssl-images-amazon.com/images/I/51eK6dJ-9GL.jpg;https://images-na.ssl-images-amazon.com/images/I/516BOvXkzGL.jpg;https://images-na.ssl-images-amazon.com/images/I/51pUGIu1tVL.jpg;https://images-na.ssl-images-amazon.com/images/I/51RZ5g"&amp;"-rczL.jpg;https://images-na.ssl-images-amazon.com/images/I/51mRitk-o7L.jpg")</f>
        <v>#NAME?</v>
      </c>
      <c r="E13" s="50" t="s">
        <v>16</v>
      </c>
      <c r="F13" s="50" t="s">
        <v>69</v>
      </c>
      <c r="G13" s="50">
        <v>31</v>
      </c>
      <c r="H13" s="50">
        <v>4</v>
      </c>
      <c r="I13" s="50">
        <v>805.69</v>
      </c>
      <c r="R13" s="50">
        <v>12.9</v>
      </c>
      <c r="S13" s="50" t="s">
        <v>1217</v>
      </c>
      <c r="T13" s="50">
        <v>-91.48</v>
      </c>
      <c r="U13" s="50">
        <v>-297.91000000000003</v>
      </c>
      <c r="W13" s="50">
        <v>416.3</v>
      </c>
      <c r="X13" s="50">
        <v>416.3</v>
      </c>
      <c r="Y13" s="50">
        <v>416.3</v>
      </c>
      <c r="AA13" s="50">
        <v>51.67</v>
      </c>
      <c r="AC13" s="50">
        <v>282645</v>
      </c>
      <c r="AE13" s="50" t="s">
        <v>4238</v>
      </c>
    </row>
    <row r="14" spans="1:31">
      <c r="A14" s="50" t="s">
        <v>4250</v>
      </c>
      <c r="B14" s="50" t="s">
        <v>542</v>
      </c>
      <c r="C14" s="50" t="s">
        <v>543</v>
      </c>
      <c r="D14" s="50" t="e">
        <f ca="1">Image("https://images-na.ssl-images-amazon.com/images/I/41kilqpK8eL.jpg;https://images-na.ssl-images-amazon.com/images/I/51ETP+-btDL.jpg;https://images-na.ssl-images-amazon.com/images/I/51RJS48UBHL.jpg;https://images-na.ssl-images-amazon.com/images/I/51kJ9dk2trL"&amp;".jpg;https://images-na.ssl-images-amazon.com/images/I/51k6ezLp0bL.jpg;https://images-na.ssl-images-amazon.com/images/I/51vyz8l8q5L.jpg")</f>
        <v>#NAME?</v>
      </c>
      <c r="E14" s="50" t="s">
        <v>20</v>
      </c>
      <c r="F14" s="50" t="s">
        <v>544</v>
      </c>
      <c r="G14" s="50">
        <v>20</v>
      </c>
      <c r="I14" s="50">
        <v>210.8</v>
      </c>
      <c r="K14" s="50">
        <v>-40.909999999999997</v>
      </c>
      <c r="L14" s="50">
        <v>-40.909999999999997</v>
      </c>
      <c r="S14" s="50" t="s">
        <v>1217</v>
      </c>
      <c r="U14" s="50">
        <v>-121.85</v>
      </c>
      <c r="W14" s="50">
        <v>48.04</v>
      </c>
      <c r="X14" s="50">
        <v>48.04</v>
      </c>
      <c r="Y14" s="50">
        <v>48.04</v>
      </c>
      <c r="AA14" s="50">
        <v>22.79</v>
      </c>
      <c r="AC14" s="50">
        <v>485826</v>
      </c>
      <c r="AD14" s="50">
        <v>19.41</v>
      </c>
      <c r="AE14" s="50" t="s">
        <v>4238</v>
      </c>
    </row>
    <row r="15" spans="1:31">
      <c r="A15" s="50" t="s">
        <v>4251</v>
      </c>
      <c r="B15" s="50" t="s">
        <v>521</v>
      </c>
      <c r="C15" s="50" t="s">
        <v>522</v>
      </c>
      <c r="D15" s="50" t="e">
        <f ca="1">Image("https://images-na.ssl-images-amazon.com/images/I/41lrbL94IZL.jpg")</f>
        <v>#NAME?</v>
      </c>
      <c r="E15" s="50" t="s">
        <v>398</v>
      </c>
      <c r="F15" s="50" t="s">
        <v>523</v>
      </c>
      <c r="G15" s="50">
        <v>16</v>
      </c>
      <c r="I15" s="50">
        <v>143.88999999999999</v>
      </c>
      <c r="S15" s="50" t="s">
        <v>1217</v>
      </c>
      <c r="U15" s="50">
        <v>-85.41</v>
      </c>
      <c r="W15" s="50">
        <v>58.48</v>
      </c>
      <c r="X15" s="50">
        <v>58.48</v>
      </c>
      <c r="Y15" s="50">
        <v>58.48</v>
      </c>
      <c r="AA15" s="50">
        <v>40.64</v>
      </c>
      <c r="AE15" s="50" t="s">
        <v>4238</v>
      </c>
    </row>
    <row r="16" spans="1:31">
      <c r="A16" s="50" t="s">
        <v>4252</v>
      </c>
      <c r="B16" s="50" t="s">
        <v>280</v>
      </c>
      <c r="C16" s="50" t="s">
        <v>281</v>
      </c>
      <c r="D16" s="50" t="e">
        <f ca="1">Image("https://images-na.ssl-images-amazon.com/images/I/51bcd2Fo6LL.jpg;https://images-na.ssl-images-amazon.com/images/I/6118bDsS7lL.jpg;https://images-na.ssl-images-amazon.com/images/I/51O27y+98GL.jpg;https://images-na.ssl-images-amazon.com/images/I/51jlidsealL"&amp;".jpg;https://images-na.ssl-images-amazon.com/images/I/51OMPy+5KqL.jpg;https://images-na.ssl-images-amazon.com/images/I/51VdYNwm4rL.jpg;https://images-na.ssl-images-amazon.com/images/I/51Dc9xjitqL.jpg;https://images-na.ssl-images-amazon.com/images/I/51TUIH"&amp;"3eKwL.jpg;https://images-na.ssl-images-amazon.com/images/I/51mRitk-o7L.jpg")</f>
        <v>#NAME?</v>
      </c>
      <c r="E16" s="50" t="s">
        <v>16</v>
      </c>
      <c r="F16" s="50" t="s">
        <v>282</v>
      </c>
      <c r="G16" s="50">
        <v>7</v>
      </c>
      <c r="I16" s="50">
        <v>181.93</v>
      </c>
      <c r="S16" s="50" t="s">
        <v>1217</v>
      </c>
      <c r="U16" s="50">
        <v>-67.27</v>
      </c>
      <c r="W16" s="50">
        <v>114.66</v>
      </c>
      <c r="X16" s="50">
        <v>114.66</v>
      </c>
      <c r="Y16" s="50">
        <v>114.66</v>
      </c>
      <c r="AA16" s="50">
        <v>63.02</v>
      </c>
      <c r="AC16" s="50">
        <v>282645</v>
      </c>
      <c r="AE16" s="50" t="s">
        <v>4238</v>
      </c>
    </row>
    <row r="17" spans="1:31">
      <c r="A17" s="50" t="s">
        <v>4253</v>
      </c>
      <c r="B17" s="50" t="s">
        <v>79</v>
      </c>
      <c r="C17" s="50" t="s">
        <v>80</v>
      </c>
      <c r="D17" s="50" t="e">
        <f ca="1">Image("https://images-na.ssl-images-amazon.com/images/I/41H7i2SOcVL.jpg;https://images-na.ssl-images-amazon.com/images/I/41Ao5HzmU1L.jpg;https://images-na.ssl-images-amazon.com/images/I/41RBTL+FAML.jpg;https://images-na.ssl-images-amazon.com/images/I/41H7i2SOcVL"&amp;".jpg")</f>
        <v>#NAME?</v>
      </c>
      <c r="E17" s="50" t="s">
        <v>16</v>
      </c>
      <c r="F17" s="50" t="s">
        <v>81</v>
      </c>
      <c r="G17" s="50">
        <v>4</v>
      </c>
      <c r="I17" s="50">
        <v>31.8</v>
      </c>
      <c r="S17" s="50" t="s">
        <v>1217</v>
      </c>
      <c r="U17" s="50">
        <v>-21.84</v>
      </c>
      <c r="W17" s="50">
        <v>9.9600000000000009</v>
      </c>
      <c r="X17" s="50">
        <v>9.9600000000000009</v>
      </c>
      <c r="Y17" s="50">
        <v>9.9600000000000009</v>
      </c>
      <c r="AA17" s="50">
        <v>31.32</v>
      </c>
      <c r="AC17" s="50">
        <v>164611</v>
      </c>
      <c r="AE17" s="50" t="s">
        <v>4238</v>
      </c>
    </row>
    <row r="18" spans="1:31">
      <c r="A18" s="50" t="s">
        <v>4254</v>
      </c>
      <c r="B18" s="50" t="s">
        <v>10</v>
      </c>
      <c r="C18" s="50" t="s">
        <v>11</v>
      </c>
      <c r="D18" s="50" t="e">
        <f ca="1">Image("https://images-na.ssl-images-amazon.com/images/I/41X+Cd3f7QL.jpg;https://images-na.ssl-images-amazon.com/images/I/316UmAiMAsL.jpg;https://images-na.ssl-images-amazon.com/images/I/31teahcaMhL.jpg;https://images-na.ssl-images-amazon.com/images/I/31b3ZDpPpIL"&amp;".jpg")</f>
        <v>#NAME?</v>
      </c>
      <c r="E18" s="50" t="s">
        <v>12</v>
      </c>
      <c r="F18" s="50" t="s">
        <v>13</v>
      </c>
      <c r="G18" s="50">
        <v>1</v>
      </c>
      <c r="I18" s="50">
        <v>11</v>
      </c>
      <c r="S18" s="50" t="s">
        <v>1217</v>
      </c>
      <c r="U18" s="50">
        <v>2.0099999999999998</v>
      </c>
      <c r="W18" s="50">
        <v>13.01</v>
      </c>
      <c r="X18" s="50">
        <v>13.01</v>
      </c>
      <c r="Y18" s="50">
        <v>13.01</v>
      </c>
      <c r="AA18" s="50">
        <v>118.27</v>
      </c>
      <c r="AC18" s="50">
        <v>1568</v>
      </c>
      <c r="AE18" s="50" t="s">
        <v>4238</v>
      </c>
    </row>
    <row r="19" spans="1:31">
      <c r="A19" s="50" t="s">
        <v>4255</v>
      </c>
      <c r="B19" s="50" t="s">
        <v>889</v>
      </c>
      <c r="C19" s="50" t="s">
        <v>890</v>
      </c>
      <c r="D19" s="50" t="e">
        <f ca="1">Image("https://images-na.ssl-images-amazon.com/images/I/41aoIV6dEyL.jpg;https://images-na.ssl-images-amazon.com/images/I/41RoTyai8DL.jpg")</f>
        <v>#NAME?</v>
      </c>
      <c r="E19" s="50" t="s">
        <v>891</v>
      </c>
      <c r="F19" s="50" t="s">
        <v>892</v>
      </c>
      <c r="S19" s="50" t="s">
        <v>1217</v>
      </c>
      <c r="U19" s="50">
        <v>4.53</v>
      </c>
      <c r="W19" s="50">
        <v>4.53</v>
      </c>
      <c r="X19" s="50">
        <v>4.53</v>
      </c>
      <c r="Y19" s="50">
        <v>4.53</v>
      </c>
      <c r="AC19" s="50">
        <v>147038</v>
      </c>
      <c r="AE19" s="50" t="s">
        <v>4238</v>
      </c>
    </row>
    <row r="20" spans="1:31">
      <c r="A20" s="50" t="s">
        <v>4256</v>
      </c>
      <c r="B20" s="50" t="s">
        <v>962</v>
      </c>
      <c r="C20" s="50" t="s">
        <v>963</v>
      </c>
      <c r="D20" s="50" t="e">
        <f ca="1">Image("https://images-na.ssl-images-amazon.com/images/I/41XBF0scsTL.jpg;https://images-na.ssl-images-amazon.com/images/I/51Ow-MEQTIL.jpg;https://images-na.ssl-images-amazon.com/images/I/51XfucfKPgL.jpg;https://images-na.ssl-images-amazon.com/images/I/51zlX4bwUdL"&amp;".jpg;https://images-na.ssl-images-amazon.com/images/I/51VdrFqdmVL.jpg;https://images-na.ssl-images-amazon.com/images/I/51+x9h819pL.jpg")</f>
        <v>#NAME?</v>
      </c>
      <c r="E20" s="50" t="s">
        <v>20</v>
      </c>
      <c r="F20" s="50" t="s">
        <v>964</v>
      </c>
      <c r="S20" s="50" t="s">
        <v>1217</v>
      </c>
      <c r="U20" s="50">
        <v>-0.85</v>
      </c>
      <c r="W20" s="50">
        <v>-0.85</v>
      </c>
      <c r="X20" s="50">
        <v>-0.85</v>
      </c>
      <c r="Y20" s="50">
        <v>-0.85</v>
      </c>
      <c r="AE20" s="50" t="s">
        <v>4238</v>
      </c>
    </row>
    <row r="21" spans="1:31">
      <c r="A21" s="50" t="s">
        <v>4257</v>
      </c>
      <c r="B21" s="50" t="s">
        <v>10</v>
      </c>
      <c r="C21" s="50" t="s">
        <v>4258</v>
      </c>
      <c r="D21" s="50" t="e">
        <f ca="1">Image("https://images-na.ssl-images-amazon.com/images/I/41X+Cd3f7QL.jpg;https://images-na.ssl-images-amazon.com/images/I/316UmAiMAsL.jpg;https://images-na.ssl-images-amazon.com/images/I/31teahcaMhL.jpg;https://images-na.ssl-images-amazon.com/images/I/31b3ZDpPpIL"&amp;".jpg")</f>
        <v>#NAME?</v>
      </c>
      <c r="E21" s="50" t="s">
        <v>12</v>
      </c>
      <c r="F21" s="50" t="s">
        <v>13</v>
      </c>
      <c r="G21" s="50">
        <v>10783</v>
      </c>
      <c r="H21" s="50">
        <v>250</v>
      </c>
      <c r="I21" s="50">
        <v>96749.46</v>
      </c>
      <c r="R21" s="50">
        <v>2.3199999999999998</v>
      </c>
      <c r="S21" s="50">
        <v>43.37</v>
      </c>
      <c r="T21" s="50">
        <v>-1960.57</v>
      </c>
      <c r="U21" s="50">
        <v>-57823.65</v>
      </c>
      <c r="W21" s="50">
        <v>36965.24</v>
      </c>
      <c r="X21" s="50">
        <v>36965.24</v>
      </c>
      <c r="Y21" s="50">
        <v>36965.24</v>
      </c>
      <c r="AA21" s="50">
        <v>38.21</v>
      </c>
      <c r="AC21" s="50">
        <v>1568</v>
      </c>
      <c r="AE21" s="50" t="s">
        <v>4259</v>
      </c>
    </row>
    <row r="22" spans="1:31">
      <c r="A22" s="50" t="s">
        <v>4239</v>
      </c>
      <c r="B22" s="50" t="s">
        <v>25</v>
      </c>
      <c r="C22" s="50" t="s">
        <v>4260</v>
      </c>
      <c r="D22" s="50" t="e">
        <f ca="1">Image("https://images-na.ssl-images-amazon.com/images/I/41sUHVqpF-L.jpg;https://images-na.ssl-images-amazon.com/images/I/51FTRdPiG4L.jpg;https://images-na.ssl-images-amazon.com/images/I/51sg8npK3+L.jpg;https://images-na.ssl-images-amazon.com/images/I/51b+Fcjt19L"&amp;".jpg;https://images-na.ssl-images-amazon.com/images/I/61m+NIwIFzL.jpg;https://images-na.ssl-images-amazon.com/images/I/317+gBlW+yL.jpg")</f>
        <v>#NAME?</v>
      </c>
      <c r="E22" s="50" t="s">
        <v>12</v>
      </c>
      <c r="F22" s="50" t="s">
        <v>27</v>
      </c>
      <c r="G22" s="50">
        <v>32</v>
      </c>
      <c r="I22" s="50">
        <v>559.67999999999995</v>
      </c>
      <c r="S22" s="50" t="s">
        <v>1217</v>
      </c>
      <c r="U22" s="50">
        <v>-266.56</v>
      </c>
      <c r="W22" s="50">
        <v>293.12</v>
      </c>
      <c r="X22" s="50">
        <v>293.12</v>
      </c>
      <c r="Y22" s="50">
        <v>293.12</v>
      </c>
      <c r="AA22" s="50">
        <v>52.37</v>
      </c>
      <c r="AC22" s="50">
        <v>1568</v>
      </c>
      <c r="AE22" s="50" t="s">
        <v>4259</v>
      </c>
    </row>
    <row r="23" spans="1:31">
      <c r="A23" s="50" t="s">
        <v>4261</v>
      </c>
      <c r="B23" s="50" t="s">
        <v>22</v>
      </c>
      <c r="C23" s="50" t="s">
        <v>4262</v>
      </c>
      <c r="D23" s="50" t="e">
        <f ca="1">Image("https://images-na.ssl-images-amazon.com/images/I/51Ty4k4RvPL.jpg;https://images-na.ssl-images-amazon.com/images/I/51PrNjO7d-L.jpg;https://images-na.ssl-images-amazon.com/images/I/51sg8npK3+L.jpg;https://images-na.ssl-images-amazon.com/images/I/51b+Fcjt19L"&amp;".jpg;https://images-na.ssl-images-amazon.com/images/I/61m+NIwIFzL.jpg;https://images-na.ssl-images-amazon.com/images/I/317+gBlW+yL.jpg;https://images-na.ssl-images-amazon.com/images/I/51Ty4k4RvPL.jpg")</f>
        <v>#NAME?</v>
      </c>
      <c r="E23" s="50" t="s">
        <v>12</v>
      </c>
      <c r="F23" s="50" t="s">
        <v>4263</v>
      </c>
      <c r="G23" s="50">
        <v>3</v>
      </c>
      <c r="I23" s="50">
        <v>90</v>
      </c>
      <c r="S23" s="50" t="s">
        <v>1217</v>
      </c>
      <c r="U23" s="50">
        <v>-33.299999999999997</v>
      </c>
      <c r="W23" s="50">
        <v>56.7</v>
      </c>
      <c r="X23" s="50">
        <v>56.7</v>
      </c>
      <c r="Y23" s="50">
        <v>56.7</v>
      </c>
      <c r="AA23" s="50">
        <v>63</v>
      </c>
      <c r="AC23" s="50">
        <v>1568</v>
      </c>
      <c r="AE23" s="50" t="s">
        <v>4259</v>
      </c>
    </row>
    <row r="24" spans="1:31">
      <c r="A24" s="50" t="s">
        <v>4264</v>
      </c>
      <c r="B24" s="50" t="s">
        <v>18</v>
      </c>
      <c r="C24" s="50" t="s">
        <v>4265</v>
      </c>
      <c r="D24" s="50" t="e">
        <f ca="1">Image("https://images-na.ssl-images-amazon.com/images/I/51G57dAxSOL.jpg;https://images-na.ssl-images-amazon.com/images/I/51Dm33QSwjL.jpg;https://images-na.ssl-images-amazon.com/images/I/61TkksL6baL.jpg;https://images-na.ssl-images-amazon.com/images/I/51RywEkoTtL"&amp;".jpg;https://images-na.ssl-images-amazon.com/images/I/31jvCD4jNjL.jpg;https://images-na.ssl-images-amazon.com/images/I/51APxXUrzfL.jpg")</f>
        <v>#NAME?</v>
      </c>
      <c r="E24" s="50" t="s">
        <v>20</v>
      </c>
      <c r="F24" s="50" t="s">
        <v>21</v>
      </c>
      <c r="G24" s="50">
        <v>1595</v>
      </c>
      <c r="H24" s="50">
        <v>40</v>
      </c>
      <c r="I24" s="50">
        <v>16827</v>
      </c>
      <c r="R24" s="50">
        <v>2.5099999999999998</v>
      </c>
      <c r="S24" s="50">
        <v>74.19</v>
      </c>
      <c r="T24" s="50">
        <v>-368.48</v>
      </c>
      <c r="U24" s="50">
        <v>-8016.02</v>
      </c>
      <c r="W24" s="50">
        <v>8442.5</v>
      </c>
      <c r="X24" s="50">
        <v>8442.5</v>
      </c>
      <c r="Y24" s="50">
        <v>8442.5</v>
      </c>
      <c r="AA24" s="50">
        <v>50.17</v>
      </c>
      <c r="AC24" s="50">
        <v>93818</v>
      </c>
      <c r="AE24" s="50" t="s">
        <v>4266</v>
      </c>
    </row>
    <row r="25" spans="1:31">
      <c r="A25" s="50" t="s">
        <v>4267</v>
      </c>
      <c r="B25" s="50" t="s">
        <v>10</v>
      </c>
      <c r="C25" s="50" t="s">
        <v>4268</v>
      </c>
      <c r="D25" s="50" t="e">
        <f ca="1">Image("https://images-na.ssl-images-amazon.com/images/I/41X+Cd3f7QL.jpg;https://images-na.ssl-images-amazon.com/images/I/316UmAiMAsL.jpg;https://images-na.ssl-images-amazon.com/images/I/31teahcaMhL.jpg;https://images-na.ssl-images-amazon.com/images/I/31b3ZDpPpIL"&amp;".jpg")</f>
        <v>#NAME?</v>
      </c>
      <c r="E25" s="50" t="s">
        <v>12</v>
      </c>
      <c r="F25" s="50" t="s">
        <v>13</v>
      </c>
      <c r="G25" s="50">
        <v>484</v>
      </c>
      <c r="H25" s="50">
        <v>8</v>
      </c>
      <c r="I25" s="50">
        <v>4495.8</v>
      </c>
      <c r="R25" s="50">
        <v>1.65</v>
      </c>
      <c r="S25" s="50">
        <v>20</v>
      </c>
      <c r="T25" s="50">
        <v>-65.44</v>
      </c>
      <c r="U25" s="50">
        <v>-2735.2</v>
      </c>
      <c r="W25" s="50">
        <v>1695.16</v>
      </c>
      <c r="X25" s="50">
        <v>1695.16</v>
      </c>
      <c r="Y25" s="50">
        <v>1695.16</v>
      </c>
      <c r="AA25" s="50">
        <v>37.71</v>
      </c>
      <c r="AC25" s="50">
        <v>1568</v>
      </c>
      <c r="AE25" s="50" t="s">
        <v>4266</v>
      </c>
    </row>
    <row r="26" spans="1:31">
      <c r="A26" s="50" t="s">
        <v>4269</v>
      </c>
      <c r="B26" s="50" t="s">
        <v>52</v>
      </c>
      <c r="C26" s="50" t="s">
        <v>53</v>
      </c>
      <c r="D26" s="50" t="e">
        <f ca="1">Image("https://images-na.ssl-images-amazon.com/images/I/51NhfyJ8RXL.jpg;https://images-na.ssl-images-amazon.com/images/I/51fx5QVoZEL.jpg;https://images-na.ssl-images-amazon.com/images/I/51Pp3kjpyVL.jpg;https://images-na.ssl-images-amazon.com/images/I/51TkE7yOr8L"&amp;".jpg;https://images-na.ssl-images-amazon.com/images/I/51QbzfTP8aL.jpg;https://images-na.ssl-images-amazon.com/images/I/51x7uYgimCL.jpg;https://images-na.ssl-images-amazon.com/images/I/61xCBM3xztL.jpg")</f>
        <v>#NAME?</v>
      </c>
      <c r="E26" s="50" t="s">
        <v>20</v>
      </c>
      <c r="F26" s="50" t="s">
        <v>54</v>
      </c>
      <c r="G26" s="50">
        <v>293</v>
      </c>
      <c r="H26" s="50">
        <v>8</v>
      </c>
      <c r="I26" s="50">
        <v>3144.38</v>
      </c>
      <c r="R26" s="50">
        <v>2.73</v>
      </c>
      <c r="S26" s="50">
        <v>100</v>
      </c>
      <c r="T26" s="50">
        <v>-76.42</v>
      </c>
      <c r="U26" s="50">
        <v>-2154.0300000000002</v>
      </c>
      <c r="W26" s="50">
        <v>913.93</v>
      </c>
      <c r="X26" s="50">
        <v>913.93</v>
      </c>
      <c r="Y26" s="50">
        <v>913.93</v>
      </c>
      <c r="AA26" s="50">
        <v>29.07</v>
      </c>
      <c r="AC26" s="50">
        <v>253419</v>
      </c>
      <c r="AE26" s="50" t="s">
        <v>4266</v>
      </c>
    </row>
    <row r="27" spans="1:31">
      <c r="A27" s="50" t="s">
        <v>4247</v>
      </c>
      <c r="B27" s="50" t="s">
        <v>88</v>
      </c>
      <c r="C27" s="50" t="s">
        <v>4270</v>
      </c>
      <c r="D27" s="50" t="e">
        <f ca="1">Image("https://images-na.ssl-images-amazon.com/images/I/41aEb7Hdp4L.jpg;https://images-na.ssl-images-amazon.com/images/I/51RNobz9zqL.jpg;https://images-na.ssl-images-amazon.com/images/I/41SNgC83nwL.jpg;https://images-na.ssl-images-amazon.com/images/I/51hyWzhfNcL"&amp;".jpg;https://images-na.ssl-images-amazon.com/images/I/51YJISElv5L.jpg;https://images-na.ssl-images-amazon.com/images/I/51CYNJk1TWL.jpg;https://images-na.ssl-images-amazon.com/images/I/51qeaNwt+9L.jpg;https://images-na.ssl-images-amazon.com/images/I/512t8z"&amp;"C0MGL.jpg")</f>
        <v>#NAME?</v>
      </c>
      <c r="E27" s="50" t="s">
        <v>20</v>
      </c>
      <c r="F27" s="50" t="s">
        <v>90</v>
      </c>
      <c r="G27" s="50">
        <v>137</v>
      </c>
      <c r="H27" s="50">
        <v>2</v>
      </c>
      <c r="I27" s="50">
        <v>1470.45</v>
      </c>
      <c r="R27" s="50">
        <v>1.46</v>
      </c>
      <c r="T27" s="50">
        <v>-19.46</v>
      </c>
      <c r="U27" s="50">
        <v>-558.17999999999995</v>
      </c>
      <c r="W27" s="50">
        <v>892.81</v>
      </c>
      <c r="X27" s="50">
        <v>892.81</v>
      </c>
      <c r="Y27" s="50">
        <v>892.81</v>
      </c>
      <c r="AA27" s="50">
        <v>60.72</v>
      </c>
      <c r="AC27" s="50">
        <v>152038</v>
      </c>
      <c r="AE27" s="50" t="s">
        <v>4266</v>
      </c>
    </row>
    <row r="28" spans="1:31">
      <c r="A28" s="50" t="s">
        <v>4271</v>
      </c>
      <c r="B28" s="50" t="s">
        <v>230</v>
      </c>
      <c r="C28" s="50" t="s">
        <v>231</v>
      </c>
      <c r="D28" s="50" t="e">
        <f ca="1">Image("https://images-na.ssl-images-amazon.com/images/I/31bjoOvrAcL.jpg;https://images-na.ssl-images-amazon.com/images/I/31A2-5A8EUL.jpg;https://images-na.ssl-images-amazon.com/images/I/31+D8jF7lsL.jpg;https://images-na.ssl-images-amazon.com/images/I/41HDY4AUpOL"&amp;".jpg;https://images-na.ssl-images-amazon.com/images/I/41-6UpxVJdL.jpg;https://images-na.ssl-images-amazon.com/images/I/41-waeHluML.jpg")</f>
        <v>#NAME?</v>
      </c>
      <c r="E28" s="50" t="s">
        <v>20</v>
      </c>
      <c r="F28" s="50" t="s">
        <v>232</v>
      </c>
      <c r="G28" s="50">
        <v>123</v>
      </c>
      <c r="H28" s="50">
        <v>4</v>
      </c>
      <c r="I28" s="50">
        <v>778.99</v>
      </c>
      <c r="R28" s="50">
        <v>3.25</v>
      </c>
      <c r="S28" s="50">
        <v>100</v>
      </c>
      <c r="T28" s="50">
        <v>-23.22</v>
      </c>
      <c r="U28" s="50">
        <v>-438.82</v>
      </c>
      <c r="W28" s="50">
        <v>316.95</v>
      </c>
      <c r="X28" s="50">
        <v>316.95</v>
      </c>
      <c r="Y28" s="50">
        <v>316.95</v>
      </c>
      <c r="AA28" s="50">
        <v>40.69</v>
      </c>
      <c r="AC28" s="50">
        <v>189724</v>
      </c>
      <c r="AE28" s="50" t="s">
        <v>4266</v>
      </c>
    </row>
    <row r="29" spans="1:31">
      <c r="A29" s="50" t="s">
        <v>4272</v>
      </c>
      <c r="B29" s="50" t="s">
        <v>136</v>
      </c>
      <c r="C29" s="50" t="s">
        <v>137</v>
      </c>
      <c r="D29" s="50" t="e">
        <f ca="1">Image("https://images-na.ssl-images-amazon.com/images/I/41qXdOrQX2L.jpg;https://images-na.ssl-images-amazon.com/images/I/4190dN7yW4L.jpg;https://images-na.ssl-images-amazon.com/images/I/41q2DLqpG9L.jpg;https://images-na.ssl-images-amazon.com/images/I/51YygNcovnL"&amp;".jpg;https://images-na.ssl-images-amazon.com/images/I/51dJN7D8a7L.jpg;https://images-na.ssl-images-amazon.com/images/I/518bW09Od+L.jpg;https://images-na.ssl-images-amazon.com/images/I/51qeaNwt+9L.jpg;https://images-na.ssl-images-amazon.com/images/I/41ZkMr"&amp;"5aNHL.jpg;https://images-na.ssl-images-amazon.com/images/I/5126pbyaPlL.jpg")</f>
        <v>#NAME?</v>
      </c>
      <c r="E29" s="50" t="s">
        <v>20</v>
      </c>
      <c r="F29" s="50" t="s">
        <v>138</v>
      </c>
      <c r="G29" s="50">
        <v>118</v>
      </c>
      <c r="I29" s="50">
        <v>1357.4</v>
      </c>
      <c r="U29" s="50">
        <v>-543.07000000000005</v>
      </c>
      <c r="W29" s="50">
        <v>814.33</v>
      </c>
      <c r="X29" s="50">
        <v>814.33</v>
      </c>
      <c r="Y29" s="50">
        <v>814.33</v>
      </c>
      <c r="AA29" s="50">
        <v>59.99</v>
      </c>
      <c r="AC29" s="50">
        <v>317291</v>
      </c>
      <c r="AE29" s="50" t="s">
        <v>4266</v>
      </c>
    </row>
    <row r="30" spans="1:31">
      <c r="A30" s="50" t="s">
        <v>4273</v>
      </c>
      <c r="B30" s="50" t="s">
        <v>145</v>
      </c>
      <c r="C30" s="50" t="s">
        <v>146</v>
      </c>
      <c r="D30" s="50" t="e">
        <f ca="1">Image("https://images-na.ssl-images-amazon.com/images/I/31q5fA+1dbL.jpg;https://images-na.ssl-images-amazon.com/images/I/51qQm37GqJL.jpg;https://images-na.ssl-images-amazon.com/images/I/51mYtBuhS-L.jpg;https://images-na.ssl-images-amazon.com/images/I/51SPPZ-kbIL"&amp;".jpg;https://images-na.ssl-images-amazon.com/images/I/41q2DLqpG9L.jpg;https://images-na.ssl-images-amazon.com/images/I/51gphCtXNTL.jpg;https://images-na.ssl-images-amazon.com/images/I/61PGVeOIkZS.jpg;https://images-na.ssl-images-amazon.com/images/I/61ec0p"&amp;"nWeQL.jpg")</f>
        <v>#NAME?</v>
      </c>
      <c r="E30" s="50" t="s">
        <v>20</v>
      </c>
      <c r="F30" s="50" t="s">
        <v>147</v>
      </c>
      <c r="G30" s="50">
        <v>110</v>
      </c>
      <c r="H30" s="50">
        <v>4</v>
      </c>
      <c r="I30" s="50">
        <v>1261.1500000000001</v>
      </c>
      <c r="R30" s="50">
        <v>3.64</v>
      </c>
      <c r="T30" s="50">
        <v>-37.159999999999997</v>
      </c>
      <c r="U30" s="50">
        <v>-505.38</v>
      </c>
      <c r="W30" s="50">
        <v>718.61</v>
      </c>
      <c r="X30" s="50">
        <v>718.61</v>
      </c>
      <c r="Y30" s="50">
        <v>718.61</v>
      </c>
      <c r="AA30" s="50">
        <v>56.98</v>
      </c>
      <c r="AC30" s="50">
        <v>259895</v>
      </c>
      <c r="AE30" s="50" t="s">
        <v>4266</v>
      </c>
    </row>
    <row r="31" spans="1:31">
      <c r="A31" s="50" t="s">
        <v>4274</v>
      </c>
      <c r="B31" s="50" t="s">
        <v>157</v>
      </c>
      <c r="C31" s="50" t="s">
        <v>158</v>
      </c>
      <c r="D31" s="50" t="e">
        <f ca="1">Image("https://images-na.ssl-images-amazon.com/images/I/51omqILQ3qL.jpg;https://images-na.ssl-images-amazon.com/images/I/510oEd39NnL.jpg;https://images-na.ssl-images-amazon.com/images/I/41q2DLqpG9L.jpg;https://images-na.ssl-images-amazon.com/images/I/51qeaNwt+9L"&amp;".jpg;https://images-na.ssl-images-amazon.com/images/I/41o30RPNFQL.jpg;https://images-na.ssl-images-amazon.com/images/I/61JtvfVX5xL.jpg;https://images-na.ssl-images-amazon.com/images/I/51HWVFhGIBL.jpg")</f>
        <v>#NAME?</v>
      </c>
      <c r="E31" s="50" t="s">
        <v>20</v>
      </c>
      <c r="F31" s="50" t="s">
        <v>159</v>
      </c>
      <c r="G31" s="50">
        <v>93</v>
      </c>
      <c r="H31" s="50">
        <v>2</v>
      </c>
      <c r="I31" s="50">
        <v>1042.3499999999999</v>
      </c>
      <c r="R31" s="50">
        <v>2.15</v>
      </c>
      <c r="S31" s="50">
        <v>50</v>
      </c>
      <c r="T31" s="50">
        <v>-22.1</v>
      </c>
      <c r="U31" s="50">
        <v>-431.37</v>
      </c>
      <c r="W31" s="50">
        <v>588.88</v>
      </c>
      <c r="X31" s="50">
        <v>588.88</v>
      </c>
      <c r="Y31" s="50">
        <v>588.88</v>
      </c>
      <c r="AA31" s="50">
        <v>56.5</v>
      </c>
      <c r="AC31" s="50">
        <v>259895</v>
      </c>
      <c r="AE31" s="50" t="s">
        <v>4266</v>
      </c>
    </row>
    <row r="32" spans="1:31">
      <c r="A32" s="50" t="s">
        <v>4275</v>
      </c>
      <c r="B32" s="50" t="s">
        <v>378</v>
      </c>
      <c r="C32" s="50" t="s">
        <v>379</v>
      </c>
      <c r="D32" s="50" t="e">
        <f ca="1">Image("https://images-na.ssl-images-amazon.com/images/I/31PFzDEPNtL.jpg;https://images-na.ssl-images-amazon.com/images/I/31+U84xmOwL.jpg;https://images-na.ssl-images-amazon.com/images/I/41ngDl8a4cL.jpg;https://images-na.ssl-images-amazon.com/images/I/31+XrbwUUsL"&amp;".jpg;https://images-na.ssl-images-amazon.com/images/I/41AynnnEuUL.jpg;https://images-na.ssl-images-amazon.com/images/I/41C7PkSLz1L.jpg;https://images-na.ssl-images-amazon.com/images/I/51y-Yh2Gh7L.jpg")</f>
        <v>#NAME?</v>
      </c>
      <c r="E32" s="50" t="s">
        <v>20</v>
      </c>
      <c r="F32" s="50" t="s">
        <v>380</v>
      </c>
      <c r="G32" s="50">
        <v>83</v>
      </c>
      <c r="H32" s="50">
        <v>6</v>
      </c>
      <c r="I32" s="50">
        <v>580.44000000000005</v>
      </c>
      <c r="R32" s="50">
        <v>7.23</v>
      </c>
      <c r="S32" s="50">
        <v>66.67</v>
      </c>
      <c r="T32" s="50">
        <v>-39.97</v>
      </c>
      <c r="U32" s="50">
        <v>-408.94</v>
      </c>
      <c r="W32" s="50">
        <v>131.53</v>
      </c>
      <c r="X32" s="50">
        <v>131.53</v>
      </c>
      <c r="Y32" s="50">
        <v>131.53</v>
      </c>
      <c r="AA32" s="50">
        <v>22.66</v>
      </c>
      <c r="AC32" s="50">
        <v>212106</v>
      </c>
      <c r="AE32" s="50" t="s">
        <v>4266</v>
      </c>
    </row>
    <row r="33" spans="1:31">
      <c r="A33" s="50" t="s">
        <v>4276</v>
      </c>
      <c r="B33" s="50" t="s">
        <v>200</v>
      </c>
      <c r="C33" s="50" t="s">
        <v>201</v>
      </c>
      <c r="D33" s="50" t="e">
        <f ca="1">Image("https://images-na.ssl-images-amazon.com/images/I/51KAxo3a-3L.jpg;https://images-na.ssl-images-amazon.com/images/I/51-8MIIOsVL.jpg;https://images-na.ssl-images-amazon.com/images/I/51Yxjdxj-RL.jpg;https://images-na.ssl-images-amazon.com/images/I/41IjNyOw+GL"&amp;".jpg;https://images-na.ssl-images-amazon.com/images/I/61YSpwZjHYL.jpg;https://images-na.ssl-images-amazon.com/images/I/61SxbPBq4VL.jpg;https://images-na.ssl-images-amazon.com/images/I/61B16W9kV0L.jpg")</f>
        <v>#NAME?</v>
      </c>
      <c r="E33" s="50" t="s">
        <v>20</v>
      </c>
      <c r="F33" s="50" t="s">
        <v>202</v>
      </c>
      <c r="G33" s="50">
        <v>72</v>
      </c>
      <c r="H33" s="50">
        <v>2</v>
      </c>
      <c r="I33" s="50">
        <v>758.45</v>
      </c>
      <c r="R33" s="50">
        <v>2.78</v>
      </c>
      <c r="S33" s="50">
        <v>50</v>
      </c>
      <c r="T33" s="50">
        <v>-18.09</v>
      </c>
      <c r="U33" s="50">
        <v>-324.92</v>
      </c>
      <c r="W33" s="50">
        <v>415.44</v>
      </c>
      <c r="X33" s="50">
        <v>415.44</v>
      </c>
      <c r="Y33" s="50">
        <v>415.44</v>
      </c>
      <c r="AA33" s="50">
        <v>54.77</v>
      </c>
      <c r="AC33" s="50">
        <v>184685</v>
      </c>
      <c r="AE33" s="50" t="s">
        <v>4266</v>
      </c>
    </row>
    <row r="34" spans="1:31">
      <c r="A34" s="50" t="s">
        <v>4277</v>
      </c>
      <c r="B34" s="50" t="s">
        <v>64</v>
      </c>
      <c r="C34" s="50" t="s">
        <v>4278</v>
      </c>
      <c r="D34" s="50" t="e">
        <f ca="1">Image("https://images-na.ssl-images-amazon.com/images/I/41AOEKiwIhL.jpg;https://images-na.ssl-images-amazon.com/images/I/31exv-sLHFS.jpg;https://images-na.ssl-images-amazon.com/images/I/31wvL5ZhC-S.jpg;https://images-na.ssl-images-amazon.com/images/I/31Q5U5NIiXS"&amp;".jpg;https://images-na.ssl-images-amazon.com/images/I/31RGHfa+tWS.jpg;https://images-na.ssl-images-amazon.com/images/I/51zXI6J2ljS.jpg")</f>
        <v>#NAME?</v>
      </c>
      <c r="E34" s="50" t="s">
        <v>16</v>
      </c>
      <c r="F34" s="50" t="s">
        <v>66</v>
      </c>
      <c r="G34" s="50">
        <v>68</v>
      </c>
      <c r="H34" s="50">
        <v>8</v>
      </c>
      <c r="I34" s="50">
        <v>947.53</v>
      </c>
      <c r="R34" s="50">
        <v>11.76</v>
      </c>
      <c r="S34" s="50">
        <v>66.67</v>
      </c>
      <c r="T34" s="50">
        <v>-89.74</v>
      </c>
      <c r="U34" s="50">
        <v>-423.65</v>
      </c>
      <c r="W34" s="50">
        <v>434.14</v>
      </c>
      <c r="X34" s="50">
        <v>434.14</v>
      </c>
      <c r="Y34" s="50">
        <v>434.14</v>
      </c>
      <c r="AA34" s="50">
        <v>45.82</v>
      </c>
      <c r="AC34" s="50">
        <v>236420</v>
      </c>
      <c r="AE34" s="50" t="s">
        <v>4266</v>
      </c>
    </row>
    <row r="35" spans="1:31">
      <c r="A35" s="50" t="s">
        <v>4279</v>
      </c>
      <c r="B35" s="50" t="s">
        <v>203</v>
      </c>
      <c r="C35" s="50" t="s">
        <v>204</v>
      </c>
      <c r="D35" s="50" t="e">
        <f ca="1">Image("https://images-na.ssl-images-amazon.com/images/I/41V7GUEZ4rL.jpg;https://images-na.ssl-images-amazon.com/images/I/41SM6fAxGLL.jpg;https://images-na.ssl-images-amazon.com/images/I/51Yxjdxj-RL.jpg;https://images-na.ssl-images-amazon.com/images/I/41jrAX77PLL"&amp;".jpg;https://images-na.ssl-images-amazon.com/images/I/611omcHeAvL.jpg;https://images-na.ssl-images-amazon.com/images/I/61bSvDpeNBL.jpg;https://images-na.ssl-images-amazon.com/images/I/51bdrOTZBZL.jpg")</f>
        <v>#NAME?</v>
      </c>
      <c r="E35" s="50" t="s">
        <v>20</v>
      </c>
      <c r="F35" s="50" t="s">
        <v>205</v>
      </c>
      <c r="G35" s="50">
        <v>68</v>
      </c>
      <c r="H35" s="50">
        <v>3</v>
      </c>
      <c r="I35" s="50">
        <v>750.28</v>
      </c>
      <c r="R35" s="50">
        <v>4.41</v>
      </c>
      <c r="S35" s="50">
        <v>50</v>
      </c>
      <c r="T35" s="50">
        <v>-28.37</v>
      </c>
      <c r="U35" s="50">
        <v>-310.60000000000002</v>
      </c>
      <c r="W35" s="50">
        <v>411.31</v>
      </c>
      <c r="X35" s="50">
        <v>411.31</v>
      </c>
      <c r="Y35" s="50">
        <v>411.31</v>
      </c>
      <c r="AA35" s="50">
        <v>54.82</v>
      </c>
      <c r="AC35" s="50">
        <v>259895</v>
      </c>
      <c r="AE35" s="50" t="s">
        <v>4266</v>
      </c>
    </row>
    <row r="36" spans="1:31">
      <c r="A36" s="50" t="s">
        <v>4280</v>
      </c>
      <c r="B36" s="50" t="s">
        <v>227</v>
      </c>
      <c r="C36" s="50" t="s">
        <v>228</v>
      </c>
      <c r="D36" s="50" t="e">
        <f ca="1">Image("https://images-na.ssl-images-amazon.com/images/I/41OVDNB8ZxL.jpg;https://images-na.ssl-images-amazon.com/images/I/51sf89CzEJL.jpg;https://images-na.ssl-images-amazon.com/images/I/41q2DLqpG9L.jpg;https://images-na.ssl-images-amazon.com/images/I/51qeaNwt+9L"&amp;".jpg;https://images-na.ssl-images-amazon.com/images/I/41lPflk+OgL.jpg;https://images-na.ssl-images-amazon.com/images/I/61geB7jq8YL.jpg;https://images-na.ssl-images-amazon.com/images/I/51l-NtkusjL.jpg")</f>
        <v>#NAME?</v>
      </c>
      <c r="E36" s="50" t="s">
        <v>20</v>
      </c>
      <c r="F36" s="50" t="s">
        <v>229</v>
      </c>
      <c r="G36" s="50">
        <v>59</v>
      </c>
      <c r="I36" s="50">
        <v>618.04999999999995</v>
      </c>
      <c r="S36" s="50" t="s">
        <v>1217</v>
      </c>
      <c r="U36" s="50">
        <v>-267.16000000000003</v>
      </c>
      <c r="W36" s="50">
        <v>350.89</v>
      </c>
      <c r="X36" s="50">
        <v>350.89</v>
      </c>
      <c r="Y36" s="50">
        <v>350.89</v>
      </c>
      <c r="AA36" s="50">
        <v>56.77</v>
      </c>
      <c r="AC36" s="50">
        <v>167908</v>
      </c>
      <c r="AE36" s="50" t="s">
        <v>4266</v>
      </c>
    </row>
    <row r="37" spans="1:31">
      <c r="A37" s="50" t="s">
        <v>4281</v>
      </c>
      <c r="B37" s="50" t="s">
        <v>206</v>
      </c>
      <c r="C37" s="50" t="s">
        <v>207</v>
      </c>
      <c r="D37" s="50" t="e">
        <f ca="1">Image("https://images-na.ssl-images-amazon.com/images/I/51JXxV9SVlL.jpg;https://images-na.ssl-images-amazon.com/images/I/51bmI8M0lnL.jpg;https://images-na.ssl-images-amazon.com/images/I/51Yxjdxj-RL.jpg;https://images-na.ssl-images-amazon.com/images/I/41SbKlYf6yL"&amp;".jpg;https://images-na.ssl-images-amazon.com/images/I/61zFBHlaYkL.jpg;https://images-na.ssl-images-amazon.com/images/I/61U-7yYxGtL.jpg;https://images-na.ssl-images-amazon.com/images/I/61vqrdPd3FL.jpg")</f>
        <v>#NAME?</v>
      </c>
      <c r="E37" s="50" t="s">
        <v>20</v>
      </c>
      <c r="F37" s="50" t="s">
        <v>208</v>
      </c>
      <c r="G37" s="50">
        <v>56</v>
      </c>
      <c r="H37" s="50">
        <v>1</v>
      </c>
      <c r="I37" s="50">
        <v>638.70000000000005</v>
      </c>
      <c r="R37" s="50">
        <v>1.79</v>
      </c>
      <c r="S37" s="50" t="s">
        <v>1217</v>
      </c>
      <c r="T37" s="50">
        <v>-8.8000000000000007</v>
      </c>
      <c r="U37" s="50">
        <v>-246.99</v>
      </c>
      <c r="W37" s="50">
        <v>382.91</v>
      </c>
      <c r="X37" s="50">
        <v>382.91</v>
      </c>
      <c r="Y37" s="50">
        <v>382.91</v>
      </c>
      <c r="AA37" s="50">
        <v>59.95</v>
      </c>
      <c r="AC37" s="50">
        <v>259895</v>
      </c>
      <c r="AE37" s="50" t="s">
        <v>4266</v>
      </c>
    </row>
    <row r="38" spans="1:31">
      <c r="A38" s="50" t="s">
        <v>4282</v>
      </c>
      <c r="B38" s="50" t="s">
        <v>242</v>
      </c>
      <c r="C38" s="50" t="s">
        <v>243</v>
      </c>
      <c r="D38" s="50" t="e">
        <f ca="1">Image("https://images-na.ssl-images-amazon.com/images/I/41ELdMKS5ZL.jpg;https://images-na.ssl-images-amazon.com/images/I/41iJio+uRKL.jpg;https://images-na.ssl-images-amazon.com/images/I/51Yxjdxj-RL.jpg;https://images-na.ssl-images-amazon.com/images/I/41rt5Ih977L"&amp;".jpg;https://images-na.ssl-images-amazon.com/images/I/61x2vm6K0sL.jpg;https://images-na.ssl-images-amazon.com/images/I/51rGJm3wZrL.jpg;https://images-na.ssl-images-amazon.com/images/I/61qhFU4IiQL.jpg")</f>
        <v>#NAME?</v>
      </c>
      <c r="E38" s="50" t="s">
        <v>20</v>
      </c>
      <c r="F38" s="50" t="s">
        <v>244</v>
      </c>
      <c r="G38" s="50">
        <v>53</v>
      </c>
      <c r="H38" s="50">
        <v>2</v>
      </c>
      <c r="I38" s="50">
        <v>570.79999999999995</v>
      </c>
      <c r="R38" s="50">
        <v>3.77</v>
      </c>
      <c r="T38" s="50">
        <v>-17.600000000000001</v>
      </c>
      <c r="U38" s="50">
        <v>-260.54000000000002</v>
      </c>
      <c r="W38" s="50">
        <v>292.66000000000003</v>
      </c>
      <c r="X38" s="50">
        <v>292.66000000000003</v>
      </c>
      <c r="Y38" s="50">
        <v>292.66000000000003</v>
      </c>
      <c r="AA38" s="50">
        <v>51.27</v>
      </c>
      <c r="AC38" s="50">
        <v>259895</v>
      </c>
      <c r="AE38" s="50" t="s">
        <v>4266</v>
      </c>
    </row>
    <row r="39" spans="1:31">
      <c r="A39" s="50" t="s">
        <v>4283</v>
      </c>
      <c r="B39" s="50" t="s">
        <v>430</v>
      </c>
      <c r="C39" s="50" t="s">
        <v>431</v>
      </c>
      <c r="D39" s="50" t="e">
        <f ca="1">Image("https://images-na.ssl-images-amazon.com/images/I/3170-0Ji0FS.jpg;https://images-na.ssl-images-amazon.com/images/I/41HdVCTs90S.jpg;https://images-na.ssl-images-amazon.com/images/I/41ZxLrrWpeS.jpg;https://images-na.ssl-images-amazon.com/images/I/41mi-vJRBSS"&amp;".jpg;https://images-na.ssl-images-amazon.com/images/I/51zfhJz3NRS.jpg;https://images-na.ssl-images-amazon.com/images/I/61EBR+7xgRS.jpg")</f>
        <v>#NAME?</v>
      </c>
      <c r="E39" s="50" t="s">
        <v>20</v>
      </c>
      <c r="F39" s="50" t="s">
        <v>432</v>
      </c>
      <c r="G39" s="50">
        <v>49</v>
      </c>
      <c r="H39" s="50">
        <v>3</v>
      </c>
      <c r="I39" s="50">
        <v>281.75</v>
      </c>
      <c r="R39" s="50">
        <v>6.12</v>
      </c>
      <c r="S39" s="50">
        <v>66.67</v>
      </c>
      <c r="T39" s="50">
        <v>-14.99</v>
      </c>
      <c r="U39" s="50">
        <v>-204.88</v>
      </c>
      <c r="W39" s="50">
        <v>61.88</v>
      </c>
      <c r="X39" s="50">
        <v>61.88</v>
      </c>
      <c r="Y39" s="50">
        <v>61.88</v>
      </c>
      <c r="AA39" s="50">
        <v>21.96</v>
      </c>
      <c r="AC39" s="50">
        <v>84648</v>
      </c>
      <c r="AE39" s="50" t="s">
        <v>4266</v>
      </c>
    </row>
    <row r="40" spans="1:31">
      <c r="A40" s="50" t="s">
        <v>4284</v>
      </c>
      <c r="B40" s="50" t="s">
        <v>218</v>
      </c>
      <c r="C40" s="50" t="s">
        <v>219</v>
      </c>
      <c r="D40" s="50" t="e">
        <f ca="1">Image("https://images-na.ssl-images-amazon.com/images/I/51JaG88vTwL.jpg;https://images-na.ssl-images-amazon.com/images/I/41lkF3dx4-L.jpg;https://images-na.ssl-images-amazon.com/images/I/51P4G70yb+L.jpg;https://images-na.ssl-images-amazon.com/images/I/51Yxjdxj-RL"&amp;".jpg;https://images-na.ssl-images-amazon.com/images/I/61a3LacXPzL.jpg;https://images-na.ssl-images-amazon.com/images/I/41bIOBA+ZcL.jpg")</f>
        <v>#NAME?</v>
      </c>
      <c r="E40" s="50" t="s">
        <v>20</v>
      </c>
      <c r="F40" s="50" t="s">
        <v>220</v>
      </c>
      <c r="G40" s="50">
        <v>49</v>
      </c>
      <c r="H40" s="50">
        <v>3</v>
      </c>
      <c r="I40" s="50">
        <v>606.35</v>
      </c>
      <c r="R40" s="50">
        <v>6.12</v>
      </c>
      <c r="S40" s="50">
        <v>50</v>
      </c>
      <c r="T40" s="50">
        <v>-34.909999999999997</v>
      </c>
      <c r="U40" s="50">
        <v>-209.77</v>
      </c>
      <c r="W40" s="50">
        <v>361.67</v>
      </c>
      <c r="X40" s="50">
        <v>361.67</v>
      </c>
      <c r="Y40" s="50">
        <v>361.67</v>
      </c>
      <c r="AA40" s="50">
        <v>59.65</v>
      </c>
      <c r="AC40" s="50">
        <v>259895</v>
      </c>
      <c r="AE40" s="50" t="s">
        <v>4266</v>
      </c>
    </row>
    <row r="41" spans="1:31">
      <c r="A41" s="50" t="s">
        <v>4285</v>
      </c>
      <c r="B41" s="50" t="s">
        <v>370</v>
      </c>
      <c r="C41" s="50" t="s">
        <v>371</v>
      </c>
      <c r="D41" s="50" t="e">
        <f ca="1">Image("https://images-na.ssl-images-amazon.com/images/I/311NYDDTGSL.jpg;https://images-na.ssl-images-amazon.com/images/I/41OwSASaDcL.jpg;https://images-na.ssl-images-amazon.com/images/I/31WOFOPMEDL.jpg;https://images-na.ssl-images-amazon.com/images/I/41joVqb+y6L"&amp;".jpg;https://images-na.ssl-images-amazon.com/images/I/51XDnlU4vyL.jpg;https://images-na.ssl-images-amazon.com/images/I/41fbIrKq8sL.jpg")</f>
        <v>#NAME?</v>
      </c>
      <c r="E41" s="50" t="s">
        <v>20</v>
      </c>
      <c r="F41" s="50" t="s">
        <v>372</v>
      </c>
      <c r="G41" s="50">
        <v>47</v>
      </c>
      <c r="I41" s="50">
        <v>295.94</v>
      </c>
      <c r="S41" s="50" t="s">
        <v>1217</v>
      </c>
      <c r="U41" s="50">
        <v>-198.9</v>
      </c>
      <c r="W41" s="50">
        <v>97.04</v>
      </c>
      <c r="X41" s="50">
        <v>97.04</v>
      </c>
      <c r="Y41" s="50">
        <v>97.04</v>
      </c>
      <c r="AA41" s="50">
        <v>32.79</v>
      </c>
      <c r="AC41" s="50">
        <v>84648</v>
      </c>
      <c r="AE41" s="50" t="s">
        <v>4266</v>
      </c>
    </row>
    <row r="42" spans="1:31">
      <c r="A42" s="50" t="s">
        <v>4286</v>
      </c>
      <c r="B42" s="50" t="s">
        <v>239</v>
      </c>
      <c r="C42" s="50" t="s">
        <v>240</v>
      </c>
      <c r="D42" s="50" t="e">
        <f ca="1">Image("https://images-na.ssl-images-amazon.com/images/I/41ze7mM6wVL.jpg;https://images-na.ssl-images-amazon.com/images/I/41EUsg9pKYL.jpg;https://images-na.ssl-images-amazon.com/images/I/51Yxjdxj-RL.jpg;https://images-na.ssl-images-amazon.com/images/I/41Q3VVdbWUL"&amp;".jpg;https://images-na.ssl-images-amazon.com/images/I/61xWBrdBz+L.jpg;https://images-na.ssl-images-amazon.com/images/I/61902wogetL.jpg;https://images-na.ssl-images-amazon.com/images/I/51MTEWFCc6L.jpg")</f>
        <v>#NAME?</v>
      </c>
      <c r="E42" s="50" t="s">
        <v>20</v>
      </c>
      <c r="F42" s="50" t="s">
        <v>241</v>
      </c>
      <c r="G42" s="50">
        <v>46</v>
      </c>
      <c r="I42" s="50">
        <v>496.55</v>
      </c>
      <c r="S42" s="50" t="s">
        <v>1217</v>
      </c>
      <c r="U42" s="50">
        <v>-201.97</v>
      </c>
      <c r="W42" s="50">
        <v>294.58</v>
      </c>
      <c r="X42" s="50">
        <v>294.58</v>
      </c>
      <c r="Y42" s="50">
        <v>294.58</v>
      </c>
      <c r="AA42" s="50">
        <v>59.33</v>
      </c>
      <c r="AC42" s="50">
        <v>259895</v>
      </c>
      <c r="AE42" s="50" t="s">
        <v>4266</v>
      </c>
    </row>
    <row r="43" spans="1:31">
      <c r="A43" s="50" t="s">
        <v>4287</v>
      </c>
      <c r="B43" s="50" t="s">
        <v>346</v>
      </c>
      <c r="C43" s="50" t="s">
        <v>347</v>
      </c>
      <c r="D43" s="50" t="e">
        <f ca="1">Image("https://images-na.ssl-images-amazon.com/images/I/31v0xI7xWNL.jpg;https://images-na.ssl-images-amazon.com/images/I/41+ANEV0ldL.jpg;https://images-na.ssl-images-amazon.com/images/I/516Sd02Uo8L.jpg;https://images-na.ssl-images-amazon.com/images/I/41g9mhQLM7L"&amp;".jpg;https://images-na.ssl-images-amazon.com/images/I/41raibcWucL.jpg;https://images-na.ssl-images-amazon.com/images/I/41aOY3d1JvL.jpg;https://images-na.ssl-images-amazon.com/images/I/31LM4TYxu7L.jpg")</f>
        <v>#NAME?</v>
      </c>
      <c r="E43" s="50" t="s">
        <v>20</v>
      </c>
      <c r="F43" s="50" t="s">
        <v>348</v>
      </c>
      <c r="G43" s="50">
        <v>43</v>
      </c>
      <c r="H43" s="50">
        <v>2</v>
      </c>
      <c r="I43" s="50">
        <v>342.89</v>
      </c>
      <c r="R43" s="50">
        <v>4.6500000000000004</v>
      </c>
      <c r="S43" s="50">
        <v>100</v>
      </c>
      <c r="T43" s="50">
        <v>-14</v>
      </c>
      <c r="U43" s="50">
        <v>-166.28</v>
      </c>
      <c r="W43" s="50">
        <v>162.61000000000001</v>
      </c>
      <c r="X43" s="50">
        <v>162.61000000000001</v>
      </c>
      <c r="Y43" s="50">
        <v>162.61000000000001</v>
      </c>
      <c r="AA43" s="50">
        <v>47.42</v>
      </c>
      <c r="AC43" s="50">
        <v>677430</v>
      </c>
      <c r="AE43" s="50" t="s">
        <v>4266</v>
      </c>
    </row>
    <row r="44" spans="1:31">
      <c r="A44" s="50" t="s">
        <v>4288</v>
      </c>
      <c r="B44" s="50" t="s">
        <v>260</v>
      </c>
      <c r="C44" s="50" t="s">
        <v>261</v>
      </c>
      <c r="D44" s="50" t="e">
        <f ca="1">Image("https://images-na.ssl-images-amazon.com/images/I/51aax+LXamL.jpg;https://images-na.ssl-images-amazon.com/images/I/51K8G8sxrGL.jpg;https://images-na.ssl-images-amazon.com/images/I/51Yxjdxj-RL.jpg;https://images-na.ssl-images-amazon.com/images/I/415XsatkMhL"&amp;".jpg;https://images-na.ssl-images-amazon.com/images/I/61UNLoniAoL.jpg;https://images-na.ssl-images-amazon.com/images/I/61XZSXM935L.jpg;https://images-na.ssl-images-amazon.com/images/I/618r+q6zVUL.jpg")</f>
        <v>#NAME?</v>
      </c>
      <c r="E44" s="50" t="s">
        <v>20</v>
      </c>
      <c r="F44" s="50" t="s">
        <v>262</v>
      </c>
      <c r="G44" s="50">
        <v>41</v>
      </c>
      <c r="H44" s="50">
        <v>1</v>
      </c>
      <c r="I44" s="50">
        <v>477.6</v>
      </c>
      <c r="R44" s="50">
        <v>2.44</v>
      </c>
      <c r="S44" s="50">
        <v>100</v>
      </c>
      <c r="T44" s="50">
        <v>-12.81</v>
      </c>
      <c r="U44" s="50">
        <v>-199.35</v>
      </c>
      <c r="W44" s="50">
        <v>265.44</v>
      </c>
      <c r="X44" s="50">
        <v>265.44</v>
      </c>
      <c r="Y44" s="50">
        <v>265.44</v>
      </c>
      <c r="AA44" s="50">
        <v>55.58</v>
      </c>
      <c r="AC44" s="50">
        <v>259895</v>
      </c>
      <c r="AE44" s="50" t="s">
        <v>4266</v>
      </c>
    </row>
    <row r="45" spans="1:31">
      <c r="A45" s="50" t="s">
        <v>4289</v>
      </c>
      <c r="B45" s="50" t="s">
        <v>115</v>
      </c>
      <c r="C45" s="50" t="s">
        <v>116</v>
      </c>
      <c r="D45" s="50" t="e">
        <f ca="1">Image("https://images-na.ssl-images-amazon.com/images/I/413ck9lsOKL.jpg;https://images-na.ssl-images-amazon.com/images/I/51UscLhaobL.jpg;https://images-na.ssl-images-amazon.com/images/I/419iX+USdLL.jpg;https://images-na.ssl-images-amazon.com/images/I/41dskjfBfCL"&amp;".jpg;https://images-na.ssl-images-amazon.com/images/I/41aiVR-WqFL.jpg;https://images-na.ssl-images-amazon.com/images/I/417VtmlIFML.jpg;https://images-na.ssl-images-amazon.com/images/I/41BHpUibkjL.jpg;https://images-na.ssl-images-amazon.com/images/I/61tPVZ"&amp;"EHwGL.jpg")</f>
        <v>#NAME?</v>
      </c>
      <c r="E45" s="50" t="s">
        <v>20</v>
      </c>
      <c r="F45" s="50" t="s">
        <v>117</v>
      </c>
      <c r="G45" s="50">
        <v>33</v>
      </c>
      <c r="I45" s="50">
        <v>291.02999999999997</v>
      </c>
      <c r="S45" s="50" t="s">
        <v>1217</v>
      </c>
      <c r="U45" s="50">
        <v>-159.38999999999999</v>
      </c>
      <c r="W45" s="50">
        <v>131.63999999999999</v>
      </c>
      <c r="X45" s="50">
        <v>131.63999999999999</v>
      </c>
      <c r="Y45" s="50">
        <v>131.63999999999999</v>
      </c>
      <c r="AA45" s="50">
        <v>45.23</v>
      </c>
      <c r="AC45" s="50">
        <v>107833</v>
      </c>
      <c r="AE45" s="50" t="s">
        <v>4266</v>
      </c>
    </row>
    <row r="46" spans="1:31">
      <c r="A46" s="50" t="s">
        <v>4290</v>
      </c>
      <c r="B46" s="50" t="s">
        <v>307</v>
      </c>
      <c r="C46" s="50" t="s">
        <v>308</v>
      </c>
      <c r="D46" s="50" t="e">
        <f ca="1">Image("https://images-na.ssl-images-amazon.com/images/I/41LPVSsdqIL.jpg;https://images-na.ssl-images-amazon.com/images/I/5103XKI2mhL.jpg;https://images-na.ssl-images-amazon.com/images/I/41q2DLqpG9L.jpg;https://images-na.ssl-images-amazon.com/images/I/51qeaNwt+9L"&amp;".jpg;https://images-na.ssl-images-amazon.com/images/I/41kfDKcNb+L.jpg;https://images-na.ssl-images-amazon.com/images/I/61aaPBB3vrL.jpg;https://images-na.ssl-images-amazon.com/images/I/5133oUOjsKL.jpg")</f>
        <v>#NAME?</v>
      </c>
      <c r="E46" s="50" t="s">
        <v>20</v>
      </c>
      <c r="F46" s="50" t="s">
        <v>309</v>
      </c>
      <c r="G46" s="50">
        <v>30</v>
      </c>
      <c r="I46" s="50">
        <v>324.64999999999998</v>
      </c>
      <c r="S46" s="50" t="s">
        <v>1217</v>
      </c>
      <c r="U46" s="50">
        <v>-129.46</v>
      </c>
      <c r="W46" s="50">
        <v>195.19</v>
      </c>
      <c r="X46" s="50">
        <v>195.19</v>
      </c>
      <c r="Y46" s="50">
        <v>195.19</v>
      </c>
      <c r="AA46" s="50">
        <v>60.12</v>
      </c>
      <c r="AC46" s="50">
        <v>259895</v>
      </c>
      <c r="AE46" s="50" t="s">
        <v>4266</v>
      </c>
    </row>
    <row r="47" spans="1:31">
      <c r="A47" s="50" t="s">
        <v>4291</v>
      </c>
      <c r="B47" s="50" t="s">
        <v>334</v>
      </c>
      <c r="C47" s="50" t="s">
        <v>335</v>
      </c>
      <c r="D47" s="50" t="e">
        <f ca="1">Image("https://images-na.ssl-images-amazon.com/images/I/41w4nldMEXL.jpg;https://images-na.ssl-images-amazon.com/images/I/41wykx3OuuL.jpg;https://images-na.ssl-images-amazon.com/images/I/41QdvP4fhPL.jpg;https://images-na.ssl-images-amazon.com/images/I/515-99gEUKL"&amp;".jpg;https://images-na.ssl-images-amazon.com/images/I/51-Yk3L-V7L.jpg;https://images-na.ssl-images-amazon.com/images/I/51Fm8nrGEeL.jpg;https://images-na.ssl-images-amazon.com/images/I/51Yxjdxj-RL.jpg")</f>
        <v>#NAME?</v>
      </c>
      <c r="E47" s="50" t="s">
        <v>20</v>
      </c>
      <c r="F47" s="50" t="s">
        <v>336</v>
      </c>
      <c r="G47" s="50">
        <v>30</v>
      </c>
      <c r="I47" s="50">
        <v>346.3</v>
      </c>
      <c r="S47" s="50" t="s">
        <v>1217</v>
      </c>
      <c r="U47" s="50">
        <v>-172.98</v>
      </c>
      <c r="W47" s="50">
        <v>173.32</v>
      </c>
      <c r="X47" s="50">
        <v>173.32</v>
      </c>
      <c r="Y47" s="50">
        <v>173.32</v>
      </c>
      <c r="AA47" s="50">
        <v>50.05</v>
      </c>
      <c r="AC47" s="50">
        <v>259895</v>
      </c>
      <c r="AE47" s="50" t="s">
        <v>4266</v>
      </c>
    </row>
    <row r="48" spans="1:31">
      <c r="A48" s="50" t="s">
        <v>4292</v>
      </c>
      <c r="B48" s="50" t="s">
        <v>563</v>
      </c>
      <c r="C48" s="50" t="s">
        <v>564</v>
      </c>
      <c r="D48" s="50" t="e">
        <f ca="1">Image("https://images-na.ssl-images-amazon.com/images/I/31wpkKyJhUL.jpg;https://images-na.ssl-images-amazon.com/images/I/31OljM0tliL.jpg;https://images-na.ssl-images-amazon.com/images/I/31K8E-WicxL.jpg;https://images-na.ssl-images-amazon.com/images/I/51YP17Df0kL"&amp;".jpg;https://images-na.ssl-images-amazon.com/images/I/41IiDjD3unL.jpg;https://images-na.ssl-images-amazon.com/images/I/51--EGoBBQL.jpg;https://images-na.ssl-images-amazon.com/images/I/51V0N0K2LRL.jpg")</f>
        <v>#NAME?</v>
      </c>
      <c r="E48" s="50" t="s">
        <v>20</v>
      </c>
      <c r="F48" s="50" t="s">
        <v>565</v>
      </c>
      <c r="G48" s="50">
        <v>29</v>
      </c>
      <c r="H48" s="50">
        <v>3</v>
      </c>
      <c r="I48" s="50">
        <v>192.18</v>
      </c>
      <c r="R48" s="50">
        <v>10.34</v>
      </c>
      <c r="S48" s="50">
        <v>100</v>
      </c>
      <c r="T48" s="50">
        <v>-18.829999999999998</v>
      </c>
      <c r="U48" s="50">
        <v>-131.33000000000001</v>
      </c>
      <c r="W48" s="50">
        <v>42.02</v>
      </c>
      <c r="X48" s="50">
        <v>42.02</v>
      </c>
      <c r="Y48" s="50">
        <v>42.02</v>
      </c>
      <c r="AA48" s="50">
        <v>21.86</v>
      </c>
      <c r="AC48" s="50">
        <v>212106</v>
      </c>
      <c r="AE48" s="50" t="s">
        <v>4266</v>
      </c>
    </row>
    <row r="49" spans="1:31">
      <c r="A49" s="50" t="s">
        <v>4293</v>
      </c>
      <c r="B49" s="50" t="s">
        <v>551</v>
      </c>
      <c r="C49" s="50" t="s">
        <v>552</v>
      </c>
      <c r="D49" s="50" t="e">
        <f ca="1">Image("https://images-na.ssl-images-amazon.com/images/I/21p+ILRg6TL.jpg;https://images-na.ssl-images-amazon.com/images/I/41Dm7AAbLjL.jpg;https://images-na.ssl-images-amazon.com/images/I/31+GpQnVaDL.jpg;https://images-na.ssl-images-amazon.com/images/I/41mPq-P30bL"&amp;".jpg;https://images-na.ssl-images-amazon.com/images/I/51jHIudoHLL.jpg")</f>
        <v>#NAME?</v>
      </c>
      <c r="E49" s="50" t="s">
        <v>20</v>
      </c>
      <c r="F49" s="50" t="s">
        <v>553</v>
      </c>
      <c r="G49" s="50">
        <v>29</v>
      </c>
      <c r="H49" s="50">
        <v>1</v>
      </c>
      <c r="I49" s="50">
        <v>151.5</v>
      </c>
      <c r="R49" s="50">
        <v>3.45</v>
      </c>
      <c r="S49" s="50" t="s">
        <v>1217</v>
      </c>
      <c r="T49" s="50">
        <v>-4.84</v>
      </c>
      <c r="U49" s="50">
        <v>-108.93</v>
      </c>
      <c r="W49" s="50">
        <v>37.729999999999997</v>
      </c>
      <c r="X49" s="50">
        <v>37.729999999999997</v>
      </c>
      <c r="Y49" s="50">
        <v>37.729999999999997</v>
      </c>
      <c r="AA49" s="50">
        <v>24.9</v>
      </c>
      <c r="AC49" s="50">
        <v>212106</v>
      </c>
      <c r="AE49" s="50" t="s">
        <v>4266</v>
      </c>
    </row>
    <row r="50" spans="1:31">
      <c r="A50" s="50" t="s">
        <v>4294</v>
      </c>
      <c r="B50" s="50" t="s">
        <v>322</v>
      </c>
      <c r="C50" s="50" t="s">
        <v>323</v>
      </c>
      <c r="D50" s="50" t="e">
        <f ca="1">Image("https://images-na.ssl-images-amazon.com/images/I/41UjIhu3v4L.jpg;https://images-na.ssl-images-amazon.com/images/I/41FNmvhossL.jpg;https://images-na.ssl-images-amazon.com/images/I/51Yxjdxj-RL.jpg;https://images-na.ssl-images-amazon.com/images/I/41vyzjACAfL"&amp;".jpg;https://images-na.ssl-images-amazon.com/images/I/61hClIxxcLL.jpg;https://images-na.ssl-images-amazon.com/images/I/61Op1bcgPrL.jpg;https://images-na.ssl-images-amazon.com/images/I/519XXkzez1L.jpg")</f>
        <v>#NAME?</v>
      </c>
      <c r="E50" s="50" t="s">
        <v>20</v>
      </c>
      <c r="F50" s="50" t="s">
        <v>324</v>
      </c>
      <c r="G50" s="50">
        <v>26</v>
      </c>
      <c r="I50" s="50">
        <v>290.89999999999998</v>
      </c>
      <c r="S50" s="50" t="s">
        <v>1217</v>
      </c>
      <c r="U50" s="50">
        <v>-122.64</v>
      </c>
      <c r="W50" s="50">
        <v>168.26</v>
      </c>
      <c r="X50" s="50">
        <v>168.26</v>
      </c>
      <c r="Y50" s="50">
        <v>168.26</v>
      </c>
      <c r="AA50" s="50">
        <v>57.84</v>
      </c>
      <c r="AC50" s="50">
        <v>300933</v>
      </c>
      <c r="AE50" s="50" t="s">
        <v>4266</v>
      </c>
    </row>
    <row r="51" spans="1:31">
      <c r="A51" s="50" t="s">
        <v>4295</v>
      </c>
      <c r="B51" s="50" t="s">
        <v>343</v>
      </c>
      <c r="C51" s="50" t="s">
        <v>344</v>
      </c>
      <c r="D51" s="50" t="e">
        <f ca="1">Image("https://images-na.ssl-images-amazon.com/images/I/518DoVOs+wL.jpg;https://images-na.ssl-images-amazon.com/images/I/51RpoOhF2pL.jpg;https://images-na.ssl-images-amazon.com/images/I/51Yxjdxj-RL.jpg;https://images-na.ssl-images-amazon.com/images/I/414AmS4f1zL"&amp;".jpg;https://images-na.ssl-images-amazon.com/images/I/61O8Ac8tAfL.jpg;https://images-na.ssl-images-amazon.com/images/I/61CzNQ2RuwL.jpg;https://images-na.ssl-images-amazon.com/images/I/61aMtyYcGAL.jpg")</f>
        <v>#NAME?</v>
      </c>
      <c r="E51" s="50" t="s">
        <v>20</v>
      </c>
      <c r="F51" s="50" t="s">
        <v>345</v>
      </c>
      <c r="G51" s="50">
        <v>26</v>
      </c>
      <c r="I51" s="50">
        <v>367.2</v>
      </c>
      <c r="S51" s="50" t="s">
        <v>1217</v>
      </c>
      <c r="U51" s="50">
        <v>-203.41</v>
      </c>
      <c r="W51" s="50">
        <v>163.79</v>
      </c>
      <c r="X51" s="50">
        <v>163.79</v>
      </c>
      <c r="Y51" s="50">
        <v>163.79</v>
      </c>
      <c r="AA51" s="50">
        <v>44.61</v>
      </c>
      <c r="AC51" s="50">
        <v>259895</v>
      </c>
      <c r="AE51" s="50" t="s">
        <v>4266</v>
      </c>
    </row>
    <row r="52" spans="1:31">
      <c r="A52" s="50" t="s">
        <v>4296</v>
      </c>
      <c r="B52" s="50" t="s">
        <v>545</v>
      </c>
      <c r="C52" s="50" t="s">
        <v>546</v>
      </c>
      <c r="D52" s="50" t="e">
        <f ca="1">Image("https://images-na.ssl-images-amazon.com/images/I/21PI-hYxmJL.jpg;https://images-na.ssl-images-amazon.com/images/I/21Ghpe9VbvL.jpg;https://images-na.ssl-images-amazon.com/images/I/11mcDBOpnDL.jpg;https://images-na.ssl-images-amazon.com/images/I/21UfEckZSbL"&amp;".jpg;https://images-na.ssl-images-amazon.com/images/I/31UWnLINN2L.jpg;https://images-na.ssl-images-amazon.com/images/I/41s6L0G-UhL.jpg")</f>
        <v>#NAME?</v>
      </c>
      <c r="E52" s="50" t="s">
        <v>20</v>
      </c>
      <c r="F52" s="50" t="s">
        <v>547</v>
      </c>
      <c r="G52" s="50">
        <v>26</v>
      </c>
      <c r="I52" s="50">
        <v>127.38</v>
      </c>
      <c r="S52" s="50" t="s">
        <v>1217</v>
      </c>
      <c r="U52" s="50">
        <v>-81.489999999999995</v>
      </c>
      <c r="W52" s="50">
        <v>45.89</v>
      </c>
      <c r="X52" s="50">
        <v>45.89</v>
      </c>
      <c r="Y52" s="50">
        <v>45.89</v>
      </c>
      <c r="AA52" s="50">
        <v>36.03</v>
      </c>
      <c r="AC52" s="50">
        <v>212106</v>
      </c>
      <c r="AE52" s="50" t="s">
        <v>4266</v>
      </c>
    </row>
    <row r="53" spans="1:31">
      <c r="A53" s="50" t="s">
        <v>4297</v>
      </c>
      <c r="B53" s="50" t="s">
        <v>349</v>
      </c>
      <c r="C53" s="50" t="s">
        <v>350</v>
      </c>
      <c r="D53" s="50" t="e">
        <f ca="1">Image("https://images-na.ssl-images-amazon.com/images/I/418SPFkyQxL.jpg;https://images-na.ssl-images-amazon.com/images/I/51f9dCmknwL.jpg;https://images-na.ssl-images-amazon.com/images/I/51Yxjdxj-RL.jpg;https://images-na.ssl-images-amazon.com/images/I/41jfoLLT0WL"&amp;".jpg;https://images-na.ssl-images-amazon.com/images/I/61vqS+q9gjL.jpg;https://images-na.ssl-images-amazon.com/images/I/61NkztjjVkL.jpg;https://images-na.ssl-images-amazon.com/images/I/51Tc6Skn-gL.jpg")</f>
        <v>#NAME?</v>
      </c>
      <c r="E53" s="50" t="s">
        <v>20</v>
      </c>
      <c r="F53" s="50" t="s">
        <v>351</v>
      </c>
      <c r="G53" s="50">
        <v>25</v>
      </c>
      <c r="I53" s="50">
        <v>269.45</v>
      </c>
      <c r="S53" s="50" t="s">
        <v>1217</v>
      </c>
      <c r="U53" s="50">
        <v>-109.72</v>
      </c>
      <c r="W53" s="50">
        <v>159.72999999999999</v>
      </c>
      <c r="X53" s="50">
        <v>159.72999999999999</v>
      </c>
      <c r="Y53" s="50">
        <v>159.72999999999999</v>
      </c>
      <c r="AA53" s="50">
        <v>59.28</v>
      </c>
      <c r="AC53" s="50">
        <v>184685</v>
      </c>
      <c r="AE53" s="50" t="s">
        <v>4266</v>
      </c>
    </row>
    <row r="54" spans="1:31">
      <c r="A54" s="50" t="s">
        <v>4298</v>
      </c>
      <c r="B54" s="50" t="s">
        <v>304</v>
      </c>
      <c r="C54" s="50" t="s">
        <v>305</v>
      </c>
      <c r="D54" s="50" t="e">
        <f ca="1">Image("https://images-na.ssl-images-amazon.com/images/I/41wGO2BxR9S.jpg;https://images-na.ssl-images-amazon.com/images/I/41PY4xQtSJS.jpg;https://images-na.ssl-images-amazon.com/images/I/51Yxjdxj-RL.jpg;https://images-na.ssl-images-amazon.com/images/I/61wIGWyfkKL"&amp;".jpg;https://images-na.ssl-images-amazon.com/images/I/61I2EpK6VHL.jpg")</f>
        <v>#NAME?</v>
      </c>
      <c r="E54" s="50" t="s">
        <v>20</v>
      </c>
      <c r="F54" s="50" t="s">
        <v>306</v>
      </c>
      <c r="G54" s="50">
        <v>24</v>
      </c>
      <c r="H54" s="50">
        <v>1</v>
      </c>
      <c r="I54" s="50">
        <v>295</v>
      </c>
      <c r="R54" s="50">
        <v>4.17</v>
      </c>
      <c r="S54" s="50" t="s">
        <v>1217</v>
      </c>
      <c r="T54" s="50">
        <v>-11.05</v>
      </c>
      <c r="U54" s="50">
        <v>-109.71</v>
      </c>
      <c r="W54" s="50">
        <v>174.24</v>
      </c>
      <c r="X54" s="50">
        <v>174.24</v>
      </c>
      <c r="Y54" s="50">
        <v>174.24</v>
      </c>
      <c r="AA54" s="50">
        <v>59.06</v>
      </c>
      <c r="AC54" s="50">
        <v>259895</v>
      </c>
      <c r="AE54" s="50" t="s">
        <v>4266</v>
      </c>
    </row>
    <row r="55" spans="1:31">
      <c r="A55" s="50" t="s">
        <v>4299</v>
      </c>
      <c r="B55" s="50" t="s">
        <v>427</v>
      </c>
      <c r="C55" s="50" t="s">
        <v>428</v>
      </c>
      <c r="D55" s="50" t="e">
        <f ca="1">Image("https://images-na.ssl-images-amazon.com/images/I/41u3ZXUdfkL.jpg;https://images-na.ssl-images-amazon.com/images/I/51g+QC5ZUFL.jpg;https://images-na.ssl-images-amazon.com/images/I/51Yxjdxj-RL.jpg;https://images-na.ssl-images-amazon.com/images/I/41xBy9LksML"&amp;".jpg;https://images-na.ssl-images-amazon.com/images/I/61cILs-dThL.jpg;https://images-na.ssl-images-amazon.com/images/I/61r0RnfXcHL.jpg;https://images-na.ssl-images-amazon.com/images/I/51aV4JF+6oL.jpg")</f>
        <v>#NAME?</v>
      </c>
      <c r="E55" s="50" t="s">
        <v>20</v>
      </c>
      <c r="F55" s="50" t="s">
        <v>429</v>
      </c>
      <c r="G55" s="50">
        <v>24</v>
      </c>
      <c r="I55" s="50">
        <v>195.3</v>
      </c>
      <c r="S55" s="50" t="s">
        <v>1217</v>
      </c>
      <c r="U55" s="50">
        <v>-93.38</v>
      </c>
      <c r="W55" s="50">
        <v>101.92</v>
      </c>
      <c r="X55" s="50">
        <v>101.92</v>
      </c>
      <c r="Y55" s="50">
        <v>101.92</v>
      </c>
      <c r="AA55" s="50">
        <v>52.19</v>
      </c>
      <c r="AC55" s="50">
        <v>156483</v>
      </c>
      <c r="AE55" s="50" t="s">
        <v>4266</v>
      </c>
    </row>
    <row r="56" spans="1:31">
      <c r="A56" s="50" t="s">
        <v>4300</v>
      </c>
      <c r="B56" s="50" t="s">
        <v>590</v>
      </c>
      <c r="C56" s="50" t="s">
        <v>591</v>
      </c>
      <c r="D56" s="50" t="e">
        <f ca="1">Image("https://images-na.ssl-images-amazon.com/images/I/31020BwR3gL.jpg;https://images-na.ssl-images-amazon.com/images/I/41ho8gpp+cL.jpg;https://images-na.ssl-images-amazon.com/images/I/31lQVp64HCL.jpg;https://images-na.ssl-images-amazon.com/images/I/31-XZAY0lFL"&amp;".jpg")</f>
        <v>#NAME?</v>
      </c>
      <c r="E56" s="50" t="s">
        <v>20</v>
      </c>
      <c r="F56" s="50" t="s">
        <v>592</v>
      </c>
      <c r="G56" s="50">
        <v>21</v>
      </c>
      <c r="H56" s="50">
        <v>1</v>
      </c>
      <c r="I56" s="50">
        <v>111.55</v>
      </c>
      <c r="R56" s="50">
        <v>4.76</v>
      </c>
      <c r="S56" s="50">
        <v>100</v>
      </c>
      <c r="T56" s="50">
        <v>-5.2</v>
      </c>
      <c r="U56" s="50">
        <v>-68.180000000000007</v>
      </c>
      <c r="W56" s="50">
        <v>38.17</v>
      </c>
      <c r="X56" s="50">
        <v>38.17</v>
      </c>
      <c r="Y56" s="50">
        <v>38.17</v>
      </c>
      <c r="AA56" s="50">
        <v>34.22</v>
      </c>
      <c r="AC56" s="50">
        <v>212106</v>
      </c>
      <c r="AE56" s="50" t="s">
        <v>4266</v>
      </c>
    </row>
    <row r="57" spans="1:31">
      <c r="A57" s="50" t="s">
        <v>4301</v>
      </c>
      <c r="B57" s="50" t="s">
        <v>566</v>
      </c>
      <c r="C57" s="50" t="s">
        <v>567</v>
      </c>
      <c r="D57" s="50" t="e">
        <f ca="1">Image("https://images-na.ssl-images-amazon.com/images/I/31KCPTP+qNL.jpg;https://images-na.ssl-images-amazon.com/images/I/319VuiJ2nvL.jpg;https://images-na.ssl-images-amazon.com/images/I/31VDfo7Uj5L.jpg;https://images-na.ssl-images-amazon.com/images/I/41JIPc31d6L"&amp;".jpg;https://images-na.ssl-images-amazon.com/images/I/41YDRczuiGL.jpg;https://images-na.ssl-images-amazon.com/images/I/51TAiw2MGTL.jpg;https://images-na.ssl-images-amazon.com/images/I/41cLO3ZWQoL.jpg")</f>
        <v>#NAME?</v>
      </c>
      <c r="E57" s="50" t="s">
        <v>20</v>
      </c>
      <c r="F57" s="50" t="s">
        <v>568</v>
      </c>
      <c r="G57" s="50">
        <v>20</v>
      </c>
      <c r="H57" s="50">
        <v>1</v>
      </c>
      <c r="I57" s="50">
        <v>90</v>
      </c>
      <c r="R57" s="50">
        <v>5</v>
      </c>
      <c r="T57" s="50">
        <v>-4.21</v>
      </c>
      <c r="U57" s="50">
        <v>-60.83</v>
      </c>
      <c r="W57" s="50">
        <v>24.96</v>
      </c>
      <c r="X57" s="50">
        <v>24.96</v>
      </c>
      <c r="Y57" s="50">
        <v>24.96</v>
      </c>
      <c r="AA57" s="50">
        <v>27.73</v>
      </c>
      <c r="AC57" s="50">
        <v>117090</v>
      </c>
      <c r="AE57" s="50" t="s">
        <v>4266</v>
      </c>
    </row>
    <row r="58" spans="1:31">
      <c r="A58" s="50" t="s">
        <v>4302</v>
      </c>
      <c r="B58" s="50" t="s">
        <v>297</v>
      </c>
      <c r="C58" s="50" t="s">
        <v>298</v>
      </c>
      <c r="D58" s="50" t="e">
        <f ca="1">Image("https://images-na.ssl-images-amazon.com/images/I/41giMMsjOOL.jpg;https://images-na.ssl-images-amazon.com/images/I/41zAWuf85IL.jpg;https://images-na.ssl-images-amazon.com/images/I/41EDVNJjN+L.jpg")</f>
        <v>#NAME?</v>
      </c>
      <c r="E58" s="50" t="s">
        <v>299</v>
      </c>
      <c r="F58" s="50" t="s">
        <v>300</v>
      </c>
      <c r="G58" s="50">
        <v>17</v>
      </c>
      <c r="I58" s="50">
        <v>255.54</v>
      </c>
      <c r="S58" s="50" t="s">
        <v>1217</v>
      </c>
      <c r="U58" s="50">
        <v>-38.35</v>
      </c>
      <c r="W58" s="50">
        <v>98.69</v>
      </c>
      <c r="X58" s="50">
        <v>98.69</v>
      </c>
      <c r="Y58" s="50">
        <v>217.19</v>
      </c>
      <c r="AA58" s="50">
        <v>38.619999999999997</v>
      </c>
      <c r="AC58" s="50">
        <v>491318</v>
      </c>
      <c r="AE58" s="50" t="s">
        <v>4266</v>
      </c>
    </row>
    <row r="59" spans="1:31">
      <c r="A59" s="50" t="s">
        <v>4303</v>
      </c>
      <c r="B59" s="50" t="s">
        <v>444</v>
      </c>
      <c r="C59" s="50" t="s">
        <v>445</v>
      </c>
      <c r="D59" s="50" t="e">
        <f ca="1">Image("https://images-na.ssl-images-amazon.com/images/I/41UJe5wbCmL.jpg;https://images-na.ssl-images-amazon.com/images/I/41E99IdNZaL.jpg;https://images-na.ssl-images-amazon.com/images/I/51Yxjdxj-RL.jpg;https://images-na.ssl-images-amazon.com/images/I/417zseSr+iL"&amp;".jpg;https://images-na.ssl-images-amazon.com/images/I/61JNpvQ3rLL.jpg;https://images-na.ssl-images-amazon.com/images/I/61-8dZ++4dL.jpg;https://images-na.ssl-images-amazon.com/images/I/51Fring6kcL.jpg")</f>
        <v>#NAME?</v>
      </c>
      <c r="E59" s="50" t="s">
        <v>20</v>
      </c>
      <c r="F59" s="50" t="s">
        <v>446</v>
      </c>
      <c r="G59" s="50">
        <v>16</v>
      </c>
      <c r="I59" s="50">
        <v>166.95</v>
      </c>
      <c r="S59" s="50" t="s">
        <v>1217</v>
      </c>
      <c r="U59" s="50">
        <v>-70.66</v>
      </c>
      <c r="W59" s="50">
        <v>96.29</v>
      </c>
      <c r="X59" s="50">
        <v>96.29</v>
      </c>
      <c r="Y59" s="50">
        <v>96.29</v>
      </c>
      <c r="AA59" s="50">
        <v>57.68</v>
      </c>
      <c r="AC59" s="50">
        <v>259895</v>
      </c>
      <c r="AE59" s="50" t="s">
        <v>4266</v>
      </c>
    </row>
    <row r="60" spans="1:31">
      <c r="A60" s="50" t="s">
        <v>4304</v>
      </c>
      <c r="B60" s="50" t="s">
        <v>701</v>
      </c>
      <c r="C60" s="50" t="s">
        <v>702</v>
      </c>
      <c r="D60" s="50" t="e">
        <f ca="1">Image("https://images-na.ssl-images-amazon.com/images/I/41wKIhJkGTL.jpg;https://images-na.ssl-images-amazon.com/images/I/511-SAOioaL.jpg;https://images-na.ssl-images-amazon.com/images/I/31F3rYzkFUL.jpg;https://images-na.ssl-images-amazon.com/images/I/51npLQ9s1NL"&amp;".jpg;https://images-na.ssl-images-amazon.com/images/I/51njMWJPCiL.jpg;https://images-na.ssl-images-amazon.com/images/I/41y6tiAdA9L.jpg")</f>
        <v>#NAME?</v>
      </c>
      <c r="E60" s="50" t="s">
        <v>20</v>
      </c>
      <c r="F60" s="50" t="s">
        <v>703</v>
      </c>
      <c r="G60" s="50">
        <v>14</v>
      </c>
      <c r="I60" s="50">
        <v>70</v>
      </c>
      <c r="S60" s="50" t="s">
        <v>1217</v>
      </c>
      <c r="U60" s="50">
        <v>-56.84</v>
      </c>
      <c r="W60" s="50">
        <v>13.16</v>
      </c>
      <c r="X60" s="50">
        <v>13.16</v>
      </c>
      <c r="Y60" s="50">
        <v>13.16</v>
      </c>
      <c r="AA60" s="50">
        <v>18.8</v>
      </c>
      <c r="AC60" s="50">
        <v>117090</v>
      </c>
      <c r="AE60" s="50" t="s">
        <v>4266</v>
      </c>
    </row>
    <row r="61" spans="1:31">
      <c r="A61" s="50" t="s">
        <v>4305</v>
      </c>
      <c r="B61" s="50" t="s">
        <v>886</v>
      </c>
      <c r="C61" s="50" t="s">
        <v>887</v>
      </c>
      <c r="D61" s="50" t="e">
        <f ca="1">Image("https://images-na.ssl-images-amazon.com/images/I/51wPCdmZqzL.jpg;https://images-na.ssl-images-amazon.com/images/I/51bzdICiIwL.jpg;https://images-na.ssl-images-amazon.com/images/I/41ZH63DnlGL.jpg;https://images-na.ssl-images-amazon.com/images/I/51tfAfZqe-L"&amp;".jpg;https://images-na.ssl-images-amazon.com/images/I/41pHwtuj1eL.jpg")</f>
        <v>#NAME?</v>
      </c>
      <c r="E61" s="50" t="s">
        <v>477</v>
      </c>
      <c r="F61" s="50" t="s">
        <v>888</v>
      </c>
      <c r="G61" s="50">
        <v>12</v>
      </c>
      <c r="H61" s="50">
        <v>1</v>
      </c>
      <c r="I61" s="50">
        <v>85.88</v>
      </c>
      <c r="R61" s="50">
        <v>8.33</v>
      </c>
      <c r="S61" s="50">
        <v>100</v>
      </c>
      <c r="T61" s="50">
        <v>-7.03</v>
      </c>
      <c r="U61" s="50">
        <v>-74.02</v>
      </c>
      <c r="W61" s="50">
        <v>4.83</v>
      </c>
      <c r="X61" s="50">
        <v>4.83</v>
      </c>
      <c r="Y61" s="50">
        <v>4.83</v>
      </c>
      <c r="AA61" s="50">
        <v>5.62</v>
      </c>
      <c r="AC61" s="50">
        <v>358226</v>
      </c>
      <c r="AE61" s="50" t="s">
        <v>4266</v>
      </c>
    </row>
    <row r="62" spans="1:31">
      <c r="A62" s="50" t="s">
        <v>4306</v>
      </c>
      <c r="B62" s="50" t="s">
        <v>1165</v>
      </c>
      <c r="C62" s="50" t="s">
        <v>1166</v>
      </c>
      <c r="D62" s="50" t="e">
        <f ca="1">Image("https://images-na.ssl-images-amazon.com/images/I/31sgEWasgzL.jpg;https://images-na.ssl-images-amazon.com/images/I/41wXnxDSOTS.jpg;https://images-na.ssl-images-amazon.com/images/I/31si8fCBuVL.jpg;https://images-na.ssl-images-amazon.com/images/I/41Suke+1k0L"&amp;".jpg;https://images-na.ssl-images-amazon.com/images/I/51N6zCRmjCS.jpg;https://images-na.ssl-images-amazon.com/images/I/61eY0fnfygL.jpg;https://images-na.ssl-images-amazon.com/images/I/61W-DjCziWS.jpg;https://images-na.ssl-images-amazon.com/images/I/51d799"&amp;"ocbCS.jpg")</f>
        <v>#NAME?</v>
      </c>
      <c r="E62" s="50" t="s">
        <v>20</v>
      </c>
      <c r="F62" s="50" t="s">
        <v>1167</v>
      </c>
      <c r="G62" s="50">
        <v>12</v>
      </c>
      <c r="H62" s="50">
        <v>1</v>
      </c>
      <c r="I62" s="50">
        <v>80.94</v>
      </c>
      <c r="R62" s="50">
        <v>8.33</v>
      </c>
      <c r="S62" s="50" t="s">
        <v>1217</v>
      </c>
      <c r="T62" s="50">
        <v>-6.54</v>
      </c>
      <c r="U62" s="50">
        <v>-221.29</v>
      </c>
      <c r="W62" s="50">
        <v>-146.88999999999999</v>
      </c>
      <c r="X62" s="50">
        <v>-146.88999999999999</v>
      </c>
      <c r="Y62" s="50">
        <v>-146.88999999999999</v>
      </c>
      <c r="AA62" s="50">
        <v>-181.48</v>
      </c>
      <c r="AC62" s="50">
        <v>376070</v>
      </c>
      <c r="AE62" s="50" t="s">
        <v>4266</v>
      </c>
    </row>
    <row r="63" spans="1:31">
      <c r="A63" s="50" t="s">
        <v>4307</v>
      </c>
      <c r="B63" s="50" t="s">
        <v>704</v>
      </c>
      <c r="C63" s="50" t="s">
        <v>705</v>
      </c>
      <c r="D63" s="50" t="e">
        <f ca="1">Image("https://images-na.ssl-images-amazon.com/images/I/31l35kFeWnL.jpg;https://images-na.ssl-images-amazon.com/images/I/313Z3lDGZ7L.jpg;https://images-na.ssl-images-amazon.com/images/I/41tkBtuxUDL.jpg;https://images-na.ssl-images-amazon.com/images/I/41hJaKIJReL"&amp;".jpg;https://images-na.ssl-images-amazon.com/images/I/51kxEB+L5bL.jpg;https://images-na.ssl-images-amazon.com/images/I/61pUMVhXxqL.jpg")</f>
        <v>#NAME?</v>
      </c>
      <c r="E63" s="50" t="s">
        <v>20</v>
      </c>
      <c r="F63" s="50" t="s">
        <v>706</v>
      </c>
      <c r="G63" s="50">
        <v>11</v>
      </c>
      <c r="H63" s="50">
        <v>1</v>
      </c>
      <c r="I63" s="50">
        <v>80.89</v>
      </c>
      <c r="R63" s="50">
        <v>9.09</v>
      </c>
      <c r="T63" s="50">
        <v>-6.55</v>
      </c>
      <c r="U63" s="50">
        <v>-54.13</v>
      </c>
      <c r="W63" s="50">
        <v>20.21</v>
      </c>
      <c r="X63" s="50">
        <v>20.21</v>
      </c>
      <c r="Y63" s="50">
        <v>20.21</v>
      </c>
      <c r="AA63" s="50">
        <v>24.98</v>
      </c>
      <c r="AC63" s="50">
        <v>212106</v>
      </c>
      <c r="AE63" s="50" t="s">
        <v>4266</v>
      </c>
    </row>
    <row r="64" spans="1:31">
      <c r="A64" s="50" t="s">
        <v>4308</v>
      </c>
      <c r="B64" s="50" t="s">
        <v>625</v>
      </c>
      <c r="C64" s="50" t="s">
        <v>626</v>
      </c>
      <c r="D64" s="50" t="e">
        <f ca="1">Image("https://images-na.ssl-images-amazon.com/images/I/41pN35QErgL.jpg;https://images-na.ssl-images-amazon.com/images/I/418wXTMb18L.jpg;https://images-na.ssl-images-amazon.com/images/I/31tcCu7AbqL.jpg;https://images-na.ssl-images-amazon.com/images/I/51WmJqnxBnL"&amp;".jpg;https://images-na.ssl-images-amazon.com/images/I/51lAwfc8GRL.jpg;https://images-na.ssl-images-amazon.com/images/I/51zCWzDLb4L.jpg;https://images-na.ssl-images-amazon.com/images/I/619bWrDP-jL.jpg")</f>
        <v>#NAME?</v>
      </c>
      <c r="E64" s="50" t="s">
        <v>20</v>
      </c>
      <c r="F64" s="50" t="s">
        <v>627</v>
      </c>
      <c r="G64" s="50">
        <v>11</v>
      </c>
      <c r="H64" s="50">
        <v>2</v>
      </c>
      <c r="I64" s="50">
        <v>77.16</v>
      </c>
      <c r="R64" s="50">
        <v>18.18</v>
      </c>
      <c r="S64" s="50">
        <v>50</v>
      </c>
      <c r="T64" s="50">
        <v>-12.3</v>
      </c>
      <c r="U64" s="50">
        <v>-64.900000000000006</v>
      </c>
      <c r="W64" s="50">
        <v>-0.04</v>
      </c>
      <c r="X64" s="50">
        <v>-0.04</v>
      </c>
      <c r="Y64" s="50">
        <v>-0.04</v>
      </c>
      <c r="AA64" s="50">
        <v>-0.05</v>
      </c>
      <c r="AC64" s="50">
        <v>212106</v>
      </c>
      <c r="AE64" s="50" t="s">
        <v>4266</v>
      </c>
    </row>
    <row r="65" spans="1:31">
      <c r="A65" s="50" t="s">
        <v>4309</v>
      </c>
      <c r="B65" s="50" t="s">
        <v>758</v>
      </c>
      <c r="C65" s="50" t="s">
        <v>759</v>
      </c>
      <c r="D65" s="50" t="e">
        <f ca="1">Image("https://images-na.ssl-images-amazon.com/images/I/31GuWJMspUL.jpg;https://images-na.ssl-images-amazon.com/images/I/21efXFWKlLL.jpg;https://images-na.ssl-images-amazon.com/images/I/41-HQQqk7-L.jpg;https://images-na.ssl-images-amazon.com/images/I/4167yk-nngL"&amp;".jpg;https://images-na.ssl-images-amazon.com/images/I/31W6+ULtJ3L.jpg;https://images-na.ssl-images-amazon.com/images/I/41QvZ-ZFPxL.jpg")</f>
        <v>#NAME?</v>
      </c>
      <c r="E65" s="50" t="s">
        <v>20</v>
      </c>
      <c r="F65" s="50" t="s">
        <v>760</v>
      </c>
      <c r="G65" s="50">
        <v>11</v>
      </c>
      <c r="H65" s="50">
        <v>1</v>
      </c>
      <c r="I65" s="50">
        <v>53.76</v>
      </c>
      <c r="R65" s="50">
        <v>9.09</v>
      </c>
      <c r="T65" s="50">
        <v>-4.84</v>
      </c>
      <c r="U65" s="50">
        <v>-33.479999999999997</v>
      </c>
      <c r="W65" s="50">
        <v>15.44</v>
      </c>
      <c r="X65" s="50">
        <v>15.44</v>
      </c>
      <c r="Y65" s="50">
        <v>15.44</v>
      </c>
      <c r="AA65" s="50">
        <v>28.72</v>
      </c>
      <c r="AC65" s="50">
        <v>760191</v>
      </c>
      <c r="AE65" s="50" t="s">
        <v>4266</v>
      </c>
    </row>
    <row r="66" spans="1:31">
      <c r="A66" s="50" t="s">
        <v>4310</v>
      </c>
      <c r="B66" s="50" t="s">
        <v>599</v>
      </c>
      <c r="C66" s="50" t="s">
        <v>600</v>
      </c>
      <c r="D66" s="50" t="e">
        <f ca="1">Image("https://images-na.ssl-images-amazon.com/images/I/41QjFSlZ2mL.jpg;https://images-na.ssl-images-amazon.com/images/I/31g16xcDUpL.jpg;https://images-na.ssl-images-amazon.com/images/I/31O4diNGRsL.jpg;https://images-na.ssl-images-amazon.com/images/I/41dU9SatpqL"&amp;".jpg;https://images-na.ssl-images-amazon.com/images/I/41739UhHbXL.jpg;https://images-na.ssl-images-amazon.com/images/I/21GvsN5dtCL.jpg")</f>
        <v>#NAME?</v>
      </c>
      <c r="E66" s="50" t="s">
        <v>20</v>
      </c>
      <c r="F66" s="50" t="s">
        <v>601</v>
      </c>
      <c r="G66" s="50">
        <v>10</v>
      </c>
      <c r="H66" s="50">
        <v>1</v>
      </c>
      <c r="I66" s="50">
        <v>60.18</v>
      </c>
      <c r="R66" s="50">
        <v>10</v>
      </c>
      <c r="T66" s="50">
        <v>-5.71</v>
      </c>
      <c r="U66" s="50">
        <v>-50.88</v>
      </c>
      <c r="W66" s="50">
        <v>3.59</v>
      </c>
      <c r="X66" s="50">
        <v>3.59</v>
      </c>
      <c r="Y66" s="50">
        <v>3.59</v>
      </c>
      <c r="AA66" s="50">
        <v>5.97</v>
      </c>
      <c r="AC66" s="50">
        <v>212106</v>
      </c>
      <c r="AE66" s="50" t="s">
        <v>4266</v>
      </c>
    </row>
    <row r="67" spans="1:31">
      <c r="A67" s="50" t="s">
        <v>4311</v>
      </c>
      <c r="B67" s="50" t="s">
        <v>533</v>
      </c>
      <c r="C67" s="50" t="s">
        <v>534</v>
      </c>
      <c r="D67" s="50" t="e">
        <f ca="1">Image("https://images-na.ssl-images-amazon.com/images/I/41UKyCayfVL.jpg;https://images-na.ssl-images-amazon.com/images/I/416Q8oChquL.jpg;https://images-na.ssl-images-amazon.com/images/I/51Yxjdxj-RL.jpg;https://images-na.ssl-images-amazon.com/images/I/41nv8soafuL"&amp;".jpg;https://images-na.ssl-images-amazon.com/images/I/61919xho04L.jpg;https://images-na.ssl-images-amazon.com/images/I/61ogBak3BnL.jpg;https://images-na.ssl-images-amazon.com/images/I/51bxw2FuOIL.jpg")</f>
        <v>#NAME?</v>
      </c>
      <c r="E67" s="50" t="s">
        <v>20</v>
      </c>
      <c r="F67" s="50" t="s">
        <v>535</v>
      </c>
      <c r="G67" s="50">
        <v>10</v>
      </c>
      <c r="H67" s="50">
        <v>1</v>
      </c>
      <c r="I67" s="50">
        <v>108.4</v>
      </c>
      <c r="R67" s="50">
        <v>10</v>
      </c>
      <c r="S67" s="50" t="s">
        <v>1217</v>
      </c>
      <c r="T67" s="50">
        <v>-9.2899999999999991</v>
      </c>
      <c r="U67" s="50">
        <v>-47.52</v>
      </c>
      <c r="W67" s="50">
        <v>51.59</v>
      </c>
      <c r="X67" s="50">
        <v>51.59</v>
      </c>
      <c r="Y67" s="50">
        <v>51.59</v>
      </c>
      <c r="AA67" s="50">
        <v>47.59</v>
      </c>
      <c r="AC67" s="50">
        <v>259895</v>
      </c>
      <c r="AE67" s="50" t="s">
        <v>4266</v>
      </c>
    </row>
    <row r="68" spans="1:31">
      <c r="A68" s="50" t="s">
        <v>4312</v>
      </c>
      <c r="B68" s="50" t="s">
        <v>539</v>
      </c>
      <c r="C68" s="50" t="s">
        <v>540</v>
      </c>
      <c r="D68" s="50" t="e">
        <f ca="1">Image("https://images-na.ssl-images-amazon.com/images/I/317r31q1MzL.jpg;https://images-na.ssl-images-amazon.com/images/I/31Mo+VL8Y0L.jpg;https://images-na.ssl-images-amazon.com/images/I/3152JEeuqnL.jpg;https://images-na.ssl-images-amazon.com/images/I/41WqCjB8hyL"&amp;".jpg;https://images-na.ssl-images-amazon.com/images/I/41NbMPA08qL.jpg;https://images-na.ssl-images-amazon.com/images/I/41TL6egbrJL.jpg")</f>
        <v>#NAME?</v>
      </c>
      <c r="E68" s="50" t="s">
        <v>20</v>
      </c>
      <c r="F68" s="50" t="s">
        <v>541</v>
      </c>
      <c r="G68" s="50">
        <v>10</v>
      </c>
      <c r="I68" s="50">
        <v>57.5</v>
      </c>
      <c r="S68" s="50" t="s">
        <v>1217</v>
      </c>
      <c r="U68" s="50">
        <v>-42.88</v>
      </c>
      <c r="W68" s="50">
        <v>14.62</v>
      </c>
      <c r="X68" s="50">
        <v>14.62</v>
      </c>
      <c r="Y68" s="50">
        <v>14.62</v>
      </c>
      <c r="AA68" s="50">
        <v>25.43</v>
      </c>
      <c r="AC68" s="50">
        <v>121965</v>
      </c>
      <c r="AE68" s="50" t="s">
        <v>4266</v>
      </c>
    </row>
    <row r="69" spans="1:31">
      <c r="A69" s="50" t="s">
        <v>4313</v>
      </c>
      <c r="B69" s="50" t="s">
        <v>412</v>
      </c>
      <c r="C69" s="50" t="s">
        <v>413</v>
      </c>
      <c r="D69" s="50" t="e">
        <f ca="1">Image("https://images-na.ssl-images-amazon.com/images/I/41QK3SL9q3L.jpg;https://images-na.ssl-images-amazon.com/images/I/41EDVNJjN+L.jpg")</f>
        <v>#NAME?</v>
      </c>
      <c r="E69" s="50" t="s">
        <v>299</v>
      </c>
      <c r="F69" s="50" t="s">
        <v>414</v>
      </c>
      <c r="G69" s="50">
        <v>9</v>
      </c>
      <c r="I69" s="50">
        <v>133.35</v>
      </c>
      <c r="S69" s="50" t="s">
        <v>1217</v>
      </c>
      <c r="U69" s="50">
        <v>-20</v>
      </c>
      <c r="W69" s="50">
        <v>52.69</v>
      </c>
      <c r="X69" s="50">
        <v>52.69</v>
      </c>
      <c r="Y69" s="50">
        <v>113.35</v>
      </c>
      <c r="AA69" s="50">
        <v>39.51</v>
      </c>
      <c r="AC69" s="50">
        <v>465484</v>
      </c>
      <c r="AE69" s="50" t="s">
        <v>4266</v>
      </c>
    </row>
    <row r="70" spans="1:31">
      <c r="A70" s="50" t="s">
        <v>4314</v>
      </c>
      <c r="B70" s="50" t="s">
        <v>767</v>
      </c>
      <c r="C70" s="50" t="s">
        <v>768</v>
      </c>
      <c r="D70" s="50" t="e">
        <f ca="1">Image("https://images-na.ssl-images-amazon.com/images/I/315TmEIIltS.jpg;https://images-na.ssl-images-amazon.com/images/I/51kzRgCVakS.jpg;https://images-na.ssl-images-amazon.com/images/I/51FiGJFc2yS.jpg;https://images-na.ssl-images-amazon.com/images/I/414RoP4RXmS"&amp;".jpg;https://images-na.ssl-images-amazon.com/images/I/61YrMLNfGwS.jpg;https://images-na.ssl-images-amazon.com/images/I/61cLLURNQ3S.jpg")</f>
        <v>#NAME?</v>
      </c>
      <c r="E70" s="50" t="s">
        <v>20</v>
      </c>
      <c r="F70" s="50" t="s">
        <v>769</v>
      </c>
      <c r="G70" s="50">
        <v>7</v>
      </c>
      <c r="I70" s="50">
        <v>45.6</v>
      </c>
      <c r="S70" s="50" t="s">
        <v>1217</v>
      </c>
      <c r="U70" s="50">
        <v>-31.16</v>
      </c>
      <c r="W70" s="50">
        <v>14.44</v>
      </c>
      <c r="X70" s="50">
        <v>14.44</v>
      </c>
      <c r="Y70" s="50">
        <v>14.44</v>
      </c>
      <c r="AA70" s="50">
        <v>31.67</v>
      </c>
      <c r="AC70" s="50">
        <v>165324</v>
      </c>
      <c r="AE70" s="50" t="s">
        <v>4266</v>
      </c>
    </row>
    <row r="71" spans="1:31">
      <c r="A71" s="50" t="s">
        <v>4315</v>
      </c>
      <c r="B71" s="50" t="s">
        <v>524</v>
      </c>
      <c r="C71" s="50" t="s">
        <v>525</v>
      </c>
      <c r="D71" s="50" t="e">
        <f ca="1">Image("https://images-na.ssl-images-amazon.com/images/I/41cmUSOaQYL.jpg;https://images-na.ssl-images-amazon.com/images/I/41EDVNJjN+L.jpg")</f>
        <v>#NAME?</v>
      </c>
      <c r="E71" s="50" t="s">
        <v>299</v>
      </c>
      <c r="F71" s="50" t="s">
        <v>526</v>
      </c>
      <c r="G71" s="50">
        <v>6</v>
      </c>
      <c r="H71" s="50">
        <v>1</v>
      </c>
      <c r="I71" s="50">
        <v>82.98</v>
      </c>
      <c r="R71" s="50">
        <v>16.670000000000002</v>
      </c>
      <c r="S71" s="50" t="s">
        <v>1217</v>
      </c>
      <c r="T71" s="50">
        <v>-15.84</v>
      </c>
      <c r="U71" s="50">
        <v>-12.44</v>
      </c>
      <c r="W71" s="50">
        <v>19.72</v>
      </c>
      <c r="X71" s="50">
        <v>19.72</v>
      </c>
      <c r="Y71" s="50">
        <v>54.7</v>
      </c>
      <c r="AA71" s="50">
        <v>23.76</v>
      </c>
      <c r="AC71" s="50">
        <v>570686</v>
      </c>
      <c r="AE71" s="50" t="s">
        <v>4266</v>
      </c>
    </row>
    <row r="72" spans="1:31">
      <c r="A72" s="50" t="s">
        <v>4316</v>
      </c>
      <c r="B72" s="50" t="s">
        <v>497</v>
      </c>
      <c r="C72" s="50" t="s">
        <v>498</v>
      </c>
      <c r="D72" s="50" t="e">
        <f ca="1">Image("https://images-na.ssl-images-amazon.com/images/I/41mwnbxymdL.jpg;https://images-na.ssl-images-amazon.com/images/I/41EDVNJjN+L.jpg")</f>
        <v>#NAME?</v>
      </c>
      <c r="E72" s="50" t="s">
        <v>477</v>
      </c>
      <c r="F72" s="50" t="s">
        <v>499</v>
      </c>
      <c r="G72" s="50">
        <v>6</v>
      </c>
      <c r="I72" s="50">
        <v>82.98</v>
      </c>
      <c r="S72" s="50" t="s">
        <v>1217</v>
      </c>
      <c r="U72" s="50">
        <v>-12.44</v>
      </c>
      <c r="W72" s="50">
        <v>35.56</v>
      </c>
      <c r="X72" s="50">
        <v>35.56</v>
      </c>
      <c r="Y72" s="50">
        <v>70.540000000000006</v>
      </c>
      <c r="AA72" s="50">
        <v>42.85</v>
      </c>
      <c r="AC72" s="50">
        <v>557813</v>
      </c>
      <c r="AE72" s="50" t="s">
        <v>4266</v>
      </c>
    </row>
    <row r="73" spans="1:31">
      <c r="A73" s="50" t="s">
        <v>4317</v>
      </c>
      <c r="B73" s="50" t="s">
        <v>643</v>
      </c>
      <c r="C73" s="50" t="s">
        <v>644</v>
      </c>
      <c r="D73" s="50" t="e">
        <f ca="1">Image("https://images-na.ssl-images-amazon.com/images/I/51wOsiWYZAS.jpg;https://images-na.ssl-images-amazon.com/images/I/514qT7cVA6S.jpg;https://images-na.ssl-images-amazon.com/images/I/51E-VcPenGS.jpg;https://images-na.ssl-images-amazon.com/images/I/51pDa1YVDrS"&amp;".jpg;https://images-na.ssl-images-amazon.com/images/I/51EwCYv-ocS.jpg;https://images-na.ssl-images-amazon.com/images/I/41au967KyyS.jpg")</f>
        <v>#NAME?</v>
      </c>
      <c r="E73" s="50" t="s">
        <v>20</v>
      </c>
      <c r="F73" s="50" t="s">
        <v>645</v>
      </c>
      <c r="G73" s="50">
        <v>6</v>
      </c>
      <c r="I73" s="50">
        <v>72</v>
      </c>
      <c r="S73" s="50" t="s">
        <v>1217</v>
      </c>
      <c r="U73" s="50">
        <v>-44.99</v>
      </c>
      <c r="W73" s="50">
        <v>27.01</v>
      </c>
      <c r="X73" s="50">
        <v>27.01</v>
      </c>
      <c r="Y73" s="50">
        <v>27.01</v>
      </c>
      <c r="AA73" s="50">
        <v>37.51</v>
      </c>
      <c r="AC73" s="50">
        <v>2847840</v>
      </c>
      <c r="AE73" s="50" t="s">
        <v>4266</v>
      </c>
    </row>
    <row r="74" spans="1:31">
      <c r="A74" s="50" t="s">
        <v>4318</v>
      </c>
      <c r="B74" s="50" t="s">
        <v>475</v>
      </c>
      <c r="C74" s="50" t="s">
        <v>476</v>
      </c>
      <c r="D74" s="50" t="e">
        <f ca="1">Image("https://images-na.ssl-images-amazon.com/images/I/4109Y77ZB9L.jpg;https://images-na.ssl-images-amazon.com/images/I/41zAWuf85IL.jpg;https://images-na.ssl-images-amazon.com/images/I/41EDVNJjN+L.jpg")</f>
        <v>#NAME?</v>
      </c>
      <c r="E74" s="50" t="s">
        <v>477</v>
      </c>
      <c r="F74" s="50" t="s">
        <v>478</v>
      </c>
      <c r="G74" s="50">
        <v>5</v>
      </c>
      <c r="I74" s="50">
        <v>94.95</v>
      </c>
      <c r="S74" s="50" t="s">
        <v>1217</v>
      </c>
      <c r="U74" s="50">
        <v>-14.25</v>
      </c>
      <c r="W74" s="50">
        <v>25.75</v>
      </c>
      <c r="X74" s="50">
        <v>25.75</v>
      </c>
      <c r="Y74" s="50">
        <v>80.7</v>
      </c>
      <c r="AA74" s="50">
        <v>27.12</v>
      </c>
      <c r="AC74" s="50">
        <v>644982</v>
      </c>
      <c r="AE74" s="50" t="s">
        <v>4266</v>
      </c>
    </row>
    <row r="75" spans="1:31">
      <c r="A75" s="50" t="s">
        <v>4319</v>
      </c>
      <c r="B75" s="50" t="s">
        <v>557</v>
      </c>
      <c r="C75" s="50" t="s">
        <v>558</v>
      </c>
      <c r="D75" s="50" t="e">
        <f ca="1">Image("https://images-na.ssl-images-amazon.com/images/I/41AUiodrs2L.jpg;https://images-na.ssl-images-amazon.com/images/I/41EDVNJjN+L.jpg")</f>
        <v>#NAME?</v>
      </c>
      <c r="E75" s="50" t="s">
        <v>477</v>
      </c>
      <c r="F75" s="50" t="s">
        <v>559</v>
      </c>
      <c r="G75" s="50">
        <v>4</v>
      </c>
      <c r="I75" s="50">
        <v>49.83</v>
      </c>
      <c r="S75" s="50" t="s">
        <v>1217</v>
      </c>
      <c r="U75" s="50">
        <v>-7.45</v>
      </c>
      <c r="W75" s="50">
        <v>25.76</v>
      </c>
      <c r="X75" s="50">
        <v>25.76</v>
      </c>
      <c r="Y75" s="50">
        <v>42.38</v>
      </c>
      <c r="AA75" s="50">
        <v>51.7</v>
      </c>
      <c r="AC75" s="50">
        <v>784626</v>
      </c>
      <c r="AE75" s="50" t="s">
        <v>4266</v>
      </c>
    </row>
    <row r="76" spans="1:31">
      <c r="A76" s="50" t="s">
        <v>4320</v>
      </c>
      <c r="B76" s="50" t="s">
        <v>662</v>
      </c>
      <c r="C76" s="50" t="s">
        <v>663</v>
      </c>
      <c r="D76" s="50" t="e">
        <f ca="1">Image("https://images-na.ssl-images-amazon.com/images/I/21q954KQDOL.jpg;https://images-na.ssl-images-amazon.com/images/I/21D6Q490WJL.jpg;https://images-na.ssl-images-amazon.com/images/I/315-8Mz6TpL.jpg;https://images-na.ssl-images-amazon.com/images/I/314xm1qPe5L"&amp;".jpg;https://images-na.ssl-images-amazon.com/images/I/318lrT3pegL.jpg;https://images-na.ssl-images-amazon.com/images/I/21iqY6JpKbL.jpg")</f>
        <v>#NAME?</v>
      </c>
      <c r="E76" s="50" t="s">
        <v>20</v>
      </c>
      <c r="F76" s="50" t="s">
        <v>664</v>
      </c>
      <c r="G76" s="50">
        <v>4</v>
      </c>
      <c r="I76" s="50">
        <v>24</v>
      </c>
      <c r="S76" s="50" t="s">
        <v>1217</v>
      </c>
      <c r="U76" s="50">
        <v>-12.61</v>
      </c>
      <c r="W76" s="50">
        <v>11.39</v>
      </c>
      <c r="X76" s="50">
        <v>11.39</v>
      </c>
      <c r="Y76" s="50">
        <v>11.39</v>
      </c>
      <c r="AA76" s="50">
        <v>47.46</v>
      </c>
      <c r="AC76" s="50">
        <v>147933</v>
      </c>
      <c r="AE76" s="50" t="s">
        <v>4266</v>
      </c>
    </row>
    <row r="77" spans="1:31">
      <c r="A77" s="50" t="s">
        <v>4321</v>
      </c>
      <c r="B77" s="50" t="s">
        <v>596</v>
      </c>
      <c r="C77" s="50" t="s">
        <v>597</v>
      </c>
      <c r="D77" s="50" t="e">
        <f ca="1">Image("https://images-na.ssl-images-amazon.com/images/I/41zGppSPJWL.jpg;https://images-na.ssl-images-amazon.com/images/I/41EDVNJjN+L.jpg")</f>
        <v>#NAME?</v>
      </c>
      <c r="E77" s="50" t="s">
        <v>477</v>
      </c>
      <c r="F77" s="50" t="s">
        <v>598</v>
      </c>
      <c r="G77" s="50">
        <v>3</v>
      </c>
      <c r="I77" s="50">
        <v>43.98</v>
      </c>
      <c r="S77" s="50" t="s">
        <v>1217</v>
      </c>
      <c r="U77" s="50">
        <v>-6.6</v>
      </c>
      <c r="W77" s="50">
        <v>17.399999999999999</v>
      </c>
      <c r="X77" s="50">
        <v>17.399999999999999</v>
      </c>
      <c r="Y77" s="50">
        <v>37.380000000000003</v>
      </c>
      <c r="AA77" s="50">
        <v>39.56</v>
      </c>
      <c r="AC77" s="50">
        <v>676768</v>
      </c>
      <c r="AE77" s="50" t="s">
        <v>4266</v>
      </c>
    </row>
    <row r="78" spans="1:31">
      <c r="A78" s="50" t="s">
        <v>4322</v>
      </c>
      <c r="B78" s="50" t="s">
        <v>965</v>
      </c>
      <c r="C78" s="50" t="s">
        <v>966</v>
      </c>
      <c r="D78" s="50" t="e">
        <f ca="1">Image("https://images-na.ssl-images-amazon.com/images/I/51tq0P3rqqL.jpg;https://images-na.ssl-images-amazon.com/images/I/41ZxX8my00L.jpg;https://images-na.ssl-images-amazon.com/images/I/51AMyRcUVeL.jpg")</f>
        <v>#NAME?</v>
      </c>
      <c r="E78" s="50" t="s">
        <v>477</v>
      </c>
      <c r="F78" s="50" t="s">
        <v>967</v>
      </c>
      <c r="G78" s="50">
        <v>3</v>
      </c>
      <c r="I78" s="50">
        <v>21.97</v>
      </c>
      <c r="S78" s="50" t="s">
        <v>1217</v>
      </c>
      <c r="U78" s="50">
        <v>-22.91</v>
      </c>
      <c r="W78" s="50">
        <v>-0.94</v>
      </c>
      <c r="X78" s="50">
        <v>-0.94</v>
      </c>
      <c r="Y78" s="50">
        <v>-0.94</v>
      </c>
      <c r="AA78" s="50">
        <v>-4.28</v>
      </c>
      <c r="AC78" s="50">
        <v>354902</v>
      </c>
      <c r="AE78" s="50" t="s">
        <v>4266</v>
      </c>
    </row>
    <row r="79" spans="1:31">
      <c r="A79" s="50" t="s">
        <v>4323</v>
      </c>
      <c r="B79" s="50" t="s">
        <v>989</v>
      </c>
      <c r="C79" s="50" t="s">
        <v>990</v>
      </c>
      <c r="D79" s="50" t="e">
        <f ca="1">Image("https://images-na.ssl-images-amazon.com/images/I/51R28Pjq4zS.jpg;https://images-na.ssl-images-amazon.com/images/I/51G9dfc5FIS.jpg;https://images-na.ssl-images-amazon.com/images/I/41rZFbewOnS.jpg;https://images-na.ssl-images-amazon.com/images/I/51lb1WO1svS"&amp;".jpg;https://images-na.ssl-images-amazon.com/images/I/512Tz7MnBlS.jpg;https://images-na.ssl-images-amazon.com/images/I/51EbL+fyvXS.jpg")</f>
        <v>#NAME?</v>
      </c>
      <c r="E79" s="50" t="s">
        <v>20</v>
      </c>
      <c r="F79" s="50" t="s">
        <v>991</v>
      </c>
      <c r="G79" s="50">
        <v>3</v>
      </c>
      <c r="I79" s="50">
        <v>37.979999999999997</v>
      </c>
      <c r="S79" s="50" t="s">
        <v>1217</v>
      </c>
      <c r="U79" s="50">
        <v>-41.06</v>
      </c>
      <c r="W79" s="50">
        <v>-3.08</v>
      </c>
      <c r="X79" s="50">
        <v>-3.08</v>
      </c>
      <c r="Y79" s="50">
        <v>-3.08</v>
      </c>
      <c r="AA79" s="50">
        <v>-8.11</v>
      </c>
      <c r="AC79" s="50">
        <v>1975971</v>
      </c>
      <c r="AE79" s="50" t="s">
        <v>4266</v>
      </c>
    </row>
    <row r="80" spans="1:31">
      <c r="A80" s="50" t="s">
        <v>4324</v>
      </c>
      <c r="B80" s="50" t="s">
        <v>865</v>
      </c>
      <c r="C80" s="50" t="s">
        <v>866</v>
      </c>
      <c r="D80" s="50" t="e">
        <f ca="1">Image("https://images-na.ssl-images-amazon.com/images/I/21l9LY0hH4L.jpg;https://images-na.ssl-images-amazon.com/images/I/21NxPrvaSFL.jpg;https://images-na.ssl-images-amazon.com/images/I/31gX8ZPHbdL.jpg;https://images-na.ssl-images-amazon.com/images/I/21NdpSXls0L"&amp;".jpg")</f>
        <v>#NAME?</v>
      </c>
      <c r="E80" s="50" t="s">
        <v>20</v>
      </c>
      <c r="F80" s="50" t="s">
        <v>867</v>
      </c>
      <c r="G80" s="50">
        <v>3</v>
      </c>
      <c r="I80" s="50">
        <v>18</v>
      </c>
      <c r="S80" s="50" t="s">
        <v>1217</v>
      </c>
      <c r="U80" s="50">
        <v>-12.05</v>
      </c>
      <c r="W80" s="50">
        <v>5.95</v>
      </c>
      <c r="X80" s="50">
        <v>5.95</v>
      </c>
      <c r="Y80" s="50">
        <v>5.95</v>
      </c>
      <c r="AA80" s="50">
        <v>33.06</v>
      </c>
      <c r="AE80" s="50" t="s">
        <v>4266</v>
      </c>
    </row>
    <row r="81" spans="1:31">
      <c r="A81" s="50" t="s">
        <v>4325</v>
      </c>
      <c r="B81" s="50" t="s">
        <v>791</v>
      </c>
      <c r="C81" s="50" t="s">
        <v>792</v>
      </c>
      <c r="D81" s="50" t="e">
        <f ca="1">Image("https://images-na.ssl-images-amazon.com/images/I/314xNNo2+gL.jpg;https://images-na.ssl-images-amazon.com/images/I/314xNNo2+gL.jpg")</f>
        <v>#NAME?</v>
      </c>
      <c r="E81" s="50" t="s">
        <v>20</v>
      </c>
      <c r="F81" s="50" t="s">
        <v>793</v>
      </c>
      <c r="G81" s="50">
        <v>2</v>
      </c>
      <c r="I81" s="50">
        <v>13.98</v>
      </c>
      <c r="S81" s="50" t="s">
        <v>1217</v>
      </c>
      <c r="U81" s="50">
        <v>-2.8</v>
      </c>
      <c r="W81" s="50">
        <v>1.2</v>
      </c>
      <c r="X81" s="50">
        <v>1.2</v>
      </c>
      <c r="Y81" s="50">
        <v>11.18</v>
      </c>
      <c r="AA81" s="50">
        <v>8.58</v>
      </c>
      <c r="AC81" s="50">
        <v>1212019</v>
      </c>
      <c r="AE81" s="50" t="s">
        <v>4266</v>
      </c>
    </row>
    <row r="82" spans="1:31">
      <c r="A82" s="50" t="s">
        <v>4326</v>
      </c>
      <c r="B82" s="50" t="s">
        <v>572</v>
      </c>
      <c r="C82" s="50" t="s">
        <v>573</v>
      </c>
      <c r="D82" s="50" t="e">
        <f ca="1">Image("https://images-na.ssl-images-amazon.com/images/I/41r1PEy27pL.jpg;https://images-na.ssl-images-amazon.com/images/I/41EDVNJjN+L.jpg")</f>
        <v>#NAME?</v>
      </c>
      <c r="E82" s="50" t="s">
        <v>477</v>
      </c>
      <c r="F82" s="50" t="s">
        <v>574</v>
      </c>
      <c r="G82" s="50">
        <v>2</v>
      </c>
      <c r="I82" s="50">
        <v>49</v>
      </c>
      <c r="S82" s="50" t="s">
        <v>1217</v>
      </c>
      <c r="U82" s="50">
        <v>-7.36</v>
      </c>
      <c r="W82" s="50">
        <v>28.64</v>
      </c>
      <c r="X82" s="50">
        <v>28.64</v>
      </c>
      <c r="Y82" s="50">
        <v>41.64</v>
      </c>
      <c r="AA82" s="50">
        <v>58.45</v>
      </c>
      <c r="AC82" s="50">
        <v>302555</v>
      </c>
      <c r="AE82" s="50" t="s">
        <v>4266</v>
      </c>
    </row>
    <row r="83" spans="1:31">
      <c r="A83" s="50" t="s">
        <v>4327</v>
      </c>
      <c r="B83" s="50" t="s">
        <v>616</v>
      </c>
      <c r="C83" s="50" t="s">
        <v>617</v>
      </c>
      <c r="D83" s="50" t="e">
        <f ca="1">Image("https://images-na.ssl-images-amazon.com/images/I/41nyvSQ6n4L.jpg;https://images-na.ssl-images-amazon.com/images/I/41EDVNJjN+L.jpg")</f>
        <v>#NAME?</v>
      </c>
      <c r="E83" s="50" t="s">
        <v>299</v>
      </c>
      <c r="F83" s="50" t="s">
        <v>618</v>
      </c>
      <c r="G83" s="50">
        <v>2</v>
      </c>
      <c r="I83" s="50">
        <v>37.979999999999997</v>
      </c>
      <c r="S83" s="50" t="s">
        <v>1217</v>
      </c>
      <c r="U83" s="50">
        <v>-5.7</v>
      </c>
      <c r="W83" s="50">
        <v>10.3</v>
      </c>
      <c r="X83" s="50">
        <v>10.3</v>
      </c>
      <c r="Y83" s="50">
        <v>32.28</v>
      </c>
      <c r="AA83" s="50">
        <v>27.12</v>
      </c>
      <c r="AC83" s="50">
        <v>630780</v>
      </c>
      <c r="AE83" s="50" t="s">
        <v>4266</v>
      </c>
    </row>
    <row r="84" spans="1:31">
      <c r="A84" s="50" t="s">
        <v>4328</v>
      </c>
      <c r="B84" s="50" t="s">
        <v>674</v>
      </c>
      <c r="C84" s="50" t="s">
        <v>675</v>
      </c>
      <c r="D84" s="50" t="e">
        <f ca="1">Image("https://images-na.ssl-images-amazon.com/images/I/41YAuQGC6xL.jpg;https://images-na.ssl-images-amazon.com/images/I/419hlNvH5sL.jpg")</f>
        <v>#NAME?</v>
      </c>
      <c r="E84" s="50" t="s">
        <v>477</v>
      </c>
      <c r="F84" s="50" t="s">
        <v>676</v>
      </c>
      <c r="G84" s="50">
        <v>2</v>
      </c>
      <c r="I84" s="50">
        <v>29</v>
      </c>
      <c r="S84" s="50" t="s">
        <v>1217</v>
      </c>
      <c r="U84" s="50">
        <v>-4.3600000000000003</v>
      </c>
      <c r="W84" s="50">
        <v>11.64</v>
      </c>
      <c r="X84" s="50">
        <v>11.64</v>
      </c>
      <c r="Y84" s="50">
        <v>24.64</v>
      </c>
      <c r="AA84" s="50">
        <v>40.14</v>
      </c>
      <c r="AC84" s="50">
        <v>714996</v>
      </c>
      <c r="AE84" s="50" t="s">
        <v>4266</v>
      </c>
    </row>
    <row r="85" spans="1:31">
      <c r="A85" s="50" t="s">
        <v>4329</v>
      </c>
      <c r="B85" s="50" t="s">
        <v>1046</v>
      </c>
      <c r="C85" s="50" t="s">
        <v>1047</v>
      </c>
      <c r="D85" s="50" t="e">
        <f ca="1">Image("https://images-na.ssl-images-amazon.com/images/I/51bLuIqD1-S.jpg;https://images-na.ssl-images-amazon.com/images/I/51Z4UbP7GnS.jpg;https://images-na.ssl-images-amazon.com/images/I/511ZFNxt7fS.jpg;https://images-na.ssl-images-amazon.com/images/I/619ynBIOwzS"&amp;".jpg;https://images-na.ssl-images-amazon.com/images/I/410eWJEezpS.jpg;https://images-na.ssl-images-amazon.com/images/I/51BoQT10j6S.jpg")</f>
        <v>#NAME?</v>
      </c>
      <c r="E85" s="50" t="s">
        <v>20</v>
      </c>
      <c r="F85" s="50" t="s">
        <v>1048</v>
      </c>
      <c r="G85" s="50">
        <v>2</v>
      </c>
      <c r="I85" s="50">
        <v>31.99</v>
      </c>
      <c r="S85" s="50" t="s">
        <v>1217</v>
      </c>
      <c r="U85" s="50">
        <v>-42.21</v>
      </c>
      <c r="W85" s="50">
        <v>-10.220000000000001</v>
      </c>
      <c r="X85" s="50">
        <v>-10.220000000000001</v>
      </c>
      <c r="Y85" s="50">
        <v>-10.220000000000001</v>
      </c>
      <c r="AA85" s="50">
        <v>-31.95</v>
      </c>
      <c r="AC85" s="50">
        <v>3061928</v>
      </c>
      <c r="AE85" s="50" t="s">
        <v>4266</v>
      </c>
    </row>
    <row r="86" spans="1:31">
      <c r="A86" s="50" t="s">
        <v>4330</v>
      </c>
      <c r="B86" s="50" t="s">
        <v>794</v>
      </c>
      <c r="C86" s="50" t="s">
        <v>795</v>
      </c>
      <c r="D86" s="50" t="e">
        <f ca="1">Image("https://images-na.ssl-images-amazon.com/images/I/41D+GKe77DL.jpg;https://images-na.ssl-images-amazon.com/images/I/41EDVNJjN+L.jpg")</f>
        <v>#NAME?</v>
      </c>
      <c r="E86" s="50" t="s">
        <v>477</v>
      </c>
      <c r="F86" s="50" t="s">
        <v>796</v>
      </c>
      <c r="G86" s="50">
        <v>1</v>
      </c>
      <c r="I86" s="50">
        <v>12.99</v>
      </c>
      <c r="S86" s="50" t="s">
        <v>1217</v>
      </c>
      <c r="U86" s="50">
        <v>-1.95</v>
      </c>
      <c r="W86" s="50">
        <v>6.05</v>
      </c>
      <c r="X86" s="50">
        <v>6.05</v>
      </c>
      <c r="Y86" s="50">
        <v>11.04</v>
      </c>
      <c r="AA86" s="50">
        <v>46.57</v>
      </c>
      <c r="AC86" s="50">
        <v>302555</v>
      </c>
      <c r="AE86" s="50" t="s">
        <v>4266</v>
      </c>
    </row>
    <row r="87" spans="1:31">
      <c r="A87" s="50" t="s">
        <v>4331</v>
      </c>
      <c r="B87" s="50" t="s">
        <v>698</v>
      </c>
      <c r="C87" s="50" t="s">
        <v>699</v>
      </c>
      <c r="D87" s="50" t="e">
        <f ca="1">Image("https://images-na.ssl-images-amazon.com/images/I/4137oA5W65L.jpg;https://images-na.ssl-images-amazon.com/images/I/41EDVNJjN+L.jpg")</f>
        <v>#NAME?</v>
      </c>
      <c r="E87" s="50" t="s">
        <v>477</v>
      </c>
      <c r="F87" s="50" t="s">
        <v>700</v>
      </c>
      <c r="G87" s="50">
        <v>1</v>
      </c>
      <c r="I87" s="50">
        <v>25</v>
      </c>
      <c r="S87" s="50" t="s">
        <v>1217</v>
      </c>
      <c r="U87" s="50">
        <v>-3.75</v>
      </c>
      <c r="W87" s="50">
        <v>11.25</v>
      </c>
      <c r="X87" s="50">
        <v>11.25</v>
      </c>
      <c r="Y87" s="50">
        <v>21.25</v>
      </c>
      <c r="AA87" s="50">
        <v>45</v>
      </c>
      <c r="AC87" s="50">
        <v>302555</v>
      </c>
      <c r="AE87" s="50" t="s">
        <v>4266</v>
      </c>
    </row>
    <row r="88" spans="1:31">
      <c r="A88" s="50" t="s">
        <v>4332</v>
      </c>
      <c r="B88" s="50" t="s">
        <v>797</v>
      </c>
      <c r="C88" s="50" t="s">
        <v>798</v>
      </c>
      <c r="D88" s="50" t="e">
        <f ca="1">Image("https://images-na.ssl-images-amazon.com/images/I/41lWQk6CUKL.jpg;https://images-na.ssl-images-amazon.com/images/I/41EDVNJjN+L.jpg")</f>
        <v>#NAME?</v>
      </c>
      <c r="E88" s="50" t="s">
        <v>477</v>
      </c>
      <c r="F88" s="50" t="s">
        <v>799</v>
      </c>
      <c r="G88" s="50">
        <v>1</v>
      </c>
      <c r="I88" s="50">
        <v>12.99</v>
      </c>
      <c r="S88" s="50" t="s">
        <v>1217</v>
      </c>
      <c r="U88" s="50">
        <v>-1.95</v>
      </c>
      <c r="W88" s="50">
        <v>6.05</v>
      </c>
      <c r="X88" s="50">
        <v>6.05</v>
      </c>
      <c r="Y88" s="50">
        <v>11.04</v>
      </c>
      <c r="AA88" s="50">
        <v>46.57</v>
      </c>
      <c r="AC88" s="50">
        <v>302555</v>
      </c>
      <c r="AE88" s="50" t="s">
        <v>4266</v>
      </c>
    </row>
    <row r="89" spans="1:31">
      <c r="A89" s="50" t="s">
        <v>4333</v>
      </c>
      <c r="B89" s="50" t="s">
        <v>718</v>
      </c>
      <c r="C89" s="50" t="s">
        <v>719</v>
      </c>
      <c r="D89" s="50" t="e">
        <f ca="1">Image("https://images-na.ssl-images-amazon.com/images/I/41cjCAw9kPL.jpg;https://images-na.ssl-images-amazon.com/images/I/41EDVNJjN+L.jpg")</f>
        <v>#NAME?</v>
      </c>
      <c r="E89" s="50" t="s">
        <v>477</v>
      </c>
      <c r="F89" s="50" t="s">
        <v>720</v>
      </c>
      <c r="G89" s="50">
        <v>1</v>
      </c>
      <c r="I89" s="50">
        <v>19.989999999999998</v>
      </c>
      <c r="S89" s="50" t="s">
        <v>1217</v>
      </c>
      <c r="U89" s="50">
        <v>-3</v>
      </c>
      <c r="W89" s="50">
        <v>12</v>
      </c>
      <c r="X89" s="50">
        <v>12</v>
      </c>
      <c r="Y89" s="50">
        <v>16.989999999999998</v>
      </c>
      <c r="AA89" s="50">
        <v>60.03</v>
      </c>
      <c r="AC89" s="50">
        <v>302555</v>
      </c>
      <c r="AE89" s="50" t="s">
        <v>4266</v>
      </c>
    </row>
    <row r="90" spans="1:31">
      <c r="A90" s="50" t="s">
        <v>4334</v>
      </c>
      <c r="B90" s="50" t="s">
        <v>671</v>
      </c>
      <c r="C90" s="50" t="s">
        <v>672</v>
      </c>
      <c r="D90" s="50" t="e">
        <f ca="1">Image("https://images-na.ssl-images-amazon.com/images/I/41v5vQ5JByL.jpg;https://images-na.ssl-images-amazon.com/images/I/41EDVNJjN+L.jpg")</f>
        <v>#NAME?</v>
      </c>
      <c r="E90" s="50" t="s">
        <v>477</v>
      </c>
      <c r="F90" s="50" t="s">
        <v>673</v>
      </c>
      <c r="G90" s="50">
        <v>1</v>
      </c>
      <c r="I90" s="50">
        <v>28.99</v>
      </c>
      <c r="S90" s="50" t="s">
        <v>1217</v>
      </c>
      <c r="U90" s="50">
        <v>-4.3499999999999996</v>
      </c>
      <c r="W90" s="50">
        <v>13.65</v>
      </c>
      <c r="X90" s="50">
        <v>13.65</v>
      </c>
      <c r="Y90" s="50">
        <v>24.64</v>
      </c>
      <c r="AA90" s="50">
        <v>47.09</v>
      </c>
      <c r="AC90" s="50">
        <v>517143</v>
      </c>
      <c r="AE90" s="50" t="s">
        <v>4266</v>
      </c>
    </row>
    <row r="91" spans="1:31">
      <c r="A91" s="50" t="s">
        <v>4335</v>
      </c>
      <c r="B91" s="50" t="s">
        <v>634</v>
      </c>
      <c r="C91" s="50" t="s">
        <v>635</v>
      </c>
      <c r="D91" s="50" t="e">
        <f ca="1">Image("https://images-na.ssl-images-amazon.com/images/I/41kK8Q599yL.jpg;https://images-na.ssl-images-amazon.com/images/I/41EDVNJjN+L.jpg")</f>
        <v>#NAME?</v>
      </c>
      <c r="E91" s="50" t="s">
        <v>477</v>
      </c>
      <c r="F91" s="50" t="s">
        <v>636</v>
      </c>
      <c r="G91" s="50">
        <v>1</v>
      </c>
      <c r="I91" s="50">
        <v>32.99</v>
      </c>
      <c r="S91" s="50" t="s">
        <v>1217</v>
      </c>
      <c r="U91" s="50">
        <v>-4.95</v>
      </c>
      <c r="W91" s="50">
        <v>17.05</v>
      </c>
      <c r="X91" s="50">
        <v>17.05</v>
      </c>
      <c r="Y91" s="50">
        <v>28.04</v>
      </c>
      <c r="AA91" s="50">
        <v>51.68</v>
      </c>
      <c r="AE91" s="50" t="s">
        <v>4266</v>
      </c>
    </row>
    <row r="92" spans="1:31">
      <c r="A92" s="50" t="s">
        <v>4336</v>
      </c>
      <c r="B92" s="50" t="s">
        <v>806</v>
      </c>
      <c r="C92" s="50" t="s">
        <v>807</v>
      </c>
      <c r="D92" s="50" t="e">
        <f ca="1">Image("https://images-na.ssl-images-amazon.com/images/I/41uVodHlbiL.jpg;https://images-na.ssl-images-amazon.com/images/I/41zAWuf85IL.jpg;https://images-na.ssl-images-amazon.com/images/I/41EDVNJjN+L.jpg")</f>
        <v>#NAME?</v>
      </c>
      <c r="E92" s="50" t="s">
        <v>299</v>
      </c>
      <c r="F92" s="50" t="s">
        <v>4337</v>
      </c>
      <c r="G92" s="50">
        <v>1</v>
      </c>
      <c r="I92" s="50">
        <v>12.26</v>
      </c>
      <c r="S92" s="50" t="s">
        <v>1217</v>
      </c>
      <c r="U92" s="50">
        <v>-1.83</v>
      </c>
      <c r="W92" s="50">
        <v>6.55</v>
      </c>
      <c r="X92" s="50">
        <v>6.55</v>
      </c>
      <c r="Y92" s="50">
        <v>10.43</v>
      </c>
      <c r="AA92" s="50">
        <v>53.43</v>
      </c>
      <c r="AC92" s="50">
        <v>1138326</v>
      </c>
      <c r="AE92" s="50" t="s">
        <v>4266</v>
      </c>
    </row>
    <row r="93" spans="1:31">
      <c r="A93" s="50" t="s">
        <v>4338</v>
      </c>
      <c r="B93" s="50" t="s">
        <v>733</v>
      </c>
      <c r="C93" s="50" t="s">
        <v>734</v>
      </c>
      <c r="D93" s="50" t="e">
        <f ca="1">Image("https://images-na.ssl-images-amazon.com/images/I/41sRVeEzIQL.jpg;https://images-na.ssl-images-amazon.com/images/I/41zAWuf85IL.jpg;https://images-na.ssl-images-amazon.com/images/I/41EDVNJjN+L.jpg")</f>
        <v>#NAME?</v>
      </c>
      <c r="E93" s="50" t="s">
        <v>299</v>
      </c>
      <c r="F93" s="50" t="s">
        <v>735</v>
      </c>
      <c r="G93" s="50">
        <v>1</v>
      </c>
      <c r="I93" s="50">
        <v>18.989999999999998</v>
      </c>
      <c r="S93" s="50" t="s">
        <v>1217</v>
      </c>
      <c r="U93" s="50">
        <v>-2.85</v>
      </c>
      <c r="W93" s="50">
        <v>5.15</v>
      </c>
      <c r="X93" s="50">
        <v>5.15</v>
      </c>
      <c r="Y93" s="50">
        <v>16.14</v>
      </c>
      <c r="AA93" s="50">
        <v>27.12</v>
      </c>
      <c r="AC93" s="50">
        <v>634190</v>
      </c>
      <c r="AE93" s="50" t="s">
        <v>4266</v>
      </c>
    </row>
    <row r="94" spans="1:31">
      <c r="A94" s="50" t="s">
        <v>4339</v>
      </c>
      <c r="B94" s="50" t="s">
        <v>812</v>
      </c>
      <c r="C94" s="50" t="s">
        <v>813</v>
      </c>
      <c r="D94" s="50" t="e">
        <f ca="1">Image("https://images-na.ssl-images-amazon.com/images/I/415hGsvKVML.jpg;https://images-na.ssl-images-amazon.com/images/I/41zAWuf85IL.jpg;https://images-na.ssl-images-amazon.com/images/I/41EDVNJjN+L.jpg")</f>
        <v>#NAME?</v>
      </c>
      <c r="E94" s="50" t="s">
        <v>477</v>
      </c>
      <c r="F94" s="50" t="s">
        <v>4340</v>
      </c>
      <c r="G94" s="50">
        <v>1</v>
      </c>
      <c r="I94" s="50">
        <v>12.24</v>
      </c>
      <c r="S94" s="50" t="s">
        <v>1217</v>
      </c>
      <c r="U94" s="50">
        <v>-1.82</v>
      </c>
      <c r="W94" s="50">
        <v>6.57</v>
      </c>
      <c r="X94" s="50">
        <v>6.57</v>
      </c>
      <c r="Y94" s="50">
        <v>10.42</v>
      </c>
      <c r="AA94" s="50">
        <v>53.68</v>
      </c>
      <c r="AE94" s="50" t="s">
        <v>4266</v>
      </c>
    </row>
    <row r="95" spans="1:31">
      <c r="A95" s="50" t="s">
        <v>4341</v>
      </c>
      <c r="B95" s="50" t="s">
        <v>809</v>
      </c>
      <c r="C95" s="50" t="s">
        <v>810</v>
      </c>
      <c r="D95" s="50" t="e">
        <f ca="1">Image("https://images-na.ssl-images-amazon.com/images/I/41hLXxX+yWL.jpg;https://images-na.ssl-images-amazon.com/images/I/41zAWuf85IL.jpg;https://images-na.ssl-images-amazon.com/images/I/41EDVNJjN+L.jpg")</f>
        <v>#NAME?</v>
      </c>
      <c r="E95" s="50" t="s">
        <v>299</v>
      </c>
      <c r="F95" s="50" t="s">
        <v>4342</v>
      </c>
      <c r="G95" s="50">
        <v>1</v>
      </c>
      <c r="I95" s="50">
        <v>12.26</v>
      </c>
      <c r="S95" s="50" t="s">
        <v>1217</v>
      </c>
      <c r="U95" s="50">
        <v>-1.83</v>
      </c>
      <c r="W95" s="50">
        <v>6.55</v>
      </c>
      <c r="X95" s="50">
        <v>6.55</v>
      </c>
      <c r="Y95" s="50">
        <v>10.43</v>
      </c>
      <c r="AA95" s="50">
        <v>53.43</v>
      </c>
      <c r="AE95" s="50" t="s">
        <v>4266</v>
      </c>
    </row>
    <row r="96" spans="1:31">
      <c r="A96" s="50" t="s">
        <v>4343</v>
      </c>
      <c r="B96" s="50" t="s">
        <v>950</v>
      </c>
      <c r="C96" s="50" t="s">
        <v>951</v>
      </c>
      <c r="D96" s="50" t="e">
        <f ca="1">Image("https://images-na.ssl-images-amazon.com/images/I/41KlD4R0FFL.jpg;https://images-na.ssl-images-amazon.com/images/I/41EDVNJjN+L.jpg")</f>
        <v>#NAME?</v>
      </c>
      <c r="E96" s="50" t="s">
        <v>299</v>
      </c>
      <c r="F96" s="50" t="s">
        <v>952</v>
      </c>
      <c r="G96" s="50">
        <v>1</v>
      </c>
      <c r="H96" s="50">
        <v>1</v>
      </c>
      <c r="I96" s="50">
        <v>18.989999999999998</v>
      </c>
      <c r="R96" s="50">
        <v>100</v>
      </c>
      <c r="S96" s="50" t="s">
        <v>1217</v>
      </c>
      <c r="T96" s="50">
        <v>-16.71</v>
      </c>
      <c r="U96" s="50">
        <v>-2.85</v>
      </c>
      <c r="W96" s="50">
        <v>-11.56</v>
      </c>
      <c r="X96" s="50">
        <v>-11.56</v>
      </c>
      <c r="Y96" s="50">
        <v>-0.56999999999999995</v>
      </c>
      <c r="AA96" s="50">
        <v>-60.87</v>
      </c>
      <c r="AC96" s="50">
        <v>634978</v>
      </c>
      <c r="AE96" s="50" t="s">
        <v>4266</v>
      </c>
    </row>
    <row r="97" spans="1:31">
      <c r="A97" s="50" t="s">
        <v>4344</v>
      </c>
      <c r="B97" s="50" t="s">
        <v>832</v>
      </c>
      <c r="C97" s="50" t="s">
        <v>833</v>
      </c>
      <c r="D97" s="50" t="s">
        <v>834</v>
      </c>
      <c r="E97" s="50" t="s">
        <v>834</v>
      </c>
      <c r="F97" s="50" t="s">
        <v>835</v>
      </c>
      <c r="G97" s="50">
        <v>1</v>
      </c>
      <c r="I97" s="50">
        <v>11.58</v>
      </c>
      <c r="S97" s="50" t="s">
        <v>1217</v>
      </c>
      <c r="U97" s="50">
        <v>-1.73</v>
      </c>
      <c r="W97" s="50">
        <v>6.18</v>
      </c>
      <c r="X97" s="50">
        <v>6.18</v>
      </c>
      <c r="Y97" s="50">
        <v>9.85</v>
      </c>
      <c r="AA97" s="50">
        <v>53.37</v>
      </c>
      <c r="AC97" s="50">
        <v>1120776</v>
      </c>
      <c r="AE97" s="50" t="s">
        <v>4266</v>
      </c>
    </row>
    <row r="98" spans="1:31">
      <c r="A98" s="50" t="s">
        <v>4345</v>
      </c>
      <c r="B98" s="50" t="s">
        <v>721</v>
      </c>
      <c r="C98" s="50" t="s">
        <v>722</v>
      </c>
      <c r="D98" s="50" t="e">
        <f ca="1">Image("https://images-na.ssl-images-amazon.com/images/I/41jiF0R6ViL.jpg;https://images-na.ssl-images-amazon.com/images/I/41EDVNJjN+L.jpg")</f>
        <v>#NAME?</v>
      </c>
      <c r="E98" s="50" t="s">
        <v>299</v>
      </c>
      <c r="F98" s="50" t="s">
        <v>723</v>
      </c>
      <c r="G98" s="50">
        <v>1</v>
      </c>
      <c r="I98" s="50">
        <v>19.98</v>
      </c>
      <c r="S98" s="50" t="s">
        <v>1217</v>
      </c>
      <c r="U98" s="50">
        <v>-3</v>
      </c>
      <c r="W98" s="50">
        <v>5.99</v>
      </c>
      <c r="X98" s="50">
        <v>5.99</v>
      </c>
      <c r="Y98" s="50">
        <v>16.98</v>
      </c>
      <c r="AA98" s="50">
        <v>29.98</v>
      </c>
      <c r="AC98" s="50">
        <v>609543</v>
      </c>
      <c r="AE98" s="50" t="s">
        <v>4266</v>
      </c>
    </row>
    <row r="99" spans="1:31">
      <c r="A99" s="50" t="s">
        <v>4346</v>
      </c>
      <c r="B99" s="50" t="s">
        <v>818</v>
      </c>
      <c r="C99" s="50" t="s">
        <v>819</v>
      </c>
      <c r="D99" s="50" t="e">
        <f ca="1">Image("https://images-na.ssl-images-amazon.com/images/I/41W-72YnUyL.jpg;https://images-na.ssl-images-amazon.com/images/I/419hlNvH5sL.jpg")</f>
        <v>#NAME?</v>
      </c>
      <c r="E99" s="50" t="s">
        <v>477</v>
      </c>
      <c r="F99" s="50" t="s">
        <v>820</v>
      </c>
      <c r="G99" s="50">
        <v>1</v>
      </c>
      <c r="I99" s="50">
        <v>12.04</v>
      </c>
      <c r="S99" s="50" t="s">
        <v>1217</v>
      </c>
      <c r="U99" s="50">
        <v>-1.8</v>
      </c>
      <c r="W99" s="50">
        <v>6.43</v>
      </c>
      <c r="X99" s="50">
        <v>6.43</v>
      </c>
      <c r="Y99" s="50">
        <v>10.24</v>
      </c>
      <c r="AA99" s="50">
        <v>53.41</v>
      </c>
      <c r="AC99" s="50">
        <v>751671</v>
      </c>
      <c r="AE99" s="50" t="s">
        <v>4266</v>
      </c>
    </row>
    <row r="100" spans="1:31">
      <c r="A100" s="50" t="s">
        <v>4347</v>
      </c>
      <c r="B100" s="50" t="s">
        <v>815</v>
      </c>
      <c r="C100" s="50" t="s">
        <v>816</v>
      </c>
      <c r="D100" s="50" t="e">
        <f ca="1">Image("https://images-na.ssl-images-amazon.com/images/I/41ljClfYvWL.jpg;https://images-na.ssl-images-amazon.com/images/I/419hlNvH5sL.jpg")</f>
        <v>#NAME?</v>
      </c>
      <c r="E100" s="50" t="s">
        <v>477</v>
      </c>
      <c r="F100" s="50" t="s">
        <v>817</v>
      </c>
      <c r="G100" s="50">
        <v>1</v>
      </c>
      <c r="I100" s="50">
        <v>12.09</v>
      </c>
      <c r="S100" s="50" t="s">
        <v>1217</v>
      </c>
      <c r="U100" s="50">
        <v>-1.82</v>
      </c>
      <c r="W100" s="50">
        <v>6.44</v>
      </c>
      <c r="X100" s="50">
        <v>6.44</v>
      </c>
      <c r="Y100" s="50">
        <v>10.27</v>
      </c>
      <c r="AA100" s="50">
        <v>53.27</v>
      </c>
      <c r="AC100" s="50">
        <v>729213</v>
      </c>
      <c r="AE100" s="50" t="s">
        <v>4266</v>
      </c>
    </row>
    <row r="101" spans="1:31">
      <c r="A101" s="50" t="s">
        <v>4348</v>
      </c>
      <c r="B101" s="50" t="s">
        <v>821</v>
      </c>
      <c r="C101" s="50" t="s">
        <v>822</v>
      </c>
      <c r="D101" s="50" t="e">
        <f ca="1">Image("https://images-na.ssl-images-amazon.com/images/I/41hHUPJNpnL.jpg;https://images-na.ssl-images-amazon.com/images/I/419hlNvH5sL.jpg")</f>
        <v>#NAME?</v>
      </c>
      <c r="E101" s="50" t="s">
        <v>477</v>
      </c>
      <c r="F101" s="50" t="s">
        <v>823</v>
      </c>
      <c r="G101" s="50">
        <v>1</v>
      </c>
      <c r="I101" s="50">
        <v>12.04</v>
      </c>
      <c r="S101" s="50" t="s">
        <v>1217</v>
      </c>
      <c r="U101" s="50">
        <v>-1.8</v>
      </c>
      <c r="W101" s="50">
        <v>6.42</v>
      </c>
      <c r="X101" s="50">
        <v>6.42</v>
      </c>
      <c r="Y101" s="50">
        <v>10.24</v>
      </c>
      <c r="AA101" s="50">
        <v>53.32</v>
      </c>
      <c r="AC101" s="50">
        <v>750527</v>
      </c>
      <c r="AE101" s="50" t="s">
        <v>4266</v>
      </c>
    </row>
    <row r="102" spans="1:31">
      <c r="A102" s="50" t="s">
        <v>4349</v>
      </c>
      <c r="B102" s="50" t="s">
        <v>692</v>
      </c>
      <c r="C102" s="50" t="s">
        <v>693</v>
      </c>
      <c r="D102" s="50" t="e">
        <f ca="1">Image("https://images-na.ssl-images-amazon.com/images/I/41cux3wTRYL.jpg;https://images-na.ssl-images-amazon.com/images/I/41rEnJhcI-L.jpg")</f>
        <v>#NAME?</v>
      </c>
      <c r="E102" s="50" t="s">
        <v>694</v>
      </c>
      <c r="F102" s="50" t="s">
        <v>695</v>
      </c>
      <c r="G102" s="50">
        <v>1</v>
      </c>
      <c r="I102" s="50">
        <v>25.98</v>
      </c>
      <c r="S102" s="50" t="s">
        <v>1217</v>
      </c>
      <c r="U102" s="50">
        <v>-3.9</v>
      </c>
      <c r="W102" s="50">
        <v>17.09</v>
      </c>
      <c r="X102" s="50">
        <v>17.09</v>
      </c>
      <c r="Y102" s="50">
        <v>22.08</v>
      </c>
      <c r="AA102" s="50">
        <v>65.78</v>
      </c>
      <c r="AC102" s="50">
        <v>5470438</v>
      </c>
      <c r="AE102" s="50" t="s">
        <v>4266</v>
      </c>
    </row>
    <row r="103" spans="1:31">
      <c r="A103" s="50" t="s">
        <v>4350</v>
      </c>
      <c r="B103" s="50" t="s">
        <v>1070</v>
      </c>
      <c r="C103" s="50" t="s">
        <v>1071</v>
      </c>
      <c r="D103" s="50" t="e">
        <f ca="1">Image("https://images-na.ssl-images-amazon.com/images/I/51eW8J2-RvL.jpg;https://images-na.ssl-images-amazon.com/images/I/51utxW0OEYL.jpg;https://images-na.ssl-images-amazon.com/images/I/51+bDHuGTpL.jpg;https://images-na.ssl-images-amazon.com/images/I/51H79mOUVlL"&amp;".jpg;https://images-na.ssl-images-amazon.com/images/I/61ExgM1ky4L.jpg;https://images-na.ssl-images-amazon.com/images/I/514xVFnu8uL.jpg;https://images-na.ssl-images-amazon.com/images/I/51osLqNQPkL.jpg")</f>
        <v>#NAME?</v>
      </c>
      <c r="E103" s="50" t="s">
        <v>477</v>
      </c>
      <c r="F103" s="50" t="s">
        <v>1072</v>
      </c>
      <c r="G103" s="50">
        <v>1</v>
      </c>
      <c r="I103" s="50">
        <v>5.99</v>
      </c>
      <c r="S103" s="50" t="s">
        <v>1217</v>
      </c>
      <c r="U103" s="50">
        <v>-20.45</v>
      </c>
      <c r="W103" s="50">
        <v>-14.46</v>
      </c>
      <c r="X103" s="50">
        <v>-14.46</v>
      </c>
      <c r="Y103" s="50">
        <v>-14.46</v>
      </c>
      <c r="AA103" s="50">
        <v>-241.4</v>
      </c>
      <c r="AC103" s="50">
        <v>341797</v>
      </c>
      <c r="AE103" s="50" t="s">
        <v>4266</v>
      </c>
    </row>
    <row r="104" spans="1:31">
      <c r="A104" s="50" t="s">
        <v>4350</v>
      </c>
      <c r="B104" s="50" t="s">
        <v>1120</v>
      </c>
      <c r="C104" s="50" t="s">
        <v>1121</v>
      </c>
      <c r="D104" s="50" t="e">
        <f ca="1">Image("https://images-na.ssl-images-amazon.com/images/I/51rVrVAhl7L.jpg;https://images-na.ssl-images-amazon.com/images/I/51ZIpZB1wLL.jpg;https://images-na.ssl-images-amazon.com/images/I/51nrD5dDwmL.jpg;https://images-na.ssl-images-amazon.com/images/I/51Cbx4ujeYL"&amp;".jpg;https://images-na.ssl-images-amazon.com/images/I/61Rf-+9806L.jpg;https://images-na.ssl-images-amazon.com/images/I/51LJJbEJfJL.jpg;https://images-na.ssl-images-amazon.com/images/I/514PHl8Bx9L.jpg")</f>
        <v>#NAME?</v>
      </c>
      <c r="E104" s="50" t="s">
        <v>477</v>
      </c>
      <c r="F104" s="50" t="s">
        <v>1072</v>
      </c>
      <c r="G104" s="50">
        <v>1</v>
      </c>
      <c r="I104" s="50">
        <v>5.99</v>
      </c>
      <c r="S104" s="50" t="s">
        <v>1217</v>
      </c>
      <c r="U104" s="50">
        <v>-39.99</v>
      </c>
      <c r="W104" s="50">
        <v>-34</v>
      </c>
      <c r="X104" s="50">
        <v>-34</v>
      </c>
      <c r="Y104" s="50">
        <v>-34</v>
      </c>
      <c r="AA104" s="50">
        <v>-567.61</v>
      </c>
      <c r="AC104" s="50">
        <v>341797</v>
      </c>
      <c r="AE104" s="50" t="s">
        <v>4266</v>
      </c>
    </row>
    <row r="105" spans="1:31">
      <c r="A105" s="50" t="s">
        <v>4351</v>
      </c>
      <c r="B105" s="50" t="s">
        <v>941</v>
      </c>
      <c r="C105" s="50" t="s">
        <v>942</v>
      </c>
      <c r="D105" s="50" t="e">
        <f ca="1">Image("https://images-na.ssl-images-amazon.com/images/I/51pBDSvxsXL.jpg;https://images-na.ssl-images-amazon.com/images/I/41bdAdw0-tL.jpg;https://images-na.ssl-images-amazon.com/images/I/518CsZ07LvL.jpg")</f>
        <v>#NAME?</v>
      </c>
      <c r="E105" s="50" t="s">
        <v>477</v>
      </c>
      <c r="F105" s="50" t="s">
        <v>943</v>
      </c>
      <c r="G105" s="50">
        <v>1</v>
      </c>
      <c r="I105" s="50">
        <v>5.49</v>
      </c>
      <c r="S105" s="50" t="s">
        <v>1217</v>
      </c>
      <c r="U105" s="50">
        <v>-5.74</v>
      </c>
      <c r="W105" s="50">
        <v>-0.25</v>
      </c>
      <c r="X105" s="50">
        <v>-0.25</v>
      </c>
      <c r="Y105" s="50">
        <v>-0.25</v>
      </c>
      <c r="AA105" s="50">
        <v>-4.55</v>
      </c>
      <c r="AC105" s="50">
        <v>319451</v>
      </c>
      <c r="AE105" s="50" t="s">
        <v>4266</v>
      </c>
    </row>
    <row r="106" spans="1:31">
      <c r="A106" s="50" t="s">
        <v>4352</v>
      </c>
      <c r="B106" s="50" t="s">
        <v>1052</v>
      </c>
      <c r="C106" s="50" t="s">
        <v>1053</v>
      </c>
      <c r="D106" s="50" t="e">
        <f ca="1">Image("https://images-na.ssl-images-amazon.com/images/I/416ngoZDSPL.jpg;https://images-na.ssl-images-amazon.com/images/I/41p6Hlh1fAL.jpg;https://images-na.ssl-images-amazon.com/images/I/41ZGf7ihqQL.jpg;https://images-na.ssl-images-amazon.com/images/I/41178C8FaTL"&amp;".jpg;https://images-na.ssl-images-amazon.com/images/I/41fMZ6Hxn3L.jpg")</f>
        <v>#NAME?</v>
      </c>
      <c r="E106" s="50" t="s">
        <v>1054</v>
      </c>
      <c r="F106" s="50" t="s">
        <v>1055</v>
      </c>
      <c r="S106" s="50" t="s">
        <v>1217</v>
      </c>
      <c r="U106" s="50">
        <v>-11.28</v>
      </c>
      <c r="W106" s="50">
        <v>-11.28</v>
      </c>
      <c r="X106" s="50">
        <v>-11.28</v>
      </c>
      <c r="Y106" s="50">
        <v>-11.28</v>
      </c>
      <c r="AE106" s="50" t="s">
        <v>4266</v>
      </c>
    </row>
    <row r="107" spans="1:31">
      <c r="A107" s="50" t="s">
        <v>4353</v>
      </c>
      <c r="B107" s="50" t="s">
        <v>64</v>
      </c>
      <c r="C107" s="50" t="s">
        <v>4354</v>
      </c>
      <c r="D107" s="50" t="e">
        <f ca="1">Image("https://images-na.ssl-images-amazon.com/images/I/41AOEKiwIhL.jpg;https://images-na.ssl-images-amazon.com/images/I/31exv-sLHFS.jpg;https://images-na.ssl-images-amazon.com/images/I/31wvL5ZhC-S.jpg;https://images-na.ssl-images-amazon.com/images/I/31Q5U5NIiXS"&amp;".jpg;https://images-na.ssl-images-amazon.com/images/I/31RGHfa+tWS.jpg;https://images-na.ssl-images-amazon.com/images/I/51zXI6J2ljS.jpg")</f>
        <v>#NAME?</v>
      </c>
      <c r="E107" s="50" t="s">
        <v>16</v>
      </c>
      <c r="F107" s="50" t="s">
        <v>66</v>
      </c>
      <c r="S107" s="50" t="s">
        <v>1217</v>
      </c>
      <c r="U107" s="50">
        <v>6.24</v>
      </c>
      <c r="W107" s="50">
        <v>6.24</v>
      </c>
      <c r="X107" s="50">
        <v>6.24</v>
      </c>
      <c r="Y107" s="50">
        <v>6.24</v>
      </c>
      <c r="AC107" s="50">
        <v>236420</v>
      </c>
      <c r="AE107" s="50" t="s">
        <v>4266</v>
      </c>
    </row>
    <row r="108" spans="1:31">
      <c r="A108" s="50" t="s">
        <v>4355</v>
      </c>
      <c r="B108" s="50" t="s">
        <v>1038</v>
      </c>
      <c r="C108" s="50" t="s">
        <v>1039</v>
      </c>
      <c r="D108" s="50" t="e">
        <f ca="1">Image("https://images-na.ssl-images-amazon.com/images/I/51B-xN8PybL.jpg;https://images-na.ssl-images-amazon.com/images/I/51d-bXNZVBL.jpg;https://images-na.ssl-images-amazon.com/images/I/51yNP7TpOcL.jpg;https://images-na.ssl-images-amazon.com/images/I/51MHPJBJXZL"&amp;".jpg;https://images-na.ssl-images-amazon.com/images/I/61Zr+4Vw3gL.jpg;https://images-na.ssl-images-amazon.com/images/I/51BsI9suPtL.jpg;https://images-na.ssl-images-amazon.com/images/I/51TlJaZglFL.jpg")</f>
        <v>#NAME?</v>
      </c>
      <c r="E108" s="50" t="s">
        <v>477</v>
      </c>
      <c r="F108" s="50" t="s">
        <v>1030</v>
      </c>
      <c r="S108" s="50" t="s">
        <v>1217</v>
      </c>
      <c r="U108" s="50">
        <v>-8.3000000000000007</v>
      </c>
      <c r="W108" s="50">
        <v>-8.3000000000000007</v>
      </c>
      <c r="X108" s="50">
        <v>-8.3000000000000007</v>
      </c>
      <c r="Y108" s="50">
        <v>-8.3000000000000007</v>
      </c>
      <c r="AC108" s="50">
        <v>193663</v>
      </c>
      <c r="AE108" s="50" t="s">
        <v>4266</v>
      </c>
    </row>
    <row r="109" spans="1:31">
      <c r="A109" s="50" t="s">
        <v>4355</v>
      </c>
      <c r="B109" s="50" t="s">
        <v>1028</v>
      </c>
      <c r="C109" s="50" t="s">
        <v>1029</v>
      </c>
      <c r="D109" s="50" t="e">
        <f ca="1">Image("https://images-na.ssl-images-amazon.com/images/I/513FGQ3exkL.jpg;https://images-na.ssl-images-amazon.com/images/I/51YqwcDde3L.jpg;https://images-na.ssl-images-amazon.com/images/I/51kM1CNRBdL.jpg;https://images-na.ssl-images-amazon.com/images/I/51fwKS4mfwL"&amp;".jpg;https://images-na.ssl-images-amazon.com/images/I/51pYvBeaIAL.jpg;https://images-na.ssl-images-amazon.com/images/I/518P+KH3lKL.jpg;https://images-na.ssl-images-amazon.com/images/I/51hgsX6wVeL.jpg")</f>
        <v>#NAME?</v>
      </c>
      <c r="E109" s="50" t="s">
        <v>477</v>
      </c>
      <c r="F109" s="50" t="s">
        <v>1030</v>
      </c>
      <c r="S109" s="50" t="s">
        <v>1217</v>
      </c>
      <c r="U109" s="50">
        <v>-7.19</v>
      </c>
      <c r="W109" s="50">
        <v>-7.19</v>
      </c>
      <c r="X109" s="50">
        <v>-7.19</v>
      </c>
      <c r="Y109" s="50">
        <v>-7.19</v>
      </c>
      <c r="AC109" s="50">
        <v>414409</v>
      </c>
      <c r="AE109" s="50" t="s">
        <v>4266</v>
      </c>
    </row>
    <row r="110" spans="1:31">
      <c r="A110" s="50" t="s">
        <v>4356</v>
      </c>
      <c r="B110" s="50" t="s">
        <v>1067</v>
      </c>
      <c r="C110" s="50" t="s">
        <v>1068</v>
      </c>
      <c r="D110" s="50" t="e">
        <f ca="1">Image("https://images-na.ssl-images-amazon.com/images/I/51XwovkIGGL.jpg;https://images-na.ssl-images-amazon.com/images/I/41FQZ25JHrL.jpg;https://images-na.ssl-images-amazon.com/images/I/514HEpR+d9L.jpg")</f>
        <v>#NAME?</v>
      </c>
      <c r="E110" s="50" t="s">
        <v>299</v>
      </c>
      <c r="F110" s="50" t="s">
        <v>1069</v>
      </c>
      <c r="H110" s="50">
        <v>1</v>
      </c>
      <c r="R110" s="50" t="s">
        <v>4357</v>
      </c>
      <c r="T110" s="50">
        <v>-7.92</v>
      </c>
      <c r="U110" s="50">
        <v>-6.39</v>
      </c>
      <c r="W110" s="50">
        <v>-14.31</v>
      </c>
      <c r="X110" s="50">
        <v>-14.31</v>
      </c>
      <c r="Y110" s="50">
        <v>-14.31</v>
      </c>
      <c r="AC110" s="50">
        <v>548676</v>
      </c>
      <c r="AE110" s="50" t="s">
        <v>4266</v>
      </c>
    </row>
    <row r="111" spans="1:31">
      <c r="A111" s="50" t="s">
        <v>4358</v>
      </c>
      <c r="B111" s="50" t="s">
        <v>947</v>
      </c>
      <c r="C111" s="50" t="s">
        <v>948</v>
      </c>
      <c r="D111" s="50" t="e">
        <f ca="1">Image("https://images-na.ssl-images-amazon.com/images/I/411KGe5C4JL.jpg;https://images-na.ssl-images-amazon.com/images/I/41F3A+JmOlL.jpg;https://images-na.ssl-images-amazon.com/images/I/51pDyR9wIRL.jpg")</f>
        <v>#NAME?</v>
      </c>
      <c r="E111" s="50" t="s">
        <v>477</v>
      </c>
      <c r="F111" s="50" t="s">
        <v>949</v>
      </c>
      <c r="S111" s="50" t="s">
        <v>1217</v>
      </c>
      <c r="U111" s="50">
        <v>-0.55000000000000004</v>
      </c>
      <c r="W111" s="50">
        <v>-0.55000000000000004</v>
      </c>
      <c r="X111" s="50">
        <v>-0.55000000000000004</v>
      </c>
      <c r="Y111" s="50">
        <v>-0.55000000000000004</v>
      </c>
      <c r="AE111" s="50" t="s">
        <v>4266</v>
      </c>
    </row>
    <row r="112" spans="1:31">
      <c r="A112" s="50" t="s">
        <v>4359</v>
      </c>
      <c r="B112" s="50" t="s">
        <v>1016</v>
      </c>
      <c r="C112" s="50" t="s">
        <v>1017</v>
      </c>
      <c r="D112" s="50" t="e">
        <f ca="1">Image("https://images-na.ssl-images-amazon.com/images/I/315FRLu3f6L.jpg;https://images-na.ssl-images-amazon.com/images/I/41yxmwlZw0L.jpg;https://images-na.ssl-images-amazon.com/images/I/31gb-Qky7bL.jpg;https://images-na.ssl-images-amazon.com/images/I/41vgY6--x+L"&amp;".jpg;https://images-na.ssl-images-amazon.com/images/I/415QNYmdDtL.jpg;https://images-na.ssl-images-amazon.com/images/I/41bI9upgZ7L.jpg;https://images-na.ssl-images-amazon.com/images/I/41UM6xAtSnL.jpg")</f>
        <v>#NAME?</v>
      </c>
      <c r="E112" s="50" t="s">
        <v>20</v>
      </c>
      <c r="F112" s="50" t="s">
        <v>1018</v>
      </c>
      <c r="S112" s="50" t="s">
        <v>1217</v>
      </c>
      <c r="U112" s="50">
        <v>-7.34</v>
      </c>
      <c r="W112" s="50">
        <v>-7.34</v>
      </c>
      <c r="X112" s="50">
        <v>-7.34</v>
      </c>
      <c r="Y112" s="50">
        <v>-7.34</v>
      </c>
      <c r="AE112" s="50" t="s">
        <v>4266</v>
      </c>
    </row>
    <row r="113" spans="1:31">
      <c r="A113" s="50" t="s">
        <v>4360</v>
      </c>
      <c r="B113" s="50" t="s">
        <v>88</v>
      </c>
      <c r="C113" s="50" t="s">
        <v>4361</v>
      </c>
      <c r="D113" s="50" t="e">
        <f ca="1">Image("https://images-na.ssl-images-amazon.com/images/I/41aEb7Hdp4L.jpg;https://images-na.ssl-images-amazon.com/images/I/51RNobz9zqL.jpg;https://images-na.ssl-images-amazon.com/images/I/41SNgC83nwL.jpg;https://images-na.ssl-images-amazon.com/images/I/51hyWzhfNcL"&amp;".jpg;https://images-na.ssl-images-amazon.com/images/I/51YJISElv5L.jpg;https://images-na.ssl-images-amazon.com/images/I/51CYNJk1TWL.jpg;https://images-na.ssl-images-amazon.com/images/I/51qeaNwt+9L.jpg;https://images-na.ssl-images-amazon.com/images/I/512t8z"&amp;"C0MGL.jpg")</f>
        <v>#NAME?</v>
      </c>
      <c r="E113" s="50" t="s">
        <v>20</v>
      </c>
      <c r="F113" s="50" t="s">
        <v>90</v>
      </c>
      <c r="S113" s="50" t="s">
        <v>1217</v>
      </c>
      <c r="U113" s="50">
        <v>4.49</v>
      </c>
      <c r="W113" s="50">
        <v>4.49</v>
      </c>
      <c r="X113" s="50">
        <v>4.49</v>
      </c>
      <c r="Y113" s="50">
        <v>4.49</v>
      </c>
      <c r="AC113" s="50">
        <v>152038</v>
      </c>
      <c r="AE113" s="50" t="s">
        <v>4266</v>
      </c>
    </row>
    <row r="114" spans="1:31">
      <c r="A114" s="50" t="s">
        <v>4362</v>
      </c>
      <c r="B114" s="50" t="s">
        <v>206</v>
      </c>
      <c r="C114" s="50" t="s">
        <v>4363</v>
      </c>
      <c r="D114" s="50" t="e">
        <f ca="1">Image("https://images-na.ssl-images-amazon.com/images/I/51JXxV9SVlL.jpg;https://images-na.ssl-images-amazon.com/images/I/51bmI8M0lnL.jpg;https://images-na.ssl-images-amazon.com/images/I/51Yxjdxj-RL.jpg;https://images-na.ssl-images-amazon.com/images/I/41SbKlYf6yL"&amp;".jpg;https://images-na.ssl-images-amazon.com/images/I/61zFBHlaYkL.jpg;https://images-na.ssl-images-amazon.com/images/I/61U-7yYxGtL.jpg;https://images-na.ssl-images-amazon.com/images/I/61vqrdPd3FL.jpg")</f>
        <v>#NAME?</v>
      </c>
      <c r="E114" s="50" t="s">
        <v>20</v>
      </c>
      <c r="F114" s="50" t="s">
        <v>208</v>
      </c>
      <c r="S114" s="50" t="s">
        <v>1217</v>
      </c>
      <c r="U114" s="50">
        <v>5.84</v>
      </c>
      <c r="W114" s="50">
        <v>5.84</v>
      </c>
      <c r="X114" s="50">
        <v>5.84</v>
      </c>
      <c r="Y114" s="50">
        <v>5.84</v>
      </c>
      <c r="AC114" s="50">
        <v>259895</v>
      </c>
      <c r="AE114" s="50" t="s">
        <v>4266</v>
      </c>
    </row>
    <row r="115" spans="1:31">
      <c r="A115" s="50" t="s">
        <v>4364</v>
      </c>
      <c r="B115" s="50" t="s">
        <v>1103</v>
      </c>
      <c r="C115" s="50" t="s">
        <v>1104</v>
      </c>
      <c r="D115" s="50" t="e">
        <f ca="1">Image("https://images-na.ssl-images-amazon.com/images/I/512QkMaYC3S.jpg;https://images-na.ssl-images-amazon.com/images/I/51UrgsJz+qS.jpg;https://images-na.ssl-images-amazon.com/images/I/51KHp57ZTFS.jpg;https://images-na.ssl-images-amazon.com/images/I/611cfioXprS"&amp;".jpg;https://images-na.ssl-images-amazon.com/images/I/51o79oFEnUS.jpg;https://images-na.ssl-images-amazon.com/images/I/41VylfxC0IS.jpg")</f>
        <v>#NAME?</v>
      </c>
      <c r="E115" s="50" t="s">
        <v>20</v>
      </c>
      <c r="F115" s="50" t="s">
        <v>1105</v>
      </c>
      <c r="S115" s="50" t="s">
        <v>1217</v>
      </c>
      <c r="U115" s="50">
        <v>-29.73</v>
      </c>
      <c r="W115" s="50">
        <v>-29.73</v>
      </c>
      <c r="X115" s="50">
        <v>-29.73</v>
      </c>
      <c r="Y115" s="50">
        <v>-29.73</v>
      </c>
      <c r="AC115" s="50">
        <v>2854509</v>
      </c>
      <c r="AE115" s="50" t="s">
        <v>4266</v>
      </c>
    </row>
    <row r="116" spans="1:31">
      <c r="A116" s="50" t="s">
        <v>4365</v>
      </c>
      <c r="B116" s="50" t="s">
        <v>1106</v>
      </c>
      <c r="C116" s="50" t="s">
        <v>1107</v>
      </c>
      <c r="D116" s="50" t="e">
        <f ca="1">Image("https://images-na.ssl-images-amazon.com/images/I/51PgSstTJpS.jpg;https://images-na.ssl-images-amazon.com/images/I/51-uU8JXTCS.jpg;https://images-na.ssl-images-amazon.com/images/I/61FPYG066nS.jpg;https://images-na.ssl-images-amazon.com/images/I/51-6-PQRrMS"&amp;".jpg;https://images-na.ssl-images-amazon.com/images/I/51fZ4H4z9CS.jpg;https://images-na.ssl-images-amazon.com/images/I/41uBztVXspS.jpg")</f>
        <v>#NAME?</v>
      </c>
      <c r="E116" s="50" t="s">
        <v>20</v>
      </c>
      <c r="F116" s="50" t="s">
        <v>1108</v>
      </c>
      <c r="S116" s="50" t="s">
        <v>1217</v>
      </c>
      <c r="U116" s="50">
        <v>-29.74</v>
      </c>
      <c r="W116" s="50">
        <v>-29.74</v>
      </c>
      <c r="X116" s="50">
        <v>-29.74</v>
      </c>
      <c r="Y116" s="50">
        <v>-29.74</v>
      </c>
      <c r="AC116" s="50">
        <v>2854509</v>
      </c>
      <c r="AE116" s="50" t="s">
        <v>4266</v>
      </c>
    </row>
    <row r="117" spans="1:31">
      <c r="A117" s="50" t="s">
        <v>4366</v>
      </c>
      <c r="B117" s="50" t="s">
        <v>1112</v>
      </c>
      <c r="C117" s="50" t="s">
        <v>1113</v>
      </c>
      <c r="D117" s="50" t="e">
        <f ca="1">Image("https://images-na.ssl-images-amazon.com/images/I/51yoAq3W6VS.jpg;https://images-na.ssl-images-amazon.com/images/I/51vnu9e6c8S.jpg;https://images-na.ssl-images-amazon.com/images/I/51keVznJsES.jpg;https://images-na.ssl-images-amazon.com/images/I/51w4gxl-ceS"&amp;".jpg;https://images-na.ssl-images-amazon.com/images/I/51CflNeP8LS.jpg;https://images-na.ssl-images-amazon.com/images/I/41Yvh5DlHpS.jpg")</f>
        <v>#NAME?</v>
      </c>
      <c r="E117" s="50" t="s">
        <v>20</v>
      </c>
      <c r="F117" s="50" t="s">
        <v>1114</v>
      </c>
      <c r="S117" s="50" t="s">
        <v>1217</v>
      </c>
      <c r="U117" s="50">
        <v>-31.83</v>
      </c>
      <c r="W117" s="50">
        <v>-31.83</v>
      </c>
      <c r="X117" s="50">
        <v>-31.83</v>
      </c>
      <c r="Y117" s="50">
        <v>-31.83</v>
      </c>
      <c r="AC117" s="50">
        <v>2854509</v>
      </c>
      <c r="AE117" s="50" t="s">
        <v>4266</v>
      </c>
    </row>
    <row r="118" spans="1:31">
      <c r="A118" s="50" t="s">
        <v>4367</v>
      </c>
      <c r="B118" s="50" t="s">
        <v>959</v>
      </c>
      <c r="C118" s="50" t="s">
        <v>960</v>
      </c>
      <c r="D118" s="50" t="s">
        <v>834</v>
      </c>
      <c r="E118" s="50" t="s">
        <v>20</v>
      </c>
      <c r="F118" s="50" t="s">
        <v>961</v>
      </c>
      <c r="S118" s="50" t="s">
        <v>1217</v>
      </c>
      <c r="U118" s="50">
        <v>-0.82</v>
      </c>
      <c r="W118" s="50">
        <v>-0.82</v>
      </c>
      <c r="X118" s="50">
        <v>-0.82</v>
      </c>
      <c r="Y118" s="50">
        <v>-0.82</v>
      </c>
      <c r="AE118" s="50" t="s">
        <v>4266</v>
      </c>
    </row>
    <row r="119" spans="1:31">
      <c r="A119" s="50" t="s">
        <v>4368</v>
      </c>
      <c r="B119" s="50" t="s">
        <v>10</v>
      </c>
      <c r="C119" s="50" t="s">
        <v>4369</v>
      </c>
      <c r="D119" s="50" t="e">
        <f ca="1">Image("https://images-na.ssl-images-amazon.com/images/I/41X+Cd3f7QL.jpg;https://images-na.ssl-images-amazon.com/images/I/316UmAiMAsL.jpg;https://images-na.ssl-images-amazon.com/images/I/31teahcaMhL.jpg;https://images-na.ssl-images-amazon.com/images/I/31b3ZDpPpIL"&amp;".jpg")</f>
        <v>#NAME?</v>
      </c>
      <c r="E119" s="50" t="s">
        <v>12</v>
      </c>
      <c r="F119" s="50" t="s">
        <v>13</v>
      </c>
      <c r="G119" s="50">
        <v>3364</v>
      </c>
      <c r="H119" s="50">
        <v>78</v>
      </c>
      <c r="I119" s="50">
        <v>31099.360000000001</v>
      </c>
      <c r="R119" s="50">
        <v>2.3199999999999998</v>
      </c>
      <c r="S119" s="50">
        <v>53.06</v>
      </c>
      <c r="T119" s="50">
        <v>-643.63</v>
      </c>
      <c r="U119" s="50">
        <v>-17622.95</v>
      </c>
      <c r="W119" s="50">
        <v>12832.78</v>
      </c>
      <c r="X119" s="50">
        <v>12832.78</v>
      </c>
      <c r="Y119" s="50">
        <v>12832.78</v>
      </c>
      <c r="AA119" s="50">
        <v>41.26</v>
      </c>
      <c r="AC119" s="50">
        <v>1503</v>
      </c>
      <c r="AE119" s="50" t="s">
        <v>4370</v>
      </c>
    </row>
    <row r="120" spans="1:31">
      <c r="A120" s="50" t="s">
        <v>4371</v>
      </c>
      <c r="B120" s="50" t="s">
        <v>22</v>
      </c>
      <c r="C120" s="50" t="s">
        <v>4372</v>
      </c>
      <c r="D120" s="50" t="e">
        <f ca="1">Image("https://images-na.ssl-images-amazon.com/images/I/51Ty4k4RvPL.jpg;https://images-na.ssl-images-amazon.com/images/I/51PrNjO7d-L.jpg;https://images-na.ssl-images-amazon.com/images/I/51sg8npK3+L.jpg;https://images-na.ssl-images-amazon.com/images/I/51b+Fcjt19L"&amp;".jpg;https://images-na.ssl-images-amazon.com/images/I/61m+NIwIFzL.jpg;https://images-na.ssl-images-amazon.com/images/I/317+gBlW+yL.jpg;https://images-na.ssl-images-amazon.com/images/I/51Ty4k4RvPL.jpg")</f>
        <v>#NAME?</v>
      </c>
      <c r="E120" s="50" t="s">
        <v>12</v>
      </c>
      <c r="F120" s="50" t="s">
        <v>24</v>
      </c>
      <c r="G120" s="50">
        <v>473</v>
      </c>
      <c r="H120" s="50">
        <v>8</v>
      </c>
      <c r="I120" s="50">
        <v>10385.86</v>
      </c>
      <c r="K120" s="50">
        <v>-128.76</v>
      </c>
      <c r="L120" s="50">
        <v>-128.76</v>
      </c>
      <c r="R120" s="50">
        <v>1.69</v>
      </c>
      <c r="S120" s="50">
        <v>50</v>
      </c>
      <c r="T120" s="50">
        <v>-154.79</v>
      </c>
      <c r="U120" s="50">
        <v>-4858.91</v>
      </c>
      <c r="W120" s="50">
        <v>5243.4</v>
      </c>
      <c r="X120" s="50">
        <v>5243.4</v>
      </c>
      <c r="Y120" s="50">
        <v>5243.4</v>
      </c>
      <c r="AA120" s="50">
        <v>50.49</v>
      </c>
      <c r="AC120" s="50">
        <v>1503</v>
      </c>
      <c r="AD120" s="50">
        <v>1.24</v>
      </c>
      <c r="AE120" s="50" t="s">
        <v>4370</v>
      </c>
    </row>
    <row r="121" spans="1:31">
      <c r="A121" s="50" t="s">
        <v>4373</v>
      </c>
      <c r="B121" s="50" t="s">
        <v>28</v>
      </c>
      <c r="C121" s="50" t="s">
        <v>29</v>
      </c>
      <c r="D121" s="50" t="e">
        <f ca="1">Image("https://images-na.ssl-images-amazon.com/images/I/414t+kaygYL.jpg;https://images-na.ssl-images-amazon.com/images/I/41a3E3q1+NL.jpg;https://images-na.ssl-images-amazon.com/images/I/41I4eWokYLL.jpg;https://images-na.ssl-images-amazon.com/images/I/41UFL7QUoCL"&amp;".jpg;https://images-na.ssl-images-amazon.com/images/I/41EwXDv1d2L.jpg;https://images-na.ssl-images-amazon.com/images/I/4107BtP3uCL.jpg;https://images-na.ssl-images-amazon.com/images/I/51I4fuQktAL.jpg")</f>
        <v>#NAME?</v>
      </c>
      <c r="E121" s="50" t="s">
        <v>16</v>
      </c>
      <c r="F121" s="50" t="s">
        <v>30</v>
      </c>
      <c r="G121" s="50">
        <v>432</v>
      </c>
      <c r="H121" s="50">
        <v>7</v>
      </c>
      <c r="I121" s="50">
        <v>6609.5</v>
      </c>
      <c r="R121" s="50">
        <v>1.62</v>
      </c>
      <c r="T121" s="50">
        <v>-102.27</v>
      </c>
      <c r="U121" s="50">
        <v>-3436.9</v>
      </c>
      <c r="W121" s="50">
        <v>3070.33</v>
      </c>
      <c r="X121" s="50">
        <v>3070.33</v>
      </c>
      <c r="Y121" s="50">
        <v>3070.33</v>
      </c>
      <c r="AA121" s="50">
        <v>46.45</v>
      </c>
      <c r="AC121" s="50">
        <v>109500</v>
      </c>
      <c r="AE121" s="50" t="s">
        <v>4370</v>
      </c>
    </row>
    <row r="122" spans="1:31">
      <c r="A122" s="50" t="s">
        <v>4237</v>
      </c>
      <c r="B122" s="50" t="s">
        <v>18</v>
      </c>
      <c r="C122" s="50" t="s">
        <v>4374</v>
      </c>
      <c r="D122" s="50" t="e">
        <f ca="1">Image("https://images-na.ssl-images-amazon.com/images/I/51G57dAxSOL.jpg;https://images-na.ssl-images-amazon.com/images/I/51Dm33QSwjL.jpg;https://images-na.ssl-images-amazon.com/images/I/61TkksL6baL.jpg;https://images-na.ssl-images-amazon.com/images/I/51RywEkoTtL"&amp;".jpg;https://images-na.ssl-images-amazon.com/images/I/31jvCD4jNjL.jpg;https://images-na.ssl-images-amazon.com/images/I/51APxXUrzfL.jpg")</f>
        <v>#NAME?</v>
      </c>
      <c r="E122" s="50" t="s">
        <v>20</v>
      </c>
      <c r="F122" s="50" t="s">
        <v>4375</v>
      </c>
      <c r="G122" s="50">
        <v>260</v>
      </c>
      <c r="H122" s="50">
        <v>8</v>
      </c>
      <c r="I122" s="50">
        <v>2602.75</v>
      </c>
      <c r="K122" s="50">
        <v>-1.1299999999999999</v>
      </c>
      <c r="L122" s="50">
        <v>-1.1299999999999999</v>
      </c>
      <c r="R122" s="50">
        <v>3.08</v>
      </c>
      <c r="S122" s="50">
        <v>77.78</v>
      </c>
      <c r="T122" s="50">
        <v>-64.930000000000007</v>
      </c>
      <c r="U122" s="50">
        <v>-1557.63</v>
      </c>
      <c r="W122" s="50">
        <v>979.06</v>
      </c>
      <c r="X122" s="50">
        <v>979.06</v>
      </c>
      <c r="Y122" s="50">
        <v>979.06</v>
      </c>
      <c r="AA122" s="50">
        <v>37.619999999999997</v>
      </c>
      <c r="AC122" s="50">
        <v>90695</v>
      </c>
      <c r="AD122" s="50">
        <v>0.04</v>
      </c>
      <c r="AE122" s="50" t="s">
        <v>4370</v>
      </c>
    </row>
    <row r="123" spans="1:31">
      <c r="A123" s="50" t="s">
        <v>4269</v>
      </c>
      <c r="B123" s="50" t="s">
        <v>52</v>
      </c>
      <c r="C123" s="50" t="s">
        <v>4376</v>
      </c>
      <c r="D123" s="50" t="e">
        <f ca="1">Image("https://images-na.ssl-images-amazon.com/images/I/51NhfyJ8RXL.jpg;https://images-na.ssl-images-amazon.com/images/I/51fx5QVoZEL.jpg;https://images-na.ssl-images-amazon.com/images/I/51Pp3kjpyVL.jpg;https://images-na.ssl-images-amazon.com/images/I/51TkE7yOr8L"&amp;".jpg;https://images-na.ssl-images-amazon.com/images/I/51QbzfTP8aL.jpg;https://images-na.ssl-images-amazon.com/images/I/51x7uYgimCL.jpg;https://images-na.ssl-images-amazon.com/images/I/61xCBM3xztL.jpg")</f>
        <v>#NAME?</v>
      </c>
      <c r="E123" s="50" t="s">
        <v>20</v>
      </c>
      <c r="F123" s="50" t="s">
        <v>54</v>
      </c>
      <c r="G123" s="50">
        <v>257</v>
      </c>
      <c r="H123" s="50">
        <v>5</v>
      </c>
      <c r="I123" s="50">
        <v>2378.71</v>
      </c>
      <c r="K123" s="50">
        <v>-0.57999999999999996</v>
      </c>
      <c r="L123" s="50">
        <v>-0.57999999999999996</v>
      </c>
      <c r="R123" s="50">
        <v>1.95</v>
      </c>
      <c r="S123" s="50">
        <v>50</v>
      </c>
      <c r="T123" s="50">
        <v>-38.64</v>
      </c>
      <c r="U123" s="50">
        <v>-1022.47</v>
      </c>
      <c r="W123" s="50">
        <v>1317.02</v>
      </c>
      <c r="X123" s="50">
        <v>1317.02</v>
      </c>
      <c r="Y123" s="50">
        <v>1317.02</v>
      </c>
      <c r="AA123" s="50">
        <v>55.37</v>
      </c>
      <c r="AC123" s="50">
        <v>153012</v>
      </c>
      <c r="AD123" s="50">
        <v>0.02</v>
      </c>
      <c r="AE123" s="50" t="s">
        <v>4370</v>
      </c>
    </row>
    <row r="124" spans="1:31">
      <c r="A124" s="50" t="s">
        <v>4377</v>
      </c>
      <c r="B124" s="50" t="s">
        <v>79</v>
      </c>
      <c r="C124" s="50" t="s">
        <v>4378</v>
      </c>
      <c r="D124" s="50" t="e">
        <f ca="1">Image("https://images-na.ssl-images-amazon.com/images/I/41H7i2SOcVL.jpg;https://images-na.ssl-images-amazon.com/images/I/41Ao5HzmU1L.jpg;https://images-na.ssl-images-amazon.com/images/I/41RBTL+FAML.jpg;https://images-na.ssl-images-amazon.com/images/I/41H7i2SOcVL"&amp;".jpg")</f>
        <v>#NAME?</v>
      </c>
      <c r="E124" s="50" t="s">
        <v>16</v>
      </c>
      <c r="F124" s="50" t="s">
        <v>81</v>
      </c>
      <c r="G124" s="50">
        <v>235</v>
      </c>
      <c r="H124" s="50">
        <v>13</v>
      </c>
      <c r="I124" s="50">
        <v>1959.2</v>
      </c>
      <c r="R124" s="50">
        <v>5.53</v>
      </c>
      <c r="S124" s="50">
        <v>53.85</v>
      </c>
      <c r="T124" s="50">
        <v>-93.67</v>
      </c>
      <c r="U124" s="50">
        <v>-1038.4100000000001</v>
      </c>
      <c r="W124" s="50">
        <v>827.12</v>
      </c>
      <c r="X124" s="50">
        <v>827.12</v>
      </c>
      <c r="Y124" s="50">
        <v>827.12</v>
      </c>
      <c r="AA124" s="50">
        <v>42.22</v>
      </c>
      <c r="AC124" s="50">
        <v>172404</v>
      </c>
      <c r="AE124" s="50" t="s">
        <v>4370</v>
      </c>
    </row>
    <row r="125" spans="1:31">
      <c r="A125" s="50" t="s">
        <v>4379</v>
      </c>
      <c r="B125" s="50" t="s">
        <v>124</v>
      </c>
      <c r="C125" s="50" t="s">
        <v>125</v>
      </c>
      <c r="D125" s="50" t="e">
        <f ca="1">Image("https://images-na.ssl-images-amazon.com/images/I/41WXH4eXCPL.jpg;https://images-na.ssl-images-amazon.com/images/I/41hiBGIN59L.jpg;https://images-na.ssl-images-amazon.com/images/I/41pLcIqYpFL.jpg;https://images-na.ssl-images-amazon.com/images/I/41xohT54HIL"&amp;".jpg;https://images-na.ssl-images-amazon.com/images/I/518nEUk7pCL.jpg;https://images-na.ssl-images-amazon.com/images/I/41AaYUClzHL.jpg")</f>
        <v>#NAME?</v>
      </c>
      <c r="E125" s="50" t="s">
        <v>16</v>
      </c>
      <c r="F125" s="50" t="s">
        <v>126</v>
      </c>
      <c r="G125" s="50">
        <v>217</v>
      </c>
      <c r="H125" s="50">
        <v>14</v>
      </c>
      <c r="I125" s="50">
        <v>1766.62</v>
      </c>
      <c r="R125" s="50">
        <v>6.45</v>
      </c>
      <c r="S125" s="50">
        <v>78.569999999999993</v>
      </c>
      <c r="T125" s="50">
        <v>-103.77</v>
      </c>
      <c r="U125" s="50">
        <v>-1116.8399999999999</v>
      </c>
      <c r="W125" s="50">
        <v>546.01</v>
      </c>
      <c r="X125" s="50">
        <v>546.01</v>
      </c>
      <c r="Y125" s="50">
        <v>546.01</v>
      </c>
      <c r="AA125" s="50">
        <v>30.91</v>
      </c>
      <c r="AC125" s="50">
        <v>56874</v>
      </c>
      <c r="AE125" s="50" t="s">
        <v>4370</v>
      </c>
    </row>
    <row r="126" spans="1:31">
      <c r="A126" s="50" t="s">
        <v>4380</v>
      </c>
      <c r="B126" s="50" t="s">
        <v>43</v>
      </c>
      <c r="C126" s="50" t="s">
        <v>44</v>
      </c>
      <c r="D126" s="50" t="e">
        <f ca="1">Image("https://images-na.ssl-images-amazon.com/images/I/41qjLr9szXL.jpg;https://images-na.ssl-images-amazon.com/images/I/51NDwofsY9L.jpg;https://images-na.ssl-images-amazon.com/images/I/41TM8PrZnJL.jpg;https://images-na.ssl-images-amazon.com/images/I/413TjTXnyIL"&amp;".jpg;https://images-na.ssl-images-amazon.com/images/I/51ktGsjRZ6L.jpg;https://images-na.ssl-images-amazon.com/images/I/51loRx1BqCL.jpg;https://images-na.ssl-images-amazon.com/images/I/51pnsOsQ-PL.jpg;https://images-na.ssl-images-amazon.com/images/I/51Bfzn"&amp;"TgQ3L.jpg;https://images-na.ssl-images-amazon.com/images/I/51qBa1U+56L.jpg")</f>
        <v>#NAME?</v>
      </c>
      <c r="E126" s="50" t="s">
        <v>20</v>
      </c>
      <c r="F126" s="50" t="s">
        <v>45</v>
      </c>
      <c r="G126" s="50">
        <v>158</v>
      </c>
      <c r="H126" s="50">
        <v>13</v>
      </c>
      <c r="I126" s="50">
        <v>3161.27</v>
      </c>
      <c r="K126" s="50">
        <v>-36.06</v>
      </c>
      <c r="L126" s="50">
        <v>-36.06</v>
      </c>
      <c r="R126" s="50">
        <v>8.23</v>
      </c>
      <c r="S126" s="50">
        <v>8.33</v>
      </c>
      <c r="T126" s="50">
        <v>-226.84</v>
      </c>
      <c r="U126" s="50">
        <v>-1760.99</v>
      </c>
      <c r="W126" s="50">
        <v>1137.3800000000001</v>
      </c>
      <c r="X126" s="50">
        <v>1137.3800000000001</v>
      </c>
      <c r="Y126" s="50">
        <v>1137.3800000000001</v>
      </c>
      <c r="AA126" s="50">
        <v>35.979999999999997</v>
      </c>
      <c r="AC126" s="50">
        <v>125997</v>
      </c>
      <c r="AD126" s="50">
        <v>1.1399999999999999</v>
      </c>
      <c r="AE126" s="50" t="s">
        <v>4370</v>
      </c>
    </row>
    <row r="127" spans="1:31">
      <c r="A127" s="50" t="s">
        <v>4381</v>
      </c>
      <c r="B127" s="50" t="s">
        <v>180</v>
      </c>
      <c r="C127" s="50" t="s">
        <v>181</v>
      </c>
      <c r="D127" s="50" t="e">
        <f ca="1">Image("https://images-na.ssl-images-amazon.com/images/I/413ck9lsOKL.jpg;https://images-na.ssl-images-amazon.com/images/I/51UscLhaobL.jpg;https://images-na.ssl-images-amazon.com/images/I/419iX+USdLL.jpg;https://images-na.ssl-images-amazon.com/images/I/41dskjfBfCL"&amp;".jpg;https://images-na.ssl-images-amazon.com/images/I/41aiVR-WqFL.jpg;https://images-na.ssl-images-amazon.com/images/I/417VtmlIFML.jpg;https://images-na.ssl-images-amazon.com/images/I/41BHpUibkjL.jpg")</f>
        <v>#NAME?</v>
      </c>
      <c r="E127" s="50" t="s">
        <v>20</v>
      </c>
      <c r="F127" s="50" t="s">
        <v>182</v>
      </c>
      <c r="G127" s="50">
        <v>156</v>
      </c>
      <c r="H127" s="50">
        <v>4</v>
      </c>
      <c r="I127" s="50">
        <v>1413.1</v>
      </c>
      <c r="K127" s="50">
        <v>-0.08</v>
      </c>
      <c r="L127" s="50">
        <v>-0.08</v>
      </c>
      <c r="R127" s="50">
        <v>2.56</v>
      </c>
      <c r="S127" s="50">
        <v>75</v>
      </c>
      <c r="T127" s="50">
        <v>-31.84</v>
      </c>
      <c r="U127" s="50">
        <v>-895.97</v>
      </c>
      <c r="W127" s="50">
        <v>485.21</v>
      </c>
      <c r="X127" s="50">
        <v>485.21</v>
      </c>
      <c r="Y127" s="50">
        <v>485.21</v>
      </c>
      <c r="AA127" s="50">
        <v>34.340000000000003</v>
      </c>
      <c r="AC127" s="50">
        <v>295821</v>
      </c>
      <c r="AD127" s="50">
        <v>0.01</v>
      </c>
      <c r="AE127" s="50" t="s">
        <v>4370</v>
      </c>
    </row>
    <row r="128" spans="1:31">
      <c r="A128" s="50" t="s">
        <v>4382</v>
      </c>
      <c r="B128" s="50" t="s">
        <v>151</v>
      </c>
      <c r="C128" s="50" t="s">
        <v>152</v>
      </c>
      <c r="D128" s="50" t="e">
        <f ca="1">Image("https://images-na.ssl-images-amazon.com/images/I/416XiYEDXBL.jpg;https://images-na.ssl-images-amazon.com/images/I/41jESC25lUL.jpg;https://images-na.ssl-images-amazon.com/images/I/41CE38l2ZEL.jpg;https://images-na.ssl-images-amazon.com/images/I/41A77LWHqvL"&amp;".jpg;https://images-na.ssl-images-amazon.com/images/I/51P+Os+9qXL.jpg;https://images-na.ssl-images-amazon.com/images/I/51tVNVw8qSL.jpg;https://images-na.ssl-images-amazon.com/images/I/51QQtkNC4fL.jpg")</f>
        <v>#NAME?</v>
      </c>
      <c r="E128" s="50" t="s">
        <v>16</v>
      </c>
      <c r="F128" s="50" t="s">
        <v>153</v>
      </c>
      <c r="G128" s="50">
        <v>151</v>
      </c>
      <c r="H128" s="50">
        <v>4</v>
      </c>
      <c r="I128" s="50">
        <v>1663.1</v>
      </c>
      <c r="R128" s="50">
        <v>2.65</v>
      </c>
      <c r="S128" s="50">
        <v>25</v>
      </c>
      <c r="T128" s="50">
        <v>-37.39</v>
      </c>
      <c r="U128" s="50">
        <v>-943.82</v>
      </c>
      <c r="W128" s="50">
        <v>681.89</v>
      </c>
      <c r="X128" s="50">
        <v>681.89</v>
      </c>
      <c r="Y128" s="50">
        <v>681.89</v>
      </c>
      <c r="AA128" s="50">
        <v>41</v>
      </c>
      <c r="AC128" s="50">
        <v>56874</v>
      </c>
      <c r="AE128" s="50" t="s">
        <v>4370</v>
      </c>
    </row>
    <row r="129" spans="1:31">
      <c r="A129" s="50" t="s">
        <v>4383</v>
      </c>
      <c r="B129" s="50" t="s">
        <v>142</v>
      </c>
      <c r="C129" s="50" t="s">
        <v>143</v>
      </c>
      <c r="D129" s="50" t="e">
        <f ca="1">Image("https://images-na.ssl-images-amazon.com/images/I/51eH8U1xyNS.jpg;https://images-na.ssl-images-amazon.com/images/I/41rFiJt+kFS.jpg;https://images-na.ssl-images-amazon.com/images/I/51NTKTOi8BS.jpg;https://images-na.ssl-images-amazon.com/images/I/51WhGjWwBeS"&amp;".jpg;https://images-na.ssl-images-amazon.com/images/I/61YgG2pMjVS.jpg;https://images-na.ssl-images-amazon.com/images/I/51wgoIJRgwL.jpg;https://images-na.ssl-images-amazon.com/images/I/51gipCwoLjL.jpg")</f>
        <v>#NAME?</v>
      </c>
      <c r="E129" s="50" t="s">
        <v>16</v>
      </c>
      <c r="F129" s="50" t="s">
        <v>144</v>
      </c>
      <c r="G129" s="50">
        <v>141</v>
      </c>
      <c r="H129" s="50">
        <v>6</v>
      </c>
      <c r="I129" s="50">
        <v>2034.44</v>
      </c>
      <c r="R129" s="50">
        <v>4.26</v>
      </c>
      <c r="S129" s="50">
        <v>28.57</v>
      </c>
      <c r="T129" s="50">
        <v>-78.58</v>
      </c>
      <c r="U129" s="50">
        <v>-1230.5899999999999</v>
      </c>
      <c r="W129" s="50">
        <v>725.27</v>
      </c>
      <c r="X129" s="50">
        <v>725.27</v>
      </c>
      <c r="Y129" s="50">
        <v>725.27</v>
      </c>
      <c r="AA129" s="50">
        <v>35.65</v>
      </c>
      <c r="AC129" s="50">
        <v>616897</v>
      </c>
      <c r="AE129" s="50" t="s">
        <v>4370</v>
      </c>
    </row>
    <row r="130" spans="1:31">
      <c r="A130" s="50" t="s">
        <v>4384</v>
      </c>
      <c r="B130" s="50" t="s">
        <v>233</v>
      </c>
      <c r="C130" s="50" t="s">
        <v>234</v>
      </c>
      <c r="D130" s="50" t="e">
        <f ca="1">Image("https://images-na.ssl-images-amazon.com/images/I/51u1ayT8SaL.jpg;https://images-na.ssl-images-amazon.com/images/I/51HMUGKDkdL.jpg;https://images-na.ssl-images-amazon.com/images/I/51eIPLC5gsL.jpg;https://images-na.ssl-images-amazon.com/images/I/51RuNx+MZ9L"&amp;".jpg;https://images-na.ssl-images-amazon.com/images/I/51tf-Rz8sXL.jpg;https://images-na.ssl-images-amazon.com/images/I/51FLepuGEeL.jpg;https://images-na.ssl-images-amazon.com/images/I/51u1ayT8SaL.jpg")</f>
        <v>#NAME?</v>
      </c>
      <c r="E130" s="50" t="s">
        <v>20</v>
      </c>
      <c r="F130" s="50" t="s">
        <v>235</v>
      </c>
      <c r="G130" s="50">
        <v>118</v>
      </c>
      <c r="H130" s="50">
        <v>7</v>
      </c>
      <c r="I130" s="50">
        <v>772.3</v>
      </c>
      <c r="R130" s="50">
        <v>5.93</v>
      </c>
      <c r="S130" s="50">
        <v>42.86</v>
      </c>
      <c r="T130" s="50">
        <v>-42.7</v>
      </c>
      <c r="U130" s="50">
        <v>-430.36</v>
      </c>
      <c r="W130" s="50">
        <v>299.24</v>
      </c>
      <c r="X130" s="50">
        <v>299.24</v>
      </c>
      <c r="Y130" s="50">
        <v>299.24</v>
      </c>
      <c r="AA130" s="50">
        <v>38.75</v>
      </c>
      <c r="AC130" s="50">
        <v>114003</v>
      </c>
      <c r="AE130" s="50" t="s">
        <v>4370</v>
      </c>
    </row>
    <row r="131" spans="1:31">
      <c r="A131" s="50" t="s">
        <v>4385</v>
      </c>
      <c r="B131" s="50" t="s">
        <v>67</v>
      </c>
      <c r="C131" s="50" t="s">
        <v>4386</v>
      </c>
      <c r="D131" s="50" t="e">
        <f ca="1">Image("https://images-na.ssl-images-amazon.com/images/I/51QqFxw8lHL.jpg;https://images-na.ssl-images-amazon.com/images/I/61A8tYoCoIL.jpg;https://images-na.ssl-images-amazon.com/images/I/51Zu6TkvbkL.jpg;https://images-na.ssl-images-amazon.com/images/I/51yI9L0VtZL"&amp;".jpg;https://images-na.ssl-images-amazon.com/images/I/51eK6dJ-9GL.jpg;https://images-na.ssl-images-amazon.com/images/I/516BOvXkzGL.jpg;https://images-na.ssl-images-amazon.com/images/I/51pUGIu1tVL.jpg;https://images-na.ssl-images-amazon.com/images/I/51RZ5g"&amp;"-rczL.jpg;https://images-na.ssl-images-amazon.com/images/I/51mRitk-o7L.jpg")</f>
        <v>#NAME?</v>
      </c>
      <c r="E131" s="50" t="s">
        <v>16</v>
      </c>
      <c r="F131" s="50" t="s">
        <v>4387</v>
      </c>
      <c r="G131" s="50">
        <v>101</v>
      </c>
      <c r="H131" s="50">
        <v>9</v>
      </c>
      <c r="I131" s="50">
        <v>2658.99</v>
      </c>
      <c r="R131" s="50">
        <v>8.91</v>
      </c>
      <c r="S131" s="50">
        <v>28.57</v>
      </c>
      <c r="T131" s="50">
        <v>-205.83</v>
      </c>
      <c r="U131" s="50">
        <v>-996.8</v>
      </c>
      <c r="W131" s="50">
        <v>1456.36</v>
      </c>
      <c r="X131" s="50">
        <v>1456.36</v>
      </c>
      <c r="Y131" s="50">
        <v>1456.36</v>
      </c>
      <c r="AA131" s="50">
        <v>54.77</v>
      </c>
      <c r="AC131" s="50">
        <v>729355</v>
      </c>
      <c r="AE131" s="50" t="s">
        <v>4370</v>
      </c>
    </row>
    <row r="132" spans="1:31">
      <c r="A132" s="50" t="s">
        <v>4388</v>
      </c>
      <c r="B132" s="50" t="s">
        <v>82</v>
      </c>
      <c r="C132" s="50" t="s">
        <v>83</v>
      </c>
      <c r="D132" s="50" t="e">
        <f ca="1">Image("https://images-na.ssl-images-amazon.com/images/I/41e1rbszsQL.jpg;https://images-na.ssl-images-amazon.com/images/I/21DNaUWkseL.jpg;https://images-na.ssl-images-amazon.com/images/I/31AUIAhX5+L.jpg;https://images-na.ssl-images-amazon.com/images/I/51yQoZzg+yL"&amp;".jpg;https://images-na.ssl-images-amazon.com/images/I/61MVDqWFf7L.jpg;https://images-na.ssl-images-amazon.com/images/I/513VyruhmEL.jpg;https://images-na.ssl-images-amazon.com/images/I/51xNAS7mwJL.jpg;https://images-na.ssl-images-amazon.com/images/I/61WfeJ"&amp;"caHhL.jpg")</f>
        <v>#NAME?</v>
      </c>
      <c r="E132" s="50" t="s">
        <v>20</v>
      </c>
      <c r="F132" s="50" t="s">
        <v>84</v>
      </c>
      <c r="G132" s="50">
        <v>100</v>
      </c>
      <c r="H132" s="50">
        <v>3</v>
      </c>
      <c r="I132" s="50">
        <v>2078.2399999999998</v>
      </c>
      <c r="K132" s="50">
        <v>-48.24</v>
      </c>
      <c r="L132" s="50">
        <v>-48.24</v>
      </c>
      <c r="R132" s="50">
        <v>3</v>
      </c>
      <c r="T132" s="50">
        <v>-55.88</v>
      </c>
      <c r="U132" s="50">
        <v>-1349.43</v>
      </c>
      <c r="W132" s="50">
        <v>624.69000000000005</v>
      </c>
      <c r="X132" s="50">
        <v>624.69000000000005</v>
      </c>
      <c r="Y132" s="50">
        <v>624.69000000000005</v>
      </c>
      <c r="AA132" s="50">
        <v>30.06</v>
      </c>
      <c r="AC132" s="50">
        <v>249642</v>
      </c>
      <c r="AD132" s="50">
        <v>2.3199999999999998</v>
      </c>
      <c r="AE132" s="50" t="s">
        <v>4370</v>
      </c>
    </row>
    <row r="133" spans="1:31">
      <c r="A133" s="50" t="s">
        <v>4389</v>
      </c>
      <c r="B133" s="50" t="s">
        <v>91</v>
      </c>
      <c r="C133" s="50" t="s">
        <v>92</v>
      </c>
      <c r="D133" s="50" t="e">
        <f ca="1">Image("https://images-na.ssl-images-amazon.com/images/I/51SfzncLCrL.jpg;https://images-na.ssl-images-amazon.com/images/I/51ArNUbwoyL.jpg;https://images-na.ssl-images-amazon.com/images/I/51QsWzifNgL.jpg;https://images-na.ssl-images-amazon.com/images/I/4166ErZC6nL"&amp;".jpg")</f>
        <v>#NAME?</v>
      </c>
      <c r="E133" s="50" t="s">
        <v>16</v>
      </c>
      <c r="F133" s="50" t="s">
        <v>93</v>
      </c>
      <c r="G133" s="50">
        <v>98</v>
      </c>
      <c r="H133" s="50">
        <v>7</v>
      </c>
      <c r="I133" s="50">
        <v>1520.75</v>
      </c>
      <c r="R133" s="50">
        <v>7.14</v>
      </c>
      <c r="S133" s="50">
        <v>22.22</v>
      </c>
      <c r="T133" s="50">
        <v>-96.14</v>
      </c>
      <c r="U133" s="50">
        <v>-739.65</v>
      </c>
      <c r="W133" s="50">
        <v>684.96</v>
      </c>
      <c r="X133" s="50">
        <v>684.96</v>
      </c>
      <c r="Y133" s="50">
        <v>684.96</v>
      </c>
      <c r="AA133" s="50">
        <v>45.04</v>
      </c>
      <c r="AE133" s="50" t="s">
        <v>4370</v>
      </c>
    </row>
    <row r="134" spans="1:31">
      <c r="A134" s="50" t="s">
        <v>4390</v>
      </c>
      <c r="B134" s="50" t="s">
        <v>61</v>
      </c>
      <c r="C134" s="50" t="s">
        <v>62</v>
      </c>
      <c r="D134" s="50" t="e">
        <f ca="1">Image("https://images-na.ssl-images-amazon.com/images/I/61-vY+vY6-L.jpg;https://images-na.ssl-images-amazon.com/images/I/61ZwFXFkBeL.jpg;https://images-na.ssl-images-amazon.com/images/I/51Pe8vz+BJL.jpg;https://images-na.ssl-images-amazon.com/images/I/51zKGvKninL"&amp;".jpg;https://images-na.ssl-images-amazon.com/images/I/51UHY7APveL.jpg")</f>
        <v>#NAME?</v>
      </c>
      <c r="E134" s="50" t="s">
        <v>16</v>
      </c>
      <c r="F134" s="50" t="s">
        <v>63</v>
      </c>
      <c r="G134" s="50">
        <v>89</v>
      </c>
      <c r="H134" s="50">
        <v>8</v>
      </c>
      <c r="I134" s="50">
        <v>1797.32</v>
      </c>
      <c r="R134" s="50">
        <v>8.99</v>
      </c>
      <c r="S134" s="50">
        <v>25</v>
      </c>
      <c r="T134" s="50">
        <v>-138.31</v>
      </c>
      <c r="U134" s="50">
        <v>-689.95</v>
      </c>
      <c r="W134" s="50">
        <v>969.06</v>
      </c>
      <c r="X134" s="50">
        <v>969.06</v>
      </c>
      <c r="Y134" s="50">
        <v>969.06</v>
      </c>
      <c r="AA134" s="50">
        <v>53.92</v>
      </c>
      <c r="AC134" s="50">
        <v>245161</v>
      </c>
      <c r="AE134" s="50" t="s">
        <v>4370</v>
      </c>
    </row>
    <row r="135" spans="1:31">
      <c r="A135" s="50" t="s">
        <v>4391</v>
      </c>
      <c r="B135" s="50" t="s">
        <v>599</v>
      </c>
      <c r="C135" s="50" t="s">
        <v>4392</v>
      </c>
      <c r="D135" s="50" t="e">
        <f ca="1">Image("https://images-na.ssl-images-amazon.com/images/I/41QjFSlZ2mL.jpg;https://images-na.ssl-images-amazon.com/images/I/31g16xcDUpL.jpg;https://images-na.ssl-images-amazon.com/images/I/31O4diNGRsL.jpg;https://images-na.ssl-images-amazon.com/images/I/41dU9SatpqL"&amp;".jpg;https://images-na.ssl-images-amazon.com/images/I/41739UhHbXL.jpg;https://images-na.ssl-images-amazon.com/images/I/21GvsN5dtCL.jpg")</f>
        <v>#NAME?</v>
      </c>
      <c r="E135" s="50" t="s">
        <v>20</v>
      </c>
      <c r="F135" s="50" t="s">
        <v>601</v>
      </c>
      <c r="G135" s="50">
        <v>83</v>
      </c>
      <c r="H135" s="50">
        <v>11</v>
      </c>
      <c r="I135" s="50">
        <v>389.27</v>
      </c>
      <c r="R135" s="50">
        <v>13.25</v>
      </c>
      <c r="S135" s="50">
        <v>88.89</v>
      </c>
      <c r="T135" s="50">
        <v>-46.12</v>
      </c>
      <c r="U135" s="50">
        <v>-309.89999999999998</v>
      </c>
      <c r="W135" s="50">
        <v>33.25</v>
      </c>
      <c r="X135" s="50">
        <v>33.25</v>
      </c>
      <c r="Y135" s="50">
        <v>33.25</v>
      </c>
      <c r="AA135" s="50">
        <v>8.5399999999999991</v>
      </c>
      <c r="AC135" s="50">
        <v>189132</v>
      </c>
      <c r="AE135" s="50" t="s">
        <v>4370</v>
      </c>
    </row>
    <row r="136" spans="1:31">
      <c r="A136" s="50" t="s">
        <v>4393</v>
      </c>
      <c r="B136" s="50" t="s">
        <v>34</v>
      </c>
      <c r="C136" s="50" t="s">
        <v>35</v>
      </c>
      <c r="D136" s="50" t="e">
        <f ca="1">Image("https://images-na.ssl-images-amazon.com/images/I/41nu0L5qUvL.jpg;https://images-na.ssl-images-amazon.com/images/I/419kHqW8ZbL.jpg;https://images-na.ssl-images-amazon.com/images/I/21JW5zRTLvL.jpg")</f>
        <v>#NAME?</v>
      </c>
      <c r="E136" s="50" t="s">
        <v>16</v>
      </c>
      <c r="F136" s="50" t="s">
        <v>36</v>
      </c>
      <c r="G136" s="50">
        <v>77</v>
      </c>
      <c r="H136" s="50">
        <v>1</v>
      </c>
      <c r="I136" s="50">
        <v>916.5</v>
      </c>
      <c r="R136" s="50">
        <v>1.3</v>
      </c>
      <c r="S136" s="50">
        <v>66.67</v>
      </c>
      <c r="T136" s="50">
        <v>-10.56</v>
      </c>
      <c r="U136" s="50">
        <v>-501.45</v>
      </c>
      <c r="W136" s="50">
        <v>404.49</v>
      </c>
      <c r="X136" s="50">
        <v>404.49</v>
      </c>
      <c r="Y136" s="50">
        <v>404.49</v>
      </c>
      <c r="AA136" s="50">
        <v>44.13</v>
      </c>
      <c r="AC136" s="50">
        <v>56874</v>
      </c>
      <c r="AE136" s="50" t="s">
        <v>4370</v>
      </c>
    </row>
    <row r="137" spans="1:31">
      <c r="A137" s="50" t="s">
        <v>4394</v>
      </c>
      <c r="B137" s="50" t="s">
        <v>1165</v>
      </c>
      <c r="C137" s="50" t="s">
        <v>4395</v>
      </c>
      <c r="D137" s="50" t="e">
        <f ca="1">Image("https://images-na.ssl-images-amazon.com/images/I/31sgEWasgzL.jpg;https://images-na.ssl-images-amazon.com/images/I/41wXnxDSOTS.jpg;https://images-na.ssl-images-amazon.com/images/I/31si8fCBuVL.jpg;https://images-na.ssl-images-amazon.com/images/I/41Suke+1k0L"&amp;".jpg;https://images-na.ssl-images-amazon.com/images/I/51N6zCRmjCS.jpg;https://images-na.ssl-images-amazon.com/images/I/61eY0fnfygL.jpg;https://images-na.ssl-images-amazon.com/images/I/61W-DjCziWS.jpg;https://images-na.ssl-images-amazon.com/images/I/51d799"&amp;"ocbCS.jpg")</f>
        <v>#NAME?</v>
      </c>
      <c r="E137" s="50" t="s">
        <v>20</v>
      </c>
      <c r="F137" s="50" t="s">
        <v>1167</v>
      </c>
      <c r="G137" s="50">
        <v>76</v>
      </c>
      <c r="H137" s="50">
        <v>4</v>
      </c>
      <c r="I137" s="50">
        <v>475.65</v>
      </c>
      <c r="K137" s="50">
        <v>-103.8</v>
      </c>
      <c r="L137" s="50">
        <v>-103.8</v>
      </c>
      <c r="R137" s="50">
        <v>5.26</v>
      </c>
      <c r="S137" s="50">
        <v>66.67</v>
      </c>
      <c r="T137" s="50">
        <v>-25.12</v>
      </c>
      <c r="U137" s="50">
        <v>-316.16000000000003</v>
      </c>
      <c r="W137" s="50">
        <v>30.57</v>
      </c>
      <c r="X137" s="50">
        <v>30.57</v>
      </c>
      <c r="Y137" s="50">
        <v>30.57</v>
      </c>
      <c r="AA137" s="50">
        <v>6.43</v>
      </c>
      <c r="AC137" s="50">
        <v>490426</v>
      </c>
      <c r="AD137" s="50">
        <v>21.82</v>
      </c>
      <c r="AE137" s="50" t="s">
        <v>4370</v>
      </c>
    </row>
    <row r="138" spans="1:31">
      <c r="A138" s="50" t="s">
        <v>4396</v>
      </c>
      <c r="B138" s="50" t="s">
        <v>1183</v>
      </c>
      <c r="C138" s="50" t="s">
        <v>1184</v>
      </c>
      <c r="D138" s="50" t="e">
        <f ca="1">Image("https://images-na.ssl-images-amazon.com/images/I/31y96bO7I0L.jpg;https://images-na.ssl-images-amazon.com/images/I/51ReM5vYPmL.jpg;https://images-na.ssl-images-amazon.com/images/I/51I1AXunyPL.jpg;https://images-na.ssl-images-amazon.com/images/I/41eif+6zODL"&amp;".jpg;https://images-na.ssl-images-amazon.com/images/I/41o6OiPpccL.jpg;https://images-na.ssl-images-amazon.com/images/I/3148V3U4tyL.jpg")</f>
        <v>#NAME?</v>
      </c>
      <c r="E138" s="50" t="s">
        <v>20</v>
      </c>
      <c r="F138" s="50" t="s">
        <v>1185</v>
      </c>
      <c r="G138" s="50">
        <v>70</v>
      </c>
      <c r="H138" s="50">
        <v>7</v>
      </c>
      <c r="I138" s="50">
        <v>858.6</v>
      </c>
      <c r="R138" s="50">
        <v>10</v>
      </c>
      <c r="S138" s="50">
        <v>87.5</v>
      </c>
      <c r="T138" s="50">
        <v>-79.36</v>
      </c>
      <c r="U138" s="50">
        <v>-748.15</v>
      </c>
      <c r="W138" s="50">
        <v>31.09</v>
      </c>
      <c r="X138" s="50">
        <v>31.09</v>
      </c>
      <c r="Y138" s="50">
        <v>31.09</v>
      </c>
      <c r="AA138" s="50">
        <v>3.62</v>
      </c>
      <c r="AC138" s="50">
        <v>216880</v>
      </c>
      <c r="AE138" s="50" t="s">
        <v>4370</v>
      </c>
    </row>
    <row r="139" spans="1:31">
      <c r="A139" s="50" t="s">
        <v>4397</v>
      </c>
      <c r="B139" s="50" t="s">
        <v>133</v>
      </c>
      <c r="C139" s="50" t="s">
        <v>134</v>
      </c>
      <c r="D139" s="50" t="e">
        <f ca="1">Image("https://images-na.ssl-images-amazon.com/images/I/51nHGj1X3wL.jpg;https://images-na.ssl-images-amazon.com/images/I/41eH2MC-bxL.jpg;https://images-na.ssl-images-amazon.com/images/I/41BbOMETspL.jpg;https://images-na.ssl-images-amazon.com/images/I/41uoF6ucv5L"&amp;".jpg;https://images-na.ssl-images-amazon.com/images/I/51mvhruf2OL.jpg;https://images-na.ssl-images-amazon.com/images/I/61uCEYPxRvL.jpg;https://images-na.ssl-images-amazon.com/images/I/41ykDXxBy9L.jpg")</f>
        <v>#NAME?</v>
      </c>
      <c r="E139" s="50" t="s">
        <v>20</v>
      </c>
      <c r="F139" s="50" t="s">
        <v>135</v>
      </c>
      <c r="G139" s="50">
        <v>60</v>
      </c>
      <c r="H139" s="50">
        <v>6</v>
      </c>
      <c r="I139" s="50">
        <v>828.51</v>
      </c>
      <c r="R139" s="50">
        <v>10</v>
      </c>
      <c r="S139" s="50">
        <v>20</v>
      </c>
      <c r="T139" s="50">
        <v>-68.64</v>
      </c>
      <c r="U139" s="50">
        <v>-535.71</v>
      </c>
      <c r="W139" s="50">
        <v>224.16</v>
      </c>
      <c r="X139" s="50">
        <v>224.16</v>
      </c>
      <c r="Y139" s="50">
        <v>224.16</v>
      </c>
      <c r="AA139" s="50">
        <v>27.06</v>
      </c>
      <c r="AC139" s="50">
        <v>388812</v>
      </c>
      <c r="AE139" s="50" t="s">
        <v>4370</v>
      </c>
    </row>
    <row r="140" spans="1:31">
      <c r="A140" s="50" t="s">
        <v>4398</v>
      </c>
      <c r="B140" s="50" t="s">
        <v>319</v>
      </c>
      <c r="C140" s="50" t="s">
        <v>320</v>
      </c>
      <c r="D140" s="50" t="e">
        <f ca="1">Image("https://images-na.ssl-images-amazon.com/images/I/41Q645xYH3L.jpg;https://images-na.ssl-images-amazon.com/images/I/41bafk2jsNL.jpg;https://images-na.ssl-images-amazon.com/images/I/41C1dWWYYOL.jpg;https://images-na.ssl-images-amazon.com/images/I/41DTI-ExAPL"&amp;".jpg;https://images-na.ssl-images-amazon.com/images/I/41107xhGFAL.jpg;https://images-na.ssl-images-amazon.com/images/I/41zu8GI7GrL.jpg")</f>
        <v>#NAME?</v>
      </c>
      <c r="E140" s="50" t="s">
        <v>16</v>
      </c>
      <c r="F140" s="50" t="s">
        <v>321</v>
      </c>
      <c r="G140" s="50">
        <v>56</v>
      </c>
      <c r="H140" s="50">
        <v>2</v>
      </c>
      <c r="I140" s="50">
        <v>1002.17</v>
      </c>
      <c r="K140" s="50">
        <v>-336.9</v>
      </c>
      <c r="L140" s="50">
        <v>-336.9</v>
      </c>
      <c r="R140" s="50">
        <v>3.57</v>
      </c>
      <c r="S140" s="50">
        <v>100</v>
      </c>
      <c r="T140" s="50">
        <v>-28.34</v>
      </c>
      <c r="U140" s="50">
        <v>-451.55</v>
      </c>
      <c r="W140" s="50">
        <v>185.38</v>
      </c>
      <c r="X140" s="50">
        <v>185.38</v>
      </c>
      <c r="Y140" s="50">
        <v>185.38</v>
      </c>
      <c r="AA140" s="50">
        <v>18.5</v>
      </c>
      <c r="AD140" s="50">
        <v>33.619999999999997</v>
      </c>
      <c r="AE140" s="50" t="s">
        <v>4370</v>
      </c>
    </row>
    <row r="141" spans="1:31">
      <c r="A141" s="50" t="s">
        <v>4399</v>
      </c>
      <c r="B141" s="50" t="s">
        <v>251</v>
      </c>
      <c r="C141" s="50" t="s">
        <v>252</v>
      </c>
      <c r="D141" s="50" t="e">
        <f ca="1">Image("https://images-na.ssl-images-amazon.com/images/I/31l35kFeWnL.jpg;https://images-na.ssl-images-amazon.com/images/I/41tkBtuxUDL.jpg;https://images-na.ssl-images-amazon.com/images/I/313Z3lDGZ7L.jpg;https://images-na.ssl-images-amazon.com/images/I/41rt6GUMjQL"&amp;".jpg;https://images-na.ssl-images-amazon.com/images/I/411-s0+b8oL.jpg;https://images-na.ssl-images-amazon.com/images/I/614CcAvYs3L.jpg;https://images-na.ssl-images-amazon.com/images/I/51aWtMiZE6L.jpg")</f>
        <v>#NAME?</v>
      </c>
      <c r="E141" s="50" t="s">
        <v>20</v>
      </c>
      <c r="F141" s="50" t="s">
        <v>253</v>
      </c>
      <c r="G141" s="50">
        <v>56</v>
      </c>
      <c r="H141" s="50">
        <v>2</v>
      </c>
      <c r="I141" s="50">
        <v>354.14</v>
      </c>
      <c r="K141" s="50">
        <v>-5.68</v>
      </c>
      <c r="L141" s="50">
        <v>-5.68</v>
      </c>
      <c r="R141" s="50">
        <v>3.57</v>
      </c>
      <c r="S141" s="50" t="s">
        <v>1217</v>
      </c>
      <c r="T141" s="50">
        <v>-10.08</v>
      </c>
      <c r="U141" s="50">
        <v>-70.900000000000006</v>
      </c>
      <c r="W141" s="50">
        <v>267.48</v>
      </c>
      <c r="X141" s="50">
        <v>267.48</v>
      </c>
      <c r="Y141" s="50">
        <v>267.48</v>
      </c>
      <c r="AA141" s="50">
        <v>75.53</v>
      </c>
      <c r="AC141" s="50">
        <v>189132</v>
      </c>
      <c r="AD141" s="50">
        <v>1.6</v>
      </c>
      <c r="AE141" s="50" t="s">
        <v>4370</v>
      </c>
    </row>
    <row r="142" spans="1:31">
      <c r="A142" s="50" t="s">
        <v>4400</v>
      </c>
      <c r="B142" s="50" t="s">
        <v>162</v>
      </c>
      <c r="C142" s="50" t="s">
        <v>163</v>
      </c>
      <c r="D142" s="50" t="e">
        <f ca="1">Image("https://images-na.ssl-images-amazon.com/images/I/51TA3mmUmJL.jpg;https://images-na.ssl-images-amazon.com/images/I/51TA3mmUmJL.jpg;https://images-na.ssl-images-amazon.com/images/I/41JhNSG9p0L.jpg;https://images-na.ssl-images-amazon.com/images/I/418LCldbhiL"&amp;".jpg;https://images-na.ssl-images-amazon.com/images/I/41WbzEPgdRL.jpg")</f>
        <v>#NAME?</v>
      </c>
      <c r="E142" s="50" t="s">
        <v>16</v>
      </c>
      <c r="F142" s="50" t="s">
        <v>164</v>
      </c>
      <c r="G142" s="50">
        <v>51</v>
      </c>
      <c r="H142" s="50">
        <v>7</v>
      </c>
      <c r="I142" s="50">
        <v>561.28</v>
      </c>
      <c r="R142" s="50">
        <v>13.73</v>
      </c>
      <c r="S142" s="50">
        <v>14.29</v>
      </c>
      <c r="T142" s="50">
        <v>-69.5</v>
      </c>
      <c r="U142" s="50">
        <v>-289.48</v>
      </c>
      <c r="W142" s="50">
        <v>202.3</v>
      </c>
      <c r="X142" s="50">
        <v>202.3</v>
      </c>
      <c r="Y142" s="50">
        <v>202.3</v>
      </c>
      <c r="AA142" s="50">
        <v>36.04</v>
      </c>
      <c r="AC142" s="50">
        <v>1037374</v>
      </c>
      <c r="AE142" s="50" t="s">
        <v>4370</v>
      </c>
    </row>
    <row r="143" spans="1:31">
      <c r="A143" s="50" t="s">
        <v>4401</v>
      </c>
      <c r="B143" s="50" t="s">
        <v>289</v>
      </c>
      <c r="C143" s="50" t="s">
        <v>290</v>
      </c>
      <c r="D143" s="50" t="e">
        <f ca="1">Image("https://images-na.ssl-images-amazon.com/images/I/41iZLaruS5L.jpg;https://images-na.ssl-images-amazon.com/images/I/41x55bzF7XL.jpg;https://images-na.ssl-images-amazon.com/images/I/416-9zqgTML.jpg;https://images-na.ssl-images-amazon.com/images/I/51ypuYlthYL"&amp;".jpg;https://images-na.ssl-images-amazon.com/images/I/51nZndGmkBL.jpg")</f>
        <v>#NAME?</v>
      </c>
      <c r="E143" s="50" t="s">
        <v>16</v>
      </c>
      <c r="F143" s="50" t="s">
        <v>291</v>
      </c>
      <c r="G143" s="50">
        <v>49</v>
      </c>
      <c r="I143" s="50">
        <v>441</v>
      </c>
      <c r="S143" s="50" t="s">
        <v>1217</v>
      </c>
      <c r="U143" s="50">
        <v>-249.46</v>
      </c>
      <c r="W143" s="50">
        <v>191.54</v>
      </c>
      <c r="X143" s="50">
        <v>191.54</v>
      </c>
      <c r="Y143" s="50">
        <v>191.54</v>
      </c>
      <c r="AA143" s="50">
        <v>43.43</v>
      </c>
      <c r="AC143" s="50">
        <v>521330</v>
      </c>
      <c r="AE143" s="50" t="s">
        <v>4370</v>
      </c>
    </row>
    <row r="144" spans="1:31">
      <c r="A144" s="50" t="s">
        <v>4402</v>
      </c>
      <c r="B144" s="50" t="s">
        <v>271</v>
      </c>
      <c r="C144" s="50" t="s">
        <v>272</v>
      </c>
      <c r="D144" s="50" t="e">
        <f ca="1">Image("https://images-na.ssl-images-amazon.com/images/I/41ia68IkwAL.jpg;https://images-na.ssl-images-amazon.com/images/I/41H71gYb39L.jpg;https://images-na.ssl-images-amazon.com/images/I/31wllfkDPGL.jpg")</f>
        <v>#NAME?</v>
      </c>
      <c r="E144" s="50" t="s">
        <v>16</v>
      </c>
      <c r="F144" s="50" t="s">
        <v>273</v>
      </c>
      <c r="G144" s="50">
        <v>43</v>
      </c>
      <c r="H144" s="50">
        <v>9</v>
      </c>
      <c r="I144" s="50">
        <v>369.8</v>
      </c>
      <c r="R144" s="50">
        <v>20.93</v>
      </c>
      <c r="S144" s="50">
        <v>57.14</v>
      </c>
      <c r="T144" s="50">
        <v>-68.11</v>
      </c>
      <c r="U144" s="50">
        <v>-223.67</v>
      </c>
      <c r="W144" s="50">
        <v>78.02</v>
      </c>
      <c r="X144" s="50">
        <v>78.02</v>
      </c>
      <c r="Y144" s="50">
        <v>78.02</v>
      </c>
      <c r="AA144" s="50">
        <v>21.1</v>
      </c>
      <c r="AC144" s="50">
        <v>257505</v>
      </c>
      <c r="AE144" s="50" t="s">
        <v>4370</v>
      </c>
    </row>
    <row r="145" spans="1:31">
      <c r="A145" s="50" t="s">
        <v>4403</v>
      </c>
      <c r="B145" s="50" t="s">
        <v>578</v>
      </c>
      <c r="C145" s="50" t="s">
        <v>579</v>
      </c>
      <c r="D145" s="50" t="e">
        <f ca="1">Image("https://images-na.ssl-images-amazon.com/images/I/41NI7O+XdLL.jpg;https://images-na.ssl-images-amazon.com/images/I/41cmYfhJpzL.jpg;https://images-na.ssl-images-amazon.com/images/I/41WnOXaDm3L.jpg;https://images-na.ssl-images-amazon.com/images/I/318b8VdLmrL"&amp;".jpg;https://images-na.ssl-images-amazon.com/images/I/31L0mZ5N2iL.jpg;https://images-na.ssl-images-amazon.com/images/I/51p22NM6GaL.jpg;https://images-na.ssl-images-amazon.com/images/I/61xaxM5bkZL.jpg;https://images-na.ssl-images-amazon.com/images/I/418vJz"&amp;"t74mL.jpg")</f>
        <v>#NAME?</v>
      </c>
      <c r="E145" s="50" t="s">
        <v>20</v>
      </c>
      <c r="F145" s="50" t="s">
        <v>580</v>
      </c>
      <c r="G145" s="50">
        <v>42</v>
      </c>
      <c r="H145" s="50">
        <v>11</v>
      </c>
      <c r="I145" s="50">
        <v>528.27</v>
      </c>
      <c r="K145" s="50">
        <v>-8.5399999999999991</v>
      </c>
      <c r="L145" s="50">
        <v>-8.5399999999999991</v>
      </c>
      <c r="R145" s="50">
        <v>26.19</v>
      </c>
      <c r="S145" s="50">
        <v>22.22</v>
      </c>
      <c r="T145" s="50">
        <v>-120.45</v>
      </c>
      <c r="U145" s="50">
        <v>-465.37</v>
      </c>
      <c r="W145" s="50">
        <v>-66.09</v>
      </c>
      <c r="X145" s="50">
        <v>-66.09</v>
      </c>
      <c r="Y145" s="50">
        <v>-66.09</v>
      </c>
      <c r="AA145" s="50">
        <v>-12.51</v>
      </c>
      <c r="AC145" s="50">
        <v>54948</v>
      </c>
      <c r="AD145" s="50">
        <v>1.62</v>
      </c>
      <c r="AE145" s="50" t="s">
        <v>4370</v>
      </c>
    </row>
    <row r="146" spans="1:31">
      <c r="A146" s="50" t="s">
        <v>4404</v>
      </c>
      <c r="B146" s="50" t="s">
        <v>421</v>
      </c>
      <c r="C146" s="50" t="s">
        <v>422</v>
      </c>
      <c r="D146" s="50" t="e">
        <f ca="1">Image("https://images-na.ssl-images-amazon.com/images/I/51+rHvUhTPL.jpg;https://images-na.ssl-images-amazon.com/images/I/51XCxYfI9TL.jpg;https://images-na.ssl-images-amazon.com/images/I/51ZgzaJxdPL.jpg;https://images-na.ssl-images-amazon.com/images/I/51i3vtyW80L"&amp;".jpg;https://images-na.ssl-images-amazon.com/images/I/41ZlytaBmDL.jpg;https://images-na.ssl-images-amazon.com/images/I/41JqlPIVwUL.jpg;https://images-na.ssl-images-amazon.com/images/I/51Uz5XHI04L.jpg")</f>
        <v>#NAME?</v>
      </c>
      <c r="E146" s="50" t="s">
        <v>16</v>
      </c>
      <c r="F146" s="50" t="s">
        <v>423</v>
      </c>
      <c r="G146" s="50">
        <v>40</v>
      </c>
      <c r="H146" s="50">
        <v>3</v>
      </c>
      <c r="I146" s="50">
        <v>678.95</v>
      </c>
      <c r="K146" s="50">
        <v>-295.08</v>
      </c>
      <c r="L146" s="50">
        <v>-295.08</v>
      </c>
      <c r="R146" s="50">
        <v>7.5</v>
      </c>
      <c r="S146" s="50">
        <v>25</v>
      </c>
      <c r="T146" s="50">
        <v>-48.45</v>
      </c>
      <c r="U146" s="50">
        <v>-251.87</v>
      </c>
      <c r="W146" s="50">
        <v>83.55</v>
      </c>
      <c r="X146" s="50">
        <v>83.55</v>
      </c>
      <c r="Y146" s="50">
        <v>83.55</v>
      </c>
      <c r="AA146" s="50">
        <v>12.31</v>
      </c>
      <c r="AD146" s="50">
        <v>43.46</v>
      </c>
      <c r="AE146" s="50" t="s">
        <v>4370</v>
      </c>
    </row>
    <row r="147" spans="1:31">
      <c r="A147" s="50" t="s">
        <v>4405</v>
      </c>
      <c r="B147" s="50" t="s">
        <v>482</v>
      </c>
      <c r="C147" s="50" t="s">
        <v>483</v>
      </c>
      <c r="D147" s="50" t="e">
        <f ca="1">Image("https://images-na.ssl-images-amazon.com/images/I/41iHJ38k61L.jpg;https://images-na.ssl-images-amazon.com/images/I/41D7Ob7WA7L.jpg;https://images-na.ssl-images-amazon.com/images/I/41afjj8PxdL.jpg;https://images-na.ssl-images-amazon.com/images/I/515Gj1IxW3L"&amp;".jpg;https://images-na.ssl-images-amazon.com/images/I/51rhdLSHn4L.jpg;https://images-na.ssl-images-amazon.com/images/I/41AiekfLTEL.jpg")</f>
        <v>#NAME?</v>
      </c>
      <c r="E147" s="50" t="s">
        <v>16</v>
      </c>
      <c r="F147" s="50" t="s">
        <v>484</v>
      </c>
      <c r="G147" s="50">
        <v>33</v>
      </c>
      <c r="H147" s="50">
        <v>3</v>
      </c>
      <c r="I147" s="50">
        <v>380.97</v>
      </c>
      <c r="R147" s="50">
        <v>9.09</v>
      </c>
      <c r="S147" s="50">
        <v>33.33</v>
      </c>
      <c r="T147" s="50">
        <v>-28.67</v>
      </c>
      <c r="U147" s="50">
        <v>-398.23</v>
      </c>
      <c r="W147" s="50">
        <v>-45.93</v>
      </c>
      <c r="X147" s="50">
        <v>-45.93</v>
      </c>
      <c r="Y147" s="50">
        <v>-45.93</v>
      </c>
      <c r="AA147" s="50">
        <v>-12.06</v>
      </c>
      <c r="AC147" s="50">
        <v>275814</v>
      </c>
      <c r="AE147" s="50" t="s">
        <v>4370</v>
      </c>
    </row>
    <row r="148" spans="1:31">
      <c r="A148" s="50" t="s">
        <v>4406</v>
      </c>
      <c r="B148" s="50" t="s">
        <v>215</v>
      </c>
      <c r="C148" s="50" t="s">
        <v>216</v>
      </c>
      <c r="D148" s="50" t="e">
        <f ca="1">Image("https://images-na.ssl-images-amazon.com/images/I/51m2E2rfIhS.jpg;https://images-na.ssl-images-amazon.com/images/I/51gnlyTK4VS.jpg;https://images-na.ssl-images-amazon.com/images/I/311VlKbj4uL.jpg;https://images-na.ssl-images-amazon.com/images/I/518UqmeV-XL"&amp;".jpg;https://images-na.ssl-images-amazon.com/images/I/61ov+Cs9e0L.jpg;https://images-na.ssl-images-amazon.com/images/I/51HCwVZiI8L.jpg")</f>
        <v>#NAME?</v>
      </c>
      <c r="E148" s="50" t="s">
        <v>20</v>
      </c>
      <c r="F148" s="50" t="s">
        <v>217</v>
      </c>
      <c r="G148" s="50">
        <v>33</v>
      </c>
      <c r="H148" s="50">
        <v>4</v>
      </c>
      <c r="I148" s="50">
        <v>541.67999999999995</v>
      </c>
      <c r="R148" s="50">
        <v>12.12</v>
      </c>
      <c r="S148" s="50" t="s">
        <v>1217</v>
      </c>
      <c r="T148" s="50">
        <v>-52.88</v>
      </c>
      <c r="U148" s="50">
        <v>-108.4</v>
      </c>
      <c r="W148" s="50">
        <v>380.4</v>
      </c>
      <c r="X148" s="50">
        <v>380.4</v>
      </c>
      <c r="Y148" s="50">
        <v>380.4</v>
      </c>
      <c r="AA148" s="50">
        <v>70.23</v>
      </c>
      <c r="AC148" s="50">
        <v>90695</v>
      </c>
      <c r="AE148" s="50" t="s">
        <v>4370</v>
      </c>
    </row>
    <row r="149" spans="1:31">
      <c r="A149" s="50" t="s">
        <v>4407</v>
      </c>
      <c r="B149" s="50" t="s">
        <v>283</v>
      </c>
      <c r="C149" s="50" t="s">
        <v>284</v>
      </c>
      <c r="D149" s="50" t="e">
        <f ca="1">Image("https://images-na.ssl-images-amazon.com/images/I/41z3+yL45NL.jpg;https://images-na.ssl-images-amazon.com/images/I/41H0-+YIxrL.jpg;https://images-na.ssl-images-amazon.com/images/I/41d08-mon-L.jpg;https://images-na.ssl-images-amazon.com/images/I/41cFQgfUAgL"&amp;".jpg;https://images-na.ssl-images-amazon.com/images/I/417cKmWwskL.jpg;https://images-na.ssl-images-amazon.com/images/I/41LEkHVe6WL.jpg;https://images-na.ssl-images-amazon.com/images/I/41yo6IdWrjL.jpg")</f>
        <v>#NAME?</v>
      </c>
      <c r="E149" s="50" t="s">
        <v>16</v>
      </c>
      <c r="F149" s="50" t="s">
        <v>285</v>
      </c>
      <c r="G149" s="50">
        <v>32</v>
      </c>
      <c r="I149" s="50">
        <v>512</v>
      </c>
      <c r="S149" s="50" t="s">
        <v>1217</v>
      </c>
      <c r="U149" s="50">
        <v>-274.81</v>
      </c>
      <c r="W149" s="50">
        <v>237.19</v>
      </c>
      <c r="X149" s="50">
        <v>237.19</v>
      </c>
      <c r="Y149" s="50">
        <v>237.19</v>
      </c>
      <c r="AA149" s="50">
        <v>46.33</v>
      </c>
      <c r="AC149" s="50">
        <v>392507</v>
      </c>
      <c r="AE149" s="50" t="s">
        <v>4370</v>
      </c>
    </row>
    <row r="150" spans="1:31">
      <c r="A150" s="50" t="s">
        <v>4408</v>
      </c>
      <c r="B150" s="50" t="s">
        <v>361</v>
      </c>
      <c r="C150" s="50" t="s">
        <v>362</v>
      </c>
      <c r="D150" s="50" t="e">
        <f ca="1">Image("https://images-na.ssl-images-amazon.com/images/I/4194Mgbqi8L.jpg;https://images-na.ssl-images-amazon.com/images/I/41EfBGiKHsL.jpg;https://images-na.ssl-images-amazon.com/images/I/21dWq0BcqiL.jpg")</f>
        <v>#NAME?</v>
      </c>
      <c r="E150" s="50" t="s">
        <v>16</v>
      </c>
      <c r="F150" s="50" t="s">
        <v>363</v>
      </c>
      <c r="G150" s="50">
        <v>30</v>
      </c>
      <c r="H150" s="50">
        <v>12</v>
      </c>
      <c r="I150" s="50">
        <v>344.7</v>
      </c>
      <c r="R150" s="50">
        <v>40</v>
      </c>
      <c r="S150" s="50">
        <v>33.33</v>
      </c>
      <c r="T150" s="50">
        <v>-121.37</v>
      </c>
      <c r="U150" s="50">
        <v>-144.04</v>
      </c>
      <c r="W150" s="50">
        <v>79.290000000000006</v>
      </c>
      <c r="X150" s="50">
        <v>79.290000000000006</v>
      </c>
      <c r="Y150" s="50">
        <v>79.290000000000006</v>
      </c>
      <c r="AA150" s="50">
        <v>23</v>
      </c>
      <c r="AC150" s="50">
        <v>473048</v>
      </c>
      <c r="AE150" s="50" t="s">
        <v>4370</v>
      </c>
    </row>
    <row r="151" spans="1:31">
      <c r="A151" s="50" t="s">
        <v>4409</v>
      </c>
      <c r="B151" s="50" t="s">
        <v>367</v>
      </c>
      <c r="C151" s="50" t="s">
        <v>368</v>
      </c>
      <c r="D151" s="50" t="e">
        <f ca="1">Image("https://images-na.ssl-images-amazon.com/images/I/41XFnT5Ji9L.jpg;https://images-na.ssl-images-amazon.com/images/I/41zCirGbXDL.jpg;https://images-na.ssl-images-amazon.com/images/I/31S08UU4dcL.jpg")</f>
        <v>#NAME?</v>
      </c>
      <c r="E151" s="50" t="s">
        <v>16</v>
      </c>
      <c r="F151" s="50" t="s">
        <v>369</v>
      </c>
      <c r="G151" s="50">
        <v>29</v>
      </c>
      <c r="H151" s="50">
        <v>1</v>
      </c>
      <c r="I151" s="50">
        <v>310.01</v>
      </c>
      <c r="R151" s="50">
        <v>3.45</v>
      </c>
      <c r="T151" s="50">
        <v>-9.41</v>
      </c>
      <c r="U151" s="50">
        <v>-163.83000000000001</v>
      </c>
      <c r="W151" s="50">
        <v>136.77000000000001</v>
      </c>
      <c r="X151" s="50">
        <v>136.77000000000001</v>
      </c>
      <c r="Y151" s="50">
        <v>136.77000000000001</v>
      </c>
      <c r="AA151" s="50">
        <v>44.12</v>
      </c>
      <c r="AC151" s="50">
        <v>353157</v>
      </c>
      <c r="AE151" s="50" t="s">
        <v>4370</v>
      </c>
    </row>
    <row r="152" spans="1:31">
      <c r="A152" s="50" t="s">
        <v>4410</v>
      </c>
      <c r="B152" s="50" t="s">
        <v>268</v>
      </c>
      <c r="C152" s="50" t="s">
        <v>269</v>
      </c>
      <c r="D152" s="50" t="e">
        <f ca="1">Image("https://images-na.ssl-images-amazon.com/images/I/513VTGGveqL.jpg;https://images-na.ssl-images-amazon.com/images/I/41-YXjLDFeL.jpg;https://images-na.ssl-images-amazon.com/images/I/31ngxov2kvL.jpg;https://images-na.ssl-images-amazon.com/images/I/41ECErp3h9L"&amp;".jpg;https://images-na.ssl-images-amazon.com/images/I/51U8ySi6pWL.jpg;https://images-na.ssl-images-amazon.com/images/I/610c29gpwUL.jpg;https://images-na.ssl-images-amazon.com/images/I/61nFhVKyMeL.jpg")</f>
        <v>#NAME?</v>
      </c>
      <c r="E152" s="50" t="s">
        <v>20</v>
      </c>
      <c r="F152" s="50" t="s">
        <v>270</v>
      </c>
      <c r="G152" s="50">
        <v>29</v>
      </c>
      <c r="H152" s="50">
        <v>1</v>
      </c>
      <c r="I152" s="50">
        <v>431.07</v>
      </c>
      <c r="K152" s="50">
        <v>-15.93</v>
      </c>
      <c r="L152" s="50">
        <v>-15.93</v>
      </c>
      <c r="R152" s="50">
        <v>3.45</v>
      </c>
      <c r="T152" s="50">
        <v>-12.81</v>
      </c>
      <c r="U152" s="50">
        <v>-298.77</v>
      </c>
      <c r="W152" s="50">
        <v>103.56</v>
      </c>
      <c r="X152" s="50">
        <v>103.56</v>
      </c>
      <c r="Y152" s="50">
        <v>103.56</v>
      </c>
      <c r="AA152" s="50">
        <v>24.02</v>
      </c>
      <c r="AC152" s="50">
        <v>211287</v>
      </c>
      <c r="AD152" s="50">
        <v>3.7</v>
      </c>
      <c r="AE152" s="50" t="s">
        <v>4370</v>
      </c>
    </row>
    <row r="153" spans="1:31">
      <c r="A153" s="50" t="s">
        <v>4411</v>
      </c>
      <c r="B153" s="50" t="s">
        <v>286</v>
      </c>
      <c r="C153" s="50" t="s">
        <v>287</v>
      </c>
      <c r="D153" s="50" t="e">
        <f ca="1">Image("https://images-na.ssl-images-amazon.com/images/I/41wmGLrrYxL.jpg;https://images-na.ssl-images-amazon.com/images/I/41eeXLDwWJL.jpg;https://images-na.ssl-images-amazon.com/images/I/51Jlw0bmluL.jpg")</f>
        <v>#NAME?</v>
      </c>
      <c r="E153" s="50" t="s">
        <v>16</v>
      </c>
      <c r="F153" s="50" t="s">
        <v>288</v>
      </c>
      <c r="G153" s="50">
        <v>27</v>
      </c>
      <c r="H153" s="50">
        <v>6</v>
      </c>
      <c r="I153" s="50">
        <v>537.70000000000005</v>
      </c>
      <c r="R153" s="50">
        <v>22.22</v>
      </c>
      <c r="S153" s="50">
        <v>16.670000000000002</v>
      </c>
      <c r="T153" s="50">
        <v>-111.56</v>
      </c>
      <c r="U153" s="50">
        <v>-237.15</v>
      </c>
      <c r="W153" s="50">
        <v>188.99</v>
      </c>
      <c r="X153" s="50">
        <v>188.99</v>
      </c>
      <c r="Y153" s="50">
        <v>188.99</v>
      </c>
      <c r="AA153" s="50">
        <v>35.15</v>
      </c>
      <c r="AC153" s="50">
        <v>490189</v>
      </c>
      <c r="AE153" s="50" t="s">
        <v>4370</v>
      </c>
    </row>
    <row r="154" spans="1:31">
      <c r="A154" s="50" t="s">
        <v>4412</v>
      </c>
      <c r="B154" s="50" t="s">
        <v>55</v>
      </c>
      <c r="C154" s="50" t="s">
        <v>56</v>
      </c>
      <c r="D154" s="50" t="e">
        <f ca="1">Image("https://images-na.ssl-images-amazon.com/images/I/41sjg6LtdnL.jpg;https://images-na.ssl-images-amazon.com/images/I/41Is4NvWhGL.jpg;https://images-na.ssl-images-amazon.com/images/I/51lDHEsWl7L.jpg;https://images-na.ssl-images-amazon.com/images/I/41JtPOZpu8L"&amp;".jpg;https://images-na.ssl-images-amazon.com/images/I/516NJd0jFCL.jpg;https://images-na.ssl-images-amazon.com/images/I/41b59UwEiOL.jpg;https://images-na.ssl-images-amazon.com/images/I/51ywO-tRIkL.jpg;https://images-na.ssl-images-amazon.com/images/I/51HAwN"&amp;"WrdLL.jpg")</f>
        <v>#NAME?</v>
      </c>
      <c r="E154" s="50" t="s">
        <v>20</v>
      </c>
      <c r="F154" s="50" t="s">
        <v>57</v>
      </c>
      <c r="G154" s="50">
        <v>27</v>
      </c>
      <c r="H154" s="50">
        <v>3</v>
      </c>
      <c r="I154" s="50">
        <v>686.21</v>
      </c>
      <c r="R154" s="50">
        <v>11.11</v>
      </c>
      <c r="T154" s="50">
        <v>-67.5</v>
      </c>
      <c r="U154" s="50">
        <v>-280.51</v>
      </c>
      <c r="W154" s="50">
        <v>338.2</v>
      </c>
      <c r="X154" s="50">
        <v>338.2</v>
      </c>
      <c r="Y154" s="50">
        <v>338.2</v>
      </c>
      <c r="AA154" s="50">
        <v>49.29</v>
      </c>
      <c r="AC154" s="50">
        <v>211287</v>
      </c>
      <c r="AE154" s="50" t="s">
        <v>4370</v>
      </c>
    </row>
    <row r="155" spans="1:31">
      <c r="A155" s="50" t="s">
        <v>4413</v>
      </c>
      <c r="B155" s="50" t="s">
        <v>127</v>
      </c>
      <c r="C155" s="50" t="s">
        <v>128</v>
      </c>
      <c r="D155" s="50" t="e">
        <f ca="1">Image("https://images-na.ssl-images-amazon.com/images/I/41bJhvd6iWL.jpg;https://images-na.ssl-images-amazon.com/images/I/51NDwofsY9L.jpg;https://images-na.ssl-images-amazon.com/images/I/41TM8PrZnJL.jpg;https://images-na.ssl-images-amazon.com/images/I/413TjTXnyIL"&amp;".jpg;https://images-na.ssl-images-amazon.com/images/I/51qBa1U+56L.jpg;https://images-na.ssl-images-amazon.com/images/I/51BfznTgQ3L.jpg;https://images-na.ssl-images-amazon.com/images/I/51lHkguOGLL.jpg")</f>
        <v>#NAME?</v>
      </c>
      <c r="E155" s="50" t="s">
        <v>20</v>
      </c>
      <c r="F155" s="50" t="s">
        <v>129</v>
      </c>
      <c r="G155" s="50">
        <v>26</v>
      </c>
      <c r="H155" s="50">
        <v>1</v>
      </c>
      <c r="I155" s="50">
        <v>389.97</v>
      </c>
      <c r="R155" s="50">
        <v>3.85</v>
      </c>
      <c r="T155" s="50">
        <v>-13.2</v>
      </c>
      <c r="U155" s="50">
        <v>-227.05</v>
      </c>
      <c r="W155" s="50">
        <v>149.72</v>
      </c>
      <c r="X155" s="50">
        <v>149.72</v>
      </c>
      <c r="Y155" s="50">
        <v>149.72</v>
      </c>
      <c r="AA155" s="50">
        <v>38.39</v>
      </c>
      <c r="AC155" s="50">
        <v>125997</v>
      </c>
      <c r="AE155" s="50" t="s">
        <v>4370</v>
      </c>
    </row>
    <row r="156" spans="1:31">
      <c r="A156" s="50" t="s">
        <v>4414</v>
      </c>
      <c r="B156" s="50" t="s">
        <v>539</v>
      </c>
      <c r="C156" s="50" t="s">
        <v>4415</v>
      </c>
      <c r="D156" s="50" t="e">
        <f ca="1">Image("https://images-na.ssl-images-amazon.com/images/I/317r31q1MzL.jpg;https://images-na.ssl-images-amazon.com/images/I/31Mo+VL8Y0L.jpg;https://images-na.ssl-images-amazon.com/images/I/3152JEeuqnL.jpg;https://images-na.ssl-images-amazon.com/images/I/41WqCjB8hyL"&amp;".jpg;https://images-na.ssl-images-amazon.com/images/I/41NbMPA08qL.jpg;https://images-na.ssl-images-amazon.com/images/I/41TL6egbrJL.jpg")</f>
        <v>#NAME?</v>
      </c>
      <c r="E156" s="50" t="s">
        <v>20</v>
      </c>
      <c r="F156" s="50" t="s">
        <v>541</v>
      </c>
      <c r="G156" s="50">
        <v>26</v>
      </c>
      <c r="I156" s="50">
        <v>129.74</v>
      </c>
      <c r="S156" s="50" t="s">
        <v>1217</v>
      </c>
      <c r="U156" s="50">
        <v>-86.73</v>
      </c>
      <c r="W156" s="50">
        <v>43.01</v>
      </c>
      <c r="X156" s="50">
        <v>43.01</v>
      </c>
      <c r="Y156" s="50">
        <v>43.01</v>
      </c>
      <c r="AA156" s="50">
        <v>33.15</v>
      </c>
      <c r="AC156" s="50">
        <v>189132</v>
      </c>
      <c r="AE156" s="50" t="s">
        <v>4370</v>
      </c>
    </row>
    <row r="157" spans="1:31">
      <c r="A157" s="50" t="s">
        <v>4416</v>
      </c>
      <c r="B157" s="50" t="s">
        <v>188</v>
      </c>
      <c r="C157" s="50" t="s">
        <v>189</v>
      </c>
      <c r="D157" s="50" t="e">
        <f ca="1">Image("https://images-na.ssl-images-amazon.com/images/I/41i09UI3y5S.jpg;https://images-na.ssl-images-amazon.com/images/I/41xd5xp0bvS.jpg;https://images-na.ssl-images-amazon.com/images/I/418EFTN0CQS.jpg;https://images-na.ssl-images-amazon.com/images/I/31BF-CUEs1S"&amp;".jpg;https://images-na.ssl-images-amazon.com/images/I/41Qg1EFhOZS.jpg;https://images-na.ssl-images-amazon.com/images/I/61fhgSwXFJL.jpg;https://images-na.ssl-images-amazon.com/images/I/51XqxoUuIrL.jpg")</f>
        <v>#NAME?</v>
      </c>
      <c r="E157" s="50" t="s">
        <v>20</v>
      </c>
      <c r="F157" s="50" t="s">
        <v>190</v>
      </c>
      <c r="G157" s="50">
        <v>24</v>
      </c>
      <c r="H157" s="50">
        <v>5</v>
      </c>
      <c r="I157" s="50">
        <v>433.06</v>
      </c>
      <c r="R157" s="50">
        <v>20.83</v>
      </c>
      <c r="S157" s="50">
        <v>60</v>
      </c>
      <c r="T157" s="50">
        <v>-76.97</v>
      </c>
      <c r="U157" s="50">
        <v>-175.56</v>
      </c>
      <c r="W157" s="50">
        <v>180.53</v>
      </c>
      <c r="X157" s="50">
        <v>180.53</v>
      </c>
      <c r="Y157" s="50">
        <v>180.53</v>
      </c>
      <c r="AA157" s="50">
        <v>41.69</v>
      </c>
      <c r="AC157" s="50">
        <v>54948</v>
      </c>
      <c r="AE157" s="50" t="s">
        <v>4370</v>
      </c>
    </row>
    <row r="158" spans="1:31">
      <c r="A158" s="50" t="s">
        <v>4417</v>
      </c>
      <c r="B158" s="50" t="s">
        <v>316</v>
      </c>
      <c r="C158" s="50" t="s">
        <v>317</v>
      </c>
      <c r="D158" s="50" t="e">
        <f ca="1">Image("https://images-na.ssl-images-amazon.com/images/I/51WmIjJY0QL.jpg;https://images-na.ssl-images-amazon.com/images/I/51yqgALKETL.jpg;https://images-na.ssl-images-amazon.com/images/I/51STaAyzahL.jpg;https://images-na.ssl-images-amazon.com/images/I/5136O+AQ01L"&amp;".jpg;https://images-na.ssl-images-amazon.com/images/I/51Xfjgx+ZwL.jpg;https://images-na.ssl-images-amazon.com/images/I/51MjFbI-6WL.jpg;https://images-na.ssl-images-amazon.com/images/I/51bC6gkAYpL.jpg;https://images-na.ssl-images-amazon.com/images/I/51wBOX"&amp;"dYjzL.jpg")</f>
        <v>#NAME?</v>
      </c>
      <c r="E158" s="50" t="s">
        <v>16</v>
      </c>
      <c r="F158" s="50" t="s">
        <v>318</v>
      </c>
      <c r="G158" s="50">
        <v>23</v>
      </c>
      <c r="H158" s="50">
        <v>1</v>
      </c>
      <c r="I158" s="50">
        <v>350.8</v>
      </c>
      <c r="R158" s="50">
        <v>4.3499999999999996</v>
      </c>
      <c r="T158" s="50">
        <v>-13.9</v>
      </c>
      <c r="U158" s="50">
        <v>-149.97</v>
      </c>
      <c r="W158" s="50">
        <v>186.93</v>
      </c>
      <c r="X158" s="50">
        <v>186.93</v>
      </c>
      <c r="Y158" s="50">
        <v>186.93</v>
      </c>
      <c r="AA158" s="50">
        <v>53.29</v>
      </c>
      <c r="AC158" s="50">
        <v>916695</v>
      </c>
      <c r="AE158" s="50" t="s">
        <v>4370</v>
      </c>
    </row>
    <row r="159" spans="1:31">
      <c r="A159" s="50" t="s">
        <v>4418</v>
      </c>
      <c r="B159" s="50" t="s">
        <v>221</v>
      </c>
      <c r="C159" s="50" t="s">
        <v>222</v>
      </c>
      <c r="D159" s="50" t="e">
        <f ca="1">Image("https://images-na.ssl-images-amazon.com/images/I/51GCGmrmyrL.jpg;https://images-na.ssl-images-amazon.com/images/I/61DIzNMPGpL.jpg;https://images-na.ssl-images-amazon.com/images/I/51Rh7IvxPvL.jpg;https://images-na.ssl-images-amazon.com/images/I/714pzWV0t2L"&amp;".jpg;https://images-na.ssl-images-amazon.com/images/I/41t0qw1nB-L.jpg")</f>
        <v>#NAME?</v>
      </c>
      <c r="E159" s="50" t="s">
        <v>16</v>
      </c>
      <c r="F159" s="50" t="s">
        <v>223</v>
      </c>
      <c r="G159" s="50">
        <v>23</v>
      </c>
      <c r="H159" s="50">
        <v>2</v>
      </c>
      <c r="I159" s="50">
        <v>464.3</v>
      </c>
      <c r="R159" s="50">
        <v>8.6999999999999993</v>
      </c>
      <c r="T159" s="50">
        <v>-33.44</v>
      </c>
      <c r="U159" s="50">
        <v>-159.9</v>
      </c>
      <c r="W159" s="50">
        <v>270.95999999999998</v>
      </c>
      <c r="X159" s="50">
        <v>270.95999999999998</v>
      </c>
      <c r="Y159" s="50">
        <v>270.95999999999998</v>
      </c>
      <c r="AA159" s="50">
        <v>58.36</v>
      </c>
      <c r="AC159" s="50">
        <v>21345</v>
      </c>
      <c r="AE159" s="50" t="s">
        <v>4370</v>
      </c>
    </row>
    <row r="160" spans="1:31">
      <c r="A160" s="50" t="s">
        <v>4419</v>
      </c>
      <c r="B160" s="50" t="s">
        <v>248</v>
      </c>
      <c r="C160" s="50" t="s">
        <v>249</v>
      </c>
      <c r="D160" s="50" t="e">
        <f ca="1">Image("https://images-na.ssl-images-amazon.com/images/I/61a5R3XJaeL.jpg;https://images-na.ssl-images-amazon.com/images/I/618NzOn9zeL.jpg;https://images-na.ssl-images-amazon.com/images/I/51z-vv9B4OL.jpg;https://images-na.ssl-images-amazon.com/images/I/61jSs7MjlzL"&amp;".jpg;https://images-na.ssl-images-amazon.com/images/I/41t0qw1nB-L.jpg")</f>
        <v>#NAME?</v>
      </c>
      <c r="E160" s="50" t="s">
        <v>16</v>
      </c>
      <c r="F160" s="50" t="s">
        <v>250</v>
      </c>
      <c r="G160" s="50">
        <v>22</v>
      </c>
      <c r="H160" s="50">
        <v>2</v>
      </c>
      <c r="I160" s="50">
        <v>540.20000000000005</v>
      </c>
      <c r="R160" s="50">
        <v>9.09</v>
      </c>
      <c r="T160" s="50">
        <v>-40.479999999999997</v>
      </c>
      <c r="U160" s="50">
        <v>-220.77</v>
      </c>
      <c r="W160" s="50">
        <v>278.95</v>
      </c>
      <c r="X160" s="50">
        <v>278.95</v>
      </c>
      <c r="Y160" s="50">
        <v>278.95</v>
      </c>
      <c r="AA160" s="50">
        <v>51.64</v>
      </c>
      <c r="AC160" s="50">
        <v>63591</v>
      </c>
      <c r="AE160" s="50" t="s">
        <v>4370</v>
      </c>
    </row>
    <row r="161" spans="1:31">
      <c r="A161" s="50" t="s">
        <v>4420</v>
      </c>
      <c r="B161" s="50" t="s">
        <v>1183</v>
      </c>
      <c r="C161" s="50" t="s">
        <v>4421</v>
      </c>
      <c r="D161" s="50" t="e">
        <f ca="1">Image("https://images-na.ssl-images-amazon.com/images/I/31y96bO7I0L.jpg;https://images-na.ssl-images-amazon.com/images/I/51ReM5vYPmL.jpg;https://images-na.ssl-images-amazon.com/images/I/51I1AXunyPL.jpg;https://images-na.ssl-images-amazon.com/images/I/41eif+6zODL"&amp;".jpg;https://images-na.ssl-images-amazon.com/images/I/41o6OiPpccL.jpg;https://images-na.ssl-images-amazon.com/images/I/3148V3U4tyL.jpg")</f>
        <v>#NAME?</v>
      </c>
      <c r="E161" s="50" t="s">
        <v>20</v>
      </c>
      <c r="F161" s="50" t="s">
        <v>1185</v>
      </c>
      <c r="G161" s="50">
        <v>22</v>
      </c>
      <c r="I161" s="50">
        <v>287.75</v>
      </c>
      <c r="S161" s="50" t="s">
        <v>1217</v>
      </c>
      <c r="U161" s="50">
        <v>-817.53</v>
      </c>
      <c r="W161" s="50">
        <v>-529.78</v>
      </c>
      <c r="X161" s="50">
        <v>-529.78</v>
      </c>
      <c r="Y161" s="50">
        <v>-529.78</v>
      </c>
      <c r="AA161" s="50">
        <v>-184.11</v>
      </c>
      <c r="AC161" s="50">
        <v>216880</v>
      </c>
      <c r="AE161" s="50" t="s">
        <v>4370</v>
      </c>
    </row>
    <row r="162" spans="1:31">
      <c r="A162" s="50" t="s">
        <v>4422</v>
      </c>
      <c r="B162" s="50" t="s">
        <v>64</v>
      </c>
      <c r="C162" s="50" t="s">
        <v>4423</v>
      </c>
      <c r="D162" s="50" t="e">
        <f ca="1">Image("https://images-na.ssl-images-amazon.com/images/I/41AOEKiwIhL.jpg;https://images-na.ssl-images-amazon.com/images/I/31exv-sLHFS.jpg;https://images-na.ssl-images-amazon.com/images/I/31wvL5ZhC-S.jpg;https://images-na.ssl-images-amazon.com/images/I/31Q5U5NIiXS"&amp;".jpg;https://images-na.ssl-images-amazon.com/images/I/31RGHfa+tWS.jpg;https://images-na.ssl-images-amazon.com/images/I/51zXI6J2ljS.jpg")</f>
        <v>#NAME?</v>
      </c>
      <c r="E162" s="50" t="s">
        <v>16</v>
      </c>
      <c r="F162" s="50" t="s">
        <v>66</v>
      </c>
      <c r="G162" s="50">
        <v>21</v>
      </c>
      <c r="I162" s="50">
        <v>211.9</v>
      </c>
      <c r="S162" s="50" t="s">
        <v>1217</v>
      </c>
      <c r="U162" s="50">
        <v>-31.7</v>
      </c>
      <c r="W162" s="50">
        <v>180.2</v>
      </c>
      <c r="X162" s="50">
        <v>180.2</v>
      </c>
      <c r="Y162" s="50">
        <v>180.2</v>
      </c>
      <c r="AA162" s="50">
        <v>85.04</v>
      </c>
      <c r="AC162" s="50">
        <v>117968</v>
      </c>
      <c r="AE162" s="50" t="s">
        <v>4370</v>
      </c>
    </row>
    <row r="163" spans="1:31">
      <c r="A163" s="50" t="s">
        <v>4424</v>
      </c>
      <c r="B163" s="50" t="s">
        <v>1168</v>
      </c>
      <c r="C163" s="50" t="s">
        <v>1169</v>
      </c>
      <c r="D163" s="50" t="e">
        <f ca="1">Image("https://images-na.ssl-images-amazon.com/images/I/4192FCBNu6L.jpg;https://images-na.ssl-images-amazon.com/images/I/416rjtaDaoL.jpg;https://images-na.ssl-images-amazon.com/images/I/21fLs58t-oL.jpg;https://images-na.ssl-images-amazon.com/images/I/51nMPt6cGKL"&amp;".jpg;https://images-na.ssl-images-amazon.com/images/I/31sntDzA6oL.jpg;https://images-na.ssl-images-amazon.com/images/I/41aUlTQrDwL.jpg")</f>
        <v>#NAME?</v>
      </c>
      <c r="E163" s="50" t="s">
        <v>20</v>
      </c>
      <c r="F163" s="50" t="s">
        <v>1170</v>
      </c>
      <c r="G163" s="50">
        <v>21</v>
      </c>
      <c r="H163" s="50">
        <v>8</v>
      </c>
      <c r="I163" s="50">
        <v>300.2</v>
      </c>
      <c r="K163" s="50">
        <v>-36.950000000000003</v>
      </c>
      <c r="L163" s="50">
        <v>-36.950000000000003</v>
      </c>
      <c r="R163" s="50">
        <v>38.1</v>
      </c>
      <c r="S163" s="50">
        <v>12.5</v>
      </c>
      <c r="T163" s="50">
        <v>-91.17</v>
      </c>
      <c r="U163" s="50">
        <v>-436.8</v>
      </c>
      <c r="W163" s="50">
        <v>-264.72000000000003</v>
      </c>
      <c r="X163" s="50">
        <v>-264.72000000000003</v>
      </c>
      <c r="Y163" s="50">
        <v>-264.72000000000003</v>
      </c>
      <c r="AA163" s="50">
        <v>-88.18</v>
      </c>
      <c r="AC163" s="50">
        <v>54948</v>
      </c>
      <c r="AD163" s="50">
        <v>12.31</v>
      </c>
      <c r="AE163" s="50" t="s">
        <v>4370</v>
      </c>
    </row>
    <row r="164" spans="1:31">
      <c r="A164" s="50" t="s">
        <v>4425</v>
      </c>
      <c r="B164" s="50" t="s">
        <v>1148</v>
      </c>
      <c r="C164" s="50" t="s">
        <v>1149</v>
      </c>
      <c r="D164" s="50" t="e">
        <f ca="1">Image("https://images-na.ssl-images-amazon.com/images/I/41aKdLZnWxL.jpg;https://images-na.ssl-images-amazon.com/images/I/41b6HMl130L.jpg;https://images-na.ssl-images-amazon.com/images/I/41KW8hFrpHS.jpg;https://images-na.ssl-images-amazon.com/images/I/41r4qdBIS0L"&amp;".jpg;https://images-na.ssl-images-amazon.com/images/I/41zpqNN3hAL.jpg;https://images-na.ssl-images-amazon.com/images/I/51AOa6oTe4L.jpg;https://images-na.ssl-images-amazon.com/images/I/41rYE9Xu+ML.jpg")</f>
        <v>#NAME?</v>
      </c>
      <c r="E164" s="50" t="s">
        <v>20</v>
      </c>
      <c r="F164" s="50" t="s">
        <v>1150</v>
      </c>
      <c r="G164" s="50">
        <v>21</v>
      </c>
      <c r="I164" s="50">
        <v>306.47000000000003</v>
      </c>
      <c r="S164" s="50" t="s">
        <v>1217</v>
      </c>
      <c r="U164" s="50">
        <v>-257.37</v>
      </c>
      <c r="W164" s="50">
        <v>49.1</v>
      </c>
      <c r="X164" s="50">
        <v>49.1</v>
      </c>
      <c r="Y164" s="50">
        <v>49.1</v>
      </c>
      <c r="AA164" s="50">
        <v>16.02</v>
      </c>
      <c r="AC164" s="50">
        <v>244859</v>
      </c>
      <c r="AE164" s="50" t="s">
        <v>4370</v>
      </c>
    </row>
    <row r="165" spans="1:31">
      <c r="A165" s="50" t="s">
        <v>4426</v>
      </c>
      <c r="B165" s="50" t="s">
        <v>97</v>
      </c>
      <c r="C165" s="50" t="s">
        <v>98</v>
      </c>
      <c r="D165" s="50" t="e">
        <f ca="1">Image("https://images-na.ssl-images-amazon.com/images/I/41efs2pFS2S.jpg;https://images-na.ssl-images-amazon.com/images/I/51U+Th7kKwS.jpg;https://images-na.ssl-images-amazon.com/images/I/51CMEnVrYcS.jpg;https://images-na.ssl-images-amazon.com/images/I/41qquD7NrcS"&amp;".jpg;https://images-na.ssl-images-amazon.com/images/I/41YjHQa3JgS.jpg;https://images-na.ssl-images-amazon.com/images/I/51cuTOz+a-S.jpg;https://images-na.ssl-images-amazon.com/images/I/61damUmO69S.jpg")</f>
        <v>#NAME?</v>
      </c>
      <c r="E165" s="50" t="s">
        <v>16</v>
      </c>
      <c r="F165" s="50" t="s">
        <v>99</v>
      </c>
      <c r="G165" s="50">
        <v>20</v>
      </c>
      <c r="H165" s="50">
        <v>1</v>
      </c>
      <c r="I165" s="50">
        <v>555.25</v>
      </c>
      <c r="R165" s="50">
        <v>5</v>
      </c>
      <c r="T165" s="50">
        <v>-27.28</v>
      </c>
      <c r="U165" s="50">
        <v>-220.25</v>
      </c>
      <c r="W165" s="50">
        <v>307.72000000000003</v>
      </c>
      <c r="X165" s="50">
        <v>307.72000000000003</v>
      </c>
      <c r="Y165" s="50">
        <v>307.72000000000003</v>
      </c>
      <c r="AA165" s="50">
        <v>55.42</v>
      </c>
      <c r="AC165" s="50">
        <v>313675</v>
      </c>
      <c r="AE165" s="50" t="s">
        <v>4370</v>
      </c>
    </row>
    <row r="166" spans="1:31">
      <c r="A166" s="50" t="s">
        <v>4427</v>
      </c>
      <c r="B166" s="50" t="s">
        <v>121</v>
      </c>
      <c r="C166" s="50" t="s">
        <v>122</v>
      </c>
      <c r="D166" s="50" t="e">
        <f ca="1">Image("https://images-na.ssl-images-amazon.com/images/I/51hR1oa-eeL.jpg;https://images-na.ssl-images-amazon.com/images/I/51mV7gfc+wL.jpg;https://images-na.ssl-images-amazon.com/images/I/518tk2oalpL.jpg;https://images-na.ssl-images-amazon.com/images/I/411sLFpTzpL"&amp;".jpg;https://images-na.ssl-images-amazon.com/images/I/417MCp82FgL.jpg;https://images-na.ssl-images-amazon.com/images/I/51ZoF6mOtyL.jpg")</f>
        <v>#NAME?</v>
      </c>
      <c r="E166" s="50" t="s">
        <v>16</v>
      </c>
      <c r="F166" s="50" t="s">
        <v>123</v>
      </c>
      <c r="G166" s="50">
        <v>20</v>
      </c>
      <c r="I166" s="50">
        <v>344.09</v>
      </c>
      <c r="S166" s="50" t="s">
        <v>1217</v>
      </c>
      <c r="U166" s="50">
        <v>-143.26</v>
      </c>
      <c r="W166" s="50">
        <v>200.83</v>
      </c>
      <c r="X166" s="50">
        <v>200.83</v>
      </c>
      <c r="Y166" s="50">
        <v>200.83</v>
      </c>
      <c r="AA166" s="50">
        <v>58.37</v>
      </c>
      <c r="AC166" s="50">
        <v>407611</v>
      </c>
      <c r="AE166" s="50" t="s">
        <v>4370</v>
      </c>
    </row>
    <row r="167" spans="1:31">
      <c r="A167" s="50" t="s">
        <v>4428</v>
      </c>
      <c r="B167" s="50" t="s">
        <v>384</v>
      </c>
      <c r="C167" s="50" t="s">
        <v>385</v>
      </c>
      <c r="D167" s="50" t="e">
        <f ca="1">Image("https://images-na.ssl-images-amazon.com/images/I/41kCsdgCDnL.jpg;https://images-na.ssl-images-amazon.com/images/I/41hZA8q-9fL.jpg;https://images-na.ssl-images-amazon.com/images/I/41VQfe+1BSL.jpg;https://images-na.ssl-images-amazon.com/images/I/51fY4XeOHmL"&amp;".jpg;https://images-na.ssl-images-amazon.com/images/I/41CBWdtyzBL.jpg;https://images-na.ssl-images-amazon.com/images/I/41rXJnxH-PL.jpg;https://images-na.ssl-images-amazon.com/images/I/413VMAUqkDL.jpg")</f>
        <v>#NAME?</v>
      </c>
      <c r="E167" s="50" t="s">
        <v>16</v>
      </c>
      <c r="F167" s="50" t="s">
        <v>386</v>
      </c>
      <c r="G167" s="50">
        <v>19</v>
      </c>
      <c r="H167" s="50">
        <v>2</v>
      </c>
      <c r="I167" s="50">
        <v>273.39999999999998</v>
      </c>
      <c r="R167" s="50">
        <v>10.53</v>
      </c>
      <c r="S167" s="50">
        <v>50</v>
      </c>
      <c r="T167" s="50">
        <v>-31.59</v>
      </c>
      <c r="U167" s="50">
        <v>-113.84</v>
      </c>
      <c r="W167" s="50">
        <v>127.97</v>
      </c>
      <c r="X167" s="50">
        <v>127.97</v>
      </c>
      <c r="Y167" s="50">
        <v>127.97</v>
      </c>
      <c r="AA167" s="50">
        <v>46.81</v>
      </c>
      <c r="AE167" s="50" t="s">
        <v>4370</v>
      </c>
    </row>
    <row r="168" spans="1:31">
      <c r="A168" s="50" t="s">
        <v>4429</v>
      </c>
      <c r="B168" s="50" t="s">
        <v>479</v>
      </c>
      <c r="C168" s="50" t="s">
        <v>480</v>
      </c>
      <c r="D168" s="50" t="e">
        <f ca="1">Image("https://images-na.ssl-images-amazon.com/images/I/412A9j4CdiL.jpg;https://images-na.ssl-images-amazon.com/images/I/31crTxK0jML.jpg;https://images-na.ssl-images-amazon.com/images/I/21VghECfFgL.jpg;https://images-na.ssl-images-amazon.com/images/I/41pcRbTAszL"&amp;".jpg;https://images-na.ssl-images-amazon.com/images/I/419v2yA3TdL.jpg")</f>
        <v>#NAME?</v>
      </c>
      <c r="E168" s="50" t="s">
        <v>16</v>
      </c>
      <c r="F168" s="50" t="s">
        <v>481</v>
      </c>
      <c r="G168" s="50">
        <v>19</v>
      </c>
      <c r="H168" s="50">
        <v>1</v>
      </c>
      <c r="I168" s="50">
        <v>190</v>
      </c>
      <c r="R168" s="50">
        <v>5.26</v>
      </c>
      <c r="S168" s="50">
        <v>100</v>
      </c>
      <c r="T168" s="50">
        <v>-8.8000000000000007</v>
      </c>
      <c r="U168" s="50">
        <v>-101.64</v>
      </c>
      <c r="W168" s="50">
        <v>79.56</v>
      </c>
      <c r="X168" s="50">
        <v>79.56</v>
      </c>
      <c r="Y168" s="50">
        <v>79.56</v>
      </c>
      <c r="AA168" s="50">
        <v>41.87</v>
      </c>
      <c r="AC168" s="50">
        <v>321589</v>
      </c>
      <c r="AE168" s="50" t="s">
        <v>4370</v>
      </c>
    </row>
    <row r="169" spans="1:31">
      <c r="A169" s="50" t="s">
        <v>4430</v>
      </c>
      <c r="B169" s="50" t="s">
        <v>313</v>
      </c>
      <c r="C169" s="50" t="s">
        <v>314</v>
      </c>
      <c r="D169" s="50" t="e">
        <f ca="1">Image("https://images-na.ssl-images-amazon.com/images/I/513M84LXxaS.jpg;https://images-na.ssl-images-amazon.com/images/I/51kwWidyANS.jpg;https://images-na.ssl-images-amazon.com/images/I/31olNVRQ24L.jpg;https://images-na.ssl-images-amazon.com/images/I/51eYh8AfwYL"&amp;".jpg;https://images-na.ssl-images-amazon.com/images/I/517lA+vxpTL.jpg;https://images-na.ssl-images-amazon.com/images/I/51ou1kBJ3iL.jpg")</f>
        <v>#NAME?</v>
      </c>
      <c r="E169" s="50" t="s">
        <v>20</v>
      </c>
      <c r="F169" s="50" t="s">
        <v>315</v>
      </c>
      <c r="G169" s="50">
        <v>19</v>
      </c>
      <c r="H169" s="50">
        <v>3</v>
      </c>
      <c r="I169" s="50">
        <v>285.81</v>
      </c>
      <c r="R169" s="50">
        <v>15.79</v>
      </c>
      <c r="S169" s="50" t="s">
        <v>1217</v>
      </c>
      <c r="T169" s="50">
        <v>-38.61</v>
      </c>
      <c r="U169" s="50">
        <v>-57.2</v>
      </c>
      <c r="W169" s="50">
        <v>190</v>
      </c>
      <c r="X169" s="50">
        <v>190</v>
      </c>
      <c r="Y169" s="50">
        <v>190</v>
      </c>
      <c r="AA169" s="50">
        <v>66.48</v>
      </c>
      <c r="AC169" s="50">
        <v>90695</v>
      </c>
      <c r="AE169" s="50" t="s">
        <v>4370</v>
      </c>
    </row>
    <row r="170" spans="1:31">
      <c r="A170" s="50" t="s">
        <v>4431</v>
      </c>
      <c r="B170" s="50" t="s">
        <v>536</v>
      </c>
      <c r="C170" s="50" t="s">
        <v>537</v>
      </c>
      <c r="D170" s="50" t="e">
        <f ca="1">Image("https://images-na.ssl-images-amazon.com/images/I/41ahpgxKRJL.jpg;https://images-na.ssl-images-amazon.com/images/I/41-scGl6iML.jpg;https://images-na.ssl-images-amazon.com/images/I/41JaW1F11nL.jpg;https://images-na.ssl-images-amazon.com/images/I/41M-ZM4SHrL"&amp;".jpg;https://images-na.ssl-images-amazon.com/images/I/41ZXvYtypjL.jpg;https://images-na.ssl-images-amazon.com/images/I/41wQzoUSQ+L.jpg")</f>
        <v>#NAME?</v>
      </c>
      <c r="E170" s="50" t="s">
        <v>16</v>
      </c>
      <c r="F170" s="50" t="s">
        <v>538</v>
      </c>
      <c r="G170" s="50">
        <v>17</v>
      </c>
      <c r="H170" s="50">
        <v>2</v>
      </c>
      <c r="I170" s="50">
        <v>158.99</v>
      </c>
      <c r="R170" s="50">
        <v>11.76</v>
      </c>
      <c r="T170" s="50">
        <v>-15.84</v>
      </c>
      <c r="U170" s="50">
        <v>-92.31</v>
      </c>
      <c r="W170" s="50">
        <v>50.84</v>
      </c>
      <c r="X170" s="50">
        <v>50.84</v>
      </c>
      <c r="Y170" s="50">
        <v>50.84</v>
      </c>
      <c r="AA170" s="50">
        <v>31.98</v>
      </c>
      <c r="AC170" s="50">
        <v>249035</v>
      </c>
      <c r="AE170" s="50" t="s">
        <v>4370</v>
      </c>
    </row>
    <row r="171" spans="1:31">
      <c r="A171" s="50" t="s">
        <v>4432</v>
      </c>
      <c r="B171" s="50" t="s">
        <v>494</v>
      </c>
      <c r="C171" s="50" t="s">
        <v>495</v>
      </c>
      <c r="D171" s="50" t="e">
        <f ca="1">Image("https://images-na.ssl-images-amazon.com/images/I/51LaeT1yY8L.jpg;https://images-na.ssl-images-amazon.com/images/I/51Aol0zIEkL.jpg;https://images-na.ssl-images-amazon.com/images/I/41IJq1CQCPL.jpg;https://images-na.ssl-images-amazon.com/images/I/41nJZ5+j+PL"&amp;".jpg;https://images-na.ssl-images-amazon.com/images/I/51QCXzJY7rL.jpg;https://images-na.ssl-images-amazon.com/images/I/51oofA-fP2L.jpg")</f>
        <v>#NAME?</v>
      </c>
      <c r="E171" s="50" t="s">
        <v>16</v>
      </c>
      <c r="F171" s="50" t="s">
        <v>496</v>
      </c>
      <c r="G171" s="50">
        <v>17</v>
      </c>
      <c r="H171" s="50">
        <v>5</v>
      </c>
      <c r="I171" s="50">
        <v>244.85</v>
      </c>
      <c r="R171" s="50">
        <v>29.41</v>
      </c>
      <c r="S171" s="50">
        <v>25</v>
      </c>
      <c r="T171" s="50">
        <v>-61.18</v>
      </c>
      <c r="U171" s="50">
        <v>-112.8</v>
      </c>
      <c r="W171" s="50">
        <v>70.87</v>
      </c>
      <c r="X171" s="50">
        <v>70.87</v>
      </c>
      <c r="Y171" s="50">
        <v>70.87</v>
      </c>
      <c r="AA171" s="50">
        <v>28.94</v>
      </c>
      <c r="AC171" s="50">
        <v>587814</v>
      </c>
      <c r="AE171" s="50" t="s">
        <v>4370</v>
      </c>
    </row>
    <row r="172" spans="1:31">
      <c r="A172" s="50" t="s">
        <v>4433</v>
      </c>
      <c r="B172" s="50" t="s">
        <v>683</v>
      </c>
      <c r="C172" s="50" t="s">
        <v>684</v>
      </c>
      <c r="D172" s="50" t="e">
        <f ca="1">Image("https://images-na.ssl-images-amazon.com/images/I/41g5hSV5obL.jpg;https://images-na.ssl-images-amazon.com/images/I/41S3Uk+V6CL.jpg;https://images-na.ssl-images-amazon.com/images/I/41mxMhcrSzL.jpg;https://images-na.ssl-images-amazon.com/images/I/41MYsi+mkKL"&amp;".jpg;https://images-na.ssl-images-amazon.com/images/I/51ODzstM74L.jpg;https://images-na.ssl-images-amazon.com/images/I/61ukAHs5khL.jpg;https://images-na.ssl-images-amazon.com/images/I/51VDQjeIXBL.jpg;https://images-na.ssl-images-amazon.com/images/I/41PbUY"&amp;"P9KYL.jpg")</f>
        <v>#NAME?</v>
      </c>
      <c r="E172" s="50" t="s">
        <v>20</v>
      </c>
      <c r="F172" s="50" t="s">
        <v>685</v>
      </c>
      <c r="G172" s="50">
        <v>17</v>
      </c>
      <c r="H172" s="50">
        <v>2</v>
      </c>
      <c r="I172" s="50">
        <v>204</v>
      </c>
      <c r="K172" s="50">
        <v>-1.77</v>
      </c>
      <c r="L172" s="50">
        <v>-1.77</v>
      </c>
      <c r="R172" s="50">
        <v>11.76</v>
      </c>
      <c r="T172" s="50">
        <v>-21.73</v>
      </c>
      <c r="U172" s="50">
        <v>-113.12</v>
      </c>
      <c r="W172" s="50">
        <v>67.38</v>
      </c>
      <c r="X172" s="50">
        <v>67.38</v>
      </c>
      <c r="Y172" s="50">
        <v>67.38</v>
      </c>
      <c r="AA172" s="50">
        <v>33.03</v>
      </c>
      <c r="AC172" s="50">
        <v>388812</v>
      </c>
      <c r="AD172" s="50">
        <v>0.87</v>
      </c>
      <c r="AE172" s="50" t="s">
        <v>4370</v>
      </c>
    </row>
    <row r="173" spans="1:31">
      <c r="A173" s="50" t="s">
        <v>4434</v>
      </c>
      <c r="B173" s="50" t="s">
        <v>1125</v>
      </c>
      <c r="C173" s="50" t="s">
        <v>1126</v>
      </c>
      <c r="D173" s="50" t="e">
        <f ca="1">Image("https://images-na.ssl-images-amazon.com/images/I/51+9jyJW5IL.jpg;https://images-na.ssl-images-amazon.com/images/I/41qWULk2-1S.jpg;https://images-na.ssl-images-amazon.com/images/I/51pXPMUsHuS.jpg;https://images-na.ssl-images-amazon.com/images/I/51tnzAAJ6MS"&amp;".jpg;https://images-na.ssl-images-amazon.com/images/I/61KIVa7q28S.jpg;https://images-na.ssl-images-amazon.com/images/I/61YHp5+KvMS.jpg")</f>
        <v>#NAME?</v>
      </c>
      <c r="E173" s="50" t="s">
        <v>20</v>
      </c>
      <c r="F173" s="50" t="s">
        <v>1127</v>
      </c>
      <c r="G173" s="50">
        <v>16</v>
      </c>
      <c r="I173" s="50">
        <v>91.04</v>
      </c>
      <c r="S173" s="50" t="s">
        <v>1217</v>
      </c>
      <c r="U173" s="50">
        <v>-136.77000000000001</v>
      </c>
      <c r="W173" s="50">
        <v>-45.73</v>
      </c>
      <c r="X173" s="50">
        <v>-45.73</v>
      </c>
      <c r="Y173" s="50">
        <v>-45.73</v>
      </c>
      <c r="AA173" s="50">
        <v>-50.23</v>
      </c>
      <c r="AC173" s="50">
        <v>68877</v>
      </c>
      <c r="AE173" s="50" t="s">
        <v>4370</v>
      </c>
    </row>
    <row r="174" spans="1:31">
      <c r="A174" s="50" t="s">
        <v>4412</v>
      </c>
      <c r="B174" s="50" t="s">
        <v>55</v>
      </c>
      <c r="C174" s="50" t="s">
        <v>4435</v>
      </c>
      <c r="D174" s="50" t="e">
        <f ca="1">Image("https://images-na.ssl-images-amazon.com/images/I/41sjg6LtdnL.jpg;https://images-na.ssl-images-amazon.com/images/I/41Is4NvWhGL.jpg;https://images-na.ssl-images-amazon.com/images/I/51lDHEsWl7L.jpg;https://images-na.ssl-images-amazon.com/images/I/41JtPOZpu8L"&amp;".jpg;https://images-na.ssl-images-amazon.com/images/I/516NJd0jFCL.jpg;https://images-na.ssl-images-amazon.com/images/I/41b59UwEiOL.jpg;https://images-na.ssl-images-amazon.com/images/I/51ywO-tRIkL.jpg;https://images-na.ssl-images-amazon.com/images/I/51HAwN"&amp;"WrdLL.jpg")</f>
        <v>#NAME?</v>
      </c>
      <c r="E174" s="50" t="s">
        <v>20</v>
      </c>
      <c r="F174" s="50" t="s">
        <v>57</v>
      </c>
      <c r="G174" s="50">
        <v>15</v>
      </c>
      <c r="H174" s="50">
        <v>3</v>
      </c>
      <c r="I174" s="50">
        <v>377.71</v>
      </c>
      <c r="R174" s="50">
        <v>20</v>
      </c>
      <c r="S174" s="50">
        <v>33.33</v>
      </c>
      <c r="T174" s="50">
        <v>-66</v>
      </c>
      <c r="U174" s="50">
        <v>-195.48</v>
      </c>
      <c r="W174" s="50">
        <v>116.23</v>
      </c>
      <c r="X174" s="50">
        <v>116.23</v>
      </c>
      <c r="Y174" s="50">
        <v>116.23</v>
      </c>
      <c r="AA174" s="50">
        <v>30.77</v>
      </c>
      <c r="AC174" s="50">
        <v>211287</v>
      </c>
      <c r="AE174" s="50" t="s">
        <v>4370</v>
      </c>
    </row>
    <row r="175" spans="1:31">
      <c r="A175" s="50" t="s">
        <v>4436</v>
      </c>
      <c r="B175" s="50" t="s">
        <v>1171</v>
      </c>
      <c r="C175" s="50" t="s">
        <v>1172</v>
      </c>
      <c r="D175" s="50" t="e">
        <f ca="1">Image("https://images-na.ssl-images-amazon.com/images/I/41AbtKwDu0L.jpg;https://images-na.ssl-images-amazon.com/images/I/41GunUFjBSL.jpg;https://images-na.ssl-images-amazon.com/images/I/415STP9-fnL.jpg;https://images-na.ssl-images-amazon.com/images/I/41BaHpI1TOL"&amp;".jpg;https://images-na.ssl-images-amazon.com/images/I/4130HCY+5YL.jpg;https://images-na.ssl-images-amazon.com/images/I/61fqwgEVD3L.jpg;https://images-na.ssl-images-amazon.com/images/I/51kCsw3jfFL.jpg")</f>
        <v>#NAME?</v>
      </c>
      <c r="E175" s="50" t="s">
        <v>20</v>
      </c>
      <c r="F175" s="50" t="s">
        <v>1173</v>
      </c>
      <c r="G175" s="50">
        <v>15</v>
      </c>
      <c r="H175" s="50">
        <v>4</v>
      </c>
      <c r="I175" s="50">
        <v>187.6</v>
      </c>
      <c r="K175" s="50">
        <v>-38.11</v>
      </c>
      <c r="L175" s="50">
        <v>-38.11</v>
      </c>
      <c r="R175" s="50">
        <v>26.67</v>
      </c>
      <c r="S175" s="50">
        <v>40</v>
      </c>
      <c r="T175" s="50">
        <v>-42.24</v>
      </c>
      <c r="U175" s="50">
        <v>-337.02</v>
      </c>
      <c r="W175" s="50">
        <v>-229.77</v>
      </c>
      <c r="X175" s="50">
        <v>-229.77</v>
      </c>
      <c r="Y175" s="50">
        <v>-229.77</v>
      </c>
      <c r="AA175" s="50">
        <v>-122.48</v>
      </c>
      <c r="AC175" s="50">
        <v>54948</v>
      </c>
      <c r="AD175" s="50">
        <v>20.309999999999999</v>
      </c>
      <c r="AE175" s="50" t="s">
        <v>4370</v>
      </c>
    </row>
    <row r="176" spans="1:31">
      <c r="A176" s="50" t="s">
        <v>4437</v>
      </c>
      <c r="B176" s="50" t="s">
        <v>710</v>
      </c>
      <c r="C176" s="50" t="s">
        <v>711</v>
      </c>
      <c r="D176" s="50" t="e">
        <f ca="1">Image("https://images-na.ssl-images-amazon.com/images/I/41NAnxO6KfL.jpg;https://images-na.ssl-images-amazon.com/images/I/419m6WPBq2L.jpg;https://images-na.ssl-images-amazon.com/images/I/41p+7FbXRnL.jpg;https://images-na.ssl-images-amazon.com/images/I/41grxsNCVgL"&amp;".jpg;https://images-na.ssl-images-amazon.com/images/I/410SBcIb39L.jpg;https://images-na.ssl-images-amazon.com/images/I/41v0905rGsL.jpg")</f>
        <v>#NAME?</v>
      </c>
      <c r="E176" s="50" t="s">
        <v>16</v>
      </c>
      <c r="F176" s="50" t="s">
        <v>712</v>
      </c>
      <c r="G176" s="50">
        <v>14</v>
      </c>
      <c r="H176" s="50">
        <v>1</v>
      </c>
      <c r="I176" s="50">
        <v>134.4</v>
      </c>
      <c r="R176" s="50">
        <v>7.14</v>
      </c>
      <c r="S176" s="50" t="s">
        <v>1217</v>
      </c>
      <c r="T176" s="50">
        <v>-8.98</v>
      </c>
      <c r="U176" s="50">
        <v>-106.81</v>
      </c>
      <c r="W176" s="50">
        <v>18.61</v>
      </c>
      <c r="X176" s="50">
        <v>18.61</v>
      </c>
      <c r="Y176" s="50">
        <v>18.61</v>
      </c>
      <c r="AA176" s="50">
        <v>13.85</v>
      </c>
      <c r="AC176" s="50">
        <v>352256</v>
      </c>
      <c r="AE176" s="50" t="s">
        <v>4370</v>
      </c>
    </row>
    <row r="177" spans="1:31">
      <c r="A177" s="50" t="s">
        <v>4438</v>
      </c>
      <c r="B177" s="50" t="s">
        <v>1180</v>
      </c>
      <c r="C177" s="50" t="s">
        <v>1181</v>
      </c>
      <c r="D177" s="50" t="e">
        <f ca="1">Image("https://images-na.ssl-images-amazon.com/images/I/41BcaS8dGNL.jpg;https://images-na.ssl-images-amazon.com/images/I/41-xZwheKvL.jpg;https://images-na.ssl-images-amazon.com/images/I/31ookAhX8-L.jpg;https://images-na.ssl-images-amazon.com/images/I/41FYhvHbWXL"&amp;".jpg;https://images-na.ssl-images-amazon.com/images/I/41ZlgyvwMmL.jpg;https://images-na.ssl-images-amazon.com/images/I/419jyl9qUiL.jpg")</f>
        <v>#NAME?</v>
      </c>
      <c r="E177" s="50" t="s">
        <v>16</v>
      </c>
      <c r="F177" s="50" t="s">
        <v>1182</v>
      </c>
      <c r="G177" s="50">
        <v>14</v>
      </c>
      <c r="H177" s="50">
        <v>5</v>
      </c>
      <c r="I177" s="50">
        <v>248.47</v>
      </c>
      <c r="R177" s="50">
        <v>35.71</v>
      </c>
      <c r="S177" s="50">
        <v>42.86</v>
      </c>
      <c r="T177" s="50">
        <v>-80.73</v>
      </c>
      <c r="U177" s="50">
        <v>-414.28</v>
      </c>
      <c r="W177" s="50">
        <v>-246.54</v>
      </c>
      <c r="X177" s="50">
        <v>-246.54</v>
      </c>
      <c r="Y177" s="50">
        <v>-246.54</v>
      </c>
      <c r="AA177" s="50">
        <v>-99.22</v>
      </c>
      <c r="AC177" s="50">
        <v>350882</v>
      </c>
      <c r="AE177" s="50" t="s">
        <v>4370</v>
      </c>
    </row>
    <row r="178" spans="1:31">
      <c r="A178" s="50" t="s">
        <v>4439</v>
      </c>
      <c r="B178" s="50" t="s">
        <v>209</v>
      </c>
      <c r="C178" s="50" t="s">
        <v>210</v>
      </c>
      <c r="D178" s="50" t="e">
        <f ca="1">Image("https://images-na.ssl-images-amazon.com/images/I/41+JHU14crL.jpg;https://images-na.ssl-images-amazon.com/images/I/41xoTJ4+dVL.jpg;https://images-na.ssl-images-amazon.com/images/I/41V+CYYfpnL.jpg;https://images-na.ssl-images-amazon.com/images/I/41azsv55EGL"&amp;".jpg;https://images-na.ssl-images-amazon.com/images/I/51QqJuzAkNL.jpg;https://images-na.ssl-images-amazon.com/images/I/513HYvwThzL.jpg;https://images-na.ssl-images-amazon.com/images/I/51AcoKF2QDL.jpg")</f>
        <v>#NAME?</v>
      </c>
      <c r="E178" s="50" t="s">
        <v>20</v>
      </c>
      <c r="F178" s="50" t="s">
        <v>211</v>
      </c>
      <c r="G178" s="50">
        <v>14</v>
      </c>
      <c r="H178" s="50">
        <v>1</v>
      </c>
      <c r="I178" s="50">
        <v>202.89</v>
      </c>
      <c r="R178" s="50">
        <v>7.14</v>
      </c>
      <c r="T178" s="50">
        <v>-11.96</v>
      </c>
      <c r="U178" s="50">
        <v>-117.91</v>
      </c>
      <c r="W178" s="50">
        <v>73.02</v>
      </c>
      <c r="X178" s="50">
        <v>73.02</v>
      </c>
      <c r="Y178" s="50">
        <v>73.02</v>
      </c>
      <c r="AA178" s="50">
        <v>35.99</v>
      </c>
      <c r="AC178" s="50">
        <v>211287</v>
      </c>
      <c r="AE178" s="50" t="s">
        <v>4370</v>
      </c>
    </row>
    <row r="179" spans="1:31">
      <c r="A179" s="50" t="s">
        <v>4390</v>
      </c>
      <c r="B179" s="50" t="s">
        <v>61</v>
      </c>
      <c r="C179" s="50" t="s">
        <v>4440</v>
      </c>
      <c r="D179" s="50" t="e">
        <f ca="1">Image("https://images-na.ssl-images-amazon.com/images/I/61-vY+vY6-L.jpg;https://images-na.ssl-images-amazon.com/images/I/61ZwFXFkBeL.jpg;https://images-na.ssl-images-amazon.com/images/I/51Pe8vz+BJL.jpg;https://images-na.ssl-images-amazon.com/images/I/51zKGvKninL"&amp;".jpg;https://images-na.ssl-images-amazon.com/images/I/51UHY7APveL.jpg")</f>
        <v>#NAME?</v>
      </c>
      <c r="E179" s="50" t="s">
        <v>16</v>
      </c>
      <c r="F179" s="50" t="s">
        <v>63</v>
      </c>
      <c r="G179" s="50">
        <v>13</v>
      </c>
      <c r="H179" s="50">
        <v>2</v>
      </c>
      <c r="I179" s="50">
        <v>321.58</v>
      </c>
      <c r="R179" s="50">
        <v>15.38</v>
      </c>
      <c r="S179" s="50" t="s">
        <v>1217</v>
      </c>
      <c r="T179" s="50">
        <v>-41.56</v>
      </c>
      <c r="U179" s="50">
        <v>-48.29</v>
      </c>
      <c r="W179" s="50">
        <v>220.74</v>
      </c>
      <c r="X179" s="50">
        <v>220.74</v>
      </c>
      <c r="Y179" s="50">
        <v>231.73</v>
      </c>
      <c r="AA179" s="50">
        <v>68.64</v>
      </c>
      <c r="AC179" s="50">
        <v>245161</v>
      </c>
      <c r="AE179" s="50" t="s">
        <v>4370</v>
      </c>
    </row>
    <row r="180" spans="1:31">
      <c r="A180" s="50" t="s">
        <v>4441</v>
      </c>
      <c r="B180" s="50" t="s">
        <v>70</v>
      </c>
      <c r="C180" s="50" t="s">
        <v>71</v>
      </c>
      <c r="D180" s="50" t="e">
        <f ca="1">Image("https://images-na.ssl-images-amazon.com/images/I/413l3NMhAQL.jpg;https://images-na.ssl-images-amazon.com/images/I/51YJHQ4ILFL.jpg;https://images-na.ssl-images-amazon.com/images/I/51L1CnfS72L.jpg;https://images-na.ssl-images-amazon.com/images/I/41+r-n9QY0L"&amp;".jpg;https://images-na.ssl-images-amazon.com/images/I/51eyrJ4lM5L.jpg;https://images-na.ssl-images-amazon.com/images/I/51Jm2JId33L.jpg;https://images-na.ssl-images-amazon.com/images/I/41h-4X0e4iL.jpg;https://images-na.ssl-images-amazon.com/images/I/41ay8C"&amp;"KQtBL.jpg")</f>
        <v>#NAME?</v>
      </c>
      <c r="E180" s="50" t="s">
        <v>16</v>
      </c>
      <c r="F180" s="50" t="s">
        <v>72</v>
      </c>
      <c r="G180" s="50">
        <v>13</v>
      </c>
      <c r="I180" s="50">
        <v>253.62</v>
      </c>
      <c r="S180" s="50" t="s">
        <v>1217</v>
      </c>
      <c r="U180" s="50">
        <v>-38.04</v>
      </c>
      <c r="W180" s="50">
        <v>215.58</v>
      </c>
      <c r="X180" s="50">
        <v>215.58</v>
      </c>
      <c r="Y180" s="50">
        <v>215.58</v>
      </c>
      <c r="AA180" s="50">
        <v>85</v>
      </c>
      <c r="AE180" s="50" t="s">
        <v>4370</v>
      </c>
    </row>
    <row r="181" spans="1:31">
      <c r="A181" s="50" t="s">
        <v>4442</v>
      </c>
      <c r="B181" s="50" t="s">
        <v>625</v>
      </c>
      <c r="C181" s="50" t="s">
        <v>4443</v>
      </c>
      <c r="D181" s="50" t="e">
        <f ca="1">Image("https://images-na.ssl-images-amazon.com/images/I/41pN35QErgL.jpg;https://images-na.ssl-images-amazon.com/images/I/418wXTMb18L.jpg;https://images-na.ssl-images-amazon.com/images/I/31tcCu7AbqL.jpg;https://images-na.ssl-images-amazon.com/images/I/51WmJqnxBnL"&amp;".jpg;https://images-na.ssl-images-amazon.com/images/I/51lAwfc8GRL.jpg;https://images-na.ssl-images-amazon.com/images/I/51zCWzDLb4L.jpg;https://images-na.ssl-images-amazon.com/images/I/619bWrDP-jL.jpg")</f>
        <v>#NAME?</v>
      </c>
      <c r="E181" s="50" t="s">
        <v>20</v>
      </c>
      <c r="F181" s="50" t="s">
        <v>627</v>
      </c>
      <c r="G181" s="50">
        <v>13</v>
      </c>
      <c r="I181" s="50">
        <v>71.5</v>
      </c>
      <c r="S181" s="50" t="s">
        <v>1217</v>
      </c>
      <c r="U181" s="50">
        <v>-40.729999999999997</v>
      </c>
      <c r="W181" s="50">
        <v>30.77</v>
      </c>
      <c r="X181" s="50">
        <v>30.77</v>
      </c>
      <c r="Y181" s="50">
        <v>30.77</v>
      </c>
      <c r="AA181" s="50">
        <v>43.03</v>
      </c>
      <c r="AC181" s="50">
        <v>189132</v>
      </c>
      <c r="AE181" s="50" t="s">
        <v>4370</v>
      </c>
    </row>
    <row r="182" spans="1:31">
      <c r="A182" s="50" t="s">
        <v>4444</v>
      </c>
      <c r="B182" s="50" t="s">
        <v>277</v>
      </c>
      <c r="C182" s="50" t="s">
        <v>278</v>
      </c>
      <c r="D182" s="50" t="e">
        <f ca="1">Image("https://images-na.ssl-images-amazon.com/images/I/41aKdLZnWxL.jpg;https://images-na.ssl-images-amazon.com/images/I/41b6HMl130L.jpg;https://images-na.ssl-images-amazon.com/images/I/41KW8hFrpHS.jpg;https://images-na.ssl-images-amazon.com/images/I/41r4qdBIS0L"&amp;".jpg;https://images-na.ssl-images-amazon.com/images/I/41zpqNN3hAL.jpg;https://images-na.ssl-images-amazon.com/images/I/51AOa6oTe4L.jpg;https://images-na.ssl-images-amazon.com/images/I/41rYE9Xu+ML.jpg")</f>
        <v>#NAME?</v>
      </c>
      <c r="E182" s="50" t="s">
        <v>20</v>
      </c>
      <c r="F182" s="50" t="s">
        <v>279</v>
      </c>
      <c r="G182" s="50">
        <v>13</v>
      </c>
      <c r="H182" s="50">
        <v>1</v>
      </c>
      <c r="I182" s="50">
        <v>186.39</v>
      </c>
      <c r="R182" s="50">
        <v>7.69</v>
      </c>
      <c r="T182" s="50">
        <v>-12.32</v>
      </c>
      <c r="U182" s="50">
        <v>-138.16</v>
      </c>
      <c r="W182" s="50">
        <v>35.909999999999997</v>
      </c>
      <c r="X182" s="50">
        <v>35.909999999999997</v>
      </c>
      <c r="Y182" s="50">
        <v>35.909999999999997</v>
      </c>
      <c r="AA182" s="50">
        <v>19.27</v>
      </c>
      <c r="AC182" s="50">
        <v>244859</v>
      </c>
      <c r="AE182" s="50" t="s">
        <v>4370</v>
      </c>
    </row>
    <row r="183" spans="1:31">
      <c r="A183" s="50" t="s">
        <v>4445</v>
      </c>
      <c r="B183" s="50" t="s">
        <v>1177</v>
      </c>
      <c r="C183" s="50" t="s">
        <v>1178</v>
      </c>
      <c r="D183" s="50" t="e">
        <f ca="1">Image("https://images-na.ssl-images-amazon.com/images/I/418KqpfRhML.jpg;https://images-na.ssl-images-amazon.com/images/I/41b6HMl130L.jpg;https://images-na.ssl-images-amazon.com/images/I/41KW8hFrpHS.jpg;https://images-na.ssl-images-amazon.com/images/I/41r4qdBIS0L"&amp;".jpg;https://images-na.ssl-images-amazon.com/images/I/51AOa6oTe4L.jpg;https://images-na.ssl-images-amazon.com/images/I/41rYE9Xu+ML.jpg")</f>
        <v>#NAME?</v>
      </c>
      <c r="E183" s="50" t="s">
        <v>20</v>
      </c>
      <c r="F183" s="50" t="s">
        <v>1179</v>
      </c>
      <c r="G183" s="50">
        <v>13</v>
      </c>
      <c r="I183" s="50">
        <v>277</v>
      </c>
      <c r="S183" s="50" t="s">
        <v>1217</v>
      </c>
      <c r="U183" s="50">
        <v>-189.1</v>
      </c>
      <c r="W183" s="50">
        <v>87.9</v>
      </c>
      <c r="X183" s="50">
        <v>87.9</v>
      </c>
      <c r="Y183" s="50">
        <v>87.9</v>
      </c>
      <c r="AA183" s="50">
        <v>31.73</v>
      </c>
      <c r="AC183" s="50">
        <v>244859</v>
      </c>
      <c r="AE183" s="50" t="s">
        <v>4370</v>
      </c>
    </row>
    <row r="184" spans="1:31">
      <c r="A184" s="50" t="s">
        <v>4446</v>
      </c>
      <c r="B184" s="50" t="s">
        <v>459</v>
      </c>
      <c r="C184" s="50" t="s">
        <v>460</v>
      </c>
      <c r="D184" s="50" t="e">
        <f ca="1">Image("https://images-na.ssl-images-amazon.com/images/I/51LlffdIDiL.jpg;https://images-na.ssl-images-amazon.com/images/I/61NSOG6K67L.jpg;https://images-na.ssl-images-amazon.com/images/I/51X0FyBaNLL.jpg;https://images-na.ssl-images-amazon.com/images/I/51jfXxyjLVL"&amp;".jpg")</f>
        <v>#NAME?</v>
      </c>
      <c r="E184" s="50" t="s">
        <v>16</v>
      </c>
      <c r="F184" s="50" t="s">
        <v>93</v>
      </c>
      <c r="G184" s="50">
        <v>12</v>
      </c>
      <c r="I184" s="50">
        <v>167</v>
      </c>
      <c r="S184" s="50" t="s">
        <v>1217</v>
      </c>
      <c r="U184" s="50">
        <v>-79.73</v>
      </c>
      <c r="W184" s="50">
        <v>87.27</v>
      </c>
      <c r="X184" s="50">
        <v>87.27</v>
      </c>
      <c r="Y184" s="50">
        <v>87.27</v>
      </c>
      <c r="AA184" s="50">
        <v>52.26</v>
      </c>
      <c r="AE184" s="50" t="s">
        <v>4370</v>
      </c>
    </row>
    <row r="185" spans="1:31">
      <c r="A185" s="50" t="s">
        <v>4447</v>
      </c>
      <c r="B185" s="50" t="s">
        <v>919</v>
      </c>
      <c r="C185" s="50" t="s">
        <v>920</v>
      </c>
      <c r="D185" s="50" t="e">
        <f ca="1">Image("https://images-na.ssl-images-amazon.com/images/I/41FFZM5bdVL.jpg;https://images-na.ssl-images-amazon.com/images/I/410HWdcuWML.jpg;https://images-na.ssl-images-amazon.com/images/I/319iVcaQU2L.jpg")</f>
        <v>#NAME?</v>
      </c>
      <c r="E185" s="50" t="s">
        <v>16</v>
      </c>
      <c r="F185" s="50" t="s">
        <v>921</v>
      </c>
      <c r="G185" s="50">
        <v>12</v>
      </c>
      <c r="H185" s="50">
        <v>1</v>
      </c>
      <c r="I185" s="50">
        <v>84</v>
      </c>
      <c r="R185" s="50">
        <v>8.33</v>
      </c>
      <c r="S185" s="50" t="s">
        <v>1217</v>
      </c>
      <c r="T185" s="50">
        <v>-6.16</v>
      </c>
      <c r="U185" s="50">
        <v>-76.87</v>
      </c>
      <c r="W185" s="50">
        <v>0.97</v>
      </c>
      <c r="X185" s="50">
        <v>0.97</v>
      </c>
      <c r="Y185" s="50">
        <v>0.97</v>
      </c>
      <c r="AA185" s="50">
        <v>1.1499999999999999</v>
      </c>
      <c r="AC185" s="50">
        <v>353157</v>
      </c>
      <c r="AE185" s="50" t="s">
        <v>4370</v>
      </c>
    </row>
    <row r="186" spans="1:31">
      <c r="A186" s="50" t="s">
        <v>4448</v>
      </c>
      <c r="B186" s="50" t="s">
        <v>364</v>
      </c>
      <c r="C186" s="50" t="s">
        <v>365</v>
      </c>
      <c r="D186" s="50" t="e">
        <f ca="1">Image("https://images-na.ssl-images-amazon.com/images/I/51kYqN8VecL.jpg;https://images-na.ssl-images-amazon.com/images/I/51NjPwGo5PL.jpg;https://images-na.ssl-images-amazon.com/images/I/51VSOBRpXmL.jpg;https://images-na.ssl-images-amazon.com/images/I/51kYqN8VecL"&amp;".jpg;https://images-na.ssl-images-amazon.com/images/I/41sElGdth8L.jpg;https://images-na.ssl-images-amazon.com/images/I/51XLFzObTLL.jpg")</f>
        <v>#NAME?</v>
      </c>
      <c r="E186" s="50" t="s">
        <v>16</v>
      </c>
      <c r="F186" s="50" t="s">
        <v>366</v>
      </c>
      <c r="G186" s="50">
        <v>12</v>
      </c>
      <c r="H186" s="50">
        <v>2</v>
      </c>
      <c r="I186" s="50">
        <v>300</v>
      </c>
      <c r="R186" s="50">
        <v>16.670000000000002</v>
      </c>
      <c r="T186" s="50">
        <v>-44</v>
      </c>
      <c r="U186" s="50">
        <v>-101.76</v>
      </c>
      <c r="W186" s="50">
        <v>154.24</v>
      </c>
      <c r="X186" s="50">
        <v>154.24</v>
      </c>
      <c r="Y186" s="50">
        <v>154.24</v>
      </c>
      <c r="AA186" s="50">
        <v>51.41</v>
      </c>
      <c r="AC186" s="50">
        <v>48401</v>
      </c>
      <c r="AE186" s="50" t="s">
        <v>4370</v>
      </c>
    </row>
    <row r="187" spans="1:31">
      <c r="A187" s="50" t="s">
        <v>4449</v>
      </c>
      <c r="B187" s="50" t="s">
        <v>1154</v>
      </c>
      <c r="C187" s="50" t="s">
        <v>1155</v>
      </c>
      <c r="D187" s="50" t="e">
        <f ca="1">Image("https://images-na.ssl-images-amazon.com/images/I/51+9jyJW5IL.jpg;https://images-na.ssl-images-amazon.com/images/I/41qWULk2-1S.jpg;https://images-na.ssl-images-amazon.com/images/I/51pXPMUsHuS.jpg;https://images-na.ssl-images-amazon.com/images/I/51tnzAAJ6MS"&amp;".jpg;https://images-na.ssl-images-amazon.com/images/I/61KIVa7q28S.jpg;https://images-na.ssl-images-amazon.com/images/I/61YHp5+KvMS.jpg")</f>
        <v>#NAME?</v>
      </c>
      <c r="E187" s="50" t="s">
        <v>20</v>
      </c>
      <c r="F187" s="50" t="s">
        <v>1156</v>
      </c>
      <c r="G187" s="50">
        <v>12</v>
      </c>
      <c r="I187" s="50">
        <v>96</v>
      </c>
      <c r="S187" s="50" t="s">
        <v>1217</v>
      </c>
      <c r="U187" s="50">
        <v>-200.41</v>
      </c>
      <c r="W187" s="50">
        <v>-104.41</v>
      </c>
      <c r="X187" s="50">
        <v>-104.41</v>
      </c>
      <c r="Y187" s="50">
        <v>-104.41</v>
      </c>
      <c r="AA187" s="50">
        <v>-108.76</v>
      </c>
      <c r="AC187" s="50">
        <v>68877</v>
      </c>
      <c r="AE187" s="50" t="s">
        <v>4370</v>
      </c>
    </row>
    <row r="188" spans="1:31">
      <c r="A188" s="50" t="s">
        <v>4450</v>
      </c>
      <c r="B188" s="50" t="s">
        <v>453</v>
      </c>
      <c r="C188" s="50" t="s">
        <v>454</v>
      </c>
      <c r="D188" s="50" t="e">
        <f ca="1">Image("https://images-na.ssl-images-amazon.com/images/I/51c-ZnewzrL.jpg;https://images-na.ssl-images-amazon.com/images/I/51T+D5xCxaL.jpg;https://images-na.ssl-images-amazon.com/images/I/41JUeLUoI4L.jpg;https://images-na.ssl-images-amazon.com/images/I/51jKllj0ndL"&amp;".jpg;https://images-na.ssl-images-amazon.com/images/I/516rH+inV7L.jpg")</f>
        <v>#NAME?</v>
      </c>
      <c r="E188" s="50" t="s">
        <v>16</v>
      </c>
      <c r="F188" s="50" t="s">
        <v>455</v>
      </c>
      <c r="G188" s="50">
        <v>11</v>
      </c>
      <c r="H188" s="50">
        <v>1</v>
      </c>
      <c r="I188" s="50">
        <v>120.89</v>
      </c>
      <c r="R188" s="50">
        <v>9.09</v>
      </c>
      <c r="S188" s="50" t="s">
        <v>1217</v>
      </c>
      <c r="T188" s="50">
        <v>-9.67</v>
      </c>
      <c r="U188" s="50">
        <v>-18.149999999999999</v>
      </c>
      <c r="W188" s="50">
        <v>93.07</v>
      </c>
      <c r="X188" s="50">
        <v>93.07</v>
      </c>
      <c r="Y188" s="50">
        <v>93.07</v>
      </c>
      <c r="AA188" s="50">
        <v>76.989999999999995</v>
      </c>
      <c r="AE188" s="50" t="s">
        <v>4370</v>
      </c>
    </row>
    <row r="189" spans="1:31">
      <c r="A189" s="50" t="s">
        <v>4451</v>
      </c>
      <c r="B189" s="50" t="s">
        <v>500</v>
      </c>
      <c r="C189" s="50" t="s">
        <v>501</v>
      </c>
      <c r="D189" s="50" t="e">
        <f ca="1">Image("https://images-na.ssl-images-amazon.com/images/I/41ihCi6Z4rL.jpg;https://images-na.ssl-images-amazon.com/images/I/41xqdP+NGQL.jpg;https://images-na.ssl-images-amazon.com/images/I/31VL-9MWbDL.jpg")</f>
        <v>#NAME?</v>
      </c>
      <c r="E189" s="50" t="s">
        <v>16</v>
      </c>
      <c r="F189" s="50" t="s">
        <v>502</v>
      </c>
      <c r="G189" s="50">
        <v>11</v>
      </c>
      <c r="I189" s="50">
        <v>143</v>
      </c>
      <c r="S189" s="50" t="s">
        <v>1217</v>
      </c>
      <c r="U189" s="50">
        <v>-74.66</v>
      </c>
      <c r="W189" s="50">
        <v>68.34</v>
      </c>
      <c r="X189" s="50">
        <v>68.34</v>
      </c>
      <c r="Y189" s="50">
        <v>68.34</v>
      </c>
      <c r="AA189" s="50">
        <v>47.79</v>
      </c>
      <c r="AC189" s="50">
        <v>353157</v>
      </c>
      <c r="AE189" s="50" t="s">
        <v>4370</v>
      </c>
    </row>
    <row r="190" spans="1:31">
      <c r="A190" s="50" t="s">
        <v>4452</v>
      </c>
      <c r="B190" s="50" t="s">
        <v>73</v>
      </c>
      <c r="C190" s="50" t="s">
        <v>74</v>
      </c>
      <c r="D190" s="50" t="e">
        <f ca="1">Image("https://images-na.ssl-images-amazon.com/images/I/41Riwv5rLIL.jpg;https://images-na.ssl-images-amazon.com/images/I/41am3P0IcdL.jpg;https://images-na.ssl-images-amazon.com/images/I/41jRuf03hTL.jpg;https://images-na.ssl-images-amazon.com/images/I/41sJxaJ4f0L"&amp;".jpg")</f>
        <v>#NAME?</v>
      </c>
      <c r="E190" s="50" t="s">
        <v>16</v>
      </c>
      <c r="F190" s="50" t="s">
        <v>75</v>
      </c>
      <c r="G190" s="50">
        <v>10</v>
      </c>
      <c r="I190" s="50">
        <v>79.900000000000006</v>
      </c>
      <c r="S190" s="50" t="s">
        <v>1217</v>
      </c>
      <c r="U190" s="50">
        <v>-12</v>
      </c>
      <c r="W190" s="50">
        <v>67.900000000000006</v>
      </c>
      <c r="X190" s="50">
        <v>67.900000000000006</v>
      </c>
      <c r="Y190" s="50">
        <v>67.900000000000006</v>
      </c>
      <c r="AA190" s="50">
        <v>84.98</v>
      </c>
      <c r="AC190" s="50">
        <v>294048</v>
      </c>
      <c r="AE190" s="50" t="s">
        <v>4370</v>
      </c>
    </row>
    <row r="191" spans="1:31">
      <c r="A191" s="50" t="s">
        <v>4426</v>
      </c>
      <c r="B191" s="50" t="s">
        <v>97</v>
      </c>
      <c r="C191" s="50" t="s">
        <v>1336</v>
      </c>
      <c r="D191" s="50" t="e">
        <f ca="1">Image("https://images-na.ssl-images-amazon.com/images/I/41efs2pFS2S.jpg;https://images-na.ssl-images-amazon.com/images/I/51U+Th7kKwS.jpg;https://images-na.ssl-images-amazon.com/images/I/51CMEnVrYcS.jpg;https://images-na.ssl-images-amazon.com/images/I/41qquD7NrcS"&amp;".jpg;https://images-na.ssl-images-amazon.com/images/I/41YjHQa3JgS.jpg;https://images-na.ssl-images-amazon.com/images/I/51cuTOz+a-S.jpg;https://images-na.ssl-images-amazon.com/images/I/61damUmO69S.jpg")</f>
        <v>#NAME?</v>
      </c>
      <c r="E191" s="50" t="s">
        <v>16</v>
      </c>
      <c r="F191" s="50" t="s">
        <v>99</v>
      </c>
      <c r="G191" s="50">
        <v>10</v>
      </c>
      <c r="H191" s="50">
        <v>1</v>
      </c>
      <c r="I191" s="50">
        <v>291.25</v>
      </c>
      <c r="R191" s="50">
        <v>10</v>
      </c>
      <c r="S191" s="50">
        <v>100</v>
      </c>
      <c r="T191" s="50">
        <v>-27.28</v>
      </c>
      <c r="U191" s="50">
        <v>-131.72999999999999</v>
      </c>
      <c r="W191" s="50">
        <v>132.24</v>
      </c>
      <c r="X191" s="50">
        <v>132.24</v>
      </c>
      <c r="Y191" s="50">
        <v>132.24</v>
      </c>
      <c r="AA191" s="50">
        <v>45.4</v>
      </c>
      <c r="AC191" s="50">
        <v>313675</v>
      </c>
      <c r="AE191" s="50" t="s">
        <v>4370</v>
      </c>
    </row>
    <row r="192" spans="1:31">
      <c r="A192" s="50" t="s">
        <v>4427</v>
      </c>
      <c r="B192" s="50" t="s">
        <v>121</v>
      </c>
      <c r="C192" s="50" t="s">
        <v>4453</v>
      </c>
      <c r="D192" s="50" t="e">
        <f ca="1">Image("https://images-na.ssl-images-amazon.com/images/I/51hR1oa-eeL.jpg;https://images-na.ssl-images-amazon.com/images/I/51mV7gfc+wL.jpg;https://images-na.ssl-images-amazon.com/images/I/518tk2oalpL.jpg;https://images-na.ssl-images-amazon.com/images/I/411sLFpTzpL"&amp;".jpg;https://images-na.ssl-images-amazon.com/images/I/417MCp82FgL.jpg;https://images-na.ssl-images-amazon.com/images/I/51ZoF6mOtyL.jpg")</f>
        <v>#NAME?</v>
      </c>
      <c r="E192" s="50" t="s">
        <v>16</v>
      </c>
      <c r="F192" s="50" t="s">
        <v>123</v>
      </c>
      <c r="G192" s="50">
        <v>10</v>
      </c>
      <c r="I192" s="50">
        <v>191.32</v>
      </c>
      <c r="S192" s="50" t="s">
        <v>1217</v>
      </c>
      <c r="U192" s="50">
        <v>-28.71</v>
      </c>
      <c r="W192" s="50">
        <v>151.62</v>
      </c>
      <c r="X192" s="50">
        <v>151.62</v>
      </c>
      <c r="Y192" s="50">
        <v>162.61000000000001</v>
      </c>
      <c r="AA192" s="50">
        <v>79.25</v>
      </c>
      <c r="AC192" s="50">
        <v>407611</v>
      </c>
      <c r="AE192" s="50" t="s">
        <v>4370</v>
      </c>
    </row>
    <row r="193" spans="1:31">
      <c r="A193" s="50" t="s">
        <v>4454</v>
      </c>
      <c r="B193" s="50" t="s">
        <v>1157</v>
      </c>
      <c r="C193" s="50" t="s">
        <v>1158</v>
      </c>
      <c r="D193" s="50" t="e">
        <f ca="1">Image("https://images-na.ssl-images-amazon.com/images/I/51O+wbWkDYL.jpg;https://images-na.ssl-images-amazon.com/images/I/51ei+mwp2BL.jpg;https://images-na.ssl-images-amazon.com/images/I/510KJz6sP0L.jpg;https://images-na.ssl-images-amazon.com/images/I/61k4Q18Q7uL"&amp;".jpg;https://images-na.ssl-images-amazon.com/images/I/41t0qw1nB-L.jpg")</f>
        <v>#NAME?</v>
      </c>
      <c r="E193" s="50" t="s">
        <v>16</v>
      </c>
      <c r="F193" s="50" t="s">
        <v>1159</v>
      </c>
      <c r="G193" s="50">
        <v>9</v>
      </c>
      <c r="I193" s="50">
        <v>178.47</v>
      </c>
      <c r="S193" s="50" t="s">
        <v>1217</v>
      </c>
      <c r="U193" s="50">
        <v>-284.95999999999998</v>
      </c>
      <c r="W193" s="50">
        <v>-106.49</v>
      </c>
      <c r="X193" s="50">
        <v>-106.49</v>
      </c>
      <c r="Y193" s="50">
        <v>-106.49</v>
      </c>
      <c r="AA193" s="50">
        <v>-59.67</v>
      </c>
      <c r="AC193" s="50">
        <v>60955</v>
      </c>
      <c r="AE193" s="50" t="s">
        <v>4370</v>
      </c>
    </row>
    <row r="194" spans="1:31">
      <c r="A194" s="50" t="s">
        <v>4455</v>
      </c>
      <c r="B194" s="50" t="s">
        <v>375</v>
      </c>
      <c r="C194" s="50" t="s">
        <v>376</v>
      </c>
      <c r="D194" s="50" t="e">
        <f ca="1">Image("https://images-na.ssl-images-amazon.com/images/I/51hCIM-4GwL.jpg;https://images-na.ssl-images-amazon.com/images/I/51EnomcgZqL.jpg;https://images-na.ssl-images-amazon.com/images/I/51XqkGWkmnL.jpg;https://images-na.ssl-images-amazon.com/images/I/61hgD2dKeEL"&amp;".jpg;https://images-na.ssl-images-amazon.com/images/I/41t0qw1nB-L.jpg")</f>
        <v>#NAME?</v>
      </c>
      <c r="E194" s="50" t="s">
        <v>16</v>
      </c>
      <c r="F194" s="50" t="s">
        <v>377</v>
      </c>
      <c r="G194" s="50">
        <v>9</v>
      </c>
      <c r="I194" s="50">
        <v>216.03</v>
      </c>
      <c r="S194" s="50" t="s">
        <v>1217</v>
      </c>
      <c r="U194" s="50">
        <v>-78.72</v>
      </c>
      <c r="W194" s="50">
        <v>137.31</v>
      </c>
      <c r="X194" s="50">
        <v>137.31</v>
      </c>
      <c r="Y194" s="50">
        <v>137.31</v>
      </c>
      <c r="AA194" s="50">
        <v>63.56</v>
      </c>
      <c r="AC194" s="50">
        <v>46419</v>
      </c>
      <c r="AE194" s="50" t="s">
        <v>4370</v>
      </c>
    </row>
    <row r="195" spans="1:31">
      <c r="A195" s="50" t="s">
        <v>4456</v>
      </c>
      <c r="B195" s="50" t="s">
        <v>665</v>
      </c>
      <c r="C195" s="50" t="s">
        <v>666</v>
      </c>
      <c r="D195" s="50" t="e">
        <f ca="1">Image("https://images-na.ssl-images-amazon.com/images/I/41WNxI6wCkL.jpg;https://images-na.ssl-images-amazon.com/images/I/419-487mUQL.jpg;https://images-na.ssl-images-amazon.com/images/I/21a3VETzW8L.jpg;https://images-na.ssl-images-amazon.com/images/I/41pcRbTAszL"&amp;".jpg;https://images-na.ssl-images-amazon.com/images/I/419v2yA3TdL.jpg")</f>
        <v>#NAME?</v>
      </c>
      <c r="E195" s="50" t="s">
        <v>16</v>
      </c>
      <c r="F195" s="50" t="s">
        <v>4457</v>
      </c>
      <c r="G195" s="50">
        <v>9</v>
      </c>
      <c r="H195" s="50">
        <v>1</v>
      </c>
      <c r="I195" s="50">
        <v>81</v>
      </c>
      <c r="R195" s="50">
        <v>11.11</v>
      </c>
      <c r="S195" s="50">
        <v>100</v>
      </c>
      <c r="T195" s="50">
        <v>-7.92</v>
      </c>
      <c r="U195" s="50">
        <v>-48.3</v>
      </c>
      <c r="W195" s="50">
        <v>24.78</v>
      </c>
      <c r="X195" s="50">
        <v>24.78</v>
      </c>
      <c r="Y195" s="50">
        <v>24.78</v>
      </c>
      <c r="AA195" s="50">
        <v>30.59</v>
      </c>
      <c r="AC195" s="50">
        <v>321589</v>
      </c>
      <c r="AE195" s="50" t="s">
        <v>4370</v>
      </c>
    </row>
    <row r="196" spans="1:31">
      <c r="A196" s="50" t="s">
        <v>4425</v>
      </c>
      <c r="B196" s="50" t="s">
        <v>1148</v>
      </c>
      <c r="C196" s="50" t="s">
        <v>4458</v>
      </c>
      <c r="D196" s="50" t="e">
        <f ca="1">Image("https://images-na.ssl-images-amazon.com/images/I/41aKdLZnWxL.jpg;https://images-na.ssl-images-amazon.com/images/I/41b6HMl130L.jpg;https://images-na.ssl-images-amazon.com/images/I/41KW8hFrpHS.jpg;https://images-na.ssl-images-amazon.com/images/I/41r4qdBIS0L"&amp;".jpg;https://images-na.ssl-images-amazon.com/images/I/41zpqNN3hAL.jpg;https://images-na.ssl-images-amazon.com/images/I/51AOa6oTe4L.jpg;https://images-na.ssl-images-amazon.com/images/I/41rYE9Xu+ML.jpg")</f>
        <v>#NAME?</v>
      </c>
      <c r="E196" s="50" t="s">
        <v>20</v>
      </c>
      <c r="F196" s="50" t="s">
        <v>1150</v>
      </c>
      <c r="G196" s="50">
        <v>9</v>
      </c>
      <c r="I196" s="50">
        <v>125.91</v>
      </c>
      <c r="S196" s="50" t="s">
        <v>1217</v>
      </c>
      <c r="U196" s="50">
        <v>-206.32</v>
      </c>
      <c r="W196" s="50">
        <v>-80.41</v>
      </c>
      <c r="X196" s="50">
        <v>-80.41</v>
      </c>
      <c r="Y196" s="50">
        <v>-80.41</v>
      </c>
      <c r="AA196" s="50">
        <v>-63.86</v>
      </c>
      <c r="AC196" s="50">
        <v>244859</v>
      </c>
      <c r="AE196" s="50" t="s">
        <v>4370</v>
      </c>
    </row>
    <row r="197" spans="1:31">
      <c r="A197" s="50" t="s">
        <v>4459</v>
      </c>
      <c r="B197" s="50" t="s">
        <v>447</v>
      </c>
      <c r="C197" s="50" t="s">
        <v>448</v>
      </c>
      <c r="D197" s="50" t="e">
        <f ca="1">Image("https://images-na.ssl-images-amazon.com/images/I/41N5B+fPtpL.jpg;https://images-na.ssl-images-amazon.com/images/I/41hnk-Qh8+L.jpg;https://images-na.ssl-images-amazon.com/images/I/41TMZ8YZInL.jpg")</f>
        <v>#NAME?</v>
      </c>
      <c r="E197" s="50" t="s">
        <v>16</v>
      </c>
      <c r="F197" s="50" t="s">
        <v>449</v>
      </c>
      <c r="G197" s="50">
        <v>8</v>
      </c>
      <c r="H197" s="50">
        <v>2</v>
      </c>
      <c r="I197" s="50">
        <v>151.91999999999999</v>
      </c>
      <c r="R197" s="50">
        <v>25</v>
      </c>
      <c r="S197" s="50" t="s">
        <v>1217</v>
      </c>
      <c r="T197" s="50">
        <v>-33.42</v>
      </c>
      <c r="U197" s="50">
        <v>-22.8</v>
      </c>
      <c r="W197" s="50">
        <v>95.7</v>
      </c>
      <c r="X197" s="50">
        <v>95.7</v>
      </c>
      <c r="Y197" s="50">
        <v>95.7</v>
      </c>
      <c r="AA197" s="50">
        <v>62.99</v>
      </c>
      <c r="AC197" s="50">
        <v>696498</v>
      </c>
      <c r="AE197" s="50" t="s">
        <v>4370</v>
      </c>
    </row>
    <row r="198" spans="1:31">
      <c r="A198" s="50" t="s">
        <v>4460</v>
      </c>
      <c r="B198" s="50" t="s">
        <v>530</v>
      </c>
      <c r="C198" s="50" t="s">
        <v>531</v>
      </c>
      <c r="D198" s="50" t="e">
        <f ca="1">Image("https://images-na.ssl-images-amazon.com/images/I/51f1huhKIkL.jpg;https://images-na.ssl-images-amazon.com/images/I/61OIh7jia0L.jpg;https://images-na.ssl-images-amazon.com/images/I/51eX9UiNTlL.jpg;https://images-na.ssl-images-amazon.com/images/I/61h4HUZF6tL"&amp;".jpg;https://images-na.ssl-images-amazon.com/images/I/41t0qw1nB-L.jpg")</f>
        <v>#NAME?</v>
      </c>
      <c r="E198" s="50" t="s">
        <v>16</v>
      </c>
      <c r="F198" s="50" t="s">
        <v>532</v>
      </c>
      <c r="G198" s="50">
        <v>8</v>
      </c>
      <c r="I198" s="50">
        <v>192</v>
      </c>
      <c r="S198" s="50" t="s">
        <v>1217</v>
      </c>
      <c r="U198" s="50">
        <v>-140.02000000000001</v>
      </c>
      <c r="W198" s="50">
        <v>51.98</v>
      </c>
      <c r="X198" s="50">
        <v>51.98</v>
      </c>
      <c r="Y198" s="50">
        <v>51.98</v>
      </c>
      <c r="AA198" s="50">
        <v>27.07</v>
      </c>
      <c r="AC198" s="50">
        <v>116881</v>
      </c>
      <c r="AE198" s="50" t="s">
        <v>4370</v>
      </c>
    </row>
    <row r="199" spans="1:31">
      <c r="A199" s="50" t="s">
        <v>4373</v>
      </c>
      <c r="B199" s="50" t="s">
        <v>28</v>
      </c>
      <c r="C199" s="50" t="s">
        <v>4461</v>
      </c>
      <c r="D199" s="50" t="e">
        <f ca="1">Image("https://images-na.ssl-images-amazon.com/images/I/414t+kaygYL.jpg;https://images-na.ssl-images-amazon.com/images/I/41a3E3q1+NL.jpg;https://images-na.ssl-images-amazon.com/images/I/41I4eWokYLL.jpg;https://images-na.ssl-images-amazon.com/images/I/41UFL7QUoCL"&amp;".jpg;https://images-na.ssl-images-amazon.com/images/I/41EwXDv1d2L.jpg;https://images-na.ssl-images-amazon.com/images/I/4107BtP3uCL.jpg;https://images-na.ssl-images-amazon.com/images/I/51I4fuQktAL.jpg")</f>
        <v>#NAME?</v>
      </c>
      <c r="E199" s="50" t="s">
        <v>16</v>
      </c>
      <c r="F199" s="50" t="s">
        <v>30</v>
      </c>
      <c r="G199" s="50">
        <v>8</v>
      </c>
      <c r="I199" s="50">
        <v>182.19</v>
      </c>
      <c r="S199" s="50" t="s">
        <v>1217</v>
      </c>
      <c r="U199" s="50">
        <v>-27.3</v>
      </c>
      <c r="W199" s="50">
        <v>154.88999999999999</v>
      </c>
      <c r="X199" s="50">
        <v>154.88999999999999</v>
      </c>
      <c r="Y199" s="50">
        <v>154.88999999999999</v>
      </c>
      <c r="AA199" s="50">
        <v>85.02</v>
      </c>
      <c r="AC199" s="50">
        <v>109500</v>
      </c>
      <c r="AE199" s="50" t="s">
        <v>4370</v>
      </c>
    </row>
    <row r="200" spans="1:31">
      <c r="A200" s="50" t="s">
        <v>4462</v>
      </c>
      <c r="B200" s="50" t="s">
        <v>49</v>
      </c>
      <c r="C200" s="50" t="s">
        <v>50</v>
      </c>
      <c r="D200" s="50" t="e">
        <f ca="1">Image("https://images-na.ssl-images-amazon.com/images/I/51x4M5NGCjL.jpg;https://images-na.ssl-images-amazon.com/images/I/412S7MP0UUL.jpg;https://images-na.ssl-images-amazon.com/images/I/51QJdx9Qz6L.jpg;https://images-na.ssl-images-amazon.com/images/I/5187UFB8gmL"&amp;".jpg;https://images-na.ssl-images-amazon.com/images/I/41Vad5eroaL.jpg;https://images-na.ssl-images-amazon.com/images/I/51w-zadXJSL.jpg;https://images-na.ssl-images-amazon.com/images/I/41SHvwo5IsL.jpg")</f>
        <v>#NAME?</v>
      </c>
      <c r="E200" s="50" t="s">
        <v>20</v>
      </c>
      <c r="F200" s="50" t="s">
        <v>51</v>
      </c>
      <c r="G200" s="50">
        <v>8</v>
      </c>
      <c r="H200" s="50">
        <v>2</v>
      </c>
      <c r="I200" s="50">
        <v>241.16</v>
      </c>
      <c r="R200" s="50">
        <v>25</v>
      </c>
      <c r="S200" s="50">
        <v>50</v>
      </c>
      <c r="T200" s="50">
        <v>-57.5</v>
      </c>
      <c r="U200" s="50">
        <v>-296.44</v>
      </c>
      <c r="W200" s="50">
        <v>-112.78</v>
      </c>
      <c r="X200" s="50">
        <v>-112.78</v>
      </c>
      <c r="Y200" s="50">
        <v>-112.78</v>
      </c>
      <c r="AA200" s="50">
        <v>-46.77</v>
      </c>
      <c r="AC200" s="50">
        <v>178867</v>
      </c>
      <c r="AE200" s="50" t="s">
        <v>4370</v>
      </c>
    </row>
    <row r="201" spans="1:31">
      <c r="A201" s="50" t="s">
        <v>4463</v>
      </c>
      <c r="B201" s="50" t="s">
        <v>403</v>
      </c>
      <c r="C201" s="50" t="s">
        <v>404</v>
      </c>
      <c r="D201" s="50" t="e">
        <f ca="1">Image("https://images-na.ssl-images-amazon.com/images/I/414TxdU8BLL.jpg;https://images-na.ssl-images-amazon.com/images/I/5123BYH92DL.jpg;https://images-na.ssl-images-amazon.com/images/I/41AhO2AeTHL.jpg;https://images-na.ssl-images-amazon.com/images/I/51+Eztjn3fL"&amp;".jpg;https://images-na.ssl-images-amazon.com/images/I/41k9Qg3r+7L.jpg;https://images-na.ssl-images-amazon.com/images/I/51mLy7k98hL.jpg;https://images-na.ssl-images-amazon.com/images/I/41JwYiT88IL.jpg")</f>
        <v>#NAME?</v>
      </c>
      <c r="E201" s="50" t="s">
        <v>20</v>
      </c>
      <c r="F201" s="50" t="s">
        <v>405</v>
      </c>
      <c r="G201" s="50">
        <v>8</v>
      </c>
      <c r="H201" s="50">
        <v>1</v>
      </c>
      <c r="I201" s="50">
        <v>125.75</v>
      </c>
      <c r="K201" s="50">
        <v>-13.61</v>
      </c>
      <c r="L201" s="50">
        <v>-13.61</v>
      </c>
      <c r="R201" s="50">
        <v>12.5</v>
      </c>
      <c r="S201" s="50">
        <v>100</v>
      </c>
      <c r="T201" s="50">
        <v>-12.31</v>
      </c>
      <c r="U201" s="50">
        <v>-202.34</v>
      </c>
      <c r="W201" s="50">
        <v>-102.51</v>
      </c>
      <c r="X201" s="50">
        <v>-102.51</v>
      </c>
      <c r="Y201" s="50">
        <v>-102.51</v>
      </c>
      <c r="AA201" s="50">
        <v>-81.52</v>
      </c>
      <c r="AC201" s="50">
        <v>388812</v>
      </c>
      <c r="AD201" s="50">
        <v>10.82</v>
      </c>
      <c r="AE201" s="50" t="s">
        <v>4370</v>
      </c>
    </row>
    <row r="202" spans="1:31">
      <c r="A202" s="50" t="s">
        <v>4464</v>
      </c>
      <c r="B202" s="50" t="s">
        <v>370</v>
      </c>
      <c r="C202" s="50" t="s">
        <v>4465</v>
      </c>
      <c r="D202" s="50" t="e">
        <f ca="1">Image("https://images-na.ssl-images-amazon.com/images/I/311NYDDTGSL.jpg;https://images-na.ssl-images-amazon.com/images/I/41OwSASaDcL.jpg;https://images-na.ssl-images-amazon.com/images/I/31WOFOPMEDL.jpg;https://images-na.ssl-images-amazon.com/images/I/41joVqb+y6L"&amp;".jpg;https://images-na.ssl-images-amazon.com/images/I/51XDnlU4vyL.jpg;https://images-na.ssl-images-amazon.com/images/I/41fbIrKq8sL.jpg")</f>
        <v>#NAME?</v>
      </c>
      <c r="E202" s="50" t="s">
        <v>20</v>
      </c>
      <c r="F202" s="50" t="s">
        <v>372</v>
      </c>
      <c r="G202" s="50">
        <v>8</v>
      </c>
      <c r="H202" s="50">
        <v>1</v>
      </c>
      <c r="I202" s="50">
        <v>48</v>
      </c>
      <c r="R202" s="50">
        <v>12.5</v>
      </c>
      <c r="S202" s="50" t="s">
        <v>1217</v>
      </c>
      <c r="T202" s="50">
        <v>-5.62</v>
      </c>
      <c r="U202" s="50">
        <v>-3.84</v>
      </c>
      <c r="W202" s="50">
        <v>38.54</v>
      </c>
      <c r="X202" s="50">
        <v>38.54</v>
      </c>
      <c r="Y202" s="50">
        <v>38.54</v>
      </c>
      <c r="AA202" s="50">
        <v>80.290000000000006</v>
      </c>
      <c r="AC202" s="50">
        <v>189132</v>
      </c>
      <c r="AE202" s="50" t="s">
        <v>4370</v>
      </c>
    </row>
    <row r="203" spans="1:31">
      <c r="A203" s="50" t="s">
        <v>4466</v>
      </c>
      <c r="B203" s="50" t="s">
        <v>485</v>
      </c>
      <c r="C203" s="50" t="s">
        <v>486</v>
      </c>
      <c r="D203" s="50" t="e">
        <f ca="1">Image("https://images-na.ssl-images-amazon.com/images/I/412oNqHH5CL.jpg;https://images-na.ssl-images-amazon.com/images/I/41xkFgCKcFL.jpg;https://images-na.ssl-images-amazon.com/images/I/41Qms6P5QZL.jpg;https://images-na.ssl-images-amazon.com/images/I/41B2M6MHPCL"&amp;".jpg;https://images-na.ssl-images-amazon.com/images/I/417JzqBY3nL.jpg;https://images-na.ssl-images-amazon.com/images/I/51ZMeTez5QL.jpg;https://images-na.ssl-images-amazon.com/images/I/51aK6Y10v6L.jpg")</f>
        <v>#NAME?</v>
      </c>
      <c r="E203" s="50" t="s">
        <v>20</v>
      </c>
      <c r="F203" s="50" t="s">
        <v>487</v>
      </c>
      <c r="G203" s="50">
        <v>8</v>
      </c>
      <c r="H203" s="50">
        <v>1</v>
      </c>
      <c r="I203" s="50">
        <v>88</v>
      </c>
      <c r="R203" s="50">
        <v>12.5</v>
      </c>
      <c r="T203" s="50">
        <v>-9.68</v>
      </c>
      <c r="U203" s="50">
        <v>-67.34</v>
      </c>
      <c r="W203" s="50">
        <v>10.98</v>
      </c>
      <c r="X203" s="50">
        <v>10.98</v>
      </c>
      <c r="Y203" s="50">
        <v>10.98</v>
      </c>
      <c r="AA203" s="50">
        <v>12.48</v>
      </c>
      <c r="AC203" s="50">
        <v>211287</v>
      </c>
      <c r="AE203" s="50" t="s">
        <v>4370</v>
      </c>
    </row>
    <row r="204" spans="1:31">
      <c r="A204" s="50" t="s">
        <v>4467</v>
      </c>
      <c r="B204" s="50" t="s">
        <v>76</v>
      </c>
      <c r="C204" s="50" t="s">
        <v>77</v>
      </c>
      <c r="D204" s="50" t="e">
        <f ca="1">Image("https://images-na.ssl-images-amazon.com/images/I/41WfQlAKgEL.jpg;https://images-na.ssl-images-amazon.com/images/I/41A2eaJ3hvL.jpg;https://images-na.ssl-images-amazon.com/images/I/51o6bKBFqbL.jpg;https://images-na.ssl-images-amazon.com/images/I/41AHI5LW2SL"&amp;".jpg;https://images-na.ssl-images-amazon.com/images/I/5149HJf7zWL.jpg;https://images-na.ssl-images-amazon.com/images/I/513qvw4uCWL.jpg;https://images-na.ssl-images-amazon.com/images/I/61FbXfMSk1L.jpg")</f>
        <v>#NAME?</v>
      </c>
      <c r="E204" s="50" t="s">
        <v>20</v>
      </c>
      <c r="F204" s="50" t="s">
        <v>78</v>
      </c>
      <c r="G204" s="50">
        <v>8</v>
      </c>
      <c r="H204" s="50">
        <v>2</v>
      </c>
      <c r="I204" s="50">
        <v>159.91999999999999</v>
      </c>
      <c r="R204" s="50">
        <v>25</v>
      </c>
      <c r="S204" s="50" t="s">
        <v>1217</v>
      </c>
      <c r="T204" s="50">
        <v>-35.18</v>
      </c>
      <c r="U204" s="50">
        <v>-24</v>
      </c>
      <c r="W204" s="50">
        <v>100.74</v>
      </c>
      <c r="X204" s="50">
        <v>100.74</v>
      </c>
      <c r="Y204" s="50">
        <v>100.74</v>
      </c>
      <c r="AA204" s="50">
        <v>62.99</v>
      </c>
      <c r="AC204" s="50">
        <v>54948</v>
      </c>
      <c r="AE204" s="50" t="s">
        <v>4370</v>
      </c>
    </row>
    <row r="205" spans="1:31">
      <c r="A205" s="50" t="s">
        <v>4468</v>
      </c>
      <c r="B205" s="50" t="s">
        <v>88</v>
      </c>
      <c r="C205" s="50" t="s">
        <v>4361</v>
      </c>
      <c r="D205" s="50" t="e">
        <f ca="1">Image("https://images-na.ssl-images-amazon.com/images/I/41aEb7Hdp4L.jpg;https://images-na.ssl-images-amazon.com/images/I/51RNobz9zqL.jpg;https://images-na.ssl-images-amazon.com/images/I/41SNgC83nwL.jpg;https://images-na.ssl-images-amazon.com/images/I/51hyWzhfNcL"&amp;".jpg;https://images-na.ssl-images-amazon.com/images/I/51YJISElv5L.jpg;https://images-na.ssl-images-amazon.com/images/I/51CYNJk1TWL.jpg;https://images-na.ssl-images-amazon.com/images/I/51qeaNwt+9L.jpg;https://images-na.ssl-images-amazon.com/images/I/512t8z"&amp;"C0MGL.jpg")</f>
        <v>#NAME?</v>
      </c>
      <c r="E205" s="50" t="s">
        <v>20</v>
      </c>
      <c r="F205" s="50" t="s">
        <v>90</v>
      </c>
      <c r="G205" s="50">
        <v>8</v>
      </c>
      <c r="H205" s="50">
        <v>2</v>
      </c>
      <c r="I205" s="50">
        <v>112.72</v>
      </c>
      <c r="R205" s="50">
        <v>25</v>
      </c>
      <c r="S205" s="50" t="s">
        <v>1217</v>
      </c>
      <c r="T205" s="50">
        <v>-24.8</v>
      </c>
      <c r="U205" s="50">
        <v>-16.88</v>
      </c>
      <c r="W205" s="50">
        <v>71.040000000000006</v>
      </c>
      <c r="X205" s="50">
        <v>71.040000000000006</v>
      </c>
      <c r="Y205" s="50">
        <v>71.040000000000006</v>
      </c>
      <c r="AA205" s="50">
        <v>63.02</v>
      </c>
      <c r="AC205" s="50">
        <v>317291</v>
      </c>
      <c r="AE205" s="50" t="s">
        <v>4370</v>
      </c>
    </row>
    <row r="206" spans="1:31">
      <c r="A206" s="50" t="s">
        <v>4469</v>
      </c>
      <c r="B206" s="50" t="s">
        <v>727</v>
      </c>
      <c r="C206" s="50" t="s">
        <v>728</v>
      </c>
      <c r="D206" s="50" t="e">
        <f ca="1">Image("https://images-na.ssl-images-amazon.com/images/I/4184P7-BQWL.jpg;https://images-na.ssl-images-amazon.com/images/I/515+P-DcLrL.jpg;https://images-na.ssl-images-amazon.com/images/I/61LaDo-C2zS.jpg;https://images-na.ssl-images-amazon.com/images/I/51y3uJTePrL"&amp;".jpg;https://images-na.ssl-images-amazon.com/images/I/51kdyn7bdWS.jpg;https://images-na.ssl-images-amazon.com/images/I/610uCceF-DS.jpg;https://images-na.ssl-images-amazon.com/images/I/51+Cbj5vxdS.jpg")</f>
        <v>#NAME?</v>
      </c>
      <c r="E206" s="50" t="s">
        <v>20</v>
      </c>
      <c r="F206" s="50" t="s">
        <v>729</v>
      </c>
      <c r="G206" s="50">
        <v>8</v>
      </c>
      <c r="I206" s="50">
        <v>47.2</v>
      </c>
      <c r="S206" s="50" t="s">
        <v>1217</v>
      </c>
      <c r="U206" s="50">
        <v>-30.39</v>
      </c>
      <c r="W206" s="50">
        <v>16.809999999999999</v>
      </c>
      <c r="X206" s="50">
        <v>16.809999999999999</v>
      </c>
      <c r="Y206" s="50">
        <v>16.809999999999999</v>
      </c>
      <c r="AA206" s="50">
        <v>35.61</v>
      </c>
      <c r="AC206" s="50">
        <v>699782</v>
      </c>
      <c r="AE206" s="50" t="s">
        <v>4370</v>
      </c>
    </row>
    <row r="207" spans="1:31">
      <c r="A207" s="50" t="s">
        <v>4470</v>
      </c>
      <c r="B207" s="50" t="s">
        <v>160</v>
      </c>
      <c r="C207" s="50" t="s">
        <v>161</v>
      </c>
      <c r="D207" s="50" t="e">
        <f ca="1">Image("https://images-na.ssl-images-amazon.com/images/I/41V+0CpepLL.jpg")</f>
        <v>#NAME?</v>
      </c>
      <c r="E207" s="50" t="s">
        <v>12</v>
      </c>
      <c r="F207" s="50" t="s">
        <v>24</v>
      </c>
      <c r="G207" s="50">
        <v>8</v>
      </c>
      <c r="I207" s="50">
        <v>316.93</v>
      </c>
      <c r="K207" s="50">
        <v>-15.78</v>
      </c>
      <c r="L207" s="50">
        <v>-15.78</v>
      </c>
      <c r="S207" s="50" t="s">
        <v>1217</v>
      </c>
      <c r="U207" s="50">
        <v>-47.55</v>
      </c>
      <c r="W207" s="50">
        <v>176.67</v>
      </c>
      <c r="X207" s="50">
        <v>176.67</v>
      </c>
      <c r="Y207" s="50">
        <v>253.6</v>
      </c>
      <c r="AA207" s="50">
        <v>55.74</v>
      </c>
      <c r="AC207" s="50">
        <v>921892</v>
      </c>
      <c r="AD207" s="50">
        <v>4.9800000000000004</v>
      </c>
      <c r="AE207" s="50" t="s">
        <v>4370</v>
      </c>
    </row>
    <row r="208" spans="1:31">
      <c r="A208" s="50" t="s">
        <v>4471</v>
      </c>
      <c r="B208" s="50" t="s">
        <v>527</v>
      </c>
      <c r="C208" s="50" t="s">
        <v>528</v>
      </c>
      <c r="D208" s="50" t="e">
        <f ca="1">Image("https://images-na.ssl-images-amazon.com/images/I/41OtfN89EHL.jpg;https://images-na.ssl-images-amazon.com/images/I/51RV2TbVADL.jpg;https://images-na.ssl-images-amazon.com/images/I/51M9misNY0L.jpg;https://images-na.ssl-images-amazon.com/images/I/51-0NrxGLdL"&amp;".jpg")</f>
        <v>#NAME?</v>
      </c>
      <c r="E208" s="50" t="s">
        <v>16</v>
      </c>
      <c r="F208" s="50" t="s">
        <v>529</v>
      </c>
      <c r="G208" s="50">
        <v>7</v>
      </c>
      <c r="H208" s="50">
        <v>1</v>
      </c>
      <c r="I208" s="50">
        <v>175</v>
      </c>
      <c r="R208" s="50">
        <v>14.29</v>
      </c>
      <c r="T208" s="50">
        <v>-22</v>
      </c>
      <c r="U208" s="50">
        <v>-97.4</v>
      </c>
      <c r="W208" s="50">
        <v>55.6</v>
      </c>
      <c r="X208" s="50">
        <v>55.6</v>
      </c>
      <c r="Y208" s="50">
        <v>55.6</v>
      </c>
      <c r="AA208" s="50">
        <v>31.77</v>
      </c>
      <c r="AE208" s="50" t="s">
        <v>4370</v>
      </c>
    </row>
    <row r="209" spans="1:31">
      <c r="A209" s="50" t="s">
        <v>4418</v>
      </c>
      <c r="B209" s="50" t="s">
        <v>221</v>
      </c>
      <c r="C209" s="50" t="s">
        <v>4472</v>
      </c>
      <c r="D209" s="50" t="e">
        <f ca="1">Image("https://images-na.ssl-images-amazon.com/images/I/51GCGmrmyrL.jpg;https://images-na.ssl-images-amazon.com/images/I/61DIzNMPGpL.jpg;https://images-na.ssl-images-amazon.com/images/I/51Rh7IvxPvL.jpg;https://images-na.ssl-images-amazon.com/images/I/714pzWV0t2L"&amp;".jpg;https://images-na.ssl-images-amazon.com/images/I/41t0qw1nB-L.jpg")</f>
        <v>#NAME?</v>
      </c>
      <c r="E209" s="50" t="s">
        <v>16</v>
      </c>
      <c r="F209" s="50" t="s">
        <v>223</v>
      </c>
      <c r="G209" s="50">
        <v>7</v>
      </c>
      <c r="I209" s="50">
        <v>133</v>
      </c>
      <c r="S209" s="50" t="s">
        <v>1217</v>
      </c>
      <c r="U209" s="50">
        <v>-56.89</v>
      </c>
      <c r="W209" s="50">
        <v>76.11</v>
      </c>
      <c r="X209" s="50">
        <v>76.11</v>
      </c>
      <c r="Y209" s="50">
        <v>76.11</v>
      </c>
      <c r="AA209" s="50">
        <v>57.23</v>
      </c>
      <c r="AC209" s="50">
        <v>21345</v>
      </c>
      <c r="AE209" s="50" t="s">
        <v>4370</v>
      </c>
    </row>
    <row r="210" spans="1:31">
      <c r="A210" s="50" t="s">
        <v>4473</v>
      </c>
      <c r="B210" s="50" t="s">
        <v>464</v>
      </c>
      <c r="C210" s="50" t="s">
        <v>465</v>
      </c>
      <c r="D210" s="50" t="e">
        <f ca="1">Image("https://images-na.ssl-images-amazon.com/images/I/51G3d8z6d3L.jpg;https://images-na.ssl-images-amazon.com/images/I/51n-CEBXgKL.jpg;https://images-na.ssl-images-amazon.com/images/I/41fpi6qYQRL.jpg;https://images-na.ssl-images-amazon.com/images/I/61lsVlrc3XL"&amp;".jpg;https://images-na.ssl-images-amazon.com/images/I/51QdR5mhrdL.jpg")</f>
        <v>#NAME?</v>
      </c>
      <c r="E210" s="50" t="s">
        <v>16</v>
      </c>
      <c r="F210" s="50" t="s">
        <v>466</v>
      </c>
      <c r="G210" s="50">
        <v>7</v>
      </c>
      <c r="I210" s="50">
        <v>185.95</v>
      </c>
      <c r="S210" s="50" t="s">
        <v>1217</v>
      </c>
      <c r="U210" s="50">
        <v>-101.41</v>
      </c>
      <c r="W210" s="50">
        <v>84.54</v>
      </c>
      <c r="X210" s="50">
        <v>84.54</v>
      </c>
      <c r="Y210" s="50">
        <v>84.54</v>
      </c>
      <c r="AA210" s="50">
        <v>45.46</v>
      </c>
      <c r="AC210" s="50">
        <v>93406</v>
      </c>
      <c r="AE210" s="50" t="s">
        <v>4370</v>
      </c>
    </row>
    <row r="211" spans="1:31">
      <c r="A211" s="50" t="s">
        <v>4474</v>
      </c>
      <c r="B211" s="50" t="s">
        <v>467</v>
      </c>
      <c r="C211" s="50" t="s">
        <v>468</v>
      </c>
      <c r="D211" s="50" t="e">
        <f ca="1">Image("https://images-na.ssl-images-amazon.com/images/I/51MjbX3qn6L.jpg;https://images-na.ssl-images-amazon.com/images/I/614jKEOEcBL.jpg;https://images-na.ssl-images-amazon.com/images/I/51+qXz0DwzL.jpg;https://images-na.ssl-images-amazon.com/images/I/51VZlj5rB9L"&amp;".jpg;https://images-na.ssl-images-amazon.com/images/I/51MjbX3qn6L.jpg")</f>
        <v>#NAME?</v>
      </c>
      <c r="E211" s="50" t="s">
        <v>16</v>
      </c>
      <c r="F211" s="50" t="s">
        <v>469</v>
      </c>
      <c r="G211" s="50">
        <v>7</v>
      </c>
      <c r="I211" s="50">
        <v>97.93</v>
      </c>
      <c r="S211" s="50" t="s">
        <v>1217</v>
      </c>
      <c r="U211" s="50">
        <v>-14.7</v>
      </c>
      <c r="W211" s="50">
        <v>83.23</v>
      </c>
      <c r="X211" s="50">
        <v>83.23</v>
      </c>
      <c r="Y211" s="50">
        <v>83.23</v>
      </c>
      <c r="AA211" s="50">
        <v>84.99</v>
      </c>
      <c r="AC211" s="50">
        <v>78930</v>
      </c>
      <c r="AE211" s="50" t="s">
        <v>4370</v>
      </c>
    </row>
    <row r="212" spans="1:31">
      <c r="A212" s="50" t="s">
        <v>4283</v>
      </c>
      <c r="B212" s="50" t="s">
        <v>430</v>
      </c>
      <c r="C212" s="50" t="s">
        <v>4475</v>
      </c>
      <c r="D212" s="50" t="e">
        <f ca="1">Image("https://images-na.ssl-images-amazon.com/images/I/3170-0Ji0FS.jpg;https://images-na.ssl-images-amazon.com/images/I/41HdVCTs90S.jpg;https://images-na.ssl-images-amazon.com/images/I/41ZxLrrWpeS.jpg;https://images-na.ssl-images-amazon.com/images/I/41mi-vJRBSS"&amp;".jpg;https://images-na.ssl-images-amazon.com/images/I/51zfhJz3NRS.jpg;https://images-na.ssl-images-amazon.com/images/I/61EBR+7xgRS.jpg")</f>
        <v>#NAME?</v>
      </c>
      <c r="E212" s="50" t="s">
        <v>20</v>
      </c>
      <c r="F212" s="50" t="s">
        <v>432</v>
      </c>
      <c r="G212" s="50">
        <v>7</v>
      </c>
      <c r="I212" s="50">
        <v>40.25</v>
      </c>
      <c r="S212" s="50" t="s">
        <v>1217</v>
      </c>
      <c r="U212" s="50">
        <v>-21.85</v>
      </c>
      <c r="W212" s="50">
        <v>18.399999999999999</v>
      </c>
      <c r="X212" s="50">
        <v>18.399999999999999</v>
      </c>
      <c r="Y212" s="50">
        <v>18.399999999999999</v>
      </c>
      <c r="AA212" s="50">
        <v>45.71</v>
      </c>
      <c r="AC212" s="50">
        <v>189132</v>
      </c>
      <c r="AE212" s="50" t="s">
        <v>4370</v>
      </c>
    </row>
    <row r="213" spans="1:31">
      <c r="A213" s="50" t="s">
        <v>4476</v>
      </c>
      <c r="B213" s="50" t="s">
        <v>917</v>
      </c>
      <c r="C213" s="50" t="s">
        <v>918</v>
      </c>
      <c r="D213" s="50" t="e">
        <f ca="1">Image("https://images-na.ssl-images-amazon.com/images/I/41S657bwRCL.jpg;https://images-na.ssl-images-amazon.com/images/I/51ppmOzOzDL.jpg;https://images-na.ssl-images-amazon.com/images/I/51o5aST8wYL.jpg;https://images-na.ssl-images-amazon.com/images/I/515gmkjMrIL"&amp;".jpg;https://images-na.ssl-images-amazon.com/images/I/51zcIIOwMvS.jpg;https://images-na.ssl-images-amazon.com/images/I/510VpJESKWL.jpg;https://images-na.ssl-images-amazon.com/images/I/51lYTtLBmCL.jpg")</f>
        <v>#NAME?</v>
      </c>
      <c r="E213" s="50" t="s">
        <v>20</v>
      </c>
      <c r="F213" s="50" t="s">
        <v>402</v>
      </c>
      <c r="G213" s="50">
        <v>7</v>
      </c>
      <c r="I213" s="50">
        <v>51</v>
      </c>
      <c r="S213" s="50" t="s">
        <v>1217</v>
      </c>
      <c r="U213" s="50">
        <v>-48.64</v>
      </c>
      <c r="W213" s="50">
        <v>2.36</v>
      </c>
      <c r="X213" s="50">
        <v>2.36</v>
      </c>
      <c r="Y213" s="50">
        <v>2.36</v>
      </c>
      <c r="AA213" s="50">
        <v>4.63</v>
      </c>
      <c r="AC213" s="50">
        <v>367087</v>
      </c>
      <c r="AE213" s="50" t="s">
        <v>4370</v>
      </c>
    </row>
    <row r="214" spans="1:31">
      <c r="A214" s="50" t="s">
        <v>4477</v>
      </c>
      <c r="B214" s="50" t="s">
        <v>470</v>
      </c>
      <c r="C214" s="50" t="s">
        <v>471</v>
      </c>
      <c r="D214" s="50" t="e">
        <f ca="1">Image("https://images-na.ssl-images-amazon.com/images/I/51iEN7rTzOL.jpg;https://images-na.ssl-images-amazon.com/images/I/51D0zYrA0BL.jpg;https://images-na.ssl-images-amazon.com/images/I/41aZFAVVBUL.jpg;https://images-na.ssl-images-amazon.com/images/I/51csQ3LBQWL"&amp;".jpg;https://images-na.ssl-images-amazon.com/images/I/51PFJ1EOFwL.jpg;https://images-na.ssl-images-amazon.com/images/I/51UwIe1ZT1L.jpg")</f>
        <v>#NAME?</v>
      </c>
      <c r="E214" s="50" t="s">
        <v>20</v>
      </c>
      <c r="F214" s="50" t="s">
        <v>472</v>
      </c>
      <c r="G214" s="50">
        <v>7</v>
      </c>
      <c r="I214" s="50">
        <v>103.13</v>
      </c>
      <c r="S214" s="50" t="s">
        <v>1217</v>
      </c>
      <c r="U214" s="50">
        <v>-20.64</v>
      </c>
      <c r="W214" s="50">
        <v>82.49</v>
      </c>
      <c r="X214" s="50">
        <v>82.49</v>
      </c>
      <c r="Y214" s="50">
        <v>82.49</v>
      </c>
      <c r="AA214" s="50">
        <v>79.989999999999995</v>
      </c>
      <c r="AC214" s="50">
        <v>90695</v>
      </c>
      <c r="AE214" s="50" t="s">
        <v>4370</v>
      </c>
    </row>
    <row r="215" spans="1:31">
      <c r="A215" s="50" t="s">
        <v>4478</v>
      </c>
      <c r="B215" s="50" t="s">
        <v>390</v>
      </c>
      <c r="C215" s="50" t="s">
        <v>391</v>
      </c>
      <c r="D215" s="50" t="e">
        <f ca="1">Image("https://images-na.ssl-images-amazon.com/images/I/31zFMIkwk5L.jpg;https://images-na.ssl-images-amazon.com/images/I/41V9Wuc94HL.jpg;https://images-na.ssl-images-amazon.com/images/I/31eekZG8InL.jpg;https://images-na.ssl-images-amazon.com/images/I/51u69-wws9L"&amp;".jpg")</f>
        <v>#NAME?</v>
      </c>
      <c r="E215" s="50" t="s">
        <v>20</v>
      </c>
      <c r="F215" s="50" t="s">
        <v>392</v>
      </c>
      <c r="G215" s="50">
        <v>7</v>
      </c>
      <c r="H215" s="50">
        <v>1</v>
      </c>
      <c r="I215" s="50">
        <v>86.03</v>
      </c>
      <c r="R215" s="50">
        <v>14.29</v>
      </c>
      <c r="S215" s="50">
        <v>100</v>
      </c>
      <c r="T215" s="50">
        <v>-10.32</v>
      </c>
      <c r="U215" s="50">
        <v>-47.82</v>
      </c>
      <c r="W215" s="50">
        <v>27.89</v>
      </c>
      <c r="X215" s="50">
        <v>27.89</v>
      </c>
      <c r="Y215" s="50">
        <v>27.89</v>
      </c>
      <c r="AA215" s="50">
        <v>32.42</v>
      </c>
      <c r="AC215" s="50">
        <v>90695</v>
      </c>
      <c r="AE215" s="50" t="s">
        <v>4370</v>
      </c>
    </row>
    <row r="216" spans="1:31">
      <c r="A216" s="50" t="s">
        <v>4479</v>
      </c>
      <c r="B216" s="50" t="s">
        <v>515</v>
      </c>
      <c r="C216" s="50" t="s">
        <v>516</v>
      </c>
      <c r="D216" s="50" t="e">
        <f ca="1">Image("https://images-na.ssl-images-amazon.com/images/I/41OO4v+z14L.jpg;https://images-na.ssl-images-amazon.com/images/I/41umzU7+V5L.jpg;https://images-na.ssl-images-amazon.com/images/I/41-mDtN1KEL.jpg;https://images-na.ssl-images-amazon.com/images/I/41ixO9sAGeL"&amp;".jpg")</f>
        <v>#NAME?</v>
      </c>
      <c r="E216" s="50" t="s">
        <v>20</v>
      </c>
      <c r="F216" s="50" t="s">
        <v>517</v>
      </c>
      <c r="G216" s="50">
        <v>7</v>
      </c>
      <c r="H216" s="50">
        <v>2</v>
      </c>
      <c r="I216" s="50">
        <v>104.23</v>
      </c>
      <c r="R216" s="50">
        <v>28.57</v>
      </c>
      <c r="S216" s="50" t="s">
        <v>1217</v>
      </c>
      <c r="T216" s="50">
        <v>-23.5</v>
      </c>
      <c r="U216" s="50">
        <v>-20.86</v>
      </c>
      <c r="W216" s="50">
        <v>59.87</v>
      </c>
      <c r="X216" s="50">
        <v>59.87</v>
      </c>
      <c r="Y216" s="50">
        <v>59.87</v>
      </c>
      <c r="AA216" s="50">
        <v>57.44</v>
      </c>
      <c r="AC216" s="50">
        <v>90695</v>
      </c>
      <c r="AE216" s="50" t="s">
        <v>4370</v>
      </c>
    </row>
    <row r="217" spans="1:31">
      <c r="A217" s="50" t="s">
        <v>4480</v>
      </c>
      <c r="B217" s="50" t="s">
        <v>509</v>
      </c>
      <c r="C217" s="50" t="s">
        <v>510</v>
      </c>
      <c r="D217" s="50" t="e">
        <f ca="1">Image("https://images-na.ssl-images-amazon.com/images/I/51IvLIgIvlL.jpg;https://images-na.ssl-images-amazon.com/images/I/51ScKbU54XL.jpg;https://images-na.ssl-images-amazon.com/images/I/51JUmJLuTUL.jpg;https://images-na.ssl-images-amazon.com/images/I/51pvv+t1YVL"&amp;".jpg")</f>
        <v>#NAME?</v>
      </c>
      <c r="E217" s="50" t="s">
        <v>16</v>
      </c>
      <c r="F217" s="50" t="s">
        <v>511</v>
      </c>
      <c r="G217" s="50">
        <v>6</v>
      </c>
      <c r="H217" s="50">
        <v>2</v>
      </c>
      <c r="I217" s="50">
        <v>118.94</v>
      </c>
      <c r="R217" s="50">
        <v>33.33</v>
      </c>
      <c r="S217" s="50" t="s">
        <v>1217</v>
      </c>
      <c r="T217" s="50">
        <v>-36.94</v>
      </c>
      <c r="U217" s="50">
        <v>-17.850000000000001</v>
      </c>
      <c r="W217" s="50">
        <v>64.150000000000006</v>
      </c>
      <c r="X217" s="50">
        <v>64.150000000000006</v>
      </c>
      <c r="Y217" s="50">
        <v>64.150000000000006</v>
      </c>
      <c r="AA217" s="50">
        <v>53.93</v>
      </c>
      <c r="AE217" s="50" t="s">
        <v>4370</v>
      </c>
    </row>
    <row r="218" spans="1:31">
      <c r="A218" s="50" t="s">
        <v>4389</v>
      </c>
      <c r="B218" s="50" t="s">
        <v>91</v>
      </c>
      <c r="C218" s="50" t="s">
        <v>4481</v>
      </c>
      <c r="D218" s="50" t="e">
        <f ca="1">Image("https://images-na.ssl-images-amazon.com/images/I/51SfzncLCrL.jpg;https://images-na.ssl-images-amazon.com/images/I/51ArNUbwoyL.jpg;https://images-na.ssl-images-amazon.com/images/I/51QsWzifNgL.jpg;https://images-na.ssl-images-amazon.com/images/I/4166ErZC6nL"&amp;".jpg")</f>
        <v>#NAME?</v>
      </c>
      <c r="E218" s="50" t="s">
        <v>16</v>
      </c>
      <c r="F218" s="50" t="s">
        <v>93</v>
      </c>
      <c r="G218" s="50">
        <v>6</v>
      </c>
      <c r="H218" s="50">
        <v>1</v>
      </c>
      <c r="I218" s="50">
        <v>139.44</v>
      </c>
      <c r="R218" s="50">
        <v>16.670000000000002</v>
      </c>
      <c r="S218" s="50" t="s">
        <v>1217</v>
      </c>
      <c r="T218" s="50">
        <v>-15.83</v>
      </c>
      <c r="U218" s="50">
        <v>-20.91</v>
      </c>
      <c r="W218" s="50">
        <v>102.7</v>
      </c>
      <c r="X218" s="50">
        <v>102.7</v>
      </c>
      <c r="Y218" s="50">
        <v>102.7</v>
      </c>
      <c r="AA218" s="50">
        <v>73.650000000000006</v>
      </c>
      <c r="AE218" s="50" t="s">
        <v>4370</v>
      </c>
    </row>
    <row r="219" spans="1:31">
      <c r="A219" s="50" t="s">
        <v>4482</v>
      </c>
      <c r="B219" s="50" t="s">
        <v>34</v>
      </c>
      <c r="C219" s="50" t="s">
        <v>4483</v>
      </c>
      <c r="D219" s="50" t="e">
        <f ca="1">Image("https://images-na.ssl-images-amazon.com/images/I/41nu0L5qUvL.jpg;https://images-na.ssl-images-amazon.com/images/I/419kHqW8ZbL.jpg;https://images-na.ssl-images-amazon.com/images/I/21JW5zRTLvL.jpg")</f>
        <v>#NAME?</v>
      </c>
      <c r="E219" s="50" t="s">
        <v>16</v>
      </c>
      <c r="F219" s="50" t="s">
        <v>36</v>
      </c>
      <c r="G219" s="50">
        <v>6</v>
      </c>
      <c r="H219" s="50">
        <v>5</v>
      </c>
      <c r="I219" s="50">
        <v>91.94</v>
      </c>
      <c r="R219" s="50">
        <v>83.33</v>
      </c>
      <c r="S219" s="50" t="s">
        <v>1217</v>
      </c>
      <c r="T219" s="50">
        <v>-61.55</v>
      </c>
      <c r="U219" s="50">
        <v>-13.87</v>
      </c>
      <c r="W219" s="50">
        <v>16.52</v>
      </c>
      <c r="X219" s="50">
        <v>16.52</v>
      </c>
      <c r="Y219" s="50">
        <v>16.52</v>
      </c>
      <c r="AA219" s="50">
        <v>17.97</v>
      </c>
      <c r="AC219" s="50">
        <v>56874</v>
      </c>
      <c r="AE219" s="50" t="s">
        <v>4370</v>
      </c>
    </row>
    <row r="220" spans="1:31">
      <c r="A220" s="50" t="s">
        <v>4484</v>
      </c>
      <c r="B220" s="50" t="s">
        <v>274</v>
      </c>
      <c r="C220" s="50" t="s">
        <v>275</v>
      </c>
      <c r="D220" s="50" t="e">
        <f ca="1">Image("https://images-na.ssl-images-amazon.com/images/I/51Oo4BAms1L.jpg;https://images-na.ssl-images-amazon.com/images/I/51qUjDHX7bL.jpg;https://images-na.ssl-images-amazon.com/images/I/41DgkjwPr-L.jpg;https://images-na.ssl-images-amazon.com/images/I/41wBFfQgLGL"&amp;".jpg;https://images-na.ssl-images-amazon.com/images/I/416Wmo-izaL.jpg;https://images-na.ssl-images-amazon.com/images/I/511Ta-1a0EL.jpg")</f>
        <v>#NAME?</v>
      </c>
      <c r="E220" s="50" t="s">
        <v>16</v>
      </c>
      <c r="F220" s="50" t="s">
        <v>276</v>
      </c>
      <c r="G220" s="50">
        <v>6</v>
      </c>
      <c r="H220" s="50">
        <v>1</v>
      </c>
      <c r="I220" s="50">
        <v>150</v>
      </c>
      <c r="R220" s="50">
        <v>16.670000000000002</v>
      </c>
      <c r="T220" s="50">
        <v>-22</v>
      </c>
      <c r="U220" s="50">
        <v>-50.55</v>
      </c>
      <c r="W220" s="50">
        <v>77.45</v>
      </c>
      <c r="X220" s="50">
        <v>77.45</v>
      </c>
      <c r="Y220" s="50">
        <v>77.45</v>
      </c>
      <c r="AA220" s="50">
        <v>51.63</v>
      </c>
      <c r="AC220" s="50">
        <v>48401</v>
      </c>
      <c r="AE220" s="50" t="s">
        <v>4370</v>
      </c>
    </row>
    <row r="221" spans="1:31">
      <c r="A221" s="50" t="s">
        <v>4485</v>
      </c>
      <c r="B221" s="50" t="s">
        <v>914</v>
      </c>
      <c r="C221" s="50" t="s">
        <v>915</v>
      </c>
      <c r="D221" s="50" t="e">
        <f ca="1">Image("https://images-na.ssl-images-amazon.com/images/I/41mWjqynNEL.jpg;https://images-na.ssl-images-amazon.com/images/I/41kdayazkWL.jpg;https://images-na.ssl-images-amazon.com/images/I/312RFDx8QSL.jpg;https://images-na.ssl-images-amazon.com/images/I/41Hyc7rE-7L"&amp;".jpg;https://images-na.ssl-images-amazon.com/images/I/51pn-s+NNaL.jpg;https://images-na.ssl-images-amazon.com/images/I/41j1MWgFLgL.jpg;https://images-na.ssl-images-amazon.com/images/I/51ZoC3BwZGL.jpg")</f>
        <v>#NAME?</v>
      </c>
      <c r="E221" s="50" t="s">
        <v>20</v>
      </c>
      <c r="F221" s="50" t="s">
        <v>916</v>
      </c>
      <c r="G221" s="50">
        <v>6</v>
      </c>
      <c r="I221" s="50">
        <v>35.4</v>
      </c>
      <c r="S221" s="50" t="s">
        <v>1217</v>
      </c>
      <c r="U221" s="50">
        <v>-27.77</v>
      </c>
      <c r="W221" s="50">
        <v>7.63</v>
      </c>
      <c r="X221" s="50">
        <v>7.63</v>
      </c>
      <c r="Y221" s="50">
        <v>7.63</v>
      </c>
      <c r="AA221" s="50">
        <v>21.55</v>
      </c>
      <c r="AC221" s="50">
        <v>1808575</v>
      </c>
      <c r="AE221" s="50" t="s">
        <v>4370</v>
      </c>
    </row>
    <row r="222" spans="1:31">
      <c r="A222" s="50" t="s">
        <v>4486</v>
      </c>
      <c r="B222" s="50" t="s">
        <v>782</v>
      </c>
      <c r="C222" s="50" t="s">
        <v>783</v>
      </c>
      <c r="D222" s="50" t="e">
        <f ca="1">Image("https://images-na.ssl-images-amazon.com/images/I/41T9W9RtevS.jpg;https://images-na.ssl-images-amazon.com/images/I/31tE45l5TfS.jpg;https://images-na.ssl-images-amazon.com/images/I/41RpRs0hhxS.jpg;https://images-na.ssl-images-amazon.com/images/I/41xpluj1PZL"&amp;".jpg;https://images-na.ssl-images-amazon.com/images/I/51dnP9IyYuL.jpg;https://images-na.ssl-images-amazon.com/images/I/41-d7VM62ZL.jpg;https://images-na.ssl-images-amazon.com/images/I/51XUWION6mL.jpg")</f>
        <v>#NAME?</v>
      </c>
      <c r="E222" s="50" t="s">
        <v>20</v>
      </c>
      <c r="F222" s="50" t="s">
        <v>784</v>
      </c>
      <c r="G222" s="50">
        <v>6</v>
      </c>
      <c r="I222" s="50">
        <v>40.54</v>
      </c>
      <c r="S222" s="50" t="s">
        <v>1217</v>
      </c>
      <c r="U222" s="50">
        <v>-28.7</v>
      </c>
      <c r="W222" s="50">
        <v>11.84</v>
      </c>
      <c r="X222" s="50">
        <v>11.84</v>
      </c>
      <c r="Y222" s="50">
        <v>11.84</v>
      </c>
      <c r="AA222" s="50">
        <v>29.21</v>
      </c>
      <c r="AC222" s="50">
        <v>1808575</v>
      </c>
      <c r="AE222" s="50" t="s">
        <v>4370</v>
      </c>
    </row>
    <row r="223" spans="1:31">
      <c r="A223" s="50" t="s">
        <v>4487</v>
      </c>
      <c r="B223" s="50" t="s">
        <v>707</v>
      </c>
      <c r="C223" s="50" t="s">
        <v>708</v>
      </c>
      <c r="D223" s="50" t="e">
        <f ca="1">Image("https://images-na.ssl-images-amazon.com/images/I/41nMBbB4XDS.jpg;https://images-na.ssl-images-amazon.com/images/I/31dekOl9z+S.jpg;https://images-na.ssl-images-amazon.com/images/I/41lxQP-0ZRS.jpg;https://images-na.ssl-images-amazon.com/images/I/41Q6vLwcSOL"&amp;".jpg;https://images-na.ssl-images-amazon.com/images/I/51qbPWI1YhL.jpg;https://images-na.ssl-images-amazon.com/images/I/41w2Yf1NuJL.jpg;https://images-na.ssl-images-amazon.com/images/I/51S2dYMb9YL.jpg")</f>
        <v>#NAME?</v>
      </c>
      <c r="E223" s="50" t="s">
        <v>20</v>
      </c>
      <c r="F223" s="50" t="s">
        <v>709</v>
      </c>
      <c r="G223" s="50">
        <v>6</v>
      </c>
      <c r="I223" s="50">
        <v>46.52</v>
      </c>
      <c r="S223" s="50" t="s">
        <v>1217</v>
      </c>
      <c r="U223" s="50">
        <v>-27.45</v>
      </c>
      <c r="W223" s="50">
        <v>19.07</v>
      </c>
      <c r="X223" s="50">
        <v>19.07</v>
      </c>
      <c r="Y223" s="50">
        <v>19.07</v>
      </c>
      <c r="AA223" s="50">
        <v>40.99</v>
      </c>
      <c r="AC223" s="50">
        <v>1808575</v>
      </c>
      <c r="AE223" s="50" t="s">
        <v>4370</v>
      </c>
    </row>
    <row r="224" spans="1:31">
      <c r="A224" s="50" t="s">
        <v>4488</v>
      </c>
      <c r="B224" s="50" t="s">
        <v>896</v>
      </c>
      <c r="C224" s="50" t="s">
        <v>897</v>
      </c>
      <c r="D224" s="50" t="e">
        <f ca="1">Image("https://images-na.ssl-images-amazon.com/images/I/31txN1JrcAS.jpg;https://images-na.ssl-images-amazon.com/images/I/318tbEGXS8S.jpg;https://images-na.ssl-images-amazon.com/images/I/31gaPCeU1sS.jpg;https://images-na.ssl-images-amazon.com/images/I/31tnP+oCuiL"&amp;".jpg;https://images-na.ssl-images-amazon.com/images/I/51SEYUiBflL.jpg;https://images-na.ssl-images-amazon.com/images/I/41W5zNY652L.jpg;https://images-na.ssl-images-amazon.com/images/I/5116ju7L+AL.jpg")</f>
        <v>#NAME?</v>
      </c>
      <c r="E224" s="50" t="s">
        <v>20</v>
      </c>
      <c r="F224" s="50" t="s">
        <v>898</v>
      </c>
      <c r="G224" s="50">
        <v>6</v>
      </c>
      <c r="H224" s="50">
        <v>1</v>
      </c>
      <c r="I224" s="50">
        <v>37.549999999999997</v>
      </c>
      <c r="R224" s="50">
        <v>16.670000000000002</v>
      </c>
      <c r="T224" s="50">
        <v>-5.07</v>
      </c>
      <c r="U224" s="50">
        <v>-28.1</v>
      </c>
      <c r="W224" s="50">
        <v>4.38</v>
      </c>
      <c r="X224" s="50">
        <v>4.38</v>
      </c>
      <c r="Y224" s="50">
        <v>4.38</v>
      </c>
      <c r="AA224" s="50">
        <v>11.66</v>
      </c>
      <c r="AC224" s="50">
        <v>1808575</v>
      </c>
      <c r="AE224" s="50" t="s">
        <v>4370</v>
      </c>
    </row>
    <row r="225" spans="1:31">
      <c r="A225" s="50" t="s">
        <v>4489</v>
      </c>
      <c r="B225" s="50" t="s">
        <v>868</v>
      </c>
      <c r="C225" s="50" t="s">
        <v>869</v>
      </c>
      <c r="D225" s="50" t="e">
        <f ca="1">Image("https://images-na.ssl-images-amazon.com/images/I/31givXJgNSS.jpg;https://images-na.ssl-images-amazon.com/images/I/317u2KpKzQS.jpg;https://images-na.ssl-images-amazon.com/images/I/31QaVOU7QCS.jpg;https://images-na.ssl-images-amazon.com/images/I/31y4qghW2RL"&amp;".jpg;https://images-na.ssl-images-amazon.com/images/I/414BDRrYqaL.jpg;https://images-na.ssl-images-amazon.com/images/I/41dP43HLZ9L.jpg;https://images-na.ssl-images-amazon.com/images/I/414hm11A2jL.jpg")</f>
        <v>#NAME?</v>
      </c>
      <c r="E225" s="50" t="s">
        <v>20</v>
      </c>
      <c r="F225" s="50" t="s">
        <v>870</v>
      </c>
      <c r="G225" s="50">
        <v>6</v>
      </c>
      <c r="I225" s="50">
        <v>34.56</v>
      </c>
      <c r="S225" s="50" t="s">
        <v>1217</v>
      </c>
      <c r="U225" s="50">
        <v>-28.69</v>
      </c>
      <c r="W225" s="50">
        <v>5.87</v>
      </c>
      <c r="X225" s="50">
        <v>5.87</v>
      </c>
      <c r="Y225" s="50">
        <v>5.87</v>
      </c>
      <c r="AA225" s="50">
        <v>16.98</v>
      </c>
      <c r="AC225" s="50">
        <v>1808575</v>
      </c>
      <c r="AE225" s="50" t="s">
        <v>4370</v>
      </c>
    </row>
    <row r="226" spans="1:31">
      <c r="A226" s="50" t="s">
        <v>4490</v>
      </c>
      <c r="B226" s="50" t="s">
        <v>1007</v>
      </c>
      <c r="C226" s="50" t="s">
        <v>1008</v>
      </c>
      <c r="D226" s="50" t="e">
        <f ca="1">Image("https://images-na.ssl-images-amazon.com/images/I/41HsJSbzuKL.jpg;https://images-na.ssl-images-amazon.com/images/I/51ho0c3n4OL.jpg;https://images-na.ssl-images-amazon.com/images/I/417JJEBWlvL.jpg;https://images-na.ssl-images-amazon.com/images/I/61y7Zjy8dxL"&amp;".jpg;https://images-na.ssl-images-amazon.com/images/I/51ca9W-SocS.jpg;https://images-na.ssl-images-amazon.com/images/I/61KGPXoU7DL.jpg")</f>
        <v>#NAME?</v>
      </c>
      <c r="E226" s="50" t="s">
        <v>20</v>
      </c>
      <c r="F226" s="50" t="s">
        <v>1009</v>
      </c>
      <c r="G226" s="50">
        <v>6</v>
      </c>
      <c r="H226" s="50">
        <v>1</v>
      </c>
      <c r="I226" s="50">
        <v>30</v>
      </c>
      <c r="R226" s="50">
        <v>16.670000000000002</v>
      </c>
      <c r="S226" s="50">
        <v>100</v>
      </c>
      <c r="T226" s="50">
        <v>-4.4000000000000004</v>
      </c>
      <c r="U226" s="50">
        <v>-30.34</v>
      </c>
      <c r="W226" s="50">
        <v>-4.74</v>
      </c>
      <c r="X226" s="50">
        <v>-4.74</v>
      </c>
      <c r="Y226" s="50">
        <v>-4.74</v>
      </c>
      <c r="AA226" s="50">
        <v>-15.8</v>
      </c>
      <c r="AC226" s="50">
        <v>367087</v>
      </c>
      <c r="AE226" s="50" t="s">
        <v>4370</v>
      </c>
    </row>
    <row r="227" spans="1:31">
      <c r="A227" s="50" t="s">
        <v>4491</v>
      </c>
      <c r="B227" s="50" t="s">
        <v>1031</v>
      </c>
      <c r="C227" s="50" t="s">
        <v>1032</v>
      </c>
      <c r="D227" s="50" t="e">
        <f ca="1">Image("https://images-na.ssl-images-amazon.com/images/I/41W0Nxqi0TL.jpg;https://images-na.ssl-images-amazon.com/images/I/61d8tpWsRlL.jpg;https://images-na.ssl-images-amazon.com/images/I/41U1hRwVO-L.jpg;https://images-na.ssl-images-amazon.com/images/I/614efB4sdmL"&amp;".jpg;https://images-na.ssl-images-amazon.com/images/I/51h6D2Bd2bS.jpg;https://images-na.ssl-images-amazon.com/images/I/51t4wYXOIdL.jpg")</f>
        <v>#NAME?</v>
      </c>
      <c r="E227" s="50" t="s">
        <v>20</v>
      </c>
      <c r="F227" s="50" t="s">
        <v>1033</v>
      </c>
      <c r="G227" s="50">
        <v>6</v>
      </c>
      <c r="I227" s="50">
        <v>53.94</v>
      </c>
      <c r="S227" s="50" t="s">
        <v>1217</v>
      </c>
      <c r="U227" s="50">
        <v>-68.31</v>
      </c>
      <c r="W227" s="50">
        <v>-14.37</v>
      </c>
      <c r="X227" s="50">
        <v>-14.37</v>
      </c>
      <c r="Y227" s="50">
        <v>-14.37</v>
      </c>
      <c r="AA227" s="50">
        <v>-26.64</v>
      </c>
      <c r="AC227" s="50">
        <v>367087</v>
      </c>
      <c r="AE227" s="50" t="s">
        <v>4370</v>
      </c>
    </row>
    <row r="228" spans="1:31">
      <c r="A228" s="50" t="s">
        <v>4492</v>
      </c>
      <c r="B228" s="50" t="s">
        <v>845</v>
      </c>
      <c r="C228" s="50" t="s">
        <v>846</v>
      </c>
      <c r="D228" s="50" t="e">
        <f ca="1">Image("https://images-na.ssl-images-amazon.com/images/I/31p4MRZAVVL.jpg;https://images-na.ssl-images-amazon.com/images/I/31MIcaGpYjL.jpg;https://images-na.ssl-images-amazon.com/images/I/31TcE7VonpL.jpg;https://images-na.ssl-images-amazon.com/images/I/2140EJVLhDL"&amp;".jpg;https://images-na.ssl-images-amazon.com/images/I/41s-Kjcqp0L.jpg;https://images-na.ssl-images-amazon.com/images/I/41T156Ka28L.jpg")</f>
        <v>#NAME?</v>
      </c>
      <c r="E228" s="50" t="s">
        <v>20</v>
      </c>
      <c r="F228" s="50" t="s">
        <v>847</v>
      </c>
      <c r="G228" s="50">
        <v>6</v>
      </c>
      <c r="H228" s="50">
        <v>1</v>
      </c>
      <c r="I228" s="50">
        <v>75.94</v>
      </c>
      <c r="K228" s="50">
        <v>-0.08</v>
      </c>
      <c r="L228" s="50">
        <v>-0.08</v>
      </c>
      <c r="R228" s="50">
        <v>16.670000000000002</v>
      </c>
      <c r="T228" s="50">
        <v>-13.19</v>
      </c>
      <c r="U228" s="50">
        <v>-54.71</v>
      </c>
      <c r="W228" s="50">
        <v>7.96</v>
      </c>
      <c r="X228" s="50">
        <v>7.96</v>
      </c>
      <c r="Y228" s="50">
        <v>7.96</v>
      </c>
      <c r="AA228" s="50">
        <v>10.48</v>
      </c>
      <c r="AC228" s="50">
        <v>1156067</v>
      </c>
      <c r="AD228" s="50">
        <v>0.11</v>
      </c>
      <c r="AE228" s="50" t="s">
        <v>4370</v>
      </c>
    </row>
    <row r="229" spans="1:31">
      <c r="A229" s="50" t="s">
        <v>4493</v>
      </c>
      <c r="B229" s="50" t="s">
        <v>829</v>
      </c>
      <c r="C229" s="50" t="s">
        <v>830</v>
      </c>
      <c r="D229" s="50" t="e">
        <f ca="1">Image("https://images-na.ssl-images-amazon.com/images/I/41FZz-Zn5jL.jpg;https://images-na.ssl-images-amazon.com/images/I/41SqjvmghOL.jpg;https://images-na.ssl-images-amazon.com/images/I/3177cZgjV1L.jpg")</f>
        <v>#NAME?</v>
      </c>
      <c r="E229" s="50" t="s">
        <v>16</v>
      </c>
      <c r="F229" s="50" t="s">
        <v>831</v>
      </c>
      <c r="G229" s="50">
        <v>5</v>
      </c>
      <c r="H229" s="50">
        <v>4</v>
      </c>
      <c r="I229" s="50">
        <v>67.45</v>
      </c>
      <c r="R229" s="50">
        <v>80</v>
      </c>
      <c r="S229" s="50" t="s">
        <v>1217</v>
      </c>
      <c r="T229" s="50">
        <v>-47.49</v>
      </c>
      <c r="U229" s="50">
        <v>-10.1</v>
      </c>
      <c r="W229" s="50">
        <v>9.86</v>
      </c>
      <c r="X229" s="50">
        <v>9.86</v>
      </c>
      <c r="Y229" s="50">
        <v>9.86</v>
      </c>
      <c r="AA229" s="50">
        <v>14.62</v>
      </c>
      <c r="AC229" s="50">
        <v>384069</v>
      </c>
      <c r="AE229" s="50" t="s">
        <v>4370</v>
      </c>
    </row>
    <row r="230" spans="1:31">
      <c r="A230" s="50" t="s">
        <v>4494</v>
      </c>
      <c r="B230" s="50" t="s">
        <v>740</v>
      </c>
      <c r="C230" s="50" t="s">
        <v>741</v>
      </c>
      <c r="D230" s="50" t="e">
        <f ca="1">Image("https://images-na.ssl-images-amazon.com/images/I/41SWQ6YoovL.jpg;https://images-na.ssl-images-amazon.com/images/I/41Ywbyzf4dL.jpg;https://images-na.ssl-images-amazon.com/images/I/31dQn+3uftL.jpg")</f>
        <v>#NAME?</v>
      </c>
      <c r="E230" s="50" t="s">
        <v>16</v>
      </c>
      <c r="F230" s="50" t="s">
        <v>742</v>
      </c>
      <c r="G230" s="50">
        <v>5</v>
      </c>
      <c r="I230" s="50">
        <v>35</v>
      </c>
      <c r="S230" s="50" t="s">
        <v>1217</v>
      </c>
      <c r="U230" s="50">
        <v>-19.02</v>
      </c>
      <c r="W230" s="50">
        <v>15.98</v>
      </c>
      <c r="X230" s="50">
        <v>15.98</v>
      </c>
      <c r="Y230" s="50">
        <v>15.98</v>
      </c>
      <c r="AA230" s="50">
        <v>45.66</v>
      </c>
      <c r="AC230" s="50">
        <v>353157</v>
      </c>
      <c r="AE230" s="50" t="s">
        <v>4370</v>
      </c>
    </row>
    <row r="231" spans="1:31">
      <c r="A231" s="50" t="s">
        <v>4495</v>
      </c>
      <c r="B231" s="50" t="s">
        <v>1128</v>
      </c>
      <c r="C231" s="50" t="s">
        <v>1129</v>
      </c>
      <c r="D231" s="50" t="e">
        <f ca="1">Image("https://images-na.ssl-images-amazon.com/images/I/51f2Q7Le+kL.jpg;https://images-na.ssl-images-amazon.com/images/I/516RHvBUo2L.jpg;https://images-na.ssl-images-amazon.com/images/I/411zTd0YqSL.jpg;https://images-na.ssl-images-amazon.com/images/I/41Fs8hSUqUL"&amp;".jpg;https://images-na.ssl-images-amazon.com/images/I/41ssZ0uTeDL.jpg;https://images-na.ssl-images-amazon.com/images/I/51NsRxyEzqL.jpg")</f>
        <v>#NAME?</v>
      </c>
      <c r="E231" s="50" t="s">
        <v>16</v>
      </c>
      <c r="F231" s="50" t="s">
        <v>360</v>
      </c>
      <c r="G231" s="50">
        <v>5</v>
      </c>
      <c r="I231" s="50">
        <v>130.46</v>
      </c>
      <c r="S231" s="50" t="s">
        <v>1217</v>
      </c>
      <c r="U231" s="50">
        <v>-183.21</v>
      </c>
      <c r="W231" s="50">
        <v>-52.75</v>
      </c>
      <c r="X231" s="50">
        <v>-52.75</v>
      </c>
      <c r="Y231" s="50">
        <v>-52.75</v>
      </c>
      <c r="AA231" s="50">
        <v>-40.43</v>
      </c>
      <c r="AC231" s="50">
        <v>48401</v>
      </c>
      <c r="AE231" s="50" t="s">
        <v>4370</v>
      </c>
    </row>
    <row r="232" spans="1:31">
      <c r="A232" s="50" t="s">
        <v>4496</v>
      </c>
      <c r="B232" s="50" t="s">
        <v>381</v>
      </c>
      <c r="C232" s="50" t="s">
        <v>382</v>
      </c>
      <c r="D232" s="50" t="e">
        <f ca="1">Image("https://images-na.ssl-images-amazon.com/images/I/51XXMHOfvHL.jpg;https://images-na.ssl-images-amazon.com/images/I/51-oevD1sfL.jpg;https://images-na.ssl-images-amazon.com/images/I/51rlEk-ifVL.jpg;https://images-na.ssl-images-amazon.com/images/I/61QFTeQHz7L"&amp;".jpg;https://images-na.ssl-images-amazon.com/images/I/513kSGDfDbL.jpg;https://images-na.ssl-images-amazon.com/images/I/518YvvP9pvL.jpg;https://images-na.ssl-images-amazon.com/images/I/51L37dHsiuL.jpg;https://images-na.ssl-images-amazon.com/images/I/419TMH"&amp;"jSq9L.jpg")</f>
        <v>#NAME?</v>
      </c>
      <c r="E232" s="50" t="s">
        <v>20</v>
      </c>
      <c r="F232" s="50" t="s">
        <v>383</v>
      </c>
      <c r="G232" s="50">
        <v>5</v>
      </c>
      <c r="I232" s="50">
        <v>47</v>
      </c>
      <c r="S232" s="50" t="s">
        <v>1217</v>
      </c>
      <c r="U232" s="50">
        <v>-59.73</v>
      </c>
      <c r="W232" s="50">
        <v>-12.73</v>
      </c>
      <c r="X232" s="50">
        <v>-12.73</v>
      </c>
      <c r="Y232" s="50">
        <v>-12.73</v>
      </c>
      <c r="AA232" s="50">
        <v>-27.09</v>
      </c>
      <c r="AC232" s="50">
        <v>205817</v>
      </c>
      <c r="AE232" s="50" t="s">
        <v>4370</v>
      </c>
    </row>
    <row r="233" spans="1:31">
      <c r="A233" s="50" t="s">
        <v>4497</v>
      </c>
      <c r="B233" s="50" t="s">
        <v>512</v>
      </c>
      <c r="C233" s="50" t="s">
        <v>513</v>
      </c>
      <c r="D233" s="50" t="e">
        <f ca="1">Image("https://images-na.ssl-images-amazon.com/images/I/41nqJs9rWfL.jpg;https://images-na.ssl-images-amazon.com/images/I/31cfoZJy8WL.jpg;https://images-na.ssl-images-amazon.com/images/I/51Yxjdxj-RL.jpg;https://images-na.ssl-images-amazon.com/images/I/51xrWYBGhJL"&amp;".jpg;https://images-na.ssl-images-amazon.com/images/I/51LgTBMU3QL.jpg;https://images-na.ssl-images-amazon.com/images/I/51qltnEr4KL.jpg")</f>
        <v>#NAME?</v>
      </c>
      <c r="E233" s="50" t="s">
        <v>20</v>
      </c>
      <c r="F233" s="50" t="s">
        <v>514</v>
      </c>
      <c r="G233" s="50">
        <v>5</v>
      </c>
      <c r="I233" s="50">
        <v>74.349999999999994</v>
      </c>
      <c r="S233" s="50" t="s">
        <v>1217</v>
      </c>
      <c r="U233" s="50">
        <v>-11.14</v>
      </c>
      <c r="W233" s="50">
        <v>63.21</v>
      </c>
      <c r="X233" s="50">
        <v>63.21</v>
      </c>
      <c r="Y233" s="50">
        <v>63.21</v>
      </c>
      <c r="AA233" s="50">
        <v>85.02</v>
      </c>
      <c r="AC233" s="50">
        <v>317291</v>
      </c>
      <c r="AE233" s="50" t="s">
        <v>4370</v>
      </c>
    </row>
    <row r="234" spans="1:31">
      <c r="A234" s="50" t="s">
        <v>4498</v>
      </c>
      <c r="B234" s="50" t="s">
        <v>613</v>
      </c>
      <c r="C234" s="50" t="s">
        <v>614</v>
      </c>
      <c r="D234" s="50" t="e">
        <f ca="1">Image("https://images-na.ssl-images-amazon.com/images/I/415kbYiL9JL.jpg;https://images-na.ssl-images-amazon.com/images/I/41iQjIYeymL.jpg;https://images-na.ssl-images-amazon.com/images/I/41o1+t5+9+L.jpg;https://images-na.ssl-images-amazon.com/images/I/51oZv4BcktL"&amp;".jpg;https://images-na.ssl-images-amazon.com/images/I/51rV56r0fXL.jpg;https://images-na.ssl-images-amazon.com/images/I/51hqopAg6uL.jpg")</f>
        <v>#NAME?</v>
      </c>
      <c r="E234" s="50" t="s">
        <v>20</v>
      </c>
      <c r="F234" s="50" t="s">
        <v>615</v>
      </c>
      <c r="G234" s="50">
        <v>5</v>
      </c>
      <c r="H234" s="50">
        <v>2</v>
      </c>
      <c r="I234" s="50">
        <v>69.95</v>
      </c>
      <c r="R234" s="50">
        <v>40</v>
      </c>
      <c r="S234" s="50" t="s">
        <v>1217</v>
      </c>
      <c r="T234" s="50">
        <v>-23.5</v>
      </c>
      <c r="U234" s="50">
        <v>-14</v>
      </c>
      <c r="W234" s="50">
        <v>32.450000000000003</v>
      </c>
      <c r="X234" s="50">
        <v>32.450000000000003</v>
      </c>
      <c r="Y234" s="50">
        <v>32.450000000000003</v>
      </c>
      <c r="AA234" s="50">
        <v>46.39</v>
      </c>
      <c r="AC234" s="50">
        <v>90695</v>
      </c>
      <c r="AE234" s="50" t="s">
        <v>4370</v>
      </c>
    </row>
    <row r="235" spans="1:31">
      <c r="A235" s="50" t="s">
        <v>4499</v>
      </c>
      <c r="B235" s="50" t="s">
        <v>686</v>
      </c>
      <c r="C235" s="50" t="s">
        <v>687</v>
      </c>
      <c r="D235" s="50" t="e">
        <f ca="1">Image("https://images-na.ssl-images-amazon.com/images/I/31znvpyyj2S.jpg;https://images-na.ssl-images-amazon.com/images/I/21NBTn07TTS.jpg;https://images-na.ssl-images-amazon.com/images/I/31vEiv96NbS.jpg;https://images-na.ssl-images-amazon.com/images/I/31rm24UTz7L"&amp;".jpg;https://images-na.ssl-images-amazon.com/images/I/51J2f5j689L.jpg;https://images-na.ssl-images-amazon.com/images/I/41wQ3D6OO0L.jpg;https://images-na.ssl-images-amazon.com/images/I/51aSzSKJNvL.jpg")</f>
        <v>#NAME?</v>
      </c>
      <c r="E235" s="50" t="s">
        <v>20</v>
      </c>
      <c r="F235" s="50" t="s">
        <v>688</v>
      </c>
      <c r="G235" s="50">
        <v>5</v>
      </c>
      <c r="I235" s="50">
        <v>30.48</v>
      </c>
      <c r="S235" s="50" t="s">
        <v>1217</v>
      </c>
      <c r="U235" s="50">
        <v>-23.23</v>
      </c>
      <c r="W235" s="50">
        <v>7.25</v>
      </c>
      <c r="X235" s="50">
        <v>7.25</v>
      </c>
      <c r="Y235" s="50">
        <v>7.25</v>
      </c>
      <c r="AA235" s="50">
        <v>23.79</v>
      </c>
      <c r="AC235" s="50">
        <v>1808575</v>
      </c>
      <c r="AE235" s="50" t="s">
        <v>4370</v>
      </c>
    </row>
    <row r="236" spans="1:31">
      <c r="A236" s="50" t="s">
        <v>4500</v>
      </c>
      <c r="B236" s="50" t="s">
        <v>893</v>
      </c>
      <c r="C236" s="50" t="s">
        <v>894</v>
      </c>
      <c r="D236" s="50" t="e">
        <f ca="1">Image("https://images-na.ssl-images-amazon.com/images/I/41xJDdWJkmS.jpg;https://images-na.ssl-images-amazon.com/images/I/31PalhmCoUS.jpg;https://images-na.ssl-images-amazon.com/images/I/41goTcNz6AS.jpg;https://images-na.ssl-images-amazon.com/images/I/411S6q0Q2ZL"&amp;".jpg;https://images-na.ssl-images-amazon.com/images/I/517R0GsaR4L.jpg;https://images-na.ssl-images-amazon.com/images/I/51321BECnjL.jpg;https://images-na.ssl-images-amazon.com/images/I/51HJtn1RGuL.jpg")</f>
        <v>#NAME?</v>
      </c>
      <c r="E236" s="50" t="s">
        <v>20</v>
      </c>
      <c r="F236" s="50" t="s">
        <v>895</v>
      </c>
      <c r="G236" s="50">
        <v>5</v>
      </c>
      <c r="I236" s="50">
        <v>28.9</v>
      </c>
      <c r="S236" s="50" t="s">
        <v>1217</v>
      </c>
      <c r="U236" s="50">
        <v>-24.38</v>
      </c>
      <c r="W236" s="50">
        <v>4.5199999999999996</v>
      </c>
      <c r="X236" s="50">
        <v>4.5199999999999996</v>
      </c>
      <c r="Y236" s="50">
        <v>4.5199999999999996</v>
      </c>
      <c r="AA236" s="50">
        <v>15.64</v>
      </c>
      <c r="AC236" s="50">
        <v>1808575</v>
      </c>
      <c r="AE236" s="50" t="s">
        <v>4370</v>
      </c>
    </row>
    <row r="237" spans="1:31">
      <c r="A237" s="50" t="s">
        <v>4501</v>
      </c>
      <c r="B237" s="50" t="s">
        <v>566</v>
      </c>
      <c r="C237" s="50" t="s">
        <v>4502</v>
      </c>
      <c r="D237" s="50" t="e">
        <f ca="1">Image("https://images-na.ssl-images-amazon.com/images/I/31KCPTP+qNL.jpg;https://images-na.ssl-images-amazon.com/images/I/319VuiJ2nvL.jpg;https://images-na.ssl-images-amazon.com/images/I/31VDfo7Uj5L.jpg;https://images-na.ssl-images-amazon.com/images/I/41JIPc31d6L"&amp;".jpg;https://images-na.ssl-images-amazon.com/images/I/41YDRczuiGL.jpg;https://images-na.ssl-images-amazon.com/images/I/51TAiw2MGTL.jpg;https://images-na.ssl-images-amazon.com/images/I/41cLO3ZWQoL.jpg")</f>
        <v>#NAME?</v>
      </c>
      <c r="E237" s="50" t="s">
        <v>20</v>
      </c>
      <c r="F237" s="50" t="s">
        <v>568</v>
      </c>
      <c r="G237" s="50">
        <v>5</v>
      </c>
      <c r="I237" s="50">
        <v>25.5</v>
      </c>
      <c r="S237" s="50" t="s">
        <v>1217</v>
      </c>
      <c r="U237" s="50">
        <v>-15.57</v>
      </c>
      <c r="W237" s="50">
        <v>9.93</v>
      </c>
      <c r="X237" s="50">
        <v>9.93</v>
      </c>
      <c r="Y237" s="50">
        <v>9.93</v>
      </c>
      <c r="AA237" s="50">
        <v>38.94</v>
      </c>
      <c r="AC237" s="50">
        <v>189132</v>
      </c>
      <c r="AE237" s="50" t="s">
        <v>4370</v>
      </c>
    </row>
    <row r="238" spans="1:31">
      <c r="A238" s="50" t="s">
        <v>4503</v>
      </c>
      <c r="B238" s="50" t="s">
        <v>393</v>
      </c>
      <c r="C238" s="50" t="s">
        <v>394</v>
      </c>
      <c r="D238" s="50" t="e">
        <f ca="1">Image("https://images-na.ssl-images-amazon.com/images/I/51c6tAKGoYL.jpg;https://images-na.ssl-images-amazon.com/images/I/41QOGsXOB0L.jpg;https://images-na.ssl-images-amazon.com/images/I/41p9V6FtZcL.jpg;https://images-na.ssl-images-amazon.com/images/I/51kqR-rkioL"&amp;".jpg;https://images-na.ssl-images-amazon.com/images/I/41MI2j5PI6L.jpg;https://images-na.ssl-images-amazon.com/images/I/41DQGJc6sFL.jpg;https://images-na.ssl-images-amazon.com/images/I/51TlGUEJwNL.jpg;https://images-na.ssl-images-amazon.com/images/I/51I0FX"&amp;"KtoGL.jpg;https://images-na.ssl-images-amazon.com/images/I/51tO9mSNCPL.jpg")</f>
        <v>#NAME?</v>
      </c>
      <c r="E238" s="50" t="s">
        <v>20</v>
      </c>
      <c r="F238" s="50" t="s">
        <v>395</v>
      </c>
      <c r="G238" s="50">
        <v>4</v>
      </c>
      <c r="I238" s="50">
        <v>67.56</v>
      </c>
      <c r="S238" s="50" t="s">
        <v>1217</v>
      </c>
      <c r="U238" s="50">
        <v>-159.41999999999999</v>
      </c>
      <c r="W238" s="50">
        <v>-91.86</v>
      </c>
      <c r="X238" s="50">
        <v>-91.86</v>
      </c>
      <c r="Y238" s="50">
        <v>-91.86</v>
      </c>
      <c r="AA238" s="50">
        <v>-135.97</v>
      </c>
      <c r="AC238" s="50">
        <v>505892</v>
      </c>
      <c r="AE238" s="50" t="s">
        <v>4370</v>
      </c>
    </row>
    <row r="239" spans="1:31">
      <c r="A239" s="50" t="s">
        <v>4397</v>
      </c>
      <c r="B239" s="50" t="s">
        <v>133</v>
      </c>
      <c r="C239" s="50" t="s">
        <v>4504</v>
      </c>
      <c r="D239" s="50" t="e">
        <f ca="1">Image("https://images-na.ssl-images-amazon.com/images/I/51nHGj1X3wL.jpg;https://images-na.ssl-images-amazon.com/images/I/41eH2MC-bxL.jpg;https://images-na.ssl-images-amazon.com/images/I/41BbOMETspL.jpg;https://images-na.ssl-images-amazon.com/images/I/41uoF6ucv5L"&amp;".jpg;https://images-na.ssl-images-amazon.com/images/I/51mvhruf2OL.jpg;https://images-na.ssl-images-amazon.com/images/I/61uCEYPxRvL.jpg;https://images-na.ssl-images-amazon.com/images/I/41ykDXxBy9L.jpg")</f>
        <v>#NAME?</v>
      </c>
      <c r="E239" s="50" t="s">
        <v>20</v>
      </c>
      <c r="F239" s="50" t="s">
        <v>135</v>
      </c>
      <c r="G239" s="50">
        <v>4</v>
      </c>
      <c r="I239" s="50">
        <v>71.959999999999994</v>
      </c>
      <c r="S239" s="50" t="s">
        <v>1217</v>
      </c>
      <c r="U239" s="50">
        <v>-10.8</v>
      </c>
      <c r="W239" s="50">
        <v>61.16</v>
      </c>
      <c r="X239" s="50">
        <v>61.16</v>
      </c>
      <c r="Y239" s="50">
        <v>61.16</v>
      </c>
      <c r="AA239" s="50">
        <v>84.99</v>
      </c>
      <c r="AC239" s="50">
        <v>388812</v>
      </c>
      <c r="AE239" s="50" t="s">
        <v>4370</v>
      </c>
    </row>
    <row r="240" spans="1:31">
      <c r="A240" s="50" t="s">
        <v>4505</v>
      </c>
      <c r="B240" s="50" t="s">
        <v>1016</v>
      </c>
      <c r="C240" s="50" t="s">
        <v>4506</v>
      </c>
      <c r="D240" s="50" t="e">
        <f ca="1">Image("https://images-na.ssl-images-amazon.com/images/I/315FRLu3f6L.jpg;https://images-na.ssl-images-amazon.com/images/I/41yxmwlZw0L.jpg;https://images-na.ssl-images-amazon.com/images/I/31gb-Qky7bL.jpg;https://images-na.ssl-images-amazon.com/images/I/41vgY6--x+L"&amp;".jpg;https://images-na.ssl-images-amazon.com/images/I/415QNYmdDtL.jpg;https://images-na.ssl-images-amazon.com/images/I/41bI9upgZ7L.jpg;https://images-na.ssl-images-amazon.com/images/I/41UM6xAtSnL.jpg")</f>
        <v>#NAME?</v>
      </c>
      <c r="E240" s="50" t="s">
        <v>20</v>
      </c>
      <c r="F240" s="50" t="s">
        <v>1018</v>
      </c>
      <c r="G240" s="50">
        <v>4</v>
      </c>
      <c r="I240" s="50">
        <v>22</v>
      </c>
      <c r="S240" s="50" t="s">
        <v>1217</v>
      </c>
      <c r="U240" s="50">
        <v>-20.8</v>
      </c>
      <c r="W240" s="50">
        <v>1.2</v>
      </c>
      <c r="X240" s="50">
        <v>1.2</v>
      </c>
      <c r="Y240" s="50">
        <v>1.2</v>
      </c>
      <c r="AA240" s="50">
        <v>5.45</v>
      </c>
      <c r="AC240" s="50">
        <v>153686</v>
      </c>
      <c r="AE240" s="50" t="s">
        <v>4370</v>
      </c>
    </row>
    <row r="241" spans="1:31">
      <c r="A241" s="50" t="s">
        <v>4507</v>
      </c>
      <c r="B241" s="50" t="s">
        <v>177</v>
      </c>
      <c r="C241" s="50" t="s">
        <v>178</v>
      </c>
      <c r="D241" s="50" t="e">
        <f ca="1">Image("https://images-na.ssl-images-amazon.com/images/I/51Ehvwzry3L.jpg;https://images-na.ssl-images-amazon.com/images/I/51iHJKv8U7L.jpg;https://images-na.ssl-images-amazon.com/images/I/41BsSSDnaoL.jpg;https://images-na.ssl-images-amazon.com/images/I/41EA7HcLmRL"&amp;".jpg;https://images-na.ssl-images-amazon.com/images/I/41V2hKyQAfL.jpg;https://images-na.ssl-images-amazon.com/images/I/51mKkCBcUbL.jpg;https://images-na.ssl-images-amazon.com/images/I/61gwCr5gKGL.jpg")</f>
        <v>#NAME?</v>
      </c>
      <c r="E241" s="50" t="s">
        <v>20</v>
      </c>
      <c r="F241" s="50" t="s">
        <v>179</v>
      </c>
      <c r="G241" s="50">
        <v>4</v>
      </c>
      <c r="I241" s="50">
        <v>116.76</v>
      </c>
      <c r="S241" s="50" t="s">
        <v>1217</v>
      </c>
      <c r="U241" s="50">
        <v>-90.1</v>
      </c>
      <c r="W241" s="50">
        <v>26.66</v>
      </c>
      <c r="X241" s="50">
        <v>26.66</v>
      </c>
      <c r="Y241" s="50">
        <v>26.66</v>
      </c>
      <c r="AA241" s="50">
        <v>22.83</v>
      </c>
      <c r="AC241" s="50">
        <v>560528</v>
      </c>
      <c r="AE241" s="50" t="s">
        <v>4370</v>
      </c>
    </row>
    <row r="242" spans="1:31">
      <c r="A242" s="50" t="s">
        <v>4508</v>
      </c>
      <c r="B242" s="50" t="s">
        <v>52</v>
      </c>
      <c r="C242" s="50" t="s">
        <v>4509</v>
      </c>
      <c r="D242" s="50" t="e">
        <f ca="1">Image("https://images-na.ssl-images-amazon.com/images/I/51NhfyJ8RXL.jpg;https://images-na.ssl-images-amazon.com/images/I/51fx5QVoZEL.jpg;https://images-na.ssl-images-amazon.com/images/I/51Pp3kjpyVL.jpg;https://images-na.ssl-images-amazon.com/images/I/51TkE7yOr8L"&amp;".jpg;https://images-na.ssl-images-amazon.com/images/I/51QbzfTP8aL.jpg;https://images-na.ssl-images-amazon.com/images/I/51x7uYgimCL.jpg;https://images-na.ssl-images-amazon.com/images/I/61xCBM3xztL.jpg")</f>
        <v>#NAME?</v>
      </c>
      <c r="E242" s="50" t="s">
        <v>20</v>
      </c>
      <c r="F242" s="50" t="s">
        <v>54</v>
      </c>
      <c r="G242" s="50">
        <v>4</v>
      </c>
      <c r="H242" s="50">
        <v>3</v>
      </c>
      <c r="I242" s="50">
        <v>43.95</v>
      </c>
      <c r="R242" s="50">
        <v>75</v>
      </c>
      <c r="S242" s="50" t="s">
        <v>1217</v>
      </c>
      <c r="T242" s="50">
        <v>-29</v>
      </c>
      <c r="U242" s="50">
        <v>-6.6</v>
      </c>
      <c r="W242" s="50">
        <v>8.35</v>
      </c>
      <c r="X242" s="50">
        <v>8.35</v>
      </c>
      <c r="Y242" s="50">
        <v>8.35</v>
      </c>
      <c r="AA242" s="50">
        <v>19</v>
      </c>
      <c r="AC242" s="50">
        <v>153012</v>
      </c>
      <c r="AE242" s="50" t="s">
        <v>4370</v>
      </c>
    </row>
    <row r="243" spans="1:31">
      <c r="A243" s="50" t="s">
        <v>4510</v>
      </c>
      <c r="B243" s="50" t="s">
        <v>680</v>
      </c>
      <c r="C243" s="50" t="s">
        <v>681</v>
      </c>
      <c r="D243" s="50" t="e">
        <f ca="1">Image("https://images-na.ssl-images-amazon.com/images/I/51aWfgAE-EL.jpg;https://images-na.ssl-images-amazon.com/images/I/51kmFr815YL.jpg;https://images-na.ssl-images-amazon.com/images/I/51Yxjdxj-RL.jpg;https://images-na.ssl-images-amazon.com/images/I/41PktYaRd6L"&amp;".jpg;https://images-na.ssl-images-amazon.com/images/I/61sedC25fxL.jpg;https://images-na.ssl-images-amazon.com/images/I/614sHuOfgKL.jpg;https://images-na.ssl-images-amazon.com/images/I/61NgN-LRVML.jpg")</f>
        <v>#NAME?</v>
      </c>
      <c r="E243" s="50" t="s">
        <v>20</v>
      </c>
      <c r="F243" s="50" t="s">
        <v>682</v>
      </c>
      <c r="G243" s="50">
        <v>4</v>
      </c>
      <c r="H243" s="50">
        <v>2</v>
      </c>
      <c r="I243" s="50">
        <v>55.96</v>
      </c>
      <c r="R243" s="50">
        <v>50</v>
      </c>
      <c r="S243" s="50" t="s">
        <v>1217</v>
      </c>
      <c r="T243" s="50">
        <v>-24.62</v>
      </c>
      <c r="U243" s="50">
        <v>-8.4</v>
      </c>
      <c r="W243" s="50">
        <v>22.94</v>
      </c>
      <c r="X243" s="50">
        <v>22.94</v>
      </c>
      <c r="Y243" s="50">
        <v>22.94</v>
      </c>
      <c r="AA243" s="50">
        <v>40.99</v>
      </c>
      <c r="AC243" s="50">
        <v>317291</v>
      </c>
      <c r="AE243" s="50" t="s">
        <v>4370</v>
      </c>
    </row>
    <row r="244" spans="1:31">
      <c r="A244" s="50" t="s">
        <v>4511</v>
      </c>
      <c r="B244" s="50" t="s">
        <v>491</v>
      </c>
      <c r="C244" s="50" t="s">
        <v>492</v>
      </c>
      <c r="D244" s="50" t="e">
        <f ca="1">Image("https://images-na.ssl-images-amazon.com/images/I/41M+BnRmcyL.jpg;https://images-na.ssl-images-amazon.com/images/I/41qZLOjP3NL.jpg;https://images-na.ssl-images-amazon.com/images/I/51F5c+bp78L.jpg")</f>
        <v>#NAME?</v>
      </c>
      <c r="E244" s="50" t="s">
        <v>16</v>
      </c>
      <c r="F244" s="50" t="s">
        <v>493</v>
      </c>
      <c r="G244" s="50">
        <v>4</v>
      </c>
      <c r="I244" s="50">
        <v>62.97</v>
      </c>
      <c r="S244" s="50" t="s">
        <v>1217</v>
      </c>
      <c r="U244" s="50">
        <v>8.0399999999999991</v>
      </c>
      <c r="W244" s="50">
        <v>71.010000000000005</v>
      </c>
      <c r="X244" s="50">
        <v>71.010000000000005</v>
      </c>
      <c r="Y244" s="50">
        <v>71.010000000000005</v>
      </c>
      <c r="AA244" s="50">
        <v>112.77</v>
      </c>
      <c r="AC244" s="50">
        <v>2405808</v>
      </c>
      <c r="AE244" s="50" t="s">
        <v>4370</v>
      </c>
    </row>
    <row r="245" spans="1:31">
      <c r="A245" s="50" t="s">
        <v>4512</v>
      </c>
      <c r="B245" s="50" t="s">
        <v>355</v>
      </c>
      <c r="C245" s="50" t="s">
        <v>356</v>
      </c>
      <c r="D245" s="50" t="e">
        <f ca="1">Image("https://images-na.ssl-images-amazon.com/images/I/31rfydc2mQL.jpg;https://images-na.ssl-images-amazon.com/images/I/312lrVBIHYL.jpg;https://images-na.ssl-images-amazon.com/images/I/31ZkyTzDxcL.jpg;https://images-na.ssl-images-amazon.com/images/I/510nwfBN1vL"&amp;".jpg;https://images-na.ssl-images-amazon.com/images/I/51-14-yMsIL.jpg;https://images-na.ssl-images-amazon.com/images/I/51OjJFS+R0L.jpg")</f>
        <v>#NAME?</v>
      </c>
      <c r="E245" s="50" t="s">
        <v>20</v>
      </c>
      <c r="F245" s="50" t="s">
        <v>357</v>
      </c>
      <c r="G245" s="50">
        <v>4</v>
      </c>
      <c r="H245" s="50">
        <v>2</v>
      </c>
      <c r="I245" s="50">
        <v>55.96</v>
      </c>
      <c r="R245" s="50">
        <v>50</v>
      </c>
      <c r="S245" s="50" t="s">
        <v>1217</v>
      </c>
      <c r="T245" s="50">
        <v>-23.5</v>
      </c>
      <c r="U245" s="50">
        <v>-11.2</v>
      </c>
      <c r="W245" s="50">
        <v>21.26</v>
      </c>
      <c r="X245" s="50">
        <v>21.26</v>
      </c>
      <c r="Y245" s="50">
        <v>21.26</v>
      </c>
      <c r="AA245" s="50">
        <v>37.99</v>
      </c>
      <c r="AC245" s="50">
        <v>90695</v>
      </c>
      <c r="AE245" s="50" t="s">
        <v>4370</v>
      </c>
    </row>
    <row r="246" spans="1:31">
      <c r="A246" s="50" t="s">
        <v>4513</v>
      </c>
      <c r="B246" s="50" t="s">
        <v>605</v>
      </c>
      <c r="C246" s="50" t="s">
        <v>606</v>
      </c>
      <c r="D246" s="50" t="e">
        <f ca="1">Image("https://images-na.ssl-images-amazon.com/images/I/51PPPIAkZkS.jpg;https://images-na.ssl-images-amazon.com/images/I/51wVZ9NWzjS.jpg;https://images-na.ssl-images-amazon.com/images/I/31aoz4vNbgL.jpg;https://images-na.ssl-images-amazon.com/images/I/613n8XPyBlL"&amp;".jpg;https://images-na.ssl-images-amazon.com/images/I/51S7NZiawqL.jpg;https://images-na.ssl-images-amazon.com/images/I/51hJ7cawVeL.jpg")</f>
        <v>#NAME?</v>
      </c>
      <c r="E246" s="50" t="s">
        <v>20</v>
      </c>
      <c r="F246" s="50" t="s">
        <v>607</v>
      </c>
      <c r="G246" s="50">
        <v>4</v>
      </c>
      <c r="H246" s="50">
        <v>1</v>
      </c>
      <c r="I246" s="50">
        <v>55.96</v>
      </c>
      <c r="R246" s="50">
        <v>25</v>
      </c>
      <c r="S246" s="50" t="s">
        <v>1217</v>
      </c>
      <c r="T246" s="50">
        <v>-11.75</v>
      </c>
      <c r="U246" s="50">
        <v>-11.2</v>
      </c>
      <c r="W246" s="50">
        <v>33.01</v>
      </c>
      <c r="X246" s="50">
        <v>33.01</v>
      </c>
      <c r="Y246" s="50">
        <v>33.01</v>
      </c>
      <c r="AA246" s="50">
        <v>58.99</v>
      </c>
      <c r="AC246" s="50">
        <v>90695</v>
      </c>
      <c r="AE246" s="50" t="s">
        <v>4370</v>
      </c>
    </row>
    <row r="247" spans="1:31">
      <c r="A247" s="50" t="s">
        <v>4514</v>
      </c>
      <c r="B247" s="50" t="s">
        <v>851</v>
      </c>
      <c r="C247" s="50" t="s">
        <v>852</v>
      </c>
      <c r="D247" s="50" t="e">
        <f ca="1">Image("https://images-na.ssl-images-amazon.com/images/I/41iaFMXr1US.jpg;https://images-na.ssl-images-amazon.com/images/I/31gBGTFeDRS.jpg;https://images-na.ssl-images-amazon.com/images/I/31WrOWgDEwS.jpg;https://images-na.ssl-images-amazon.com/images/I/41sDbnvCjcS"&amp;".jpg;https://images-na.ssl-images-amazon.com/images/I/41nAn72JxvS.jpg")</f>
        <v>#NAME?</v>
      </c>
      <c r="E247" s="50" t="s">
        <v>20</v>
      </c>
      <c r="F247" s="50" t="s">
        <v>853</v>
      </c>
      <c r="G247" s="50">
        <v>4</v>
      </c>
      <c r="I247" s="50">
        <v>26.4</v>
      </c>
      <c r="S247" s="50" t="s">
        <v>1217</v>
      </c>
      <c r="U247" s="50">
        <v>-19.440000000000001</v>
      </c>
      <c r="W247" s="50">
        <v>6.96</v>
      </c>
      <c r="X247" s="50">
        <v>6.96</v>
      </c>
      <c r="Y247" s="50">
        <v>6.96</v>
      </c>
      <c r="AA247" s="50">
        <v>26.36</v>
      </c>
      <c r="AC247" s="50">
        <v>1808575</v>
      </c>
      <c r="AE247" s="50" t="s">
        <v>4370</v>
      </c>
    </row>
    <row r="248" spans="1:31">
      <c r="A248" s="50" t="s">
        <v>4515</v>
      </c>
      <c r="B248" s="50" t="s">
        <v>871</v>
      </c>
      <c r="C248" s="50" t="s">
        <v>872</v>
      </c>
      <c r="D248" s="50" t="e">
        <f ca="1">Image("https://images-na.ssl-images-amazon.com/images/I/31JaZY9M5jS.jpg;https://images-na.ssl-images-amazon.com/images/I/31xNWRXNEAS.jpg;https://images-na.ssl-images-amazon.com/images/I/31nXZp+wgMS.jpg;https://images-na.ssl-images-amazon.com/images/I/31TsKXChFiL"&amp;".jpg;https://images-na.ssl-images-amazon.com/images/I/31+o96pfupL.jpg;https://images-na.ssl-images-amazon.com/images/I/4199mwB8xgL.jpg;https://images-na.ssl-images-amazon.com/images/I/41vN7TQMwiL.jpg")</f>
        <v>#NAME?</v>
      </c>
      <c r="E248" s="50" t="s">
        <v>20</v>
      </c>
      <c r="F248" s="50" t="s">
        <v>873</v>
      </c>
      <c r="G248" s="50">
        <v>4</v>
      </c>
      <c r="I248" s="50">
        <v>18.16</v>
      </c>
      <c r="S248" s="50" t="s">
        <v>1217</v>
      </c>
      <c r="U248" s="50">
        <v>-12.4</v>
      </c>
      <c r="W248" s="50">
        <v>5.76</v>
      </c>
      <c r="X248" s="50">
        <v>5.76</v>
      </c>
      <c r="Y248" s="50">
        <v>5.76</v>
      </c>
      <c r="AA248" s="50">
        <v>31.72</v>
      </c>
      <c r="AC248" s="50">
        <v>1808575</v>
      </c>
      <c r="AE248" s="50" t="s">
        <v>4370</v>
      </c>
    </row>
    <row r="249" spans="1:31">
      <c r="A249" s="50" t="s">
        <v>4516</v>
      </c>
      <c r="B249" s="50" t="s">
        <v>418</v>
      </c>
      <c r="C249" s="50" t="s">
        <v>419</v>
      </c>
      <c r="D249" s="50" t="e">
        <f ca="1">Image("https://images-na.ssl-images-amazon.com/images/I/31sAL+MNEEL.jpg")</f>
        <v>#NAME?</v>
      </c>
      <c r="E249" s="50" t="s">
        <v>12</v>
      </c>
      <c r="F249" s="50" t="s">
        <v>420</v>
      </c>
      <c r="G249" s="50">
        <v>4</v>
      </c>
      <c r="I249" s="50">
        <v>121.96</v>
      </c>
      <c r="S249" s="50" t="s">
        <v>1217</v>
      </c>
      <c r="U249" s="50">
        <v>-18.3</v>
      </c>
      <c r="W249" s="50">
        <v>92.67</v>
      </c>
      <c r="X249" s="50">
        <v>92.67</v>
      </c>
      <c r="Y249" s="50">
        <v>103.66</v>
      </c>
      <c r="AA249" s="50">
        <v>75.98</v>
      </c>
      <c r="AC249" s="50">
        <v>1503</v>
      </c>
      <c r="AE249" s="50" t="s">
        <v>4370</v>
      </c>
    </row>
    <row r="250" spans="1:31">
      <c r="A250" s="50" t="s">
        <v>4517</v>
      </c>
      <c r="B250" s="50" t="s">
        <v>139</v>
      </c>
      <c r="C250" s="50" t="s">
        <v>140</v>
      </c>
      <c r="D250" s="50" t="e">
        <f ca="1">Image("https://images-na.ssl-images-amazon.com/images/I/51Rl9tbrpyL.jpg;https://images-na.ssl-images-amazon.com/images/I/51SPR+4SLiL.jpg;https://images-na.ssl-images-amazon.com/images/I/41vfB9m5tOL.jpg;https://images-na.ssl-images-amazon.com/images/I/41v0Aerb4OL"&amp;".jpg;https://images-na.ssl-images-amazon.com/images/I/31tls1anW+L.jpg;https://images-na.ssl-images-amazon.com/images/I/516ZXiYv7NL.jpg")</f>
        <v>#NAME?</v>
      </c>
      <c r="E250" s="50" t="s">
        <v>20</v>
      </c>
      <c r="F250" s="50" t="s">
        <v>141</v>
      </c>
      <c r="G250" s="50">
        <v>4</v>
      </c>
      <c r="H250" s="50">
        <v>1</v>
      </c>
      <c r="I250" s="50">
        <v>143.96</v>
      </c>
      <c r="R250" s="50">
        <v>25</v>
      </c>
      <c r="S250" s="50" t="s">
        <v>1217</v>
      </c>
      <c r="T250" s="50">
        <v>-36.07</v>
      </c>
      <c r="U250" s="50">
        <v>-21.6</v>
      </c>
      <c r="W250" s="50">
        <v>86.29</v>
      </c>
      <c r="X250" s="50">
        <v>86.29</v>
      </c>
      <c r="Y250" s="50">
        <v>86.29</v>
      </c>
      <c r="AA250" s="50">
        <v>59.94</v>
      </c>
      <c r="AC250" s="50">
        <v>36089</v>
      </c>
      <c r="AE250" s="50" t="s">
        <v>4370</v>
      </c>
    </row>
    <row r="251" spans="1:31">
      <c r="A251" s="50" t="s">
        <v>4518</v>
      </c>
      <c r="B251" s="50" t="s">
        <v>292</v>
      </c>
      <c r="C251" s="50" t="s">
        <v>293</v>
      </c>
      <c r="D251" s="50" t="e">
        <f ca="1">Image("https://images-na.ssl-images-amazon.com/images/I/31Ka0DrMSgL.jpg;https://images-na.ssl-images-amazon.com/images/I/31t4bUYcRPL.jpg;https://images-na.ssl-images-amazon.com/images/I/312vyQoLUXL.jpg;https://images-na.ssl-images-amazon.com/images/I/31FMUkazwJL"&amp;".jpg;https://images-na.ssl-images-amazon.com/images/I/516ZXiYv7NL.jpg;https://images-na.ssl-images-amazon.com/images/I/31Kps+HAoQL.jpg")</f>
        <v>#NAME?</v>
      </c>
      <c r="E251" s="50" t="s">
        <v>20</v>
      </c>
      <c r="F251" s="50" t="s">
        <v>141</v>
      </c>
      <c r="G251" s="50">
        <v>4</v>
      </c>
      <c r="H251" s="50">
        <v>1</v>
      </c>
      <c r="I251" s="50">
        <v>128.96</v>
      </c>
      <c r="R251" s="50">
        <v>25</v>
      </c>
      <c r="S251" s="50" t="s">
        <v>1217</v>
      </c>
      <c r="T251" s="50">
        <v>-27.27</v>
      </c>
      <c r="U251" s="50">
        <v>-19.350000000000001</v>
      </c>
      <c r="W251" s="50">
        <v>82.34</v>
      </c>
      <c r="X251" s="50">
        <v>82.34</v>
      </c>
      <c r="Y251" s="50">
        <v>82.34</v>
      </c>
      <c r="AA251" s="50">
        <v>63.85</v>
      </c>
      <c r="AC251" s="50">
        <v>36089</v>
      </c>
      <c r="AE251" s="50" t="s">
        <v>4370</v>
      </c>
    </row>
    <row r="252" spans="1:31">
      <c r="A252" s="50" t="s">
        <v>4519</v>
      </c>
      <c r="B252" s="50" t="s">
        <v>387</v>
      </c>
      <c r="C252" s="50" t="s">
        <v>388</v>
      </c>
      <c r="D252" s="50" t="e">
        <f ca="1">Image("https://images-na.ssl-images-amazon.com/images/I/51wY1nPAduL.jpg;https://images-na.ssl-images-amazon.com/images/I/41gJEkWPxgL.jpg;https://images-na.ssl-images-amazon.com/images/I/516ZXiYv7NL.jpg;https://images-na.ssl-images-amazon.com/images/I/41RgtBH3nCS"&amp;".jpg;https://images-na.ssl-images-amazon.com/images/I/51DRrRncviL.jpg;https://images-na.ssl-images-amazon.com/images/I/31Kps+HAoQL.jpg")</f>
        <v>#NAME?</v>
      </c>
      <c r="E252" s="50" t="s">
        <v>20</v>
      </c>
      <c r="F252" s="50" t="s">
        <v>389</v>
      </c>
      <c r="G252" s="50">
        <v>4</v>
      </c>
      <c r="I252" s="50">
        <v>103.96</v>
      </c>
      <c r="S252" s="50" t="s">
        <v>1217</v>
      </c>
      <c r="U252" s="50">
        <v>-15.6</v>
      </c>
      <c r="W252" s="50">
        <v>88.36</v>
      </c>
      <c r="X252" s="50">
        <v>88.36</v>
      </c>
      <c r="Y252" s="50">
        <v>88.36</v>
      </c>
      <c r="AA252" s="50">
        <v>84.99</v>
      </c>
      <c r="AC252" s="50">
        <v>124070</v>
      </c>
      <c r="AE252" s="50" t="s">
        <v>4370</v>
      </c>
    </row>
    <row r="253" spans="1:31">
      <c r="A253" s="50" t="s">
        <v>4520</v>
      </c>
      <c r="B253" s="50" t="s">
        <v>581</v>
      </c>
      <c r="C253" s="50" t="s">
        <v>582</v>
      </c>
      <c r="D253" s="50" t="e">
        <f ca="1">Image("https://images-na.ssl-images-amazon.com/images/I/41hUI-doAyL.jpg;https://images-na.ssl-images-amazon.com/images/I/41MTO8joLNL.jpg;https://images-na.ssl-images-amazon.com/images/I/415O2xkP8eL.jpg;https://images-na.ssl-images-amazon.com/images/I/41MJsAwGKDL"&amp;".jpg;https://images-na.ssl-images-amazon.com/images/I/31vzSFOnAyL.jpg;https://images-na.ssl-images-amazon.com/images/I/61Ex8c7thXL.jpg")</f>
        <v>#NAME?</v>
      </c>
      <c r="E253" s="50" t="s">
        <v>20</v>
      </c>
      <c r="F253" s="50" t="s">
        <v>440</v>
      </c>
      <c r="G253" s="50">
        <v>4</v>
      </c>
      <c r="I253" s="50">
        <v>54.16</v>
      </c>
      <c r="S253" s="50" t="s">
        <v>1217</v>
      </c>
      <c r="T253" s="50">
        <v>-5.27</v>
      </c>
      <c r="U253" s="50">
        <v>-8.1199999999999992</v>
      </c>
      <c r="W253" s="50">
        <v>40.770000000000003</v>
      </c>
      <c r="X253" s="50">
        <v>40.770000000000003</v>
      </c>
      <c r="Y253" s="50">
        <v>40.770000000000003</v>
      </c>
      <c r="AA253" s="50">
        <v>75.28</v>
      </c>
      <c r="AC253" s="50">
        <v>5216360</v>
      </c>
      <c r="AE253" s="50" t="s">
        <v>4370</v>
      </c>
    </row>
    <row r="254" spans="1:31">
      <c r="A254" s="50" t="s">
        <v>4521</v>
      </c>
      <c r="B254" s="50" t="s">
        <v>575</v>
      </c>
      <c r="C254" s="50" t="s">
        <v>576</v>
      </c>
      <c r="D254" s="50" t="e">
        <f ca="1">Image("https://images-na.ssl-images-amazon.com/images/I/41Kf488QYHL.jpg;https://images-na.ssl-images-amazon.com/images/I/412osnW94qL.jpg;https://images-na.ssl-images-amazon.com/images/I/41szeYYs6CL.jpg;https://images-na.ssl-images-amazon.com/images/I/31+Xz-RtcgL"&amp;".jpg;https://images-na.ssl-images-amazon.com/images/I/21tNNHDftqL.jpg;https://images-na.ssl-images-amazon.com/images/I/21xrXz5FDyL.jpg")</f>
        <v>#NAME?</v>
      </c>
      <c r="E254" s="50" t="s">
        <v>20</v>
      </c>
      <c r="F254" s="50" t="s">
        <v>577</v>
      </c>
      <c r="G254" s="50">
        <v>4</v>
      </c>
      <c r="I254" s="50">
        <v>48.93</v>
      </c>
      <c r="S254" s="50" t="s">
        <v>1217</v>
      </c>
      <c r="U254" s="50">
        <v>-7.35</v>
      </c>
      <c r="W254" s="50">
        <v>41.58</v>
      </c>
      <c r="X254" s="50">
        <v>41.58</v>
      </c>
      <c r="Y254" s="50">
        <v>41.58</v>
      </c>
      <c r="AA254" s="50">
        <v>84.98</v>
      </c>
      <c r="AC254" s="50">
        <v>5216360</v>
      </c>
      <c r="AE254" s="50" t="s">
        <v>4370</v>
      </c>
    </row>
    <row r="255" spans="1:31">
      <c r="A255" s="50" t="s">
        <v>4522</v>
      </c>
      <c r="B255" s="50" t="s">
        <v>73</v>
      </c>
      <c r="C255" s="50" t="s">
        <v>4523</v>
      </c>
      <c r="D255" s="50" t="e">
        <f ca="1">Image("https://images-na.ssl-images-amazon.com/images/I/41Riwv5rLIL.jpg;https://images-na.ssl-images-amazon.com/images/I/41am3P0IcdL.jpg;https://images-na.ssl-images-amazon.com/images/I/41jRuf03hTL.jpg;https://images-na.ssl-images-amazon.com/images/I/41sJxaJ4f0L"&amp;".jpg")</f>
        <v>#NAME?</v>
      </c>
      <c r="E255" s="50" t="s">
        <v>16</v>
      </c>
      <c r="F255" s="50" t="s">
        <v>75</v>
      </c>
      <c r="G255" s="50">
        <v>3</v>
      </c>
      <c r="I255" s="50">
        <v>24</v>
      </c>
      <c r="S255" s="50" t="s">
        <v>1217</v>
      </c>
      <c r="U255" s="50">
        <v>-14.94</v>
      </c>
      <c r="W255" s="50">
        <v>9.06</v>
      </c>
      <c r="X255" s="50">
        <v>9.06</v>
      </c>
      <c r="Y255" s="50">
        <v>9.06</v>
      </c>
      <c r="AA255" s="50">
        <v>37.75</v>
      </c>
      <c r="AC255" s="50">
        <v>294048</v>
      </c>
      <c r="AE255" s="50" t="s">
        <v>4370</v>
      </c>
    </row>
    <row r="256" spans="1:31">
      <c r="A256" s="50" t="s">
        <v>4524</v>
      </c>
      <c r="B256" s="50" t="s">
        <v>115</v>
      </c>
      <c r="C256" s="50" t="s">
        <v>4525</v>
      </c>
      <c r="D256" s="50" t="e">
        <f ca="1">Image("https://images-na.ssl-images-amazon.com/images/I/413ck9lsOKL.jpg;https://images-na.ssl-images-amazon.com/images/I/51UscLhaobL.jpg;https://images-na.ssl-images-amazon.com/images/I/419iX+USdLL.jpg;https://images-na.ssl-images-amazon.com/images/I/41dskjfBfCL"&amp;".jpg;https://images-na.ssl-images-amazon.com/images/I/41aiVR-WqFL.jpg;https://images-na.ssl-images-amazon.com/images/I/417VtmlIFML.jpg;https://images-na.ssl-images-amazon.com/images/I/41BHpUibkjL.jpg;https://images-na.ssl-images-amazon.com/images/I/61tPVZ"&amp;"EHwGL.jpg")</f>
        <v>#NAME?</v>
      </c>
      <c r="E256" s="50" t="s">
        <v>20</v>
      </c>
      <c r="F256" s="50" t="s">
        <v>117</v>
      </c>
      <c r="G256" s="50">
        <v>3</v>
      </c>
      <c r="I256" s="50">
        <v>27</v>
      </c>
      <c r="S256" s="50" t="s">
        <v>1217</v>
      </c>
      <c r="U256" s="50">
        <v>-13.89</v>
      </c>
      <c r="W256" s="50">
        <v>13.11</v>
      </c>
      <c r="X256" s="50">
        <v>13.11</v>
      </c>
      <c r="Y256" s="50">
        <v>13.11</v>
      </c>
      <c r="AA256" s="50">
        <v>48.56</v>
      </c>
      <c r="AC256" s="50">
        <v>134407</v>
      </c>
      <c r="AE256" s="50" t="s">
        <v>4370</v>
      </c>
    </row>
    <row r="257" spans="1:31">
      <c r="A257" s="50" t="s">
        <v>4526</v>
      </c>
      <c r="B257" s="50" t="s">
        <v>142</v>
      </c>
      <c r="C257" s="50" t="s">
        <v>4527</v>
      </c>
      <c r="D257" s="50" t="e">
        <f ca="1">Image("https://images-na.ssl-images-amazon.com/images/I/51eH8U1xyNS.jpg;https://images-na.ssl-images-amazon.com/images/I/41rFiJt+kFS.jpg;https://images-na.ssl-images-amazon.com/images/I/51NTKTOi8BS.jpg;https://images-na.ssl-images-amazon.com/images/I/51WhGjWwBeS"&amp;".jpg;https://images-na.ssl-images-amazon.com/images/I/61YgG2pMjVS.jpg;https://images-na.ssl-images-amazon.com/images/I/51wgoIJRgwL.jpg;https://images-na.ssl-images-amazon.com/images/I/51gipCwoLjL.jpg")</f>
        <v>#NAME?</v>
      </c>
      <c r="E257" s="50" t="s">
        <v>16</v>
      </c>
      <c r="F257" s="50" t="s">
        <v>144</v>
      </c>
      <c r="G257" s="50">
        <v>3</v>
      </c>
      <c r="H257" s="50">
        <v>2</v>
      </c>
      <c r="I257" s="50">
        <v>42.07</v>
      </c>
      <c r="R257" s="50">
        <v>66.67</v>
      </c>
      <c r="S257" s="50" t="s">
        <v>1217</v>
      </c>
      <c r="T257" s="50">
        <v>-28.67</v>
      </c>
      <c r="U257" s="50">
        <v>-6.31</v>
      </c>
      <c r="W257" s="50">
        <v>7.09</v>
      </c>
      <c r="X257" s="50">
        <v>7.09</v>
      </c>
      <c r="Y257" s="50">
        <v>7.09</v>
      </c>
      <c r="AA257" s="50">
        <v>16.850000000000001</v>
      </c>
      <c r="AC257" s="50">
        <v>616897</v>
      </c>
      <c r="AE257" s="50" t="s">
        <v>4370</v>
      </c>
    </row>
    <row r="258" spans="1:31">
      <c r="A258" s="50" t="s">
        <v>4528</v>
      </c>
      <c r="B258" s="50" t="s">
        <v>631</v>
      </c>
      <c r="C258" s="50" t="s">
        <v>632</v>
      </c>
      <c r="D258" s="50" t="e">
        <f ca="1">Image("https://images-na.ssl-images-amazon.com/images/I/51jnsyDvNsL.jpg;https://images-na.ssl-images-amazon.com/images/I/61eX9MRBRcL.jpg;https://images-na.ssl-images-amazon.com/images/I/61Yzjv+eedL.jpg;https://images-na.ssl-images-amazon.com/images/I/41dbg9Ng-7L"&amp;".jpg")</f>
        <v>#NAME?</v>
      </c>
      <c r="E258" s="50" t="s">
        <v>16</v>
      </c>
      <c r="F258" s="50" t="s">
        <v>633</v>
      </c>
      <c r="G258" s="50">
        <v>3</v>
      </c>
      <c r="I258" s="50">
        <v>35.97</v>
      </c>
      <c r="S258" s="50" t="s">
        <v>1217</v>
      </c>
      <c r="U258" s="50">
        <v>-5.4</v>
      </c>
      <c r="W258" s="50">
        <v>30.57</v>
      </c>
      <c r="X258" s="50">
        <v>30.57</v>
      </c>
      <c r="Y258" s="50">
        <v>30.57</v>
      </c>
      <c r="AA258" s="50">
        <v>84.99</v>
      </c>
      <c r="AC258" s="50">
        <v>144057</v>
      </c>
      <c r="AE258" s="50" t="s">
        <v>4370</v>
      </c>
    </row>
    <row r="259" spans="1:31">
      <c r="A259" s="50" t="s">
        <v>4529</v>
      </c>
      <c r="B259" s="50" t="s">
        <v>659</v>
      </c>
      <c r="C259" s="50" t="s">
        <v>660</v>
      </c>
      <c r="D259" s="50" t="e">
        <f ca="1">Image("https://images-na.ssl-images-amazon.com/images/I/412GThpktiL.jpg;https://images-na.ssl-images-amazon.com/images/I/510fGODNkCL.jpg;https://images-na.ssl-images-amazon.com/images/I/41L8pJ1HVcL.jpg;https://images-na.ssl-images-amazon.com/images/I/517883uYAEL"&amp;".jpg;https://images-na.ssl-images-amazon.com/images/I/41ERHWk5B1L.jpg;https://images-na.ssl-images-amazon.com/images/I/51+nrLMS5ML.jpg")</f>
        <v>#NAME?</v>
      </c>
      <c r="E259" s="50" t="s">
        <v>16</v>
      </c>
      <c r="F259" s="50" t="s">
        <v>661</v>
      </c>
      <c r="G259" s="50">
        <v>3</v>
      </c>
      <c r="H259" s="50">
        <v>1</v>
      </c>
      <c r="I259" s="50">
        <v>44.94</v>
      </c>
      <c r="R259" s="50">
        <v>33.33</v>
      </c>
      <c r="S259" s="50" t="s">
        <v>1217</v>
      </c>
      <c r="T259" s="50">
        <v>-13.18</v>
      </c>
      <c r="U259" s="50">
        <v>-6.75</v>
      </c>
      <c r="W259" s="50">
        <v>25.01</v>
      </c>
      <c r="X259" s="50">
        <v>25.01</v>
      </c>
      <c r="Y259" s="50">
        <v>25.01</v>
      </c>
      <c r="AA259" s="50">
        <v>55.65</v>
      </c>
      <c r="AC259" s="50">
        <v>1118328</v>
      </c>
      <c r="AE259" s="50" t="s">
        <v>4370</v>
      </c>
    </row>
    <row r="260" spans="1:31">
      <c r="A260" s="50" t="s">
        <v>4436</v>
      </c>
      <c r="B260" s="50" t="s">
        <v>1171</v>
      </c>
      <c r="C260" s="50" t="s">
        <v>4530</v>
      </c>
      <c r="D260" s="50" t="e">
        <f ca="1">Image("https://images-na.ssl-images-amazon.com/images/I/41AbtKwDu0L.jpg;https://images-na.ssl-images-amazon.com/images/I/41GunUFjBSL.jpg;https://images-na.ssl-images-amazon.com/images/I/415STP9-fnL.jpg;https://images-na.ssl-images-amazon.com/images/I/41BaHpI1TOL"&amp;".jpg;https://images-na.ssl-images-amazon.com/images/I/4130HCY+5YL.jpg;https://images-na.ssl-images-amazon.com/images/I/61fqwgEVD3L.jpg;https://images-na.ssl-images-amazon.com/images/I/51kCsw3jfFL.jpg")</f>
        <v>#NAME?</v>
      </c>
      <c r="E260" s="50" t="s">
        <v>20</v>
      </c>
      <c r="F260" s="50" t="s">
        <v>1173</v>
      </c>
      <c r="G260" s="50">
        <v>3</v>
      </c>
      <c r="I260" s="50">
        <v>44.97</v>
      </c>
      <c r="S260" s="50" t="s">
        <v>1217</v>
      </c>
      <c r="U260" s="50">
        <v>-6.75</v>
      </c>
      <c r="W260" s="50">
        <v>38.22</v>
      </c>
      <c r="X260" s="50">
        <v>38.22</v>
      </c>
      <c r="Y260" s="50">
        <v>38.22</v>
      </c>
      <c r="AA260" s="50">
        <v>84.99</v>
      </c>
      <c r="AC260" s="50">
        <v>54948</v>
      </c>
      <c r="AE260" s="50" t="s">
        <v>4370</v>
      </c>
    </row>
    <row r="261" spans="1:31">
      <c r="A261" s="50" t="s">
        <v>4531</v>
      </c>
      <c r="B261" s="50" t="s">
        <v>839</v>
      </c>
      <c r="C261" s="50" t="s">
        <v>840</v>
      </c>
      <c r="D261" s="50" t="e">
        <f ca="1">Image("https://images-na.ssl-images-amazon.com/images/I/41Eu-1puE+L.jpg;https://images-na.ssl-images-amazon.com/images/I/51o11RmWe9L.jpg;https://images-na.ssl-images-amazon.com/images/I/31giqMADLYL.jpg;https://images-na.ssl-images-amazon.com/images/I/31TLS2FQDOL"&amp;".jpg;https://images-na.ssl-images-amazon.com/images/I/31mB7YkQEmL.jpg;https://images-na.ssl-images-amazon.com/images/I/517GL1JVBuL.jpg;https://images-na.ssl-images-amazon.com/images/I/51NbB0CmmKL.jpg;https://images-na.ssl-images-amazon.com/images/I/51OSa1"&amp;"W4poL.jpg")</f>
        <v>#NAME?</v>
      </c>
      <c r="E261" s="50" t="s">
        <v>20</v>
      </c>
      <c r="F261" s="50" t="s">
        <v>841</v>
      </c>
      <c r="G261" s="50">
        <v>3</v>
      </c>
      <c r="H261" s="50">
        <v>1</v>
      </c>
      <c r="I261" s="50">
        <v>36</v>
      </c>
      <c r="R261" s="50">
        <v>33.33</v>
      </c>
      <c r="S261" s="50">
        <v>100</v>
      </c>
      <c r="T261" s="50">
        <v>-10.37</v>
      </c>
      <c r="U261" s="50">
        <v>-16.920000000000002</v>
      </c>
      <c r="W261" s="50">
        <v>8.7100000000000009</v>
      </c>
      <c r="X261" s="50">
        <v>8.7100000000000009</v>
      </c>
      <c r="Y261" s="50">
        <v>8.7100000000000009</v>
      </c>
      <c r="AA261" s="50">
        <v>24.19</v>
      </c>
      <c r="AC261" s="50">
        <v>4873920</v>
      </c>
      <c r="AE261" s="50" t="s">
        <v>4370</v>
      </c>
    </row>
    <row r="262" spans="1:31">
      <c r="A262" s="50" t="s">
        <v>4532</v>
      </c>
      <c r="B262" s="50" t="s">
        <v>776</v>
      </c>
      <c r="C262" s="50" t="s">
        <v>777</v>
      </c>
      <c r="D262" s="50" t="e">
        <f ca="1">Image("https://images-na.ssl-images-amazon.com/images/I/41rflXBihjS.jpg;https://images-na.ssl-images-amazon.com/images/I/51tFPjgsJRS.jpg;https://images-na.ssl-images-amazon.com/images/I/41jwG+O8a1S.jpg;https://images-na.ssl-images-amazon.com/images/I/613x0IQtbMS"&amp;".jpg;https://images-na.ssl-images-amazon.com/images/I/51tjR4HxCWS.jpg;https://images-na.ssl-images-amazon.com/images/I/41L7o5LjhBS.jpg")</f>
        <v>#NAME?</v>
      </c>
      <c r="E262" s="50" t="s">
        <v>20</v>
      </c>
      <c r="F262" s="50" t="s">
        <v>778</v>
      </c>
      <c r="G262" s="50">
        <v>3</v>
      </c>
      <c r="I262" s="50">
        <v>27.07</v>
      </c>
      <c r="S262" s="50" t="s">
        <v>1217</v>
      </c>
      <c r="U262" s="50">
        <v>-20.399999999999999</v>
      </c>
      <c r="W262" s="50">
        <v>6.67</v>
      </c>
      <c r="X262" s="50">
        <v>6.67</v>
      </c>
      <c r="Y262" s="50">
        <v>6.67</v>
      </c>
      <c r="AA262" s="50">
        <v>24.64</v>
      </c>
      <c r="AC262" s="50">
        <v>367087</v>
      </c>
      <c r="AE262" s="50" t="s">
        <v>4370</v>
      </c>
    </row>
    <row r="263" spans="1:31">
      <c r="A263" s="50" t="s">
        <v>4533</v>
      </c>
      <c r="B263" s="50" t="s">
        <v>58</v>
      </c>
      <c r="C263" s="50" t="s">
        <v>59</v>
      </c>
      <c r="D263" s="50" t="e">
        <f ca="1">Image("https://images-na.ssl-images-amazon.com/images/I/51291o7fzdL.jpg;https://images-na.ssl-images-amazon.com/images/I/51NDwofsY9L.jpg;https://images-na.ssl-images-amazon.com/images/I/41TM8PrZnJL.jpg;https://images-na.ssl-images-amazon.com/images/I/413TjTXnyIL"&amp;".jpg;https://images-na.ssl-images-amazon.com/images/I/51qBa1U+56L.jpg;https://images-na.ssl-images-amazon.com/images/I/51BfznTgQ3L.jpg;https://images-na.ssl-images-amazon.com/images/I/51lHkguOGLL.jpg")</f>
        <v>#NAME?</v>
      </c>
      <c r="E263" s="50" t="s">
        <v>20</v>
      </c>
      <c r="F263" s="50" t="s">
        <v>60</v>
      </c>
      <c r="G263" s="50">
        <v>3</v>
      </c>
      <c r="H263" s="50">
        <v>1</v>
      </c>
      <c r="I263" s="50">
        <v>113.77</v>
      </c>
      <c r="R263" s="50">
        <v>33.33</v>
      </c>
      <c r="S263" s="50" t="s">
        <v>1217</v>
      </c>
      <c r="T263" s="50">
        <v>-29.83</v>
      </c>
      <c r="U263" s="50">
        <v>-17.059999999999999</v>
      </c>
      <c r="W263" s="50">
        <v>66.88</v>
      </c>
      <c r="X263" s="50">
        <v>66.88</v>
      </c>
      <c r="Y263" s="50">
        <v>66.88</v>
      </c>
      <c r="AA263" s="50">
        <v>58.79</v>
      </c>
      <c r="AC263" s="50">
        <v>125997</v>
      </c>
      <c r="AE263" s="50" t="s">
        <v>4370</v>
      </c>
    </row>
    <row r="264" spans="1:31">
      <c r="A264" s="50" t="s">
        <v>4534</v>
      </c>
      <c r="B264" s="50" t="s">
        <v>646</v>
      </c>
      <c r="C264" s="50" t="s">
        <v>647</v>
      </c>
      <c r="D264" s="50" t="e">
        <f ca="1">Image("https://images-na.ssl-images-amazon.com/images/I/41M+BnRmcyL.jpg;https://images-na.ssl-images-amazon.com/images/I/41qZLOjP3NL.jpg;https://images-na.ssl-images-amazon.com/images/I/51F5c+bp78L.jpg")</f>
        <v>#NAME?</v>
      </c>
      <c r="E264" s="50" t="s">
        <v>16</v>
      </c>
      <c r="F264" s="50" t="s">
        <v>648</v>
      </c>
      <c r="G264" s="50">
        <v>3</v>
      </c>
      <c r="H264" s="50">
        <v>1</v>
      </c>
      <c r="I264" s="50">
        <v>50.96</v>
      </c>
      <c r="R264" s="50">
        <v>33.33</v>
      </c>
      <c r="S264" s="50" t="s">
        <v>1217</v>
      </c>
      <c r="T264" s="50">
        <v>-16.7</v>
      </c>
      <c r="U264" s="50">
        <v>-7.65</v>
      </c>
      <c r="W264" s="50">
        <v>26.61</v>
      </c>
      <c r="X264" s="50">
        <v>26.61</v>
      </c>
      <c r="Y264" s="50">
        <v>26.61</v>
      </c>
      <c r="AA264" s="50">
        <v>52.22</v>
      </c>
      <c r="AC264" s="50">
        <v>2405808</v>
      </c>
      <c r="AE264" s="50" t="s">
        <v>4370</v>
      </c>
    </row>
    <row r="265" spans="1:31">
      <c r="A265" s="50" t="s">
        <v>4535</v>
      </c>
      <c r="B265" s="50" t="s">
        <v>325</v>
      </c>
      <c r="C265" s="50" t="s">
        <v>326</v>
      </c>
      <c r="D265" s="50" t="e">
        <f ca="1">Image("https://images-na.ssl-images-amazon.com/images/I/41dzhot5iQL.jpg;https://images-na.ssl-images-amazon.com/images/I/41Xp03GHduL.jpg")</f>
        <v>#NAME?</v>
      </c>
      <c r="E265" s="50" t="s">
        <v>20</v>
      </c>
      <c r="F265" s="50" t="s">
        <v>327</v>
      </c>
      <c r="G265" s="50">
        <v>3</v>
      </c>
      <c r="I265" s="50">
        <v>48.97</v>
      </c>
      <c r="S265" s="50" t="s">
        <v>1217</v>
      </c>
      <c r="U265" s="50">
        <v>-9.8000000000000007</v>
      </c>
      <c r="W265" s="50">
        <v>39.17</v>
      </c>
      <c r="X265" s="50">
        <v>39.17</v>
      </c>
      <c r="Y265" s="50">
        <v>39.17</v>
      </c>
      <c r="AA265" s="50">
        <v>79.989999999999995</v>
      </c>
      <c r="AC265" s="50">
        <v>90695</v>
      </c>
      <c r="AE265" s="50" t="s">
        <v>4370</v>
      </c>
    </row>
    <row r="266" spans="1:31">
      <c r="A266" s="50" t="s">
        <v>4536</v>
      </c>
      <c r="B266" s="50" t="s">
        <v>902</v>
      </c>
      <c r="C266" s="50" t="s">
        <v>903</v>
      </c>
      <c r="D266" s="50" t="e">
        <f ca="1">Image("https://images-na.ssl-images-amazon.com/images/I/41R1Zvm9uxS.jpg;https://images-na.ssl-images-amazon.com/images/I/31deAHiBF3S.jpg;https://images-na.ssl-images-amazon.com/images/I/41x+4sQbbJS.jpg;https://images-na.ssl-images-amazon.com/images/I/516WilQw4uS"&amp;".jpg;https://images-na.ssl-images-amazon.com/images/I/41XnxafS9gS.jpg")</f>
        <v>#NAME?</v>
      </c>
      <c r="E266" s="50" t="s">
        <v>20</v>
      </c>
      <c r="F266" s="50" t="s">
        <v>904</v>
      </c>
      <c r="G266" s="50">
        <v>3</v>
      </c>
      <c r="I266" s="50">
        <v>17.28</v>
      </c>
      <c r="S266" s="50" t="s">
        <v>1217</v>
      </c>
      <c r="U266" s="50">
        <v>-13.82</v>
      </c>
      <c r="W266" s="50">
        <v>3.46</v>
      </c>
      <c r="X266" s="50">
        <v>3.46</v>
      </c>
      <c r="Y266" s="50">
        <v>3.46</v>
      </c>
      <c r="AA266" s="50">
        <v>20.02</v>
      </c>
      <c r="AC266" s="50">
        <v>1808575</v>
      </c>
      <c r="AE266" s="50" t="s">
        <v>4370</v>
      </c>
    </row>
    <row r="267" spans="1:31">
      <c r="A267" s="50" t="s">
        <v>4537</v>
      </c>
      <c r="B267" s="50" t="s">
        <v>746</v>
      </c>
      <c r="C267" s="50" t="s">
        <v>747</v>
      </c>
      <c r="D267" s="50" t="e">
        <f ca="1">Image("https://images-na.ssl-images-amazon.com/images/I/51imPFx3IbL.jpg;https://images-na.ssl-images-amazon.com/images/I/41w12xPG9wL.jpg;https://images-na.ssl-images-amazon.com/images/I/41PhhFXBjDL.jpg;https://images-na.ssl-images-amazon.com/images/I/51sOV3EJGhL"&amp;".jpg")</f>
        <v>#NAME?</v>
      </c>
      <c r="E267" s="50" t="s">
        <v>20</v>
      </c>
      <c r="F267" s="50" t="s">
        <v>748</v>
      </c>
      <c r="G267" s="50">
        <v>3</v>
      </c>
      <c r="H267" s="50">
        <v>1</v>
      </c>
      <c r="I267" s="50">
        <v>26.47</v>
      </c>
      <c r="R267" s="50">
        <v>33.33</v>
      </c>
      <c r="S267" s="50" t="s">
        <v>1217</v>
      </c>
      <c r="T267" s="50">
        <v>-7.03</v>
      </c>
      <c r="U267" s="50">
        <v>-3.97</v>
      </c>
      <c r="W267" s="50">
        <v>15.47</v>
      </c>
      <c r="X267" s="50">
        <v>15.47</v>
      </c>
      <c r="Y267" s="50">
        <v>15.47</v>
      </c>
      <c r="AA267" s="50">
        <v>58.44</v>
      </c>
      <c r="AC267" s="50">
        <v>894075</v>
      </c>
      <c r="AE267" s="50" t="s">
        <v>4370</v>
      </c>
    </row>
    <row r="268" spans="1:31">
      <c r="A268" s="50" t="s">
        <v>4538</v>
      </c>
      <c r="B268" s="50" t="s">
        <v>619</v>
      </c>
      <c r="C268" s="50" t="s">
        <v>620</v>
      </c>
      <c r="D268" s="50" t="e">
        <f ca="1">Image("https://images-na.ssl-images-amazon.com/images/I/51AafpwlfCL.jpg;https://images-na.ssl-images-amazon.com/images/I/61nr120ls6L.jpg;https://images-na.ssl-images-amazon.com/images/I/511ieqhntUL.jpg;https://images-na.ssl-images-amazon.com/images/I/31UfSxWKjbL"&amp;".jpg;https://images-na.ssl-images-amazon.com/images/I/51AafpwlfCL.jpg")</f>
        <v>#NAME?</v>
      </c>
      <c r="E268" s="50" t="s">
        <v>20</v>
      </c>
      <c r="F268" s="50" t="s">
        <v>621</v>
      </c>
      <c r="G268" s="50">
        <v>3</v>
      </c>
      <c r="I268" s="50">
        <v>37.97</v>
      </c>
      <c r="S268" s="50" t="s">
        <v>1217</v>
      </c>
      <c r="U268" s="50">
        <v>-5.7</v>
      </c>
      <c r="W268" s="50">
        <v>32.270000000000003</v>
      </c>
      <c r="X268" s="50">
        <v>32.270000000000003</v>
      </c>
      <c r="Y268" s="50">
        <v>32.270000000000003</v>
      </c>
      <c r="AA268" s="50">
        <v>84.99</v>
      </c>
      <c r="AC268" s="50">
        <v>1164044</v>
      </c>
      <c r="AE268" s="50" t="s">
        <v>4370</v>
      </c>
    </row>
    <row r="269" spans="1:31">
      <c r="A269" s="50" t="s">
        <v>4539</v>
      </c>
      <c r="B269" s="50" t="s">
        <v>14</v>
      </c>
      <c r="C269" s="50" t="s">
        <v>15</v>
      </c>
      <c r="D269" s="50" t="e">
        <f ca="1">Image("https://images-na.ssl-images-amazon.com/images/I/51wu2q-zKuL.jpg;https://images-na.ssl-images-amazon.com/images/I/517-DmWn7iL.jpg;https://images-na.ssl-images-amazon.com/images/I/41veFufhgBL.jpg;https://images-na.ssl-images-amazon.com/images/I/41BTUKYzcuL"&amp;".jpg;https://images-na.ssl-images-amazon.com/images/I/51mgfxVp3wL.jpg")</f>
        <v>#NAME?</v>
      </c>
      <c r="E269" s="50" t="s">
        <v>16</v>
      </c>
      <c r="F269" s="50" t="s">
        <v>17</v>
      </c>
      <c r="G269" s="50">
        <v>2</v>
      </c>
      <c r="H269" s="50">
        <v>1</v>
      </c>
      <c r="I269" s="50">
        <v>189.07</v>
      </c>
      <c r="R269" s="50">
        <v>50</v>
      </c>
      <c r="S269" s="50" t="s">
        <v>1217</v>
      </c>
      <c r="T269" s="50">
        <v>-97.59</v>
      </c>
      <c r="U269" s="50">
        <v>-28.36</v>
      </c>
      <c r="W269" s="50">
        <v>63.12</v>
      </c>
      <c r="X269" s="50">
        <v>63.12</v>
      </c>
      <c r="Y269" s="50">
        <v>63.12</v>
      </c>
      <c r="AA269" s="50">
        <v>33.380000000000003</v>
      </c>
      <c r="AC269" s="50">
        <v>12132</v>
      </c>
      <c r="AE269" s="50" t="s">
        <v>4370</v>
      </c>
    </row>
    <row r="270" spans="1:31">
      <c r="A270" s="50" t="s">
        <v>4540</v>
      </c>
      <c r="B270" s="50" t="s">
        <v>85</v>
      </c>
      <c r="C270" s="50" t="s">
        <v>86</v>
      </c>
      <c r="D270" s="50" t="e">
        <f ca="1">Image("https://images-na.ssl-images-amazon.com/images/I/41GJWRVNJML.jpg;https://images-na.ssl-images-amazon.com/images/I/41GJWRVNJML.jpg")</f>
        <v>#NAME?</v>
      </c>
      <c r="E270" s="50" t="s">
        <v>16</v>
      </c>
      <c r="F270" s="50" t="s">
        <v>87</v>
      </c>
      <c r="G270" s="50">
        <v>2</v>
      </c>
      <c r="H270" s="50">
        <v>1</v>
      </c>
      <c r="I270" s="50">
        <v>31.98</v>
      </c>
      <c r="R270" s="50">
        <v>50</v>
      </c>
      <c r="T270" s="50">
        <v>-14.07</v>
      </c>
      <c r="U270" s="50">
        <v>-22.22</v>
      </c>
      <c r="W270" s="50">
        <v>-4.3099999999999996</v>
      </c>
      <c r="X270" s="50">
        <v>-4.3099999999999996</v>
      </c>
      <c r="Y270" s="50">
        <v>-4.3099999999999996</v>
      </c>
      <c r="AA270" s="50">
        <v>-13.48</v>
      </c>
      <c r="AC270" s="50">
        <v>197076</v>
      </c>
      <c r="AE270" s="50" t="s">
        <v>4370</v>
      </c>
    </row>
    <row r="271" spans="1:31">
      <c r="A271" s="50" t="s">
        <v>4541</v>
      </c>
      <c r="B271" s="50" t="s">
        <v>461</v>
      </c>
      <c r="C271" s="50" t="s">
        <v>462</v>
      </c>
      <c r="D271" s="50" t="e">
        <f ca="1">Image("https://images-na.ssl-images-amazon.com/images/I/4195PiargeL.jpg;https://images-na.ssl-images-amazon.com/images/I/415YChq2O9L.jpg;https://images-na.ssl-images-amazon.com/images/I/41gyHfWTMiL.jpg;https://images-na.ssl-images-amazon.com/images/I/51+ewYN7mAL"&amp;".jpg;https://images-na.ssl-images-amazon.com/images/I/411Ob8x4WAL.jpg;https://images-na.ssl-images-amazon.com/images/I/51cgHjR5VVL.jpg;https://images-na.ssl-images-amazon.com/images/I/51vlwkKMgCL.jpg")</f>
        <v>#NAME?</v>
      </c>
      <c r="E271" s="50" t="s">
        <v>20</v>
      </c>
      <c r="F271" s="50" t="s">
        <v>463</v>
      </c>
      <c r="G271" s="50">
        <v>2</v>
      </c>
      <c r="I271" s="50">
        <v>35.979999999999997</v>
      </c>
      <c r="K271" s="50">
        <v>-40.82</v>
      </c>
      <c r="L271" s="50">
        <v>-40.82</v>
      </c>
      <c r="S271" s="50" t="s">
        <v>1217</v>
      </c>
      <c r="U271" s="50">
        <v>-5.4</v>
      </c>
      <c r="W271" s="50">
        <v>-10.24</v>
      </c>
      <c r="X271" s="50">
        <v>-10.24</v>
      </c>
      <c r="Y271" s="50">
        <v>-10.24</v>
      </c>
      <c r="AA271" s="50">
        <v>-28.46</v>
      </c>
      <c r="AC271" s="50">
        <v>211287</v>
      </c>
      <c r="AD271" s="50">
        <v>113.45</v>
      </c>
      <c r="AE271" s="50" t="s">
        <v>4370</v>
      </c>
    </row>
    <row r="272" spans="1:31">
      <c r="A272" s="50" t="s">
        <v>4542</v>
      </c>
      <c r="B272" s="50" t="s">
        <v>1109</v>
      </c>
      <c r="C272" s="50" t="s">
        <v>1110</v>
      </c>
      <c r="D272" s="50" t="e">
        <f ca="1">Image("https://images-na.ssl-images-amazon.com/images/I/410OBUcY9QL.jpg;https://images-na.ssl-images-amazon.com/images/I/41NK6UwOFEL.jpg;https://images-na.ssl-images-amazon.com/images/I/41eOENRJklL.jpg;https://images-na.ssl-images-amazon.com/images/I/51JEErS2TpL"&amp;".jpg;https://images-na.ssl-images-amazon.com/images/I/51TL2r1thUL.jpg;https://images-na.ssl-images-amazon.com/images/I/51Y2cisnTuL.jpg;https://images-na.ssl-images-amazon.com/images/I/51ve0fJM3uL.jpg")</f>
        <v>#NAME?</v>
      </c>
      <c r="E272" s="50" t="s">
        <v>20</v>
      </c>
      <c r="F272" s="50" t="s">
        <v>1111</v>
      </c>
      <c r="G272" s="50">
        <v>2</v>
      </c>
      <c r="H272" s="50">
        <v>2</v>
      </c>
      <c r="I272" s="50">
        <v>22</v>
      </c>
      <c r="R272" s="50">
        <v>100</v>
      </c>
      <c r="T272" s="50">
        <v>-19.36</v>
      </c>
      <c r="U272" s="50">
        <v>-46.24</v>
      </c>
      <c r="W272" s="50">
        <v>-43.6</v>
      </c>
      <c r="X272" s="50">
        <v>-43.6</v>
      </c>
      <c r="Y272" s="50">
        <v>-43.6</v>
      </c>
      <c r="AA272" s="50">
        <v>-198.18</v>
      </c>
      <c r="AC272" s="50">
        <v>211287</v>
      </c>
      <c r="AE272" s="50" t="s">
        <v>4370</v>
      </c>
    </row>
    <row r="273" spans="1:31">
      <c r="A273" s="50" t="s">
        <v>4543</v>
      </c>
      <c r="B273" s="50" t="s">
        <v>925</v>
      </c>
      <c r="C273" s="50" t="s">
        <v>926</v>
      </c>
      <c r="D273" s="50" t="e">
        <f ca="1">Image("https://images-na.ssl-images-amazon.com/images/I/31BTU9iIYYL.jpg;https://images-na.ssl-images-amazon.com/images/I/41Bv8s8rD3L.jpg;https://images-na.ssl-images-amazon.com/images/I/31+j3PGKtmL.jpg;https://images-na.ssl-images-amazon.com/images/I/41pbCKOpRYL"&amp;".jpg;https://images-na.ssl-images-amazon.com/images/I/31kGcn2vBOL.jpg;https://images-na.ssl-images-amazon.com/images/I/51CzfE8Sv5L.jpg;https://images-na.ssl-images-amazon.com/images/I/51lxe1MHPZL.jpg;https://images-na.ssl-images-amazon.com/images/I/51Oe5O"&amp;"c76GL.jpg;https://images-na.ssl-images-amazon.com/images/I/51vEc1YAsML.jpg")</f>
        <v>#NAME?</v>
      </c>
      <c r="E273" s="50" t="s">
        <v>20</v>
      </c>
      <c r="F273" s="50" t="s">
        <v>927</v>
      </c>
      <c r="G273" s="50">
        <v>2</v>
      </c>
      <c r="I273" s="50">
        <v>20</v>
      </c>
      <c r="S273" s="50" t="s">
        <v>1217</v>
      </c>
      <c r="U273" s="50">
        <v>-19.23</v>
      </c>
      <c r="W273" s="50">
        <v>0.77</v>
      </c>
      <c r="X273" s="50">
        <v>0.77</v>
      </c>
      <c r="Y273" s="50">
        <v>0.77</v>
      </c>
      <c r="AA273" s="50">
        <v>3.85</v>
      </c>
      <c r="AC273" s="50">
        <v>5404360</v>
      </c>
      <c r="AE273" s="50" t="s">
        <v>4370</v>
      </c>
    </row>
    <row r="274" spans="1:31">
      <c r="A274" s="50" t="s">
        <v>4544</v>
      </c>
      <c r="B274" s="50" t="s">
        <v>649</v>
      </c>
      <c r="C274" s="50" t="s">
        <v>650</v>
      </c>
      <c r="D274" s="50" t="e">
        <f ca="1">Image("https://images-na.ssl-images-amazon.com/images/I/41kPLLKhCcL.jpg;https://images-na.ssl-images-amazon.com/images/I/61n9VyRzGML.jpg;https://images-na.ssl-images-amazon.com/images/I/51oVGfbJ-sL.jpg;https://images-na.ssl-images-amazon.com/images/I/61KpOmuH5KL"&amp;".jpg;https://images-na.ssl-images-amazon.com/images/I/51MuMGPX-3S.jpg;https://images-na.ssl-images-amazon.com/images/I/61q-OTxEd-L.jpg;https://images-na.ssl-images-amazon.com/images/I/413zOfpRBoL.jpg")</f>
        <v>#NAME?</v>
      </c>
      <c r="E274" s="50" t="s">
        <v>20</v>
      </c>
      <c r="F274" s="50" t="s">
        <v>651</v>
      </c>
      <c r="G274" s="50">
        <v>2</v>
      </c>
      <c r="I274" s="50">
        <v>30.59</v>
      </c>
      <c r="S274" s="50" t="s">
        <v>1217</v>
      </c>
      <c r="U274" s="50">
        <v>-4.59</v>
      </c>
      <c r="W274" s="50">
        <v>26</v>
      </c>
      <c r="X274" s="50">
        <v>26</v>
      </c>
      <c r="Y274" s="50">
        <v>26</v>
      </c>
      <c r="AA274" s="50">
        <v>85</v>
      </c>
      <c r="AC274" s="50">
        <v>367087</v>
      </c>
      <c r="AE274" s="50" t="s">
        <v>4370</v>
      </c>
    </row>
    <row r="275" spans="1:31">
      <c r="A275" s="50" t="s">
        <v>4545</v>
      </c>
      <c r="B275" s="50" t="s">
        <v>304</v>
      </c>
      <c r="C275" s="50" t="s">
        <v>4546</v>
      </c>
      <c r="D275" s="50" t="e">
        <f ca="1">Image("https://images-na.ssl-images-amazon.com/images/I/41wGO2BxR9S.jpg;https://images-na.ssl-images-amazon.com/images/I/41PY4xQtSJS.jpg;https://images-na.ssl-images-amazon.com/images/I/51Yxjdxj-RL.jpg;https://images-na.ssl-images-amazon.com/images/I/61wIGWyfkKL"&amp;".jpg;https://images-na.ssl-images-amazon.com/images/I/61I2EpK6VHL.jpg")</f>
        <v>#NAME?</v>
      </c>
      <c r="E275" s="50" t="s">
        <v>20</v>
      </c>
      <c r="F275" s="50" t="s">
        <v>306</v>
      </c>
      <c r="G275" s="50">
        <v>2</v>
      </c>
      <c r="I275" s="50">
        <v>28.18</v>
      </c>
      <c r="S275" s="50" t="s">
        <v>1217</v>
      </c>
      <c r="U275" s="50">
        <v>-4.22</v>
      </c>
      <c r="W275" s="50">
        <v>23.96</v>
      </c>
      <c r="X275" s="50">
        <v>23.96</v>
      </c>
      <c r="Y275" s="50">
        <v>23.96</v>
      </c>
      <c r="AA275" s="50">
        <v>85.02</v>
      </c>
      <c r="AC275" s="50">
        <v>317291</v>
      </c>
      <c r="AE275" s="50" t="s">
        <v>4370</v>
      </c>
    </row>
    <row r="276" spans="1:31">
      <c r="A276" s="50" t="s">
        <v>4547</v>
      </c>
      <c r="B276" s="50" t="s">
        <v>400</v>
      </c>
      <c r="C276" s="50" t="s">
        <v>401</v>
      </c>
      <c r="D276" s="50" t="e">
        <f ca="1">Image("https://images-na.ssl-images-amazon.com/images/I/418t99GsBeL.jpg;https://images-na.ssl-images-amazon.com/images/I/51dCrnM6mDL.jpg;https://images-na.ssl-images-amazon.com/images/I/41-a6e7+28L.jpg;https://images-na.ssl-images-amazon.com/images/I/51SdLXPDoNL"&amp;".jpg;https://images-na.ssl-images-amazon.com/images/I/51uSebeVkJS.jpg;https://images-na.ssl-images-amazon.com/images/I/51mLm3qCuxL.jpg;https://images-na.ssl-images-amazon.com/images/I/41mcV6mPDTL.jpg")</f>
        <v>#NAME?</v>
      </c>
      <c r="E276" s="50" t="s">
        <v>20</v>
      </c>
      <c r="F276" s="50" t="s">
        <v>402</v>
      </c>
      <c r="G276" s="50">
        <v>2</v>
      </c>
      <c r="I276" s="50">
        <v>20.52</v>
      </c>
      <c r="S276" s="50" t="s">
        <v>1217</v>
      </c>
      <c r="U276" s="50">
        <v>-16.78</v>
      </c>
      <c r="W276" s="50">
        <v>3.74</v>
      </c>
      <c r="X276" s="50">
        <v>3.74</v>
      </c>
      <c r="Y276" s="50">
        <v>3.74</v>
      </c>
      <c r="AA276" s="50">
        <v>18.23</v>
      </c>
      <c r="AC276" s="50">
        <v>367087</v>
      </c>
      <c r="AE276" s="50" t="s">
        <v>4370</v>
      </c>
    </row>
    <row r="277" spans="1:31">
      <c r="A277" s="50" t="s">
        <v>4246</v>
      </c>
      <c r="B277" s="50" t="s">
        <v>37</v>
      </c>
      <c r="C277" s="50" t="s">
        <v>4548</v>
      </c>
      <c r="D277" s="50" t="e">
        <f ca="1">Image("https://images-na.ssl-images-amazon.com/images/I/51QNrY7+45L.jpg;https://images-na.ssl-images-amazon.com/images/I/41BGqOsQRbL.jpg;https://images-na.ssl-images-amazon.com/images/I/41mZYBF9UML.jpg;https://images-na.ssl-images-amazon.com/images/I/41f3-al81pL"&amp;".jpg;https://images-na.ssl-images-amazon.com/images/I/51tdwZD6Z1L.jpg;https://images-na.ssl-images-amazon.com/images/I/611wZYAJlEL.jpg;https://images-na.ssl-images-amazon.com/images/I/51SmOiqXgtL.jpg")</f>
        <v>#NAME?</v>
      </c>
      <c r="E277" s="50" t="s">
        <v>20</v>
      </c>
      <c r="F277" s="50" t="s">
        <v>39</v>
      </c>
      <c r="G277" s="50">
        <v>2</v>
      </c>
      <c r="I277" s="50">
        <v>31.98</v>
      </c>
      <c r="S277" s="50" t="s">
        <v>1217</v>
      </c>
      <c r="U277" s="50">
        <v>-4.8</v>
      </c>
      <c r="W277" s="50">
        <v>27.18</v>
      </c>
      <c r="X277" s="50">
        <v>27.18</v>
      </c>
      <c r="Y277" s="50">
        <v>27.18</v>
      </c>
      <c r="AA277" s="50">
        <v>84.99</v>
      </c>
      <c r="AC277" s="50">
        <v>54948</v>
      </c>
      <c r="AE277" s="50" t="s">
        <v>4370</v>
      </c>
    </row>
    <row r="278" spans="1:31">
      <c r="A278" s="50" t="s">
        <v>4549</v>
      </c>
      <c r="B278" s="50" t="s">
        <v>803</v>
      </c>
      <c r="C278" s="50" t="s">
        <v>804</v>
      </c>
      <c r="D278" s="50" t="e">
        <f ca="1">Image("https://images-na.ssl-images-amazon.com/images/I/41nkPdQqZQL.jpg;https://images-na.ssl-images-amazon.com/images/I/413pB2to7LL.jpg;https://images-na.ssl-images-amazon.com/images/I/417xmGQhlBL.jpg;https://images-na.ssl-images-amazon.com/images/I/61fl+IYop7L"&amp;".jpg;https://images-na.ssl-images-amazon.com/images/I/517kb4FBc3L.jpg;https://images-na.ssl-images-amazon.com/images/I/51o1v4BUXIL.jpg")</f>
        <v>#NAME?</v>
      </c>
      <c r="E278" s="50" t="s">
        <v>20</v>
      </c>
      <c r="F278" s="50" t="s">
        <v>805</v>
      </c>
      <c r="G278" s="50">
        <v>2</v>
      </c>
      <c r="H278" s="50">
        <v>1</v>
      </c>
      <c r="I278" s="50">
        <v>27.98</v>
      </c>
      <c r="R278" s="50">
        <v>50</v>
      </c>
      <c r="S278" s="50" t="s">
        <v>1217</v>
      </c>
      <c r="T278" s="50">
        <v>-11.75</v>
      </c>
      <c r="U278" s="50">
        <v>-5.6</v>
      </c>
      <c r="W278" s="50">
        <v>10.63</v>
      </c>
      <c r="X278" s="50">
        <v>10.63</v>
      </c>
      <c r="Y278" s="50">
        <v>10.63</v>
      </c>
      <c r="AA278" s="50">
        <v>37.99</v>
      </c>
      <c r="AC278" s="50">
        <v>90695</v>
      </c>
      <c r="AE278" s="50" t="s">
        <v>4370</v>
      </c>
    </row>
    <row r="279" spans="1:31">
      <c r="A279" s="50" t="s">
        <v>4550</v>
      </c>
      <c r="B279" s="50" t="s">
        <v>998</v>
      </c>
      <c r="C279" s="50" t="s">
        <v>999</v>
      </c>
      <c r="D279" s="50" t="e">
        <f ca="1">Image("https://images-na.ssl-images-amazon.com/images/I/41SFznznEFS.jpg;https://images-na.ssl-images-amazon.com/images/I/41q0OauXejS.jpg;https://images-na.ssl-images-amazon.com/images/I/41Y+Ii7zmNS.jpg;https://images-na.ssl-images-amazon.com/images/I/41X2WYT-LSL"&amp;".jpg;https://images-na.ssl-images-amazon.com/images/I/51jdXccM3wL.jpg;https://images-na.ssl-images-amazon.com/images/I/41dATmCUiwL.jpg;https://images-na.ssl-images-amazon.com/images/I/518Ynk+Kk4L.jpg")</f>
        <v>#NAME?</v>
      </c>
      <c r="E279" s="50" t="s">
        <v>20</v>
      </c>
      <c r="F279" s="50" t="s">
        <v>1000</v>
      </c>
      <c r="G279" s="50">
        <v>2</v>
      </c>
      <c r="I279" s="50">
        <v>13.2</v>
      </c>
      <c r="S279" s="50" t="s">
        <v>1217</v>
      </c>
      <c r="U279" s="50">
        <v>-16.82</v>
      </c>
      <c r="W279" s="50">
        <v>-3.62</v>
      </c>
      <c r="X279" s="50">
        <v>-3.62</v>
      </c>
      <c r="Y279" s="50">
        <v>-3.62</v>
      </c>
      <c r="AA279" s="50">
        <v>-27.42</v>
      </c>
      <c r="AC279" s="50">
        <v>1808575</v>
      </c>
      <c r="AE279" s="50" t="s">
        <v>4370</v>
      </c>
    </row>
    <row r="280" spans="1:31">
      <c r="A280" s="50" t="s">
        <v>4551</v>
      </c>
      <c r="B280" s="50" t="s">
        <v>788</v>
      </c>
      <c r="C280" s="50" t="s">
        <v>789</v>
      </c>
      <c r="D280" s="50" t="e">
        <f ca="1">Image("https://images-na.ssl-images-amazon.com/images/I/31mGDKPHIfS.jpg;https://images-na.ssl-images-amazon.com/images/I/31uxFG6CS8S.jpg;https://images-na.ssl-images-amazon.com/images/I/31vbEU3mK8S.jpg;https://images-na.ssl-images-amazon.com/images/I/31JaoXjUaNL"&amp;".jpg;https://images-na.ssl-images-amazon.com/images/I/51PNvaIQo9L.jpg;https://images-na.ssl-images-amazon.com/images/I/41HxjDellqL.jpg;https://images-na.ssl-images-amazon.com/images/I/51Ng8sD5qwL.jpg")</f>
        <v>#NAME?</v>
      </c>
      <c r="E280" s="50" t="s">
        <v>20</v>
      </c>
      <c r="F280" s="50" t="s">
        <v>790</v>
      </c>
      <c r="G280" s="50">
        <v>2</v>
      </c>
      <c r="I280" s="50">
        <v>13.2</v>
      </c>
      <c r="S280" s="50" t="s">
        <v>1217</v>
      </c>
      <c r="U280" s="50">
        <v>-9.43</v>
      </c>
      <c r="W280" s="50">
        <v>3.77</v>
      </c>
      <c r="X280" s="50">
        <v>3.77</v>
      </c>
      <c r="Y280" s="50">
        <v>3.77</v>
      </c>
      <c r="AA280" s="50">
        <v>28.56</v>
      </c>
      <c r="AC280" s="50">
        <v>1808575</v>
      </c>
      <c r="AE280" s="50" t="s">
        <v>4370</v>
      </c>
    </row>
    <row r="281" spans="1:31">
      <c r="A281" s="50" t="s">
        <v>4552</v>
      </c>
      <c r="B281" s="50" t="s">
        <v>154</v>
      </c>
      <c r="C281" s="50" t="s">
        <v>4553</v>
      </c>
      <c r="D281" s="50" t="e">
        <f ca="1">Image("https://images-na.ssl-images-amazon.com/images/I/418r1Ul4f6S.jpg;https://images-na.ssl-images-amazon.com/images/I/51+FjnQX7mS.jpg;https://images-na.ssl-images-amazon.com/images/I/41ldPjktwDS.jpg;https://images-na.ssl-images-amazon.com/images/I/61vB7MZUz3S"&amp;".jpg;https://images-na.ssl-images-amazon.com/images/I/314g2uvo+QS.jpg;https://images-na.ssl-images-amazon.com/images/I/41poqv9TyTL.jpg")</f>
        <v>#NAME?</v>
      </c>
      <c r="E281" s="50" t="s">
        <v>20</v>
      </c>
      <c r="F281" s="50" t="s">
        <v>156</v>
      </c>
      <c r="G281" s="50">
        <v>2</v>
      </c>
      <c r="I281" s="50">
        <v>23.98</v>
      </c>
      <c r="S281" s="50" t="s">
        <v>1217</v>
      </c>
      <c r="U281" s="50">
        <v>-3.6</v>
      </c>
      <c r="W281" s="50">
        <v>20.38</v>
      </c>
      <c r="X281" s="50">
        <v>20.38</v>
      </c>
      <c r="Y281" s="50">
        <v>20.38</v>
      </c>
      <c r="AA281" s="50">
        <v>84.99</v>
      </c>
      <c r="AE281" s="50" t="s">
        <v>4370</v>
      </c>
    </row>
    <row r="282" spans="1:31">
      <c r="A282" s="50" t="s">
        <v>4554</v>
      </c>
      <c r="B282" s="50" t="s">
        <v>724</v>
      </c>
      <c r="C282" s="50" t="s">
        <v>725</v>
      </c>
      <c r="D282" s="50" t="e">
        <f ca="1">Image("https://images-na.ssl-images-amazon.com/images/I/51Ub-D9YmuL.jpg;https://images-na.ssl-images-amazon.com/images/I/51rUs9p7IuL.jpg;https://images-na.ssl-images-amazon.com/images/I/51o77rMAQaL.jpg;https://images-na.ssl-images-amazon.com/images/I/4105j3UbhFL"&amp;".jpg;https://images-na.ssl-images-amazon.com/images/I/41U367pmGYL.jpg;https://images-na.ssl-images-amazon.com/images/I/41lkixLc3XL.jpg")</f>
        <v>#NAME?</v>
      </c>
      <c r="E282" s="50" t="s">
        <v>20</v>
      </c>
      <c r="F282" s="50" t="s">
        <v>726</v>
      </c>
      <c r="G282" s="50">
        <v>2</v>
      </c>
      <c r="H282" s="50">
        <v>1</v>
      </c>
      <c r="I282" s="50">
        <v>35.979999999999997</v>
      </c>
      <c r="R282" s="50">
        <v>50</v>
      </c>
      <c r="S282" s="50" t="s">
        <v>1217</v>
      </c>
      <c r="T282" s="50">
        <v>-13.63</v>
      </c>
      <c r="U282" s="50">
        <v>-5.39</v>
      </c>
      <c r="W282" s="50">
        <v>16.96</v>
      </c>
      <c r="X282" s="50">
        <v>16.96</v>
      </c>
      <c r="Y282" s="50">
        <v>16.96</v>
      </c>
      <c r="AA282" s="50">
        <v>47.14</v>
      </c>
      <c r="AC282" s="50">
        <v>1205229</v>
      </c>
      <c r="AE282" s="50" t="s">
        <v>4370</v>
      </c>
    </row>
    <row r="283" spans="1:31">
      <c r="A283" s="50" t="s">
        <v>4555</v>
      </c>
      <c r="B283" s="50" t="s">
        <v>488</v>
      </c>
      <c r="C283" s="50" t="s">
        <v>489</v>
      </c>
      <c r="D283" s="50" t="e">
        <f ca="1">Image("https://images-na.ssl-images-amazon.com/images/I/31d+++76HYL.jpg;https://images-na.ssl-images-amazon.com/images/I/21msLb3LRUL.jpg;https://images-na.ssl-images-amazon.com/images/I/21w6j3xmjML.jpg;https://images-na.ssl-images-amazon.com/images/I/516ZXiYv7NL"&amp;".jpg;https://images-na.ssl-images-amazon.com/images/I/21E-+BmFo5L.jpg;https://images-na.ssl-images-amazon.com/images/I/31Kps+HAoQL.jpg")</f>
        <v>#NAME?</v>
      </c>
      <c r="E283" s="50" t="s">
        <v>20</v>
      </c>
      <c r="F283" s="50" t="s">
        <v>490</v>
      </c>
      <c r="G283" s="50">
        <v>2</v>
      </c>
      <c r="I283" s="50">
        <v>87.98</v>
      </c>
      <c r="S283" s="50" t="s">
        <v>1217</v>
      </c>
      <c r="U283" s="50">
        <v>-13.2</v>
      </c>
      <c r="W283" s="50">
        <v>74.78</v>
      </c>
      <c r="X283" s="50">
        <v>74.78</v>
      </c>
      <c r="Y283" s="50">
        <v>74.78</v>
      </c>
      <c r="AA283" s="50">
        <v>85</v>
      </c>
      <c r="AC283" s="50">
        <v>58236</v>
      </c>
      <c r="AE283" s="50" t="s">
        <v>4370</v>
      </c>
    </row>
    <row r="284" spans="1:31">
      <c r="A284" s="50" t="s">
        <v>4556</v>
      </c>
      <c r="B284" s="50" t="s">
        <v>31</v>
      </c>
      <c r="C284" s="50" t="s">
        <v>4557</v>
      </c>
      <c r="D284" s="50" t="e">
        <f ca="1">Image("https://images-na.ssl-images-amazon.com/images/I/51hpfk8d-oL.jpg;https://images-na.ssl-images-amazon.com/images/I/51Xp1dzFxPL.jpg;https://images-na.ssl-images-amazon.com/images/I/51a1-EYbZOL.jpg;https://images-na.ssl-images-amazon.com/images/I/51Exg-ZkqoL"&amp;".jpg")</f>
        <v>#NAME?</v>
      </c>
      <c r="E284" s="50" t="s">
        <v>20</v>
      </c>
      <c r="F284" s="50" t="s">
        <v>33</v>
      </c>
      <c r="G284" s="50">
        <v>2</v>
      </c>
      <c r="H284" s="50">
        <v>1</v>
      </c>
      <c r="I284" s="50">
        <v>31.96</v>
      </c>
      <c r="R284" s="50">
        <v>50</v>
      </c>
      <c r="S284" s="50" t="s">
        <v>1217</v>
      </c>
      <c r="T284" s="50">
        <v>-14.06</v>
      </c>
      <c r="U284" s="50">
        <v>-4.8</v>
      </c>
      <c r="W284" s="50">
        <v>13.1</v>
      </c>
      <c r="X284" s="50">
        <v>13.1</v>
      </c>
      <c r="Y284" s="50">
        <v>13.1</v>
      </c>
      <c r="AA284" s="50">
        <v>40.99</v>
      </c>
      <c r="AC284" s="50">
        <v>84512</v>
      </c>
      <c r="AE284" s="50" t="s">
        <v>4370</v>
      </c>
    </row>
    <row r="285" spans="1:31">
      <c r="A285" s="50" t="s">
        <v>4558</v>
      </c>
      <c r="B285" s="50" t="s">
        <v>1174</v>
      </c>
      <c r="C285" s="50" t="s">
        <v>1175</v>
      </c>
      <c r="D285" s="50" t="e">
        <f ca="1">Image("https://images-na.ssl-images-amazon.com/images/I/41Wwfal1GXL.jpg;https://images-na.ssl-images-amazon.com/images/I/51vxxj5HoaL.jpg;https://images-na.ssl-images-amazon.com/images/I/515bHFGU3GL.jpg;https://images-na.ssl-images-amazon.com/images/I/512Vzw6wI5L"&amp;".jpg;https://images-na.ssl-images-amazon.com/images/I/41nyUN5tmcL.jpg;https://images-na.ssl-images-amazon.com/images/I/61L-tXzuspL.jpg")</f>
        <v>#NAME?</v>
      </c>
      <c r="E285" s="50" t="s">
        <v>20</v>
      </c>
      <c r="F285" s="50" t="s">
        <v>1176</v>
      </c>
      <c r="G285" s="50">
        <v>2</v>
      </c>
      <c r="I285" s="50">
        <v>32.96</v>
      </c>
      <c r="S285" s="50" t="s">
        <v>1217</v>
      </c>
      <c r="U285" s="50">
        <v>-4.95</v>
      </c>
      <c r="W285" s="50">
        <v>17.02</v>
      </c>
      <c r="X285" s="50">
        <v>17.02</v>
      </c>
      <c r="Y285" s="50">
        <v>28.01</v>
      </c>
      <c r="AA285" s="50">
        <v>51.64</v>
      </c>
      <c r="AC285" s="50">
        <v>480218</v>
      </c>
      <c r="AE285" s="50" t="s">
        <v>4370</v>
      </c>
    </row>
    <row r="286" spans="1:31">
      <c r="A286" s="50" t="s">
        <v>4411</v>
      </c>
      <c r="B286" s="50" t="s">
        <v>286</v>
      </c>
      <c r="C286" s="50" t="s">
        <v>4559</v>
      </c>
      <c r="D286" s="50" t="e">
        <f ca="1">Image("https://images-na.ssl-images-amazon.com/images/I/41wmGLrrYxL.jpg;https://images-na.ssl-images-amazon.com/images/I/41eeXLDwWJL.jpg;https://images-na.ssl-images-amazon.com/images/I/51Jlw0bmluL.jpg")</f>
        <v>#NAME?</v>
      </c>
      <c r="E286" s="50" t="s">
        <v>16</v>
      </c>
      <c r="F286" s="50" t="s">
        <v>288</v>
      </c>
      <c r="G286" s="50">
        <v>1</v>
      </c>
      <c r="I286" s="50">
        <v>22.99</v>
      </c>
      <c r="S286" s="50" t="s">
        <v>1217</v>
      </c>
      <c r="U286" s="50">
        <v>-3.45</v>
      </c>
      <c r="W286" s="50">
        <v>19.54</v>
      </c>
      <c r="X286" s="50">
        <v>19.54</v>
      </c>
      <c r="Y286" s="50">
        <v>19.54</v>
      </c>
      <c r="AA286" s="50">
        <v>84.99</v>
      </c>
      <c r="AC286" s="50">
        <v>490189</v>
      </c>
      <c r="AE286" s="50" t="s">
        <v>4370</v>
      </c>
    </row>
    <row r="287" spans="1:31">
      <c r="A287" s="50" t="s">
        <v>4560</v>
      </c>
      <c r="B287" s="50" t="s">
        <v>585</v>
      </c>
      <c r="C287" s="50" t="s">
        <v>586</v>
      </c>
      <c r="D287" s="50" t="e">
        <f ca="1">Image("https://images-na.ssl-images-amazon.com/images/I/51Ee6K8aSML.jpg;https://images-na.ssl-images-amazon.com/images/I/41DRdTWp7pL.jpg;https://images-na.ssl-images-amazon.com/images/I/41MZeoFL0fL.jpg;https://images-na.ssl-images-amazon.com/images/I/41MOB2OVIfL"&amp;".jpg;https://images-na.ssl-images-amazon.com/images/I/51FbVmOiwNL.jpg")</f>
        <v>#NAME?</v>
      </c>
      <c r="E287" s="50" t="s">
        <v>16</v>
      </c>
      <c r="F287" s="50" t="s">
        <v>587</v>
      </c>
      <c r="G287" s="50">
        <v>1</v>
      </c>
      <c r="I287" s="50">
        <v>44.99</v>
      </c>
      <c r="S287" s="50" t="s">
        <v>1217</v>
      </c>
      <c r="U287" s="50">
        <v>-6.75</v>
      </c>
      <c r="W287" s="50">
        <v>38.24</v>
      </c>
      <c r="X287" s="50">
        <v>38.24</v>
      </c>
      <c r="Y287" s="50">
        <v>38.24</v>
      </c>
      <c r="AA287" s="50">
        <v>85</v>
      </c>
      <c r="AC287" s="50">
        <v>109938</v>
      </c>
      <c r="AE287" s="50" t="s">
        <v>4370</v>
      </c>
    </row>
    <row r="288" spans="1:31">
      <c r="A288" s="50" t="s">
        <v>4422</v>
      </c>
      <c r="B288" s="50" t="s">
        <v>64</v>
      </c>
      <c r="C288" s="50" t="s">
        <v>4561</v>
      </c>
      <c r="D288" s="50" t="e">
        <f ca="1">Image("https://images-na.ssl-images-amazon.com/images/I/41AOEKiwIhL.jpg;https://images-na.ssl-images-amazon.com/images/I/31exv-sLHFS.jpg;https://images-na.ssl-images-amazon.com/images/I/31wvL5ZhC-S.jpg;https://images-na.ssl-images-amazon.com/images/I/31Q5U5NIiXS"&amp;".jpg;https://images-na.ssl-images-amazon.com/images/I/31RGHfa+tWS.jpg;https://images-na.ssl-images-amazon.com/images/I/51zXI6J2ljS.jpg")</f>
        <v>#NAME?</v>
      </c>
      <c r="E288" s="50" t="s">
        <v>16</v>
      </c>
      <c r="F288" s="50" t="s">
        <v>66</v>
      </c>
      <c r="G288" s="50">
        <v>1</v>
      </c>
      <c r="I288" s="50">
        <v>12.39</v>
      </c>
      <c r="S288" s="50" t="s">
        <v>1217</v>
      </c>
      <c r="U288" s="50">
        <v>-6.66</v>
      </c>
      <c r="W288" s="50">
        <v>5.73</v>
      </c>
      <c r="X288" s="50">
        <v>5.73</v>
      </c>
      <c r="Y288" s="50">
        <v>5.73</v>
      </c>
      <c r="AA288" s="50">
        <v>46.25</v>
      </c>
      <c r="AC288" s="50">
        <v>117968</v>
      </c>
      <c r="AE288" s="50" t="s">
        <v>4370</v>
      </c>
    </row>
    <row r="289" spans="1:31">
      <c r="A289" s="50" t="s">
        <v>4562</v>
      </c>
      <c r="B289" s="50" t="s">
        <v>10</v>
      </c>
      <c r="C289" s="50" t="s">
        <v>4563</v>
      </c>
      <c r="D289" s="50" t="e">
        <f ca="1">Image("https://images-na.ssl-images-amazon.com/images/I/41X+Cd3f7QL.jpg;https://images-na.ssl-images-amazon.com/images/I/316UmAiMAsL.jpg;https://images-na.ssl-images-amazon.com/images/I/31teahcaMhL.jpg;https://images-na.ssl-images-amazon.com/images/I/31b3ZDpPpIL"&amp;".jpg")</f>
        <v>#NAME?</v>
      </c>
      <c r="E289" s="50" t="s">
        <v>12</v>
      </c>
      <c r="F289" s="50" t="s">
        <v>13</v>
      </c>
      <c r="G289" s="50">
        <v>1</v>
      </c>
      <c r="I289" s="50">
        <v>8.9700000000000006</v>
      </c>
      <c r="S289" s="50" t="s">
        <v>1217</v>
      </c>
      <c r="U289" s="50">
        <v>-6.1</v>
      </c>
      <c r="W289" s="50">
        <v>2.87</v>
      </c>
      <c r="X289" s="50">
        <v>2.87</v>
      </c>
      <c r="Y289" s="50">
        <v>2.87</v>
      </c>
      <c r="AA289" s="50">
        <v>32</v>
      </c>
      <c r="AC289" s="50">
        <v>1503</v>
      </c>
      <c r="AE289" s="50" t="s">
        <v>4370</v>
      </c>
    </row>
    <row r="290" spans="1:31">
      <c r="A290" s="50" t="s">
        <v>4564</v>
      </c>
      <c r="B290" s="50" t="s">
        <v>668</v>
      </c>
      <c r="C290" s="50" t="s">
        <v>669</v>
      </c>
      <c r="D290" s="50" t="e">
        <f ca="1">Image("https://images-na.ssl-images-amazon.com/images/I/51UhqYVZIeL.jpg;https://images-na.ssl-images-amazon.com/images/I/51EHVqMHPKL.jpg;https://images-na.ssl-images-amazon.com/images/I/51+L-+VQAUL.jpg;https://images-na.ssl-images-amazon.com/images/I/41LAWY7azXL"&amp;".jpg")</f>
        <v>#NAME?</v>
      </c>
      <c r="E290" s="50" t="s">
        <v>16</v>
      </c>
      <c r="F290" s="50" t="s">
        <v>670</v>
      </c>
      <c r="G290" s="50">
        <v>1</v>
      </c>
      <c r="I290" s="50">
        <v>28.99</v>
      </c>
      <c r="S290" s="50" t="s">
        <v>1217</v>
      </c>
      <c r="U290" s="50">
        <v>-4.3499999999999996</v>
      </c>
      <c r="W290" s="50">
        <v>13.65</v>
      </c>
      <c r="X290" s="50">
        <v>13.65</v>
      </c>
      <c r="Y290" s="50">
        <v>24.64</v>
      </c>
      <c r="AA290" s="50">
        <v>47.09</v>
      </c>
      <c r="AC290" s="50">
        <v>1319946</v>
      </c>
      <c r="AE290" s="50" t="s">
        <v>4370</v>
      </c>
    </row>
    <row r="291" spans="1:31">
      <c r="A291" s="50" t="s">
        <v>4565</v>
      </c>
      <c r="B291" s="50" t="s">
        <v>1136</v>
      </c>
      <c r="C291" s="50" t="s">
        <v>1137</v>
      </c>
      <c r="D291" s="50" t="e">
        <f ca="1">Image("https://images-na.ssl-images-amazon.com/images/I/51SkR-ma4cL.jpg;https://images-na.ssl-images-amazon.com/images/I/61Oe-RFa94L.jpg;https://images-na.ssl-images-amazon.com/images/I/51g3sIVixrL.jpg;https://images-na.ssl-images-amazon.com/images/I/61MUZwc+2FL"&amp;".jpg;https://images-na.ssl-images-amazon.com/images/I/41t0qw1nB-L.jpg")</f>
        <v>#NAME?</v>
      </c>
      <c r="E291" s="50" t="s">
        <v>16</v>
      </c>
      <c r="F291" s="50" t="s">
        <v>1138</v>
      </c>
      <c r="G291" s="50">
        <v>1</v>
      </c>
      <c r="I291" s="50">
        <v>28.99</v>
      </c>
      <c r="S291" s="50" t="s">
        <v>1217</v>
      </c>
      <c r="U291" s="50">
        <v>-91.1</v>
      </c>
      <c r="W291" s="50">
        <v>-62.11</v>
      </c>
      <c r="X291" s="50">
        <v>-62.11</v>
      </c>
      <c r="Y291" s="50">
        <v>-62.11</v>
      </c>
      <c r="AA291" s="50">
        <v>-214.25</v>
      </c>
      <c r="AC291" s="50">
        <v>59560</v>
      </c>
      <c r="AE291" s="50" t="s">
        <v>4370</v>
      </c>
    </row>
    <row r="292" spans="1:31">
      <c r="A292" s="50" t="s">
        <v>4566</v>
      </c>
      <c r="B292" s="50" t="s">
        <v>148</v>
      </c>
      <c r="C292" s="50" t="s">
        <v>4567</v>
      </c>
      <c r="D292" s="50" t="e">
        <f ca="1">Image("https://images-na.ssl-images-amazon.com/images/I/51lJ6C7xETL.jpg;https://images-na.ssl-images-amazon.com/images/I/619-4yd5huL.jpg;https://images-na.ssl-images-amazon.com/images/I/51g24DSmvwL.jpg;https://images-na.ssl-images-amazon.com/images/I/41ZV3p4+usL"&amp;".jpg;https://images-na.ssl-images-amazon.com/images/I/41SRZzSBCPL.jpg")</f>
        <v>#NAME?</v>
      </c>
      <c r="E292" s="50" t="s">
        <v>16</v>
      </c>
      <c r="F292" s="50" t="s">
        <v>150</v>
      </c>
      <c r="G292" s="50">
        <v>1</v>
      </c>
      <c r="I292" s="50">
        <v>19.420000000000002</v>
      </c>
      <c r="S292" s="50" t="s">
        <v>1217</v>
      </c>
      <c r="U292" s="50">
        <v>-14.46</v>
      </c>
      <c r="W292" s="50">
        <v>4.96</v>
      </c>
      <c r="X292" s="50">
        <v>4.96</v>
      </c>
      <c r="Y292" s="50">
        <v>4.96</v>
      </c>
      <c r="AA292" s="50">
        <v>25.54</v>
      </c>
      <c r="AC292" s="50">
        <v>78930</v>
      </c>
      <c r="AE292" s="50" t="s">
        <v>4370</v>
      </c>
    </row>
    <row r="293" spans="1:31">
      <c r="A293" s="50" t="s">
        <v>4568</v>
      </c>
      <c r="B293" s="50" t="s">
        <v>764</v>
      </c>
      <c r="C293" s="50" t="s">
        <v>765</v>
      </c>
      <c r="D293" s="50" t="e">
        <f ca="1">Image("https://images-na.ssl-images-amazon.com/images/I/51HJiHThdhL.jpg;https://images-na.ssl-images-amazon.com/images/I/51Ypv+X1b2L.jpg;https://images-na.ssl-images-amazon.com/images/I/51nhYbtHMbL.jpg;https://images-na.ssl-images-amazon.com/images/I/51FkFR4zHqL"&amp;".jpg")</f>
        <v>#NAME?</v>
      </c>
      <c r="E293" s="50" t="s">
        <v>16</v>
      </c>
      <c r="F293" s="50" t="s">
        <v>766</v>
      </c>
      <c r="G293" s="50">
        <v>1</v>
      </c>
      <c r="I293" s="50">
        <v>16.989999999999998</v>
      </c>
      <c r="S293" s="50" t="s">
        <v>1217</v>
      </c>
      <c r="U293" s="50">
        <v>-2.5499999999999998</v>
      </c>
      <c r="W293" s="50">
        <v>14.44</v>
      </c>
      <c r="X293" s="50">
        <v>14.44</v>
      </c>
      <c r="Y293" s="50">
        <v>14.44</v>
      </c>
      <c r="AA293" s="50">
        <v>84.99</v>
      </c>
      <c r="AC293" s="50">
        <v>93793</v>
      </c>
      <c r="AE293" s="50" t="s">
        <v>4370</v>
      </c>
    </row>
    <row r="294" spans="1:31">
      <c r="A294" s="50" t="s">
        <v>4441</v>
      </c>
      <c r="B294" s="50" t="s">
        <v>70</v>
      </c>
      <c r="C294" s="50" t="s">
        <v>4569</v>
      </c>
      <c r="D294" s="50" t="e">
        <f ca="1">Image("https://images-na.ssl-images-amazon.com/images/I/413l3NMhAQL.jpg;https://images-na.ssl-images-amazon.com/images/I/51YJHQ4ILFL.jpg;https://images-na.ssl-images-amazon.com/images/I/51L1CnfS72L.jpg;https://images-na.ssl-images-amazon.com/images/I/41+r-n9QY0L"&amp;".jpg;https://images-na.ssl-images-amazon.com/images/I/51eyrJ4lM5L.jpg;https://images-na.ssl-images-amazon.com/images/I/51Jm2JId33L.jpg;https://images-na.ssl-images-amazon.com/images/I/41h-4X0e4iL.jpg;https://images-na.ssl-images-amazon.com/images/I/41ay8C"&amp;"KQtBL.jpg")</f>
        <v>#NAME?</v>
      </c>
      <c r="E294" s="50" t="s">
        <v>16</v>
      </c>
      <c r="F294" s="50" t="s">
        <v>72</v>
      </c>
      <c r="G294" s="50">
        <v>1</v>
      </c>
      <c r="I294" s="50">
        <v>18.739999999999998</v>
      </c>
      <c r="S294" s="50" t="s">
        <v>1217</v>
      </c>
      <c r="U294" s="50">
        <v>-2.81</v>
      </c>
      <c r="W294" s="50">
        <v>15.93</v>
      </c>
      <c r="X294" s="50">
        <v>15.93</v>
      </c>
      <c r="Y294" s="50">
        <v>15.93</v>
      </c>
      <c r="AA294" s="50">
        <v>85.01</v>
      </c>
      <c r="AE294" s="50" t="s">
        <v>4370</v>
      </c>
    </row>
    <row r="295" spans="1:31">
      <c r="A295" s="50" t="s">
        <v>4570</v>
      </c>
      <c r="B295" s="50" t="s">
        <v>736</v>
      </c>
      <c r="C295" s="50" t="s">
        <v>737</v>
      </c>
      <c r="D295" s="50" t="e">
        <f ca="1">Image("https://images-na.ssl-images-amazon.com/images/I/41UCr2xbMcL.jpg;https://images-na.ssl-images-amazon.com/images/I/41h538p8YkL.jpg;https://images-na.ssl-images-amazon.com/images/I/41UnU4gJb9L.jpg;https://images-na.ssl-images-amazon.com/images/I/41TRCGszp9L"&amp;".jpg")</f>
        <v>#NAME?</v>
      </c>
      <c r="E295" s="50" t="s">
        <v>738</v>
      </c>
      <c r="F295" s="50" t="s">
        <v>739</v>
      </c>
      <c r="G295" s="50">
        <v>1</v>
      </c>
      <c r="I295" s="50">
        <v>18.98</v>
      </c>
      <c r="S295" s="50" t="s">
        <v>1217</v>
      </c>
      <c r="U295" s="50">
        <v>-2.85</v>
      </c>
      <c r="W295" s="50">
        <v>16.13</v>
      </c>
      <c r="X295" s="50">
        <v>16.13</v>
      </c>
      <c r="Y295" s="50">
        <v>16.13</v>
      </c>
      <c r="AA295" s="50">
        <v>84.98</v>
      </c>
      <c r="AE295" s="50" t="s">
        <v>4370</v>
      </c>
    </row>
    <row r="296" spans="1:31">
      <c r="A296" s="50" t="s">
        <v>4571</v>
      </c>
      <c r="B296" s="50" t="s">
        <v>836</v>
      </c>
      <c r="C296" s="50" t="s">
        <v>837</v>
      </c>
      <c r="D296" s="50" t="e">
        <f ca="1">Image("https://images-na.ssl-images-amazon.com/images/I/51ec1Iuki+L.jpg;https://images-na.ssl-images-amazon.com/images/I/61vKYN79s0L.jpg;https://images-na.ssl-images-amazon.com/images/I/51lS4awY6BL.jpg;https://images-na.ssl-images-amazon.com/images/I/51kvbB4WJ8L"&amp;".jpg")</f>
        <v>#NAME?</v>
      </c>
      <c r="E296" s="50" t="s">
        <v>16</v>
      </c>
      <c r="F296" s="50" t="s">
        <v>838</v>
      </c>
      <c r="G296" s="50">
        <v>1</v>
      </c>
      <c r="I296" s="50">
        <v>10.99</v>
      </c>
      <c r="S296" s="50" t="s">
        <v>1217</v>
      </c>
      <c r="U296" s="50">
        <v>-1.65</v>
      </c>
      <c r="W296" s="50">
        <v>9.34</v>
      </c>
      <c r="X296" s="50">
        <v>9.34</v>
      </c>
      <c r="Y296" s="50">
        <v>9.34</v>
      </c>
      <c r="AA296" s="50">
        <v>84.99</v>
      </c>
      <c r="AC296" s="50">
        <v>1260678</v>
      </c>
      <c r="AE296" s="50" t="s">
        <v>4370</v>
      </c>
    </row>
    <row r="297" spans="1:31">
      <c r="A297" s="50" t="s">
        <v>4572</v>
      </c>
      <c r="B297" s="50" t="s">
        <v>785</v>
      </c>
      <c r="C297" s="50" t="s">
        <v>786</v>
      </c>
      <c r="D297" s="50" t="e">
        <f ca="1">Image("https://images-na.ssl-images-amazon.com/images/I/41ET9+SuUeL.jpg;https://images-na.ssl-images-amazon.com/images/I/51q0ACS7hBL.jpg")</f>
        <v>#NAME?</v>
      </c>
      <c r="E297" s="50" t="s">
        <v>16</v>
      </c>
      <c r="F297" s="50" t="s">
        <v>787</v>
      </c>
      <c r="G297" s="50">
        <v>1</v>
      </c>
      <c r="I297" s="50">
        <v>13</v>
      </c>
      <c r="S297" s="50" t="s">
        <v>1217</v>
      </c>
      <c r="U297" s="50">
        <v>-1.43</v>
      </c>
      <c r="W297" s="50">
        <v>11.57</v>
      </c>
      <c r="X297" s="50">
        <v>11.57</v>
      </c>
      <c r="Y297" s="50">
        <v>11.57</v>
      </c>
      <c r="AA297" s="50">
        <v>89</v>
      </c>
      <c r="AC297" s="50">
        <v>179687</v>
      </c>
      <c r="AE297" s="50" t="s">
        <v>4370</v>
      </c>
    </row>
    <row r="298" spans="1:31">
      <c r="A298" s="50" t="s">
        <v>4540</v>
      </c>
      <c r="B298" s="50" t="s">
        <v>85</v>
      </c>
      <c r="C298" s="50" t="s">
        <v>4573</v>
      </c>
      <c r="D298" s="50" t="e">
        <f ca="1">Image("https://images-na.ssl-images-amazon.com/images/I/41GJWRVNJML.jpg;https://images-na.ssl-images-amazon.com/images/I/41GJWRVNJML.jpg")</f>
        <v>#NAME?</v>
      </c>
      <c r="E298" s="50" t="s">
        <v>16</v>
      </c>
      <c r="F298" s="50" t="s">
        <v>87</v>
      </c>
      <c r="G298" s="50">
        <v>1</v>
      </c>
      <c r="I298" s="50">
        <v>23.19</v>
      </c>
      <c r="S298" s="50" t="s">
        <v>1217</v>
      </c>
      <c r="U298" s="50">
        <v>-3.48</v>
      </c>
      <c r="W298" s="50">
        <v>19.71</v>
      </c>
      <c r="X298" s="50">
        <v>19.71</v>
      </c>
      <c r="Y298" s="50">
        <v>19.71</v>
      </c>
      <c r="AA298" s="50">
        <v>84.99</v>
      </c>
      <c r="AC298" s="50">
        <v>197076</v>
      </c>
      <c r="AE298" s="50" t="s">
        <v>4370</v>
      </c>
    </row>
    <row r="299" spans="1:31">
      <c r="A299" s="50" t="s">
        <v>4574</v>
      </c>
      <c r="B299" s="50" t="s">
        <v>593</v>
      </c>
      <c r="C299" s="50" t="s">
        <v>594</v>
      </c>
      <c r="D299" s="50" t="e">
        <f ca="1">Image("https://images-na.ssl-images-amazon.com/images/I/514t6cG+uEL.jpg;https://images-na.ssl-images-amazon.com/images/I/5171GXg8k1L.jpg;https://images-na.ssl-images-amazon.com/images/I/51gwNiXYJKL.jpg;https://images-na.ssl-images-amazon.com/images/I/41Za8Txea7L"&amp;".jpg;https://images-na.ssl-images-amazon.com/images/I/41aAwEgvFcL.jpg")</f>
        <v>#NAME?</v>
      </c>
      <c r="E299" s="50" t="s">
        <v>16</v>
      </c>
      <c r="F299" s="50" t="s">
        <v>595</v>
      </c>
      <c r="G299" s="50">
        <v>1</v>
      </c>
      <c r="I299" s="50">
        <v>44.99</v>
      </c>
      <c r="S299" s="50" t="s">
        <v>1217</v>
      </c>
      <c r="U299" s="50">
        <v>-6.75</v>
      </c>
      <c r="W299" s="50">
        <v>38.24</v>
      </c>
      <c r="X299" s="50">
        <v>38.24</v>
      </c>
      <c r="Y299" s="50">
        <v>38.24</v>
      </c>
      <c r="AA299" s="50">
        <v>85</v>
      </c>
      <c r="AC299" s="50">
        <v>48401</v>
      </c>
      <c r="AE299" s="50" t="s">
        <v>4370</v>
      </c>
    </row>
    <row r="300" spans="1:31">
      <c r="A300" s="50" t="s">
        <v>4575</v>
      </c>
      <c r="B300" s="50" t="s">
        <v>588</v>
      </c>
      <c r="C300" s="50" t="s">
        <v>589</v>
      </c>
      <c r="D300" s="50" t="e">
        <f ca="1">Image("https://images-na.ssl-images-amazon.com/images/I/51Zrxssed5L.jpg;https://images-na.ssl-images-amazon.com/images/I/51tQCD01BWL.jpg;https://images-na.ssl-images-amazon.com/images/I/510dipRDMkL.jpg;https://images-na.ssl-images-amazon.com/images/I/41lUC0VbbEL"&amp;".jpg;https://images-na.ssl-images-amazon.com/images/I/41jjSE1vfLL.jpg;https://images-na.ssl-images-amazon.com/images/I/61jIp12XfOL.jpg")</f>
        <v>#NAME?</v>
      </c>
      <c r="E300" s="50" t="s">
        <v>16</v>
      </c>
      <c r="F300" s="50" t="s">
        <v>360</v>
      </c>
      <c r="G300" s="50">
        <v>1</v>
      </c>
      <c r="I300" s="50">
        <v>44.99</v>
      </c>
      <c r="S300" s="50" t="s">
        <v>1217</v>
      </c>
      <c r="U300" s="50">
        <v>-6.75</v>
      </c>
      <c r="W300" s="50">
        <v>38.24</v>
      </c>
      <c r="X300" s="50">
        <v>38.24</v>
      </c>
      <c r="Y300" s="50">
        <v>38.24</v>
      </c>
      <c r="AA300" s="50">
        <v>85</v>
      </c>
      <c r="AC300" s="50">
        <v>48401</v>
      </c>
      <c r="AE300" s="50" t="s">
        <v>4370</v>
      </c>
    </row>
    <row r="301" spans="1:31">
      <c r="A301" s="50" t="s">
        <v>4484</v>
      </c>
      <c r="B301" s="50" t="s">
        <v>274</v>
      </c>
      <c r="C301" s="50" t="s">
        <v>1342</v>
      </c>
      <c r="D301" s="50" t="e">
        <f ca="1">Image("https://images-na.ssl-images-amazon.com/images/I/51Oo4BAms1L.jpg;https://images-na.ssl-images-amazon.com/images/I/51qUjDHX7bL.jpg;https://images-na.ssl-images-amazon.com/images/I/41DgkjwPr-L.jpg;https://images-na.ssl-images-amazon.com/images/I/41wBFfQgLGL"&amp;".jpg;https://images-na.ssl-images-amazon.com/images/I/416Wmo-izaL.jpg;https://images-na.ssl-images-amazon.com/images/I/511Ta-1a0EL.jpg")</f>
        <v>#NAME?</v>
      </c>
      <c r="E301" s="50" t="s">
        <v>16</v>
      </c>
      <c r="F301" s="50" t="s">
        <v>360</v>
      </c>
      <c r="G301" s="50">
        <v>1</v>
      </c>
      <c r="I301" s="50">
        <v>37.590000000000003</v>
      </c>
      <c r="S301" s="50" t="s">
        <v>1217</v>
      </c>
      <c r="U301" s="50">
        <v>-11.11</v>
      </c>
      <c r="W301" s="50">
        <v>26.48</v>
      </c>
      <c r="X301" s="50">
        <v>26.48</v>
      </c>
      <c r="Y301" s="50">
        <v>26.48</v>
      </c>
      <c r="AA301" s="50">
        <v>70.44</v>
      </c>
      <c r="AC301" s="50">
        <v>48401</v>
      </c>
      <c r="AE301" s="50" t="s">
        <v>4370</v>
      </c>
    </row>
    <row r="302" spans="1:31">
      <c r="A302" s="50" t="s">
        <v>4576</v>
      </c>
      <c r="B302" s="50" t="s">
        <v>109</v>
      </c>
      <c r="C302" s="50" t="s">
        <v>110</v>
      </c>
      <c r="D302" s="50" t="e">
        <f ca="1">Image("https://images-na.ssl-images-amazon.com/images/I/51S+beLeB+L.jpg;https://images-na.ssl-images-amazon.com/images/I/51bP+QEm33L.jpg;https://images-na.ssl-images-amazon.com/images/I/51UX+C7CfWL.jpg;https://images-na.ssl-images-amazon.com/images/I/515y3Qli5rL"&amp;".jpg;https://images-na.ssl-images-amazon.com/images/I/51dKPuaBCrL.jpg;https://images-na.ssl-images-amazon.com/images/I/51q2V4XUXSL.jpg;https://images-na.ssl-images-amazon.com/images/I/41WuHjltXmL.jpg")</f>
        <v>#NAME?</v>
      </c>
      <c r="E302" s="50" t="s">
        <v>20</v>
      </c>
      <c r="F302" s="50" t="s">
        <v>111</v>
      </c>
      <c r="G302" s="50">
        <v>1</v>
      </c>
      <c r="I302" s="50">
        <v>22</v>
      </c>
      <c r="S302" s="50" t="s">
        <v>1217</v>
      </c>
      <c r="U302" s="50">
        <v>-23.2</v>
      </c>
      <c r="W302" s="50">
        <v>-1.2</v>
      </c>
      <c r="X302" s="50">
        <v>-1.2</v>
      </c>
      <c r="Y302" s="50">
        <v>-1.2</v>
      </c>
      <c r="AA302" s="50">
        <v>-5.45</v>
      </c>
      <c r="AC302" s="50">
        <v>313199</v>
      </c>
      <c r="AE302" s="50" t="s">
        <v>4370</v>
      </c>
    </row>
    <row r="303" spans="1:31">
      <c r="A303" s="50" t="s">
        <v>4577</v>
      </c>
      <c r="B303" s="50" t="s">
        <v>130</v>
      </c>
      <c r="C303" s="50" t="s">
        <v>131</v>
      </c>
      <c r="D303" s="50" t="e">
        <f ca="1">Image("https://images-na.ssl-images-amazon.com/images/I/51XXMHOfvHL.jpg;https://images-na.ssl-images-amazon.com/images/I/51zLdjSt2VL.jpg;https://images-na.ssl-images-amazon.com/images/I/51-oevD1sfL.jpg;https://images-na.ssl-images-amazon.com/images/I/51rlEk-ifVL"&amp;".jpg;https://images-na.ssl-images-amazon.com/images/I/61QFTeQHz7L.jpg;https://images-na.ssl-images-amazon.com/images/I/513kSGDfDbL.jpg;https://images-na.ssl-images-amazon.com/images/I/61-OE0Ece+L.jpg;https://images-na.ssl-images-amazon.com/images/I/518Yvv"&amp;"P9pvL.jpg;https://images-na.ssl-images-amazon.com/images/I/51L37dHsiuL.jpg")</f>
        <v>#NAME?</v>
      </c>
      <c r="E303" s="50" t="s">
        <v>20</v>
      </c>
      <c r="F303" s="50" t="s">
        <v>132</v>
      </c>
      <c r="G303" s="50">
        <v>1</v>
      </c>
      <c r="H303" s="50">
        <v>1</v>
      </c>
      <c r="I303" s="50">
        <v>7</v>
      </c>
      <c r="R303" s="50">
        <v>100</v>
      </c>
      <c r="S303" s="50">
        <v>50</v>
      </c>
      <c r="T303" s="50">
        <v>-6.33</v>
      </c>
      <c r="U303" s="50">
        <v>1.86</v>
      </c>
      <c r="W303" s="50">
        <v>2.5299999999999998</v>
      </c>
      <c r="X303" s="50">
        <v>2.5299999999999998</v>
      </c>
      <c r="Y303" s="50">
        <v>2.5299999999999998</v>
      </c>
      <c r="AA303" s="50">
        <v>36.14</v>
      </c>
      <c r="AC303" s="50">
        <v>205817</v>
      </c>
      <c r="AE303" s="50" t="s">
        <v>4370</v>
      </c>
    </row>
    <row r="304" spans="1:31">
      <c r="A304" s="50" t="s">
        <v>4413</v>
      </c>
      <c r="B304" s="50" t="s">
        <v>127</v>
      </c>
      <c r="C304" s="50" t="s">
        <v>4578</v>
      </c>
      <c r="D304" s="50" t="e">
        <f ca="1">Image("https://images-na.ssl-images-amazon.com/images/I/41bJhvd6iWL.jpg;https://images-na.ssl-images-amazon.com/images/I/51NDwofsY9L.jpg;https://images-na.ssl-images-amazon.com/images/I/41TM8PrZnJL.jpg;https://images-na.ssl-images-amazon.com/images/I/413TjTXnyIL"&amp;".jpg;https://images-na.ssl-images-amazon.com/images/I/51qBa1U+56L.jpg;https://images-na.ssl-images-amazon.com/images/I/51BfznTgQ3L.jpg;https://images-na.ssl-images-amazon.com/images/I/51lHkguOGLL.jpg")</f>
        <v>#NAME?</v>
      </c>
      <c r="E304" s="50" t="s">
        <v>20</v>
      </c>
      <c r="F304" s="50" t="s">
        <v>4579</v>
      </c>
      <c r="G304" s="50">
        <v>1</v>
      </c>
      <c r="I304" s="50">
        <v>18.989999999999998</v>
      </c>
      <c r="S304" s="50" t="s">
        <v>1217</v>
      </c>
      <c r="U304" s="50">
        <v>-2.85</v>
      </c>
      <c r="W304" s="50">
        <v>16.14</v>
      </c>
      <c r="X304" s="50">
        <v>16.14</v>
      </c>
      <c r="Y304" s="50">
        <v>16.14</v>
      </c>
      <c r="AA304" s="50">
        <v>84.99</v>
      </c>
      <c r="AC304" s="50">
        <v>125997</v>
      </c>
      <c r="AE304" s="50" t="s">
        <v>4370</v>
      </c>
    </row>
    <row r="305" spans="1:31">
      <c r="A305" s="50" t="s">
        <v>4580</v>
      </c>
      <c r="B305" s="50" t="s">
        <v>1040</v>
      </c>
      <c r="C305" s="50" t="s">
        <v>1041</v>
      </c>
      <c r="D305" s="50" t="e">
        <f ca="1">Image("https://images-na.ssl-images-amazon.com/images/I/31CKKUF4pxL.jpg;https://images-na.ssl-images-amazon.com/images/I/41UYEDq4H+L.jpg;https://images-na.ssl-images-amazon.com/images/I/31locn7gy3L.jpg;https://images-na.ssl-images-amazon.com/images/I/31BoAWcluBL"&amp;".jpg;https://images-na.ssl-images-amazon.com/images/I/516pd7vGl3L.jpg;https://images-na.ssl-images-amazon.com/images/I/51uhYFH-53L.jpg;https://images-na.ssl-images-amazon.com/images/I/51oS4h7uk5L.jpg;https://images-na.ssl-images-amazon.com/images/I/51SUcQ"&amp;"y1ieL.jpg")</f>
        <v>#NAME?</v>
      </c>
      <c r="E305" s="50" t="s">
        <v>20</v>
      </c>
      <c r="F305" s="50" t="s">
        <v>1042</v>
      </c>
      <c r="G305" s="50">
        <v>1</v>
      </c>
      <c r="H305" s="50">
        <v>1</v>
      </c>
      <c r="I305" s="50">
        <v>12</v>
      </c>
      <c r="R305" s="50">
        <v>100</v>
      </c>
      <c r="S305" s="50">
        <v>100</v>
      </c>
      <c r="T305" s="50">
        <v>-10.37</v>
      </c>
      <c r="U305" s="50">
        <v>-10.15</v>
      </c>
      <c r="W305" s="50">
        <v>-8.52</v>
      </c>
      <c r="X305" s="50">
        <v>-8.52</v>
      </c>
      <c r="Y305" s="50">
        <v>-8.52</v>
      </c>
      <c r="AA305" s="50">
        <v>-71</v>
      </c>
      <c r="AC305" s="50">
        <v>7124224</v>
      </c>
      <c r="AE305" s="50" t="s">
        <v>4370</v>
      </c>
    </row>
    <row r="306" spans="1:31">
      <c r="A306" s="50" t="s">
        <v>4581</v>
      </c>
      <c r="B306" s="50" t="s">
        <v>701</v>
      </c>
      <c r="C306" s="50" t="s">
        <v>2109</v>
      </c>
      <c r="D306" s="50" t="e">
        <f ca="1">Image("https://images-na.ssl-images-amazon.com/images/I/41wKIhJkGTL.jpg;https://images-na.ssl-images-amazon.com/images/I/511-SAOioaL.jpg;https://images-na.ssl-images-amazon.com/images/I/31F3rYzkFUL.jpg;https://images-na.ssl-images-amazon.com/images/I/51npLQ9s1NL"&amp;".jpg;https://images-na.ssl-images-amazon.com/images/I/51njMWJPCiL.jpg;https://images-na.ssl-images-amazon.com/images/I/41y6tiAdA9L.jpg")</f>
        <v>#NAME?</v>
      </c>
      <c r="E306" s="50" t="s">
        <v>20</v>
      </c>
      <c r="F306" s="50" t="s">
        <v>703</v>
      </c>
      <c r="G306" s="50">
        <v>1</v>
      </c>
      <c r="I306" s="50">
        <v>11.49</v>
      </c>
      <c r="S306" s="50" t="s">
        <v>1217</v>
      </c>
      <c r="U306" s="50">
        <v>-1.72</v>
      </c>
      <c r="W306" s="50">
        <v>-1.22</v>
      </c>
      <c r="X306" s="50">
        <v>-1.22</v>
      </c>
      <c r="Y306" s="50">
        <v>9.77</v>
      </c>
      <c r="AA306" s="50">
        <v>-10.62</v>
      </c>
      <c r="AC306" s="50">
        <v>189132</v>
      </c>
      <c r="AE306" s="50" t="s">
        <v>4370</v>
      </c>
    </row>
    <row r="307" spans="1:31">
      <c r="A307" s="50" t="s">
        <v>4582</v>
      </c>
      <c r="B307" s="50" t="s">
        <v>911</v>
      </c>
      <c r="C307" s="50" t="s">
        <v>912</v>
      </c>
      <c r="D307" s="50" t="e">
        <f ca="1">Image("https://images-na.ssl-images-amazon.com/images/I/41OYflEoE6L.jpg;https://images-na.ssl-images-amazon.com/images/I/51+WVW5NB3L.jpg;https://images-na.ssl-images-amazon.com/images/I/31EC8XJyZgL.jpg;https://images-na.ssl-images-amazon.com/images/I/31MAzG6-wjL"&amp;".jpg;https://images-na.ssl-images-amazon.com/images/I/31TOCZKhDOL.jpg;https://images-na.ssl-images-amazon.com/images/I/51Yzz6coHNL.jpg;https://images-na.ssl-images-amazon.com/images/I/51vcaNV4pIL.jpg;https://images-na.ssl-images-amazon.com/images/I/51XevQ"&amp;"m6rcL.jpg")</f>
        <v>#NAME?</v>
      </c>
      <c r="E307" s="50" t="s">
        <v>20</v>
      </c>
      <c r="F307" s="50" t="s">
        <v>913</v>
      </c>
      <c r="G307" s="50">
        <v>1</v>
      </c>
      <c r="I307" s="50">
        <v>9</v>
      </c>
      <c r="S307" s="50" t="s">
        <v>1217</v>
      </c>
      <c r="U307" s="50">
        <v>-6.22</v>
      </c>
      <c r="W307" s="50">
        <v>2.78</v>
      </c>
      <c r="X307" s="50">
        <v>2.78</v>
      </c>
      <c r="Y307" s="50">
        <v>2.78</v>
      </c>
      <c r="AA307" s="50">
        <v>30.89</v>
      </c>
      <c r="AC307" s="50">
        <v>4903671</v>
      </c>
      <c r="AE307" s="50" t="s">
        <v>4370</v>
      </c>
    </row>
    <row r="308" spans="1:31">
      <c r="A308" s="50" t="s">
        <v>4467</v>
      </c>
      <c r="B308" s="50" t="s">
        <v>76</v>
      </c>
      <c r="C308" s="50" t="s">
        <v>4583</v>
      </c>
      <c r="D308" s="50" t="e">
        <f ca="1">Image("https://images-na.ssl-images-amazon.com/images/I/41WfQlAKgEL.jpg;https://images-na.ssl-images-amazon.com/images/I/41A2eaJ3hvL.jpg;https://images-na.ssl-images-amazon.com/images/I/51o6bKBFqbL.jpg;https://images-na.ssl-images-amazon.com/images/I/41AHI5LW2SL"&amp;".jpg;https://images-na.ssl-images-amazon.com/images/I/5149HJf7zWL.jpg;https://images-na.ssl-images-amazon.com/images/I/513qvw4uCWL.jpg;https://images-na.ssl-images-amazon.com/images/I/61FbXfMSk1L.jpg")</f>
        <v>#NAME?</v>
      </c>
      <c r="E308" s="50" t="s">
        <v>20</v>
      </c>
      <c r="F308" s="50" t="s">
        <v>78</v>
      </c>
      <c r="G308" s="50">
        <v>1</v>
      </c>
      <c r="I308" s="50">
        <v>16</v>
      </c>
      <c r="S308" s="50" t="s">
        <v>1217</v>
      </c>
      <c r="U308" s="50">
        <v>-19.18</v>
      </c>
      <c r="W308" s="50">
        <v>-3.18</v>
      </c>
      <c r="X308" s="50">
        <v>-3.18</v>
      </c>
      <c r="Y308" s="50">
        <v>-3.18</v>
      </c>
      <c r="AA308" s="50">
        <v>-19.88</v>
      </c>
      <c r="AC308" s="50">
        <v>54948</v>
      </c>
      <c r="AE308" s="50" t="s">
        <v>4370</v>
      </c>
    </row>
    <row r="309" spans="1:31">
      <c r="A309" s="50" t="s">
        <v>4444</v>
      </c>
      <c r="B309" s="50" t="s">
        <v>277</v>
      </c>
      <c r="C309" s="50" t="s">
        <v>4584</v>
      </c>
      <c r="D309" s="50" t="e">
        <f t="shared" ref="D309:D310" ca="1" si="0">Image("https://images-na.ssl-images-amazon.com/images/I/41aKdLZnWxL.jpg;https://images-na.ssl-images-amazon.com/images/I/41b6HMl130L.jpg;https://images-na.ssl-images-amazon.com/images/I/41KW8hFrpHS.jpg;https://images-na.ssl-images-amazon.com/images/I/41r4qdBIS0L"&amp;".jpg;https://images-na.ssl-images-amazon.com/images/I/41zpqNN3hAL.jpg;https://images-na.ssl-images-amazon.com/images/I/51AOa6oTe4L.jpg;https://images-na.ssl-images-amazon.com/images/I/41rYE9Xu+ML.jpg")</f>
        <v>#NAME?</v>
      </c>
      <c r="E309" s="50" t="s">
        <v>20</v>
      </c>
      <c r="F309" s="50" t="s">
        <v>279</v>
      </c>
      <c r="G309" s="50">
        <v>1</v>
      </c>
      <c r="I309" s="50">
        <v>15</v>
      </c>
      <c r="S309" s="50" t="s">
        <v>1217</v>
      </c>
      <c r="U309" s="50">
        <v>-45.49</v>
      </c>
      <c r="W309" s="50">
        <v>-30.49</v>
      </c>
      <c r="X309" s="50">
        <v>-30.49</v>
      </c>
      <c r="Y309" s="50">
        <v>-30.49</v>
      </c>
      <c r="AA309" s="50">
        <v>-203.27</v>
      </c>
      <c r="AC309" s="50">
        <v>244859</v>
      </c>
      <c r="AE309" s="50" t="s">
        <v>4370</v>
      </c>
    </row>
    <row r="310" spans="1:31">
      <c r="A310" s="50" t="s">
        <v>4444</v>
      </c>
      <c r="B310" s="50" t="s">
        <v>277</v>
      </c>
      <c r="C310" s="50" t="s">
        <v>1402</v>
      </c>
      <c r="D310" s="50" t="e">
        <f t="shared" ca="1" si="0"/>
        <v>#NAME?</v>
      </c>
      <c r="E310" s="50" t="s">
        <v>20</v>
      </c>
      <c r="F310" s="50" t="s">
        <v>279</v>
      </c>
      <c r="G310" s="50">
        <v>1</v>
      </c>
      <c r="I310" s="50">
        <v>17.989999999999998</v>
      </c>
      <c r="S310" s="50" t="s">
        <v>1217</v>
      </c>
      <c r="U310" s="50">
        <v>-2.7</v>
      </c>
      <c r="W310" s="50">
        <v>15.29</v>
      </c>
      <c r="X310" s="50">
        <v>15.29</v>
      </c>
      <c r="Y310" s="50">
        <v>15.29</v>
      </c>
      <c r="AA310" s="50">
        <v>84.99</v>
      </c>
      <c r="AC310" s="50">
        <v>244859</v>
      </c>
      <c r="AE310" s="50" t="s">
        <v>4370</v>
      </c>
    </row>
    <row r="311" spans="1:31">
      <c r="A311" s="50" t="s">
        <v>4445</v>
      </c>
      <c r="B311" s="50" t="s">
        <v>1177</v>
      </c>
      <c r="C311" s="50" t="s">
        <v>4585</v>
      </c>
      <c r="D311" s="50" t="e">
        <f ca="1">Image("https://images-na.ssl-images-amazon.com/images/I/418KqpfRhML.jpg;https://images-na.ssl-images-amazon.com/images/I/41b6HMl130L.jpg;https://images-na.ssl-images-amazon.com/images/I/41KW8hFrpHS.jpg;https://images-na.ssl-images-amazon.com/images/I/41r4qdBIS0L"&amp;".jpg;https://images-na.ssl-images-amazon.com/images/I/51AOa6oTe4L.jpg;https://images-na.ssl-images-amazon.com/images/I/41rYE9Xu+ML.jpg")</f>
        <v>#NAME?</v>
      </c>
      <c r="E311" s="50" t="s">
        <v>20</v>
      </c>
      <c r="F311" s="50" t="s">
        <v>1179</v>
      </c>
      <c r="G311" s="50">
        <v>1</v>
      </c>
      <c r="H311" s="50">
        <v>1</v>
      </c>
      <c r="I311" s="50">
        <v>25</v>
      </c>
      <c r="R311" s="50">
        <v>100</v>
      </c>
      <c r="T311" s="50">
        <v>-22</v>
      </c>
      <c r="U311" s="50">
        <v>-99.93</v>
      </c>
      <c r="W311" s="50">
        <v>-96.93</v>
      </c>
      <c r="X311" s="50">
        <v>-96.93</v>
      </c>
      <c r="Y311" s="50">
        <v>-96.93</v>
      </c>
      <c r="AA311" s="50">
        <v>-387.72</v>
      </c>
      <c r="AC311" s="50">
        <v>244859</v>
      </c>
      <c r="AE311" s="50" t="s">
        <v>4370</v>
      </c>
    </row>
    <row r="312" spans="1:31">
      <c r="A312" s="50" t="s">
        <v>4586</v>
      </c>
      <c r="B312" s="50" t="s">
        <v>874</v>
      </c>
      <c r="C312" s="50" t="s">
        <v>875</v>
      </c>
      <c r="D312" s="50" t="e">
        <f ca="1">Image("https://images-na.ssl-images-amazon.com/images/I/41nYvexZSQL.jpg;https://images-na.ssl-images-amazon.com/images/I/416aYJ9iF-L.jpg;https://images-na.ssl-images-amazon.com/images/I/41Ia1HD8+kL.jpg;https://images-na.ssl-images-amazon.com/images/I/4152veTioOL"&amp;".jpg;https://images-na.ssl-images-amazon.com/images/I/515xqNw3z-L.jpg;https://images-na.ssl-images-amazon.com/images/I/51Md0fEyNaL.jpg")</f>
        <v>#NAME?</v>
      </c>
      <c r="E312" s="50" t="s">
        <v>16</v>
      </c>
      <c r="F312" s="50" t="s">
        <v>876</v>
      </c>
      <c r="G312" s="50">
        <v>1</v>
      </c>
      <c r="I312" s="50">
        <v>6.49</v>
      </c>
      <c r="S312" s="50" t="s">
        <v>1217</v>
      </c>
      <c r="U312" s="50">
        <v>-0.97</v>
      </c>
      <c r="W312" s="50">
        <v>5.52</v>
      </c>
      <c r="X312" s="50">
        <v>5.52</v>
      </c>
      <c r="Y312" s="50">
        <v>5.52</v>
      </c>
      <c r="AA312" s="50">
        <v>85.05</v>
      </c>
      <c r="AC312" s="50">
        <v>5369633</v>
      </c>
      <c r="AE312" s="50" t="s">
        <v>4370</v>
      </c>
    </row>
    <row r="313" spans="1:31">
      <c r="A313" s="50" t="s">
        <v>4587</v>
      </c>
      <c r="B313" s="50" t="s">
        <v>206</v>
      </c>
      <c r="C313" s="50" t="s">
        <v>4588</v>
      </c>
      <c r="D313" s="50" t="e">
        <f ca="1">Image("https://images-na.ssl-images-amazon.com/images/I/51JXxV9SVlL.jpg;https://images-na.ssl-images-amazon.com/images/I/51bmI8M0lnL.jpg;https://images-na.ssl-images-amazon.com/images/I/51Yxjdxj-RL.jpg;https://images-na.ssl-images-amazon.com/images/I/41SbKlYf6yL"&amp;".jpg;https://images-na.ssl-images-amazon.com/images/I/61zFBHlaYkL.jpg;https://images-na.ssl-images-amazon.com/images/I/61U-7yYxGtL.jpg;https://images-na.ssl-images-amazon.com/images/I/61vqrdPd3FL.jpg")</f>
        <v>#NAME?</v>
      </c>
      <c r="E313" s="50" t="s">
        <v>20</v>
      </c>
      <c r="F313" s="50" t="s">
        <v>208</v>
      </c>
      <c r="G313" s="50">
        <v>1</v>
      </c>
      <c r="I313" s="50">
        <v>18.98</v>
      </c>
      <c r="S313" s="50" t="s">
        <v>1217</v>
      </c>
      <c r="U313" s="50">
        <v>-2.85</v>
      </c>
      <c r="W313" s="50">
        <v>5.14</v>
      </c>
      <c r="X313" s="50">
        <v>5.14</v>
      </c>
      <c r="Y313" s="50">
        <v>16.13</v>
      </c>
      <c r="AA313" s="50">
        <v>27.08</v>
      </c>
      <c r="AC313" s="50">
        <v>317291</v>
      </c>
      <c r="AE313" s="50" t="s">
        <v>4370</v>
      </c>
    </row>
    <row r="314" spans="1:31">
      <c r="A314" s="50" t="s">
        <v>4589</v>
      </c>
      <c r="B314" s="50" t="s">
        <v>227</v>
      </c>
      <c r="C314" s="50" t="s">
        <v>4590</v>
      </c>
      <c r="D314" s="50" t="e">
        <f ca="1">Image("https://images-na.ssl-images-amazon.com/images/I/41OVDNB8ZxL.jpg;https://images-na.ssl-images-amazon.com/images/I/51sf89CzEJL.jpg;https://images-na.ssl-images-amazon.com/images/I/41q2DLqpG9L.jpg;https://images-na.ssl-images-amazon.com/images/I/51qeaNwt+9L"&amp;".jpg;https://images-na.ssl-images-amazon.com/images/I/41lPflk+OgL.jpg;https://images-na.ssl-images-amazon.com/images/I/61geB7jq8YL.jpg;https://images-na.ssl-images-amazon.com/images/I/51l-NtkusjL.jpg")</f>
        <v>#NAME?</v>
      </c>
      <c r="E314" s="50" t="s">
        <v>20</v>
      </c>
      <c r="F314" s="50" t="s">
        <v>229</v>
      </c>
      <c r="G314" s="50">
        <v>1</v>
      </c>
      <c r="I314" s="50">
        <v>8</v>
      </c>
      <c r="S314" s="50" t="s">
        <v>1217</v>
      </c>
      <c r="U314" s="50">
        <v>-11.53</v>
      </c>
      <c r="W314" s="50">
        <v>-3.53</v>
      </c>
      <c r="X314" s="50">
        <v>-3.53</v>
      </c>
      <c r="Y314" s="50">
        <v>-3.53</v>
      </c>
      <c r="AA314" s="50">
        <v>-44.13</v>
      </c>
      <c r="AC314" s="50">
        <v>317291</v>
      </c>
      <c r="AE314" s="50" t="s">
        <v>4370</v>
      </c>
    </row>
    <row r="315" spans="1:31">
      <c r="A315" s="50" t="s">
        <v>4591</v>
      </c>
      <c r="B315" s="50" t="s">
        <v>1034</v>
      </c>
      <c r="C315" s="50" t="s">
        <v>1035</v>
      </c>
      <c r="D315" s="50" t="e">
        <f ca="1">Image("https://images-na.ssl-images-amazon.com/images/I/41QomNS594L.jpg;https://images-na.ssl-images-amazon.com/images/I/61tVMdB1xrL.jpg;https://images-na.ssl-images-amazon.com/images/I/51dfkpPO8rL.jpg;https://images-na.ssl-images-amazon.com/images/I/61AD7T-BZdL"&amp;".jpg;https://images-na.ssl-images-amazon.com/images/I/51FIaWZdZqS.jpg;https://images-na.ssl-images-amazon.com/images/I/51I3VK18VaL.jpg;https://images-na.ssl-images-amazon.com/images/I/51jqh3jmwWL.jpg;https://images-na.ssl-images-amazon.com/images/I/51IoHZ"&amp;"iSPxL.jpg")</f>
        <v>#NAME?</v>
      </c>
      <c r="E315" s="50" t="s">
        <v>20</v>
      </c>
      <c r="F315" s="50" t="s">
        <v>402</v>
      </c>
      <c r="G315" s="50">
        <v>1</v>
      </c>
      <c r="H315" s="50">
        <v>1</v>
      </c>
      <c r="I315" s="50">
        <v>12.99</v>
      </c>
      <c r="R315" s="50">
        <v>100</v>
      </c>
      <c r="T315" s="50">
        <v>-11.43</v>
      </c>
      <c r="U315" s="50">
        <v>-9.42</v>
      </c>
      <c r="W315" s="50">
        <v>-7.86</v>
      </c>
      <c r="X315" s="50">
        <v>-7.86</v>
      </c>
      <c r="Y315" s="50">
        <v>-7.86</v>
      </c>
      <c r="AA315" s="50">
        <v>-60.51</v>
      </c>
      <c r="AC315" s="50">
        <v>367087</v>
      </c>
      <c r="AE315" s="50" t="s">
        <v>4370</v>
      </c>
    </row>
    <row r="316" spans="1:31">
      <c r="A316" s="50" t="s">
        <v>4592</v>
      </c>
      <c r="B316" s="50" t="s">
        <v>322</v>
      </c>
      <c r="C316" s="50" t="s">
        <v>4593</v>
      </c>
      <c r="D316" s="50" t="e">
        <f ca="1">Image("https://images-na.ssl-images-amazon.com/images/I/41UjIhu3v4L.jpg;https://images-na.ssl-images-amazon.com/images/I/41FNmvhossL.jpg;https://images-na.ssl-images-amazon.com/images/I/51Yxjdxj-RL.jpg;https://images-na.ssl-images-amazon.com/images/I/41vyzjACAfL"&amp;".jpg;https://images-na.ssl-images-amazon.com/images/I/61hClIxxcLL.jpg;https://images-na.ssl-images-amazon.com/images/I/61Op1bcgPrL.jpg;https://images-na.ssl-images-amazon.com/images/I/519XXkzez1L.jpg")</f>
        <v>#NAME?</v>
      </c>
      <c r="E316" s="50" t="s">
        <v>20</v>
      </c>
      <c r="F316" s="50" t="s">
        <v>324</v>
      </c>
      <c r="G316" s="50">
        <v>1</v>
      </c>
      <c r="I316" s="50">
        <v>18.989999999999998</v>
      </c>
      <c r="S316" s="50" t="s">
        <v>1217</v>
      </c>
      <c r="U316" s="50">
        <v>-2.85</v>
      </c>
      <c r="W316" s="50">
        <v>5.15</v>
      </c>
      <c r="X316" s="50">
        <v>5.15</v>
      </c>
      <c r="Y316" s="50">
        <v>16.14</v>
      </c>
      <c r="AA316" s="50">
        <v>27.12</v>
      </c>
      <c r="AC316" s="50">
        <v>317291</v>
      </c>
      <c r="AE316" s="50" t="s">
        <v>4370</v>
      </c>
    </row>
    <row r="317" spans="1:31">
      <c r="A317" s="50" t="s">
        <v>4594</v>
      </c>
      <c r="B317" s="50" t="s">
        <v>200</v>
      </c>
      <c r="C317" s="50" t="s">
        <v>4595</v>
      </c>
      <c r="D317" s="50" t="e">
        <f ca="1">Image("https://images-na.ssl-images-amazon.com/images/I/51KAxo3a-3L.jpg;https://images-na.ssl-images-amazon.com/images/I/51-8MIIOsVL.jpg;https://images-na.ssl-images-amazon.com/images/I/51Yxjdxj-RL.jpg;https://images-na.ssl-images-amazon.com/images/I/41IjNyOw+GL"&amp;".jpg;https://images-na.ssl-images-amazon.com/images/I/61YSpwZjHYL.jpg;https://images-na.ssl-images-amazon.com/images/I/61SxbPBq4VL.jpg;https://images-na.ssl-images-amazon.com/images/I/61B16W9kV0L.jpg")</f>
        <v>#NAME?</v>
      </c>
      <c r="E317" s="50" t="s">
        <v>20</v>
      </c>
      <c r="F317" s="50" t="s">
        <v>202</v>
      </c>
      <c r="G317" s="50">
        <v>1</v>
      </c>
      <c r="H317" s="50">
        <v>1</v>
      </c>
      <c r="I317" s="50">
        <v>13.99</v>
      </c>
      <c r="R317" s="50">
        <v>100</v>
      </c>
      <c r="S317" s="50" t="s">
        <v>1217</v>
      </c>
      <c r="T317" s="50">
        <v>-12.31</v>
      </c>
      <c r="U317" s="50">
        <v>-2.1</v>
      </c>
      <c r="W317" s="50">
        <v>-0.42</v>
      </c>
      <c r="X317" s="50">
        <v>-0.42</v>
      </c>
      <c r="Y317" s="50">
        <v>-0.42</v>
      </c>
      <c r="AA317" s="50">
        <v>-3</v>
      </c>
      <c r="AC317" s="50">
        <v>317291</v>
      </c>
      <c r="AE317" s="50" t="s">
        <v>4370</v>
      </c>
    </row>
    <row r="318" spans="1:31">
      <c r="A318" s="50" t="s">
        <v>4596</v>
      </c>
      <c r="B318" s="50" t="s">
        <v>157</v>
      </c>
      <c r="C318" s="50" t="s">
        <v>4597</v>
      </c>
      <c r="D318" s="50" t="e">
        <f ca="1">Image("https://images-na.ssl-images-amazon.com/images/I/51omqILQ3qL.jpg;https://images-na.ssl-images-amazon.com/images/I/510oEd39NnL.jpg;https://images-na.ssl-images-amazon.com/images/I/41q2DLqpG9L.jpg;https://images-na.ssl-images-amazon.com/images/I/51qeaNwt+9L"&amp;".jpg;https://images-na.ssl-images-amazon.com/images/I/41o30RPNFQL.jpg;https://images-na.ssl-images-amazon.com/images/I/61JtvfVX5xL.jpg;https://images-na.ssl-images-amazon.com/images/I/51HWVFhGIBL.jpg")</f>
        <v>#NAME?</v>
      </c>
      <c r="E318" s="50" t="s">
        <v>20</v>
      </c>
      <c r="F318" s="50" t="s">
        <v>159</v>
      </c>
      <c r="G318" s="50">
        <v>1</v>
      </c>
      <c r="I318" s="50">
        <v>13.99</v>
      </c>
      <c r="S318" s="50" t="s">
        <v>1217</v>
      </c>
      <c r="U318" s="50">
        <v>-2.1</v>
      </c>
      <c r="W318" s="50">
        <v>11.89</v>
      </c>
      <c r="X318" s="50">
        <v>11.89</v>
      </c>
      <c r="Y318" s="50">
        <v>11.89</v>
      </c>
      <c r="AA318" s="50">
        <v>84.99</v>
      </c>
      <c r="AC318" s="50">
        <v>317291</v>
      </c>
      <c r="AE318" s="50" t="s">
        <v>4370</v>
      </c>
    </row>
    <row r="319" spans="1:31">
      <c r="A319" s="50" t="s">
        <v>4598</v>
      </c>
      <c r="B319" s="50" t="s">
        <v>770</v>
      </c>
      <c r="C319" s="50" t="s">
        <v>771</v>
      </c>
      <c r="D319" s="50" t="e">
        <f ca="1">Image("https://images-na.ssl-images-amazon.com/images/I/41zc-Tk4HqL.jpg;https://images-na.ssl-images-amazon.com/images/I/51hcPoE09cL.jpg;https://images-na.ssl-images-amazon.com/images/I/41lcbtfMwLL.jpg;https://images-na.ssl-images-amazon.com/images/I/41wSWKiVi5L"&amp;".jpg;https://images-na.ssl-images-amazon.com/images/I/41l14c0-RpL.jpg;https://images-na.ssl-images-amazon.com/images/I/51O+Aj7NAeL.jpg")</f>
        <v>#NAME?</v>
      </c>
      <c r="E319" s="50" t="s">
        <v>20</v>
      </c>
      <c r="F319" s="50" t="s">
        <v>772</v>
      </c>
      <c r="G319" s="50">
        <v>1</v>
      </c>
      <c r="I319" s="50">
        <v>15.99</v>
      </c>
      <c r="S319" s="50" t="s">
        <v>1217</v>
      </c>
      <c r="U319" s="50">
        <v>-2.4</v>
      </c>
      <c r="W319" s="50">
        <v>13.59</v>
      </c>
      <c r="X319" s="50">
        <v>13.59</v>
      </c>
      <c r="Y319" s="50">
        <v>13.59</v>
      </c>
      <c r="AA319" s="50">
        <v>84.99</v>
      </c>
      <c r="AC319" s="50">
        <v>1896453</v>
      </c>
      <c r="AE319" s="50" t="s">
        <v>4370</v>
      </c>
    </row>
    <row r="320" spans="1:31">
      <c r="A320" s="50" t="s">
        <v>4599</v>
      </c>
      <c r="B320" s="50" t="s">
        <v>883</v>
      </c>
      <c r="C320" s="50" t="s">
        <v>884</v>
      </c>
      <c r="D320" s="50" t="e">
        <f ca="1">Image("https://images-na.ssl-images-amazon.com/images/I/41z83KjYNxL.jpg")</f>
        <v>#NAME?</v>
      </c>
      <c r="E320" s="50" t="s">
        <v>20</v>
      </c>
      <c r="F320" s="50" t="s">
        <v>885</v>
      </c>
      <c r="G320" s="50">
        <v>1</v>
      </c>
      <c r="I320" s="50">
        <v>12.5</v>
      </c>
      <c r="S320" s="50" t="s">
        <v>1217</v>
      </c>
      <c r="U320" s="50">
        <v>-7.41</v>
      </c>
      <c r="W320" s="50">
        <v>5.09</v>
      </c>
      <c r="X320" s="50">
        <v>5.09</v>
      </c>
      <c r="Y320" s="50">
        <v>5.09</v>
      </c>
      <c r="AA320" s="50">
        <v>40.72</v>
      </c>
      <c r="AC320" s="50">
        <v>1896453</v>
      </c>
      <c r="AE320" s="50" t="s">
        <v>4370</v>
      </c>
    </row>
    <row r="321" spans="1:31">
      <c r="A321" s="50" t="s">
        <v>4600</v>
      </c>
      <c r="B321" s="50" t="s">
        <v>424</v>
      </c>
      <c r="C321" s="50" t="s">
        <v>425</v>
      </c>
      <c r="D321" s="50" t="e">
        <f ca="1">Image("https://images-na.ssl-images-amazon.com/images/I/31rxkYueElL.jpg;https://images-na.ssl-images-amazon.com/images/I/314idXZH1xL.jpg;https://images-na.ssl-images-amazon.com/images/I/315hH+9ybhL.jpg;https://images-na.ssl-images-amazon.com/images/I/51JAGc5-DRL"&amp;".jpg;https://images-na.ssl-images-amazon.com/images/I/51ClpcN1DsL.jpg;https://images-na.ssl-images-amazon.com/images/I/51kjqCLJaYL.jpg")</f>
        <v>#NAME?</v>
      </c>
      <c r="E321" s="50" t="s">
        <v>20</v>
      </c>
      <c r="F321" s="50" t="s">
        <v>426</v>
      </c>
      <c r="G321" s="50">
        <v>1</v>
      </c>
      <c r="I321" s="50">
        <v>13.99</v>
      </c>
      <c r="S321" s="50" t="s">
        <v>1217</v>
      </c>
      <c r="U321" s="50">
        <v>-2.8</v>
      </c>
      <c r="W321" s="50">
        <v>11.19</v>
      </c>
      <c r="X321" s="50">
        <v>11.19</v>
      </c>
      <c r="Y321" s="50">
        <v>11.19</v>
      </c>
      <c r="AA321" s="50">
        <v>79.989999999999995</v>
      </c>
      <c r="AC321" s="50">
        <v>90695</v>
      </c>
      <c r="AE321" s="50" t="s">
        <v>4370</v>
      </c>
    </row>
    <row r="322" spans="1:31">
      <c r="A322" s="50" t="s">
        <v>4601</v>
      </c>
      <c r="B322" s="50" t="s">
        <v>956</v>
      </c>
      <c r="C322" s="50" t="s">
        <v>957</v>
      </c>
      <c r="D322" s="50" t="e">
        <f ca="1">Image("https://images-na.ssl-images-amazon.com/images/I/414PIW6pzsL.jpg")</f>
        <v>#NAME?</v>
      </c>
      <c r="E322" s="50" t="s">
        <v>20</v>
      </c>
      <c r="F322" s="50" t="s">
        <v>958</v>
      </c>
      <c r="G322" s="50">
        <v>1</v>
      </c>
      <c r="H322" s="50">
        <v>1</v>
      </c>
      <c r="I322" s="50">
        <v>18.989999999999998</v>
      </c>
      <c r="R322" s="50">
        <v>100</v>
      </c>
      <c r="S322" s="50" t="s">
        <v>1217</v>
      </c>
      <c r="T322" s="50">
        <v>-15.95</v>
      </c>
      <c r="U322" s="50">
        <v>-3.8</v>
      </c>
      <c r="W322" s="50">
        <v>-11.75</v>
      </c>
      <c r="X322" s="50">
        <v>-11.75</v>
      </c>
      <c r="Y322" s="50">
        <v>-0.76</v>
      </c>
      <c r="AA322" s="50">
        <v>-61.87</v>
      </c>
      <c r="AC322" s="50">
        <v>90695</v>
      </c>
      <c r="AE322" s="50" t="s">
        <v>4370</v>
      </c>
    </row>
    <row r="323" spans="1:31">
      <c r="A323" s="50" t="s">
        <v>4602</v>
      </c>
      <c r="B323" s="50" t="s">
        <v>441</v>
      </c>
      <c r="C323" s="50" t="s">
        <v>442</v>
      </c>
      <c r="D323" s="50" t="e">
        <f ca="1">Image("https://images-na.ssl-images-amazon.com/images/I/51vE9yg+bSL.jpg")</f>
        <v>#NAME?</v>
      </c>
      <c r="E323" s="50" t="s">
        <v>20</v>
      </c>
      <c r="F323" s="50" t="s">
        <v>443</v>
      </c>
      <c r="G323" s="50">
        <v>1</v>
      </c>
      <c r="I323" s="50">
        <v>13.99</v>
      </c>
      <c r="S323" s="50" t="s">
        <v>1217</v>
      </c>
      <c r="U323" s="50">
        <v>-2.8</v>
      </c>
      <c r="W323" s="50">
        <v>11.19</v>
      </c>
      <c r="X323" s="50">
        <v>11.19</v>
      </c>
      <c r="Y323" s="50">
        <v>11.19</v>
      </c>
      <c r="AA323" s="50">
        <v>79.989999999999995</v>
      </c>
      <c r="AC323" s="50">
        <v>90695</v>
      </c>
      <c r="AE323" s="50" t="s">
        <v>4370</v>
      </c>
    </row>
    <row r="324" spans="1:31">
      <c r="A324" s="50" t="s">
        <v>4603</v>
      </c>
      <c r="B324" s="50" t="s">
        <v>1059</v>
      </c>
      <c r="C324" s="50" t="s">
        <v>1060</v>
      </c>
      <c r="D324" s="50" t="e">
        <f ca="1">Image("https://images-na.ssl-images-amazon.com/images/I/4189zQj2tpS.jpg;https://images-na.ssl-images-amazon.com/images/I/61FMDYSH6NS.jpg;https://images-na.ssl-images-amazon.com/images/I/51m+yoij3iS.jpg;https://images-na.ssl-images-amazon.com/images/I/61nsNF1x7xS"&amp;".jpg;https://images-na.ssl-images-amazon.com/images/I/517-E7cMu+S.jpg;https://images-na.ssl-images-amazon.com/images/I/51Mq91sl4sS.jpg")</f>
        <v>#NAME?</v>
      </c>
      <c r="E324" s="50" t="s">
        <v>20</v>
      </c>
      <c r="F324" s="50" t="s">
        <v>1061</v>
      </c>
      <c r="G324" s="50">
        <v>1</v>
      </c>
      <c r="I324" s="50">
        <v>10.5</v>
      </c>
      <c r="S324" s="50" t="s">
        <v>1217</v>
      </c>
      <c r="U324" s="50">
        <v>-22.42</v>
      </c>
      <c r="W324" s="50">
        <v>-11.92</v>
      </c>
      <c r="X324" s="50">
        <v>-11.92</v>
      </c>
      <c r="Y324" s="50">
        <v>-11.92</v>
      </c>
      <c r="AA324" s="50">
        <v>-113.52</v>
      </c>
      <c r="AC324" s="50">
        <v>367087</v>
      </c>
      <c r="AE324" s="50" t="s">
        <v>4370</v>
      </c>
    </row>
    <row r="325" spans="1:31">
      <c r="A325" s="50" t="s">
        <v>4604</v>
      </c>
      <c r="B325" s="50" t="s">
        <v>968</v>
      </c>
      <c r="C325" s="50" t="s">
        <v>969</v>
      </c>
      <c r="D325" s="50" t="e">
        <f ca="1">Image("https://images-na.ssl-images-amazon.com/images/I/41fqB4qw0LL.jpg;https://images-na.ssl-images-amazon.com/images/I/51m6Oz77b8L.jpg;https://images-na.ssl-images-amazon.com/images/I/51MUxJwTbjL.jpg;https://images-na.ssl-images-amazon.com/images/I/61HZGO-OWgL"&amp;".jpg;https://images-na.ssl-images-amazon.com/images/I/511ILQ6XVPS.jpg;https://images-na.ssl-images-amazon.com/images/I/613Eb95TomL.jpg")</f>
        <v>#NAME?</v>
      </c>
      <c r="E325" s="50" t="s">
        <v>20</v>
      </c>
      <c r="F325" s="50" t="s">
        <v>970</v>
      </c>
      <c r="G325" s="50">
        <v>1</v>
      </c>
      <c r="I325" s="50">
        <v>8</v>
      </c>
      <c r="S325" s="50" t="s">
        <v>1217</v>
      </c>
      <c r="U325" s="50">
        <v>-9.1</v>
      </c>
      <c r="W325" s="50">
        <v>-1.1000000000000001</v>
      </c>
      <c r="X325" s="50">
        <v>-1.1000000000000001</v>
      </c>
      <c r="Y325" s="50">
        <v>-1.1000000000000001</v>
      </c>
      <c r="AA325" s="50">
        <v>-13.75</v>
      </c>
      <c r="AC325" s="50">
        <v>367087</v>
      </c>
      <c r="AE325" s="50" t="s">
        <v>4370</v>
      </c>
    </row>
    <row r="326" spans="1:31">
      <c r="A326" s="50" t="s">
        <v>4605</v>
      </c>
      <c r="B326" s="50" t="s">
        <v>922</v>
      </c>
      <c r="C326" s="50" t="s">
        <v>923</v>
      </c>
      <c r="D326" s="50" t="e">
        <f ca="1">Image("https://images-na.ssl-images-amazon.com/images/I/51yeINGmEhL.jpg;https://images-na.ssl-images-amazon.com/images/I/41Az6hd5y9L.jpg;https://images-na.ssl-images-amazon.com/images/I/31xMD0g1+GL.jpg;https://images-na.ssl-images-amazon.com/images/I/41sPt1l5-8L"&amp;".jpg;https://images-na.ssl-images-amazon.com/images/I/31Nsrf06hJL.jpg;https://images-na.ssl-images-amazon.com/images/I/41tCZD5oCTL.jpg")</f>
        <v>#NAME?</v>
      </c>
      <c r="E326" s="50" t="s">
        <v>20</v>
      </c>
      <c r="F326" s="50" t="s">
        <v>924</v>
      </c>
      <c r="G326" s="50">
        <v>1</v>
      </c>
      <c r="I326" s="50">
        <v>19.989999999999998</v>
      </c>
      <c r="K326" s="50">
        <v>-1.64</v>
      </c>
      <c r="L326" s="50">
        <v>-1.64</v>
      </c>
      <c r="S326" s="50" t="s">
        <v>1217</v>
      </c>
      <c r="U326" s="50">
        <v>-17.39</v>
      </c>
      <c r="W326" s="50">
        <v>0.96</v>
      </c>
      <c r="X326" s="50">
        <v>0.96</v>
      </c>
      <c r="Y326" s="50">
        <v>0.96</v>
      </c>
      <c r="AA326" s="50">
        <v>4.8</v>
      </c>
      <c r="AC326" s="50">
        <v>1681285</v>
      </c>
      <c r="AD326" s="50">
        <v>8.1999999999999993</v>
      </c>
      <c r="AE326" s="50" t="s">
        <v>4370</v>
      </c>
    </row>
    <row r="327" spans="1:31">
      <c r="A327" s="50" t="s">
        <v>4606</v>
      </c>
      <c r="B327" s="50" t="s">
        <v>980</v>
      </c>
      <c r="C327" s="50" t="s">
        <v>981</v>
      </c>
      <c r="D327" s="50" t="e">
        <f ca="1">Image("https://images-na.ssl-images-amazon.com/images/I/41xp7Rcx9sL.jpg;https://images-na.ssl-images-amazon.com/images/I/414-DWmiYeL.jpg;https://images-na.ssl-images-amazon.com/images/I/41LBRvhdy-L.jpg;https://images-na.ssl-images-amazon.com/images/I/51CV9eTOvGL"&amp;".jpg;https://images-na.ssl-images-amazon.com/images/I/51OxQEEe+jL.jpg;https://images-na.ssl-images-amazon.com/images/I/41EVjGg9RvL.jpg;https://images-na.ssl-images-amazon.com/images/I/61RNGo98NeL.jpg")</f>
        <v>#NAME?</v>
      </c>
      <c r="E327" s="50" t="s">
        <v>20</v>
      </c>
      <c r="F327" s="50" t="s">
        <v>982</v>
      </c>
      <c r="G327" s="50">
        <v>1</v>
      </c>
      <c r="I327" s="50">
        <v>23.5</v>
      </c>
      <c r="S327" s="50" t="s">
        <v>1217</v>
      </c>
      <c r="U327" s="50">
        <v>-25.84</v>
      </c>
      <c r="W327" s="50">
        <v>-2.34</v>
      </c>
      <c r="X327" s="50">
        <v>-2.34</v>
      </c>
      <c r="Y327" s="50">
        <v>-2.34</v>
      </c>
      <c r="AA327" s="50">
        <v>-9.9600000000000009</v>
      </c>
      <c r="AC327" s="50">
        <v>1564432</v>
      </c>
      <c r="AE327" s="50" t="s">
        <v>4370</v>
      </c>
    </row>
    <row r="328" spans="1:31">
      <c r="A328" s="50" t="s">
        <v>4607</v>
      </c>
      <c r="B328" s="50" t="s">
        <v>995</v>
      </c>
      <c r="C328" s="50" t="s">
        <v>996</v>
      </c>
      <c r="D328" s="50" t="e">
        <f ca="1">Image("https://images-na.ssl-images-amazon.com/images/I/41hhB+QPFwL.jpg;https://images-na.ssl-images-amazon.com/images/I/51vp-EM0TuL.jpg;https://images-na.ssl-images-amazon.com/images/I/41e2eFmNsLL.jpg;https://images-na.ssl-images-amazon.com/images/I/51q19cVFVVL"&amp;".jpg;https://images-na.ssl-images-amazon.com/images/I/51a-jIqv8TL.jpg;https://images-na.ssl-images-amazon.com/images/I/51NvS5KDCiL.jpg;https://images-na.ssl-images-amazon.com/images/I/41EVjGg9RvL.jpg")</f>
        <v>#NAME?</v>
      </c>
      <c r="E328" s="50" t="s">
        <v>20</v>
      </c>
      <c r="F328" s="50" t="s">
        <v>997</v>
      </c>
      <c r="G328" s="50">
        <v>1</v>
      </c>
      <c r="I328" s="50">
        <v>16</v>
      </c>
      <c r="K328" s="50">
        <v>-1.61</v>
      </c>
      <c r="L328" s="50">
        <v>-1.61</v>
      </c>
      <c r="S328" s="50" t="s">
        <v>1217</v>
      </c>
      <c r="U328" s="50">
        <v>-17.57</v>
      </c>
      <c r="W328" s="50">
        <v>-3.18</v>
      </c>
      <c r="X328" s="50">
        <v>-3.18</v>
      </c>
      <c r="Y328" s="50">
        <v>-3.18</v>
      </c>
      <c r="AA328" s="50">
        <v>-19.88</v>
      </c>
      <c r="AC328" s="50">
        <v>1428070</v>
      </c>
      <c r="AD328" s="50">
        <v>10.06</v>
      </c>
      <c r="AE328" s="50" t="s">
        <v>4370</v>
      </c>
    </row>
    <row r="329" spans="1:31">
      <c r="A329" s="50" t="s">
        <v>4608</v>
      </c>
      <c r="B329" s="50" t="s">
        <v>908</v>
      </c>
      <c r="C329" s="50" t="s">
        <v>909</v>
      </c>
      <c r="D329" s="50" t="e">
        <f ca="1">Image("https://images-na.ssl-images-amazon.com/images/I/41S9RvZ0ryL.jpg;https://images-na.ssl-images-amazon.com/images/I/41gtS0URodL.jpg;https://images-na.ssl-images-amazon.com/images/I/41e2eFmNsLL.jpg;https://images-na.ssl-images-amazon.com/images/I/51q19cVFVVL"&amp;".jpg;https://images-na.ssl-images-amazon.com/images/I/51zwo37Pm5L.jpg;https://images-na.ssl-images-amazon.com/images/I/61+VhmGA-pL.jpg;https://images-na.ssl-images-amazon.com/images/I/41EVjGg9RvL.jpg")</f>
        <v>#NAME?</v>
      </c>
      <c r="E329" s="50" t="s">
        <v>20</v>
      </c>
      <c r="F329" s="50" t="s">
        <v>910</v>
      </c>
      <c r="G329" s="50">
        <v>1</v>
      </c>
      <c r="I329" s="50">
        <v>16</v>
      </c>
      <c r="K329" s="50">
        <v>-1.5</v>
      </c>
      <c r="L329" s="50">
        <v>-1.5</v>
      </c>
      <c r="S329" s="50" t="s">
        <v>1217</v>
      </c>
      <c r="U329" s="50">
        <v>-11.68</v>
      </c>
      <c r="W329" s="50">
        <v>2.82</v>
      </c>
      <c r="X329" s="50">
        <v>2.82</v>
      </c>
      <c r="Y329" s="50">
        <v>2.82</v>
      </c>
      <c r="AA329" s="50">
        <v>17.63</v>
      </c>
      <c r="AC329" s="50">
        <v>1428070</v>
      </c>
      <c r="AD329" s="50">
        <v>9.3800000000000008</v>
      </c>
      <c r="AE329" s="50" t="s">
        <v>4370</v>
      </c>
    </row>
    <row r="330" spans="1:31">
      <c r="A330" s="50" t="s">
        <v>4609</v>
      </c>
      <c r="B330" s="50" t="s">
        <v>1133</v>
      </c>
      <c r="C330" s="50" t="s">
        <v>1134</v>
      </c>
      <c r="D330" s="50" t="e">
        <f ca="1">Image("https://images-na.ssl-images-amazon.com/images/I/51AtX6ocVhL.jpg;https://images-na.ssl-images-amazon.com/images/I/41Tn504EyQL.jpg;https://images-na.ssl-images-amazon.com/images/I/51vmR7a9u3L.jpg;https://images-na.ssl-images-amazon.com/images/I/51gfwJ-3MpL"&amp;".jpg;https://images-na.ssl-images-amazon.com/images/I/51enG9MXScL.jpg;https://images-na.ssl-images-amazon.com/images/I/51NtK-rjEbL.jpg")</f>
        <v>#NAME?</v>
      </c>
      <c r="E330" s="50" t="s">
        <v>20</v>
      </c>
      <c r="F330" s="50" t="s">
        <v>1135</v>
      </c>
      <c r="G330" s="50">
        <v>1</v>
      </c>
      <c r="I330" s="50">
        <v>13</v>
      </c>
      <c r="S330" s="50" t="s">
        <v>1217</v>
      </c>
      <c r="U330" s="50">
        <v>-88.44</v>
      </c>
      <c r="W330" s="50">
        <v>-75.44</v>
      </c>
      <c r="X330" s="50">
        <v>-75.44</v>
      </c>
      <c r="Y330" s="50">
        <v>-75.44</v>
      </c>
      <c r="AA330" s="50">
        <v>-580.30999999999995</v>
      </c>
      <c r="AC330" s="50">
        <v>6864364</v>
      </c>
      <c r="AE330" s="50" t="s">
        <v>4370</v>
      </c>
    </row>
    <row r="331" spans="1:31">
      <c r="A331" s="50" t="s">
        <v>4610</v>
      </c>
      <c r="B331" s="50" t="s">
        <v>899</v>
      </c>
      <c r="C331" s="50" t="s">
        <v>900</v>
      </c>
      <c r="D331" s="50" t="e">
        <f ca="1">Image("https://images-na.ssl-images-amazon.com/images/I/41PZ3-Lt9oL.jpg;https://images-na.ssl-images-amazon.com/images/I/31Rpkxeo9ML.jpg;https://images-na.ssl-images-amazon.com/images/I/41G-nWrTATL.jpg;https://images-na.ssl-images-amazon.com/images/I/41ojdDRDt6L"&amp;".jpg;https://images-na.ssl-images-amazon.com/images/I/51Jkq8Xb8eL.jpg;https://images-na.ssl-images-amazon.com/images/I/51-qv2Lug2L.jpg;https://images-na.ssl-images-amazon.com/images/I/51HfV4QzghL.jpg")</f>
        <v>#NAME?</v>
      </c>
      <c r="E331" s="50" t="s">
        <v>20</v>
      </c>
      <c r="F331" s="50" t="s">
        <v>901</v>
      </c>
      <c r="G331" s="50">
        <v>1</v>
      </c>
      <c r="H331" s="50">
        <v>1</v>
      </c>
      <c r="I331" s="50">
        <v>10.99</v>
      </c>
      <c r="R331" s="50">
        <v>100</v>
      </c>
      <c r="S331" s="50" t="s">
        <v>1217</v>
      </c>
      <c r="T331" s="50">
        <v>-5.36</v>
      </c>
      <c r="U331" s="50">
        <v>-1.65</v>
      </c>
      <c r="W331" s="50">
        <v>3.98</v>
      </c>
      <c r="X331" s="50">
        <v>3.98</v>
      </c>
      <c r="Y331" s="50">
        <v>3.98</v>
      </c>
      <c r="AA331" s="50">
        <v>36.21</v>
      </c>
      <c r="AC331" s="50">
        <v>1808575</v>
      </c>
      <c r="AE331" s="50" t="s">
        <v>4370</v>
      </c>
    </row>
    <row r="332" spans="1:31">
      <c r="A332" s="50" t="s">
        <v>4611</v>
      </c>
      <c r="B332" s="50" t="s">
        <v>877</v>
      </c>
      <c r="C332" s="50" t="s">
        <v>878</v>
      </c>
      <c r="D332" s="50" t="e">
        <f ca="1">Image("https://images-na.ssl-images-amazon.com/images/I/31GhU2GCXPS.jpg;https://images-na.ssl-images-amazon.com/images/I/31Y2Q01uJeS.jpg;https://images-na.ssl-images-amazon.com/images/I/31jMpTc5cTS.jpg;https://images-na.ssl-images-amazon.com/images/I/41huy6lVRCS"&amp;".jpg;https://images-na.ssl-images-amazon.com/images/I/31TNMemBsFS.jpg")</f>
        <v>#NAME?</v>
      </c>
      <c r="E332" s="50" t="s">
        <v>20</v>
      </c>
      <c r="F332" s="50" t="s">
        <v>879</v>
      </c>
      <c r="G332" s="50">
        <v>1</v>
      </c>
      <c r="I332" s="50">
        <v>6.09</v>
      </c>
      <c r="S332" s="50" t="s">
        <v>1217</v>
      </c>
      <c r="U332" s="50">
        <v>-0.91</v>
      </c>
      <c r="W332" s="50">
        <v>5.18</v>
      </c>
      <c r="X332" s="50">
        <v>5.18</v>
      </c>
      <c r="Y332" s="50">
        <v>5.18</v>
      </c>
      <c r="AA332" s="50">
        <v>85.06</v>
      </c>
      <c r="AC332" s="50">
        <v>1808575</v>
      </c>
      <c r="AE332" s="50" t="s">
        <v>4370</v>
      </c>
    </row>
    <row r="333" spans="1:31">
      <c r="A333" s="50" t="s">
        <v>4612</v>
      </c>
      <c r="B333" s="50" t="s">
        <v>880</v>
      </c>
      <c r="C333" s="50" t="s">
        <v>881</v>
      </c>
      <c r="D333" s="50" t="e">
        <f ca="1">Image("https://images-na.ssl-images-amazon.com/images/I/41Ks+5oUSaL.jpg;https://images-na.ssl-images-amazon.com/images/I/41PPwIPf4dL.jpg;https://images-na.ssl-images-amazon.com/images/I/41emyGyT1rL.jpg;https://images-na.ssl-images-amazon.com/images/I/41DFlOqyc+L"&amp;".jpg;https://images-na.ssl-images-amazon.com/images/I/51sZcx0DK5L.jpg;https://images-na.ssl-images-amazon.com/images/I/41qO-zPIcLL.jpg;https://images-na.ssl-images-amazon.com/images/I/51cLgzr8d5L.jpg")</f>
        <v>#NAME?</v>
      </c>
      <c r="E333" s="50" t="s">
        <v>20</v>
      </c>
      <c r="F333" s="50" t="s">
        <v>882</v>
      </c>
      <c r="G333" s="50">
        <v>1</v>
      </c>
      <c r="I333" s="50">
        <v>6.09</v>
      </c>
      <c r="S333" s="50" t="s">
        <v>1217</v>
      </c>
      <c r="U333" s="50">
        <v>-0.91</v>
      </c>
      <c r="W333" s="50">
        <v>5.18</v>
      </c>
      <c r="X333" s="50">
        <v>5.18</v>
      </c>
      <c r="Y333" s="50">
        <v>5.18</v>
      </c>
      <c r="AA333" s="50">
        <v>85.06</v>
      </c>
      <c r="AC333" s="50">
        <v>1808575</v>
      </c>
      <c r="AE333" s="50" t="s">
        <v>4370</v>
      </c>
    </row>
    <row r="334" spans="1:31">
      <c r="A334" s="50" t="s">
        <v>4613</v>
      </c>
      <c r="B334" s="50" t="s">
        <v>773</v>
      </c>
      <c r="C334" s="50" t="s">
        <v>774</v>
      </c>
      <c r="D334" s="50" t="e">
        <f ca="1">Image("https://images-na.ssl-images-amazon.com/images/I/51kxyb-ipDL.jpg;https://images-na.ssl-images-amazon.com/images/I/51KibRtoN+L.jpg;https://images-na.ssl-images-amazon.com/images/I/519OZ+ptMdL.jpg;https://images-na.ssl-images-amazon.com/images/I/51Y+JVZgjDL"&amp;".jpg;https://images-na.ssl-images-amazon.com/images/I/51PtO26O9ML.jpg;https://images-na.ssl-images-amazon.com/images/I/510qw9+zHyL.jpg;https://images-na.ssl-images-amazon.com/images/I/51UKdDJYmWL.jpg")</f>
        <v>#NAME?</v>
      </c>
      <c r="E334" s="50" t="s">
        <v>20</v>
      </c>
      <c r="F334" s="50" t="s">
        <v>775</v>
      </c>
      <c r="G334" s="50">
        <v>1</v>
      </c>
      <c r="I334" s="50">
        <v>15.99</v>
      </c>
      <c r="S334" s="50" t="s">
        <v>1217</v>
      </c>
      <c r="U334" s="50">
        <v>-2.4</v>
      </c>
      <c r="W334" s="50">
        <v>13.59</v>
      </c>
      <c r="X334" s="50">
        <v>13.59</v>
      </c>
      <c r="Y334" s="50">
        <v>13.59</v>
      </c>
      <c r="AA334" s="50">
        <v>84.99</v>
      </c>
      <c r="AC334" s="50">
        <v>873892</v>
      </c>
      <c r="AE334" s="50" t="s">
        <v>4370</v>
      </c>
    </row>
    <row r="335" spans="1:31">
      <c r="A335" s="50" t="s">
        <v>4614</v>
      </c>
      <c r="B335" s="50" t="s">
        <v>662</v>
      </c>
      <c r="C335" s="50" t="s">
        <v>4615</v>
      </c>
      <c r="D335" s="50" t="e">
        <f ca="1">Image("https://images-na.ssl-images-amazon.com/images/I/21q954KQDOL.jpg;https://images-na.ssl-images-amazon.com/images/I/21D6Q490WJL.jpg;https://images-na.ssl-images-amazon.com/images/I/315-8Mz6TpL.jpg;https://images-na.ssl-images-amazon.com/images/I/314xm1qPe5L"&amp;".jpg;https://images-na.ssl-images-amazon.com/images/I/318lrT3pegL.jpg;https://images-na.ssl-images-amazon.com/images/I/21iqY6JpKbL.jpg")</f>
        <v>#NAME?</v>
      </c>
      <c r="E335" s="50" t="s">
        <v>20</v>
      </c>
      <c r="F335" s="50" t="s">
        <v>664</v>
      </c>
      <c r="G335" s="50">
        <v>1</v>
      </c>
      <c r="I335" s="50">
        <v>15.99</v>
      </c>
      <c r="S335" s="50" t="s">
        <v>1217</v>
      </c>
      <c r="U335" s="50">
        <v>-2.4</v>
      </c>
      <c r="W335" s="50">
        <v>13.59</v>
      </c>
      <c r="X335" s="50">
        <v>13.59</v>
      </c>
      <c r="Y335" s="50">
        <v>13.59</v>
      </c>
      <c r="AA335" s="50">
        <v>84.99</v>
      </c>
      <c r="AC335" s="50">
        <v>189132</v>
      </c>
      <c r="AE335" s="50" t="s">
        <v>4370</v>
      </c>
    </row>
    <row r="336" spans="1:31">
      <c r="A336" s="50" t="s">
        <v>4616</v>
      </c>
      <c r="B336" s="50" t="s">
        <v>551</v>
      </c>
      <c r="C336" s="50" t="s">
        <v>4617</v>
      </c>
      <c r="D336" s="50" t="e">
        <f ca="1">Image("https://images-na.ssl-images-amazon.com/images/I/21p+ILRg6TL.jpg;https://images-na.ssl-images-amazon.com/images/I/41Dm7AAbLjL.jpg;https://images-na.ssl-images-amazon.com/images/I/31+GpQnVaDL.jpg;https://images-na.ssl-images-amazon.com/images/I/41mPq-P30bL"&amp;".jpg;https://images-na.ssl-images-amazon.com/images/I/51jHIudoHLL.jpg")</f>
        <v>#NAME?</v>
      </c>
      <c r="E336" s="50" t="s">
        <v>20</v>
      </c>
      <c r="F336" s="50" t="s">
        <v>553</v>
      </c>
      <c r="G336" s="50">
        <v>1</v>
      </c>
      <c r="I336" s="50">
        <v>6</v>
      </c>
      <c r="S336" s="50" t="s">
        <v>1217</v>
      </c>
      <c r="U336" s="50">
        <v>-0.48</v>
      </c>
      <c r="W336" s="50">
        <v>5.52</v>
      </c>
      <c r="X336" s="50">
        <v>5.52</v>
      </c>
      <c r="Y336" s="50">
        <v>5.52</v>
      </c>
      <c r="AA336" s="50">
        <v>92</v>
      </c>
      <c r="AC336" s="50">
        <v>189132</v>
      </c>
      <c r="AE336" s="50" t="s">
        <v>4370</v>
      </c>
    </row>
    <row r="337" spans="1:31">
      <c r="A337" s="50" t="s">
        <v>4618</v>
      </c>
      <c r="B337" s="50" t="s">
        <v>854</v>
      </c>
      <c r="C337" s="50" t="s">
        <v>855</v>
      </c>
      <c r="D337" s="50" t="e">
        <f ca="1">Image("https://images-na.ssl-images-amazon.com/images/I/51viXjVFSSL.jpg;https://images-na.ssl-images-amazon.com/images/I/31VtEv6szvL.jpg")</f>
        <v>#NAME?</v>
      </c>
      <c r="E337" s="50" t="s">
        <v>20</v>
      </c>
      <c r="F337" s="50" t="s">
        <v>856</v>
      </c>
      <c r="G337" s="50">
        <v>1</v>
      </c>
      <c r="I337" s="50">
        <v>7.99</v>
      </c>
      <c r="S337" s="50" t="s">
        <v>1217</v>
      </c>
      <c r="U337" s="50">
        <v>-1.2</v>
      </c>
      <c r="W337" s="50">
        <v>6.79</v>
      </c>
      <c r="X337" s="50">
        <v>6.79</v>
      </c>
      <c r="Y337" s="50">
        <v>6.79</v>
      </c>
      <c r="AA337" s="50">
        <v>84.98</v>
      </c>
      <c r="AC337" s="50">
        <v>7077900</v>
      </c>
      <c r="AE337" s="50" t="s">
        <v>4370</v>
      </c>
    </row>
    <row r="338" spans="1:31">
      <c r="A338" s="50" t="s">
        <v>4619</v>
      </c>
      <c r="B338" s="50" t="s">
        <v>824</v>
      </c>
      <c r="C338" s="50" t="s">
        <v>825</v>
      </c>
      <c r="D338" s="50" t="e">
        <f ca="1">Image("https://images-na.ssl-images-amazon.com/images/I/31NQjDa0l8L.jpg;https://images-na.ssl-images-amazon.com/images/I/41t4ovVRoiL.jpg;https://images-na.ssl-images-amazon.com/images/I/21lT13ol3TL.jpg")</f>
        <v>#NAME?</v>
      </c>
      <c r="E338" s="50" t="s">
        <v>20</v>
      </c>
      <c r="F338" s="50" t="s">
        <v>826</v>
      </c>
      <c r="G338" s="50">
        <v>1</v>
      </c>
      <c r="I338" s="50">
        <v>11.99</v>
      </c>
      <c r="S338" s="50" t="s">
        <v>1217</v>
      </c>
      <c r="U338" s="50">
        <v>-1.8</v>
      </c>
      <c r="W338" s="50">
        <v>10.19</v>
      </c>
      <c r="X338" s="50">
        <v>10.19</v>
      </c>
      <c r="Y338" s="50">
        <v>10.19</v>
      </c>
      <c r="AA338" s="50">
        <v>84.99</v>
      </c>
      <c r="AC338" s="50">
        <v>1614700</v>
      </c>
      <c r="AE338" s="50" t="s">
        <v>4370</v>
      </c>
    </row>
    <row r="339" spans="1:31">
      <c r="A339" s="50" t="s">
        <v>4620</v>
      </c>
      <c r="B339" s="50" t="s">
        <v>779</v>
      </c>
      <c r="C339" s="50" t="s">
        <v>780</v>
      </c>
      <c r="D339" s="50" t="e">
        <f ca="1">Image("https://images-na.ssl-images-amazon.com/images/I/51AafpwlfCL.jpg;https://images-na.ssl-images-amazon.com/images/I/61nr120ls6L.jpg;https://images-na.ssl-images-amazon.com/images/I/511ieqhntUL.jpg;https://images-na.ssl-images-amazon.com/images/I/31UfSxWKjbL"&amp;".jpg;https://images-na.ssl-images-amazon.com/images/I/51AafpwlfCL.jpg")</f>
        <v>#NAME?</v>
      </c>
      <c r="E339" s="50" t="s">
        <v>20</v>
      </c>
      <c r="F339" s="50" t="s">
        <v>781</v>
      </c>
      <c r="G339" s="50">
        <v>1</v>
      </c>
      <c r="I339" s="50">
        <v>13.99</v>
      </c>
      <c r="S339" s="50" t="s">
        <v>1217</v>
      </c>
      <c r="U339" s="50">
        <v>-2.1</v>
      </c>
      <c r="W339" s="50">
        <v>11.89</v>
      </c>
      <c r="X339" s="50">
        <v>11.89</v>
      </c>
      <c r="Y339" s="50">
        <v>11.89</v>
      </c>
      <c r="AA339" s="50">
        <v>84.99</v>
      </c>
      <c r="AC339" s="50">
        <v>1164044</v>
      </c>
      <c r="AE339" s="50" t="s">
        <v>4370</v>
      </c>
    </row>
    <row r="340" spans="1:31">
      <c r="A340" s="50" t="s">
        <v>4621</v>
      </c>
      <c r="B340" s="50" t="s">
        <v>928</v>
      </c>
      <c r="C340" s="50" t="s">
        <v>929</v>
      </c>
      <c r="D340" s="50" t="e">
        <f t="shared" ref="D340:D341" ca="1" si="1">Image("https://images-na.ssl-images-amazon.com/images/I/31Ad5HrLpOL.jpg;https://images-na.ssl-images-amazon.com/images/I/21LwDgCQ0dL.jpg;https://images-na.ssl-images-amazon.com/images/I/215dW+udfIL.jpg;https://images-na.ssl-images-amazon.com/images/I/41QQuAx931L"&amp;".jpg;https://images-na.ssl-images-amazon.com/images/I/41w4VajnmLL.jpg")</f>
        <v>#NAME?</v>
      </c>
      <c r="E340" s="50" t="s">
        <v>20</v>
      </c>
      <c r="F340" s="50" t="s">
        <v>930</v>
      </c>
      <c r="G340" s="50">
        <v>1</v>
      </c>
      <c r="I340" s="50">
        <v>7.99</v>
      </c>
      <c r="S340" s="50" t="s">
        <v>1217</v>
      </c>
      <c r="U340" s="50">
        <v>-1.2</v>
      </c>
      <c r="W340" s="50">
        <v>6.79</v>
      </c>
      <c r="X340" s="50">
        <v>6.79</v>
      </c>
      <c r="Y340" s="50">
        <v>6.79</v>
      </c>
      <c r="AA340" s="50">
        <v>84.98</v>
      </c>
      <c r="AE340" s="50" t="s">
        <v>4370</v>
      </c>
    </row>
    <row r="341" spans="1:31">
      <c r="A341" s="50" t="s">
        <v>4622</v>
      </c>
      <c r="B341" s="50" t="s">
        <v>953</v>
      </c>
      <c r="C341" s="50" t="s">
        <v>954</v>
      </c>
      <c r="D341" s="50" t="e">
        <f t="shared" ca="1" si="1"/>
        <v>#NAME?</v>
      </c>
      <c r="E341" s="50" t="s">
        <v>20</v>
      </c>
      <c r="F341" s="50" t="s">
        <v>955</v>
      </c>
      <c r="G341" s="50">
        <v>1</v>
      </c>
      <c r="I341" s="50">
        <v>6.99</v>
      </c>
      <c r="S341" s="50" t="s">
        <v>1217</v>
      </c>
      <c r="U341" s="50">
        <v>-1.05</v>
      </c>
      <c r="W341" s="50">
        <v>5.94</v>
      </c>
      <c r="X341" s="50">
        <v>5.94</v>
      </c>
      <c r="Y341" s="50">
        <v>5.94</v>
      </c>
      <c r="AA341" s="50">
        <v>84.98</v>
      </c>
      <c r="AE341" s="50" t="s">
        <v>4370</v>
      </c>
    </row>
    <row r="342" spans="1:31">
      <c r="A342" s="50" t="s">
        <v>4623</v>
      </c>
      <c r="B342" s="50" t="s">
        <v>46</v>
      </c>
      <c r="C342" s="50" t="s">
        <v>47</v>
      </c>
      <c r="D342" s="50" t="e">
        <f ca="1">Image("https://images-na.ssl-images-amazon.com/images/I/31CBdF+1J4L.jpg;https://images-na.ssl-images-amazon.com/images/I/21ucIJxr87L.jpg;https://images-na.ssl-images-amazon.com/images/I/31FC8wsDksL.jpg;https://images-na.ssl-images-amazon.com/images/I/31sSF2oQGfL"&amp;".jpg;https://images-na.ssl-images-amazon.com/images/I/11Xse3KQL4L.jpg;https://images-na.ssl-images-amazon.com/images/I/31mrIpihA5L.jpg")</f>
        <v>#NAME?</v>
      </c>
      <c r="E342" s="50" t="s">
        <v>20</v>
      </c>
      <c r="F342" s="50" t="s">
        <v>48</v>
      </c>
      <c r="G342" s="50">
        <v>1</v>
      </c>
      <c r="H342" s="50">
        <v>1</v>
      </c>
      <c r="I342" s="50">
        <v>65.989999999999995</v>
      </c>
      <c r="R342" s="50">
        <v>100</v>
      </c>
      <c r="S342" s="50" t="s">
        <v>1217</v>
      </c>
      <c r="T342" s="50">
        <v>-75.67</v>
      </c>
      <c r="U342" s="50">
        <v>-9.9</v>
      </c>
      <c r="W342" s="50">
        <v>-19.579999999999998</v>
      </c>
      <c r="X342" s="50">
        <v>-19.579999999999998</v>
      </c>
      <c r="Y342" s="50">
        <v>-19.579999999999998</v>
      </c>
      <c r="AA342" s="50">
        <v>-29.67</v>
      </c>
      <c r="AC342" s="50">
        <v>58236</v>
      </c>
      <c r="AE342" s="50" t="s">
        <v>4370</v>
      </c>
    </row>
    <row r="343" spans="1:31">
      <c r="A343" s="50" t="s">
        <v>4624</v>
      </c>
      <c r="B343" s="50" t="s">
        <v>473</v>
      </c>
      <c r="C343" s="50" t="s">
        <v>474</v>
      </c>
      <c r="D343" s="50" t="e">
        <f ca="1">Image("https://images-na.ssl-images-amazon.com/images/I/313vOEFnV6L.jpg;https://images-na.ssl-images-amazon.com/images/I/31e9E9Gum6L.jpg;https://images-na.ssl-images-amazon.com/images/I/21-wO-l67jL.jpg;https://images-na.ssl-images-amazon.com/images/I/31jBt72gVQL"&amp;".jpg;https://images-na.ssl-images-amazon.com/images/I/312B8YmA4sL.jpg;https://images-na.ssl-images-amazon.com/images/I/31KDLWdDnmL.jpg")</f>
        <v>#NAME?</v>
      </c>
      <c r="E343" s="50" t="s">
        <v>20</v>
      </c>
      <c r="F343" s="50" t="s">
        <v>389</v>
      </c>
      <c r="G343" s="50">
        <v>1</v>
      </c>
      <c r="I343" s="50">
        <v>40.99</v>
      </c>
      <c r="S343" s="50" t="s">
        <v>1217</v>
      </c>
      <c r="U343" s="50">
        <v>-6.15</v>
      </c>
      <c r="W343" s="50">
        <v>34.840000000000003</v>
      </c>
      <c r="X343" s="50">
        <v>34.840000000000003</v>
      </c>
      <c r="Y343" s="50">
        <v>34.840000000000003</v>
      </c>
      <c r="AA343" s="50">
        <v>85</v>
      </c>
      <c r="AC343" s="50">
        <v>124070</v>
      </c>
      <c r="AE343" s="50" t="s">
        <v>4370</v>
      </c>
    </row>
    <row r="344" spans="1:31">
      <c r="A344" s="50" t="s">
        <v>4625</v>
      </c>
      <c r="B344" s="50" t="s">
        <v>696</v>
      </c>
      <c r="C344" s="50" t="s">
        <v>697</v>
      </c>
      <c r="D344" s="50" t="e">
        <f ca="1">Image("https://images-na.ssl-images-amazon.com/images/I/51NuxobzU0L.jpg;https://images-na.ssl-images-amazon.com/images/I/41sfcPJwMBL.jpg;https://images-na.ssl-images-amazon.com/images/I/516ZXiYv7NL.jpg;https://images-na.ssl-images-amazon.com/images/I/41XNfZ1Y9DL"&amp;".jpg;https://images-na.ssl-images-amazon.com/images/I/51Wo7-EA20L.jpg;https://images-na.ssl-images-amazon.com/images/I/31Kps+HAoQL.jpg")</f>
        <v>#NAME?</v>
      </c>
      <c r="E344" s="50" t="s">
        <v>20</v>
      </c>
      <c r="F344" s="50" t="s">
        <v>389</v>
      </c>
      <c r="G344" s="50">
        <v>1</v>
      </c>
      <c r="I344" s="50">
        <v>25.99</v>
      </c>
      <c r="S344" s="50" t="s">
        <v>1217</v>
      </c>
      <c r="U344" s="50">
        <v>-3.9</v>
      </c>
      <c r="W344" s="50">
        <v>22.09</v>
      </c>
      <c r="X344" s="50">
        <v>22.09</v>
      </c>
      <c r="Y344" s="50">
        <v>22.09</v>
      </c>
      <c r="AA344" s="50">
        <v>84.99</v>
      </c>
      <c r="AC344" s="50">
        <v>124070</v>
      </c>
      <c r="AE344" s="50" t="s">
        <v>4370</v>
      </c>
    </row>
    <row r="345" spans="1:31">
      <c r="A345" s="50" t="s">
        <v>4626</v>
      </c>
      <c r="B345" s="50" t="s">
        <v>752</v>
      </c>
      <c r="C345" s="50" t="s">
        <v>753</v>
      </c>
      <c r="D345" s="50" t="e">
        <f ca="1">Image("https://images-na.ssl-images-amazon.com/images/I/31vkaxlILOL.jpg;https://images-na.ssl-images-amazon.com/images/I/31lLezF1tXL.jpg;https://images-na.ssl-images-amazon.com/images/I/31VLblckqmL.jpg;https://images-na.ssl-images-amazon.com/images/I/31p5hJqeI7L"&amp;".jpg;https://images-na.ssl-images-amazon.com/images/I/31Z93CikXKL.jpg;https://images-na.ssl-images-amazon.com/images/I/51xAR4ohNJL.jpg")</f>
        <v>#NAME?</v>
      </c>
      <c r="E345" s="50" t="s">
        <v>20</v>
      </c>
      <c r="F345" s="50" t="s">
        <v>754</v>
      </c>
      <c r="G345" s="50">
        <v>1</v>
      </c>
      <c r="I345" s="50">
        <v>17.989999999999998</v>
      </c>
      <c r="S345" s="50" t="s">
        <v>1217</v>
      </c>
      <c r="U345" s="50">
        <v>-2.7</v>
      </c>
      <c r="W345" s="50">
        <v>15.29</v>
      </c>
      <c r="X345" s="50">
        <v>15.29</v>
      </c>
      <c r="Y345" s="50">
        <v>15.29</v>
      </c>
      <c r="AA345" s="50">
        <v>84.99</v>
      </c>
      <c r="AC345" s="50">
        <v>1389786</v>
      </c>
      <c r="AE345" s="50" t="s">
        <v>4370</v>
      </c>
    </row>
    <row r="346" spans="1:31">
      <c r="A346" s="50" t="s">
        <v>4627</v>
      </c>
      <c r="B346" s="50" t="s">
        <v>652</v>
      </c>
      <c r="C346" s="50" t="s">
        <v>653</v>
      </c>
      <c r="D346" s="50" t="e">
        <f ca="1">Image("https://images-na.ssl-images-amazon.com/images/I/31OV9OeFbYL.jpg;https://images-na.ssl-images-amazon.com/images/I/31EycRGcidL.jpg;https://images-na.ssl-images-amazon.com/images/I/31xiOx-ZP5L.jpg;https://images-na.ssl-images-amazon.com/images/I/31jhLVdr6oL"&amp;".jpg;https://images-na.ssl-images-amazon.com/images/I/516ZXiYv7NL.jpg;https://images-na.ssl-images-amazon.com/images/I/31hsIqA6e9L.jpg;https://images-na.ssl-images-amazon.com/images/I/41lS00XKigL.jpg")</f>
        <v>#NAME?</v>
      </c>
      <c r="E346" s="50" t="s">
        <v>654</v>
      </c>
      <c r="F346" s="50" t="s">
        <v>655</v>
      </c>
      <c r="G346" s="50">
        <v>1</v>
      </c>
      <c r="I346" s="50">
        <v>30.99</v>
      </c>
      <c r="S346" s="50" t="s">
        <v>1217</v>
      </c>
      <c r="U346" s="50">
        <v>-5.1100000000000003</v>
      </c>
      <c r="W346" s="50">
        <v>25.88</v>
      </c>
      <c r="X346" s="50">
        <v>25.88</v>
      </c>
      <c r="Y346" s="50">
        <v>25.88</v>
      </c>
      <c r="AA346" s="50">
        <v>83.51</v>
      </c>
      <c r="AC346" s="50">
        <v>208742</v>
      </c>
      <c r="AE346" s="50" t="s">
        <v>4370</v>
      </c>
    </row>
    <row r="347" spans="1:31">
      <c r="A347" s="50" t="s">
        <v>4628</v>
      </c>
      <c r="B347" s="50" t="s">
        <v>527</v>
      </c>
      <c r="C347" s="50" t="s">
        <v>4629</v>
      </c>
      <c r="D347" s="50" t="e">
        <f ca="1">Image("https://images-na.ssl-images-amazon.com/images/I/41OtfN89EHL.jpg;https://images-na.ssl-images-amazon.com/images/I/51RV2TbVADL.jpg;https://images-na.ssl-images-amazon.com/images/I/51M9misNY0L.jpg;https://images-na.ssl-images-amazon.com/images/I/51-0NrxGLdL"&amp;".jpg")</f>
        <v>#NAME?</v>
      </c>
      <c r="E347" s="50" t="s">
        <v>16</v>
      </c>
      <c r="F347" s="50" t="s">
        <v>529</v>
      </c>
      <c r="S347" s="50" t="s">
        <v>1217</v>
      </c>
      <c r="U347" s="50">
        <v>-1.99</v>
      </c>
      <c r="W347" s="50">
        <v>-1.99</v>
      </c>
      <c r="X347" s="50">
        <v>-1.99</v>
      </c>
      <c r="Y347" s="50">
        <v>-1.99</v>
      </c>
      <c r="AE347" s="50" t="s">
        <v>4370</v>
      </c>
    </row>
    <row r="348" spans="1:31">
      <c r="A348" s="50" t="s">
        <v>4630</v>
      </c>
      <c r="B348" s="50" t="s">
        <v>142</v>
      </c>
      <c r="C348" s="50" t="s">
        <v>492</v>
      </c>
      <c r="D348" s="50" t="e">
        <f ca="1">Image("https://images-na.ssl-images-amazon.com/images/I/41M+BnRmcyL.jpg;https://images-na.ssl-images-amazon.com/images/I/41qZLOjP3NL.jpg;https://images-na.ssl-images-amazon.com/images/I/51F5c+bp78L.jpg")</f>
        <v>#NAME?</v>
      </c>
      <c r="E348" s="50" t="s">
        <v>16</v>
      </c>
      <c r="F348" s="50" t="s">
        <v>493</v>
      </c>
      <c r="S348" s="50" t="s">
        <v>1217</v>
      </c>
      <c r="U348" s="50">
        <v>0.24</v>
      </c>
      <c r="W348" s="50">
        <v>0.24</v>
      </c>
      <c r="X348" s="50">
        <v>0.24</v>
      </c>
      <c r="Y348" s="50">
        <v>0.24</v>
      </c>
      <c r="AC348" s="50">
        <v>616897</v>
      </c>
      <c r="AE348" s="50" t="s">
        <v>4370</v>
      </c>
    </row>
    <row r="349" spans="1:31">
      <c r="A349" s="50" t="s">
        <v>4631</v>
      </c>
      <c r="B349" s="50" t="s">
        <v>14</v>
      </c>
      <c r="C349" s="50" t="s">
        <v>4632</v>
      </c>
      <c r="D349" s="50" t="e">
        <f ca="1">Image("https://images-na.ssl-images-amazon.com/images/I/51wu2q-zKuL.jpg;https://images-na.ssl-images-amazon.com/images/I/517-DmWn7iL.jpg;https://images-na.ssl-images-amazon.com/images/I/41veFufhgBL.jpg;https://images-na.ssl-images-amazon.com/images/I/41BTUKYzcuL"&amp;".jpg;https://images-na.ssl-images-amazon.com/images/I/51mgfxVp3wL.jpg")</f>
        <v>#NAME?</v>
      </c>
      <c r="E349" s="50" t="s">
        <v>16</v>
      </c>
      <c r="F349" s="50" t="s">
        <v>17</v>
      </c>
      <c r="S349" s="50" t="s">
        <v>1217</v>
      </c>
      <c r="U349" s="50">
        <v>-2.77</v>
      </c>
      <c r="W349" s="50">
        <v>-2.77</v>
      </c>
      <c r="X349" s="50">
        <v>-2.77</v>
      </c>
      <c r="Y349" s="50">
        <v>-2.77</v>
      </c>
      <c r="AC349" s="50">
        <v>12132</v>
      </c>
      <c r="AE349" s="50" t="s">
        <v>4370</v>
      </c>
    </row>
    <row r="350" spans="1:31">
      <c r="A350" s="50" t="s">
        <v>4539</v>
      </c>
      <c r="B350" s="50" t="s">
        <v>14</v>
      </c>
      <c r="C350" s="50" t="s">
        <v>4633</v>
      </c>
      <c r="D350" s="50" t="e">
        <f ca="1">Image("https://images-na.ssl-images-amazon.com/images/I/51wu2q-zKuL.jpg;https://images-na.ssl-images-amazon.com/images/I/517-DmWn7iL.jpg;https://images-na.ssl-images-amazon.com/images/I/41veFufhgBL.jpg;https://images-na.ssl-images-amazon.com/images/I/41BTUKYzcuL"&amp;".jpg;https://images-na.ssl-images-amazon.com/images/I/51mgfxVp3wL.jpg")</f>
        <v>#NAME?</v>
      </c>
      <c r="E350" s="50" t="s">
        <v>16</v>
      </c>
      <c r="F350" s="50" t="s">
        <v>17</v>
      </c>
      <c r="S350" s="50" t="s">
        <v>1217</v>
      </c>
      <c r="U350" s="50">
        <v>-0.25</v>
      </c>
      <c r="W350" s="50">
        <v>-0.25</v>
      </c>
      <c r="X350" s="50">
        <v>-0.25</v>
      </c>
      <c r="Y350" s="50">
        <v>-0.25</v>
      </c>
      <c r="AC350" s="50">
        <v>12132</v>
      </c>
      <c r="AE350" s="50" t="s">
        <v>4370</v>
      </c>
    </row>
    <row r="351" spans="1:31">
      <c r="A351" s="50" t="s">
        <v>4634</v>
      </c>
      <c r="B351" s="50" t="s">
        <v>280</v>
      </c>
      <c r="C351" s="50" t="s">
        <v>4635</v>
      </c>
      <c r="D351" s="50" t="e">
        <f ca="1">Image("https://images-na.ssl-images-amazon.com/images/I/51bcd2Fo6LL.jpg;https://images-na.ssl-images-amazon.com/images/I/6118bDsS7lL.jpg;https://images-na.ssl-images-amazon.com/images/I/51O27y+98GL.jpg;https://images-na.ssl-images-amazon.com/images/I/51jlidsealL"&amp;".jpg;https://images-na.ssl-images-amazon.com/images/I/51OMPy+5KqL.jpg;https://images-na.ssl-images-amazon.com/images/I/51VdYNwm4rL.jpg;https://images-na.ssl-images-amazon.com/images/I/51Dc9xjitqL.jpg;https://images-na.ssl-images-amazon.com/images/I/51TUIH"&amp;"3eKwL.jpg;https://images-na.ssl-images-amazon.com/images/I/51mRitk-o7L.jpg")</f>
        <v>#NAME?</v>
      </c>
      <c r="E351" s="50" t="s">
        <v>16</v>
      </c>
      <c r="F351" s="50" t="s">
        <v>4636</v>
      </c>
      <c r="S351" s="50" t="s">
        <v>1217</v>
      </c>
      <c r="U351" s="50">
        <v>-0.04</v>
      </c>
      <c r="W351" s="50">
        <v>-0.04</v>
      </c>
      <c r="X351" s="50">
        <v>-0.04</v>
      </c>
      <c r="Y351" s="50">
        <v>-0.04</v>
      </c>
      <c r="AC351" s="50">
        <v>729355</v>
      </c>
      <c r="AE351" s="50" t="s">
        <v>4370</v>
      </c>
    </row>
    <row r="352" spans="1:31">
      <c r="A352" s="50" t="s">
        <v>4637</v>
      </c>
      <c r="B352" s="50" t="s">
        <v>1136</v>
      </c>
      <c r="C352" s="50" t="s">
        <v>4638</v>
      </c>
      <c r="D352" s="50" t="e">
        <f ca="1">Image("https://images-na.ssl-images-amazon.com/images/I/51SkR-ma4cL.jpg;https://images-na.ssl-images-amazon.com/images/I/61Oe-RFa94L.jpg;https://images-na.ssl-images-amazon.com/images/I/51g3sIVixrL.jpg;https://images-na.ssl-images-amazon.com/images/I/61MUZwc+2FL"&amp;".jpg;https://images-na.ssl-images-amazon.com/images/I/41t0qw1nB-L.jpg")</f>
        <v>#NAME?</v>
      </c>
      <c r="E352" s="50" t="s">
        <v>16</v>
      </c>
      <c r="F352" s="50" t="s">
        <v>1138</v>
      </c>
      <c r="S352" s="50" t="s">
        <v>1217</v>
      </c>
      <c r="U352" s="50">
        <v>-14.48</v>
      </c>
      <c r="W352" s="50">
        <v>-14.48</v>
      </c>
      <c r="X352" s="50">
        <v>-14.48</v>
      </c>
      <c r="Y352" s="50">
        <v>-14.48</v>
      </c>
      <c r="AC352" s="50">
        <v>59560</v>
      </c>
      <c r="AE352" s="50" t="s">
        <v>4370</v>
      </c>
    </row>
    <row r="353" spans="1:31">
      <c r="A353" s="50" t="s">
        <v>4639</v>
      </c>
      <c r="B353" s="50" t="s">
        <v>421</v>
      </c>
      <c r="C353" s="50" t="s">
        <v>4640</v>
      </c>
      <c r="D353" s="50" t="e">
        <f ca="1">Image("https://images-na.ssl-images-amazon.com/images/I/51+rHvUhTPL.jpg;https://images-na.ssl-images-amazon.com/images/I/51XCxYfI9TL.jpg;https://images-na.ssl-images-amazon.com/images/I/51ZgzaJxdPL.jpg;https://images-na.ssl-images-amazon.com/images/I/51i3vtyW80L"&amp;".jpg;https://images-na.ssl-images-amazon.com/images/I/41ZlytaBmDL.jpg;https://images-na.ssl-images-amazon.com/images/I/41JqlPIVwUL.jpg;https://images-na.ssl-images-amazon.com/images/I/51Uz5XHI04L.jpg")</f>
        <v>#NAME?</v>
      </c>
      <c r="E353" s="50" t="s">
        <v>16</v>
      </c>
      <c r="F353" s="50" t="s">
        <v>423</v>
      </c>
      <c r="S353" s="50" t="s">
        <v>1217</v>
      </c>
      <c r="U353" s="50">
        <v>19.899999999999999</v>
      </c>
      <c r="W353" s="50">
        <v>19.899999999999999</v>
      </c>
      <c r="X353" s="50">
        <v>19.899999999999999</v>
      </c>
      <c r="Y353" s="50">
        <v>19.899999999999999</v>
      </c>
      <c r="AE353" s="50" t="s">
        <v>4370</v>
      </c>
    </row>
    <row r="354" spans="1:31">
      <c r="A354" s="50" t="s">
        <v>4641</v>
      </c>
      <c r="B354" s="50" t="s">
        <v>70</v>
      </c>
      <c r="C354" s="50" t="s">
        <v>4642</v>
      </c>
      <c r="D354" s="50" t="e">
        <f ca="1">Image("https://images-na.ssl-images-amazon.com/images/I/413l3NMhAQL.jpg;https://images-na.ssl-images-amazon.com/images/I/51YJHQ4ILFL.jpg;https://images-na.ssl-images-amazon.com/images/I/51L1CnfS72L.jpg;https://images-na.ssl-images-amazon.com/images/I/41+r-n9QY0L"&amp;".jpg;https://images-na.ssl-images-amazon.com/images/I/51eyrJ4lM5L.jpg;https://images-na.ssl-images-amazon.com/images/I/51Jm2JId33L.jpg;https://images-na.ssl-images-amazon.com/images/I/41h-4X0e4iL.jpg;https://images-na.ssl-images-amazon.com/images/I/41ay8C"&amp;"KQtBL.jpg")</f>
        <v>#NAME?</v>
      </c>
      <c r="E354" s="50" t="s">
        <v>16</v>
      </c>
      <c r="F354" s="50" t="s">
        <v>72</v>
      </c>
      <c r="H354" s="50">
        <v>1</v>
      </c>
      <c r="R354" s="50" t="s">
        <v>4357</v>
      </c>
      <c r="T354" s="50">
        <v>-6.8</v>
      </c>
      <c r="U354" s="50">
        <v>3.07</v>
      </c>
      <c r="W354" s="50">
        <v>-3.73</v>
      </c>
      <c r="X354" s="50">
        <v>-3.73</v>
      </c>
      <c r="Y354" s="50">
        <v>-3.73</v>
      </c>
      <c r="AE354" s="50" t="s">
        <v>4370</v>
      </c>
    </row>
    <row r="355" spans="1:31">
      <c r="A355" s="50" t="s">
        <v>4643</v>
      </c>
      <c r="B355" s="50" t="s">
        <v>40</v>
      </c>
      <c r="C355" s="50" t="s">
        <v>41</v>
      </c>
      <c r="D355" s="50" t="e">
        <f ca="1">Image("https://images-na.ssl-images-amazon.com/images/I/418XkK501gL.jpg;https://images-na.ssl-images-amazon.com/images/I/31F3m78sHOL.jpg;https://images-na.ssl-images-amazon.com/images/I/41hyQHOM+6L.jpg;https://images-na.ssl-images-amazon.com/images/I/31Fzjoqa-mL"&amp;".jpg")</f>
        <v>#NAME?</v>
      </c>
      <c r="E355" s="50" t="s">
        <v>16</v>
      </c>
      <c r="F355" s="50" t="s">
        <v>42</v>
      </c>
      <c r="S355" s="50" t="s">
        <v>1217</v>
      </c>
      <c r="U355" s="50">
        <v>27.46</v>
      </c>
      <c r="W355" s="50">
        <v>27.46</v>
      </c>
      <c r="X355" s="50">
        <v>27.46</v>
      </c>
      <c r="Y355" s="50">
        <v>27.46</v>
      </c>
      <c r="AC355" s="50">
        <v>38667</v>
      </c>
      <c r="AE355" s="50" t="s">
        <v>4370</v>
      </c>
    </row>
    <row r="356" spans="1:31">
      <c r="A356" s="50" t="s">
        <v>4644</v>
      </c>
      <c r="B356" s="50" t="s">
        <v>112</v>
      </c>
      <c r="C356" s="50" t="s">
        <v>113</v>
      </c>
      <c r="D356" s="50" t="e">
        <f ca="1">Image("https://images-na.ssl-images-amazon.com/images/I/51GS85U8mIL.jpg;https://images-na.ssl-images-amazon.com/images/I/61hllX89pOL.jpg;https://images-na.ssl-images-amazon.com/images/I/518uvPo7gJL.jpg;https://images-na.ssl-images-amazon.com/images/I/41IHpEjv6BL"&amp;".jpg")</f>
        <v>#NAME?</v>
      </c>
      <c r="E356" s="50" t="s">
        <v>16</v>
      </c>
      <c r="F356" s="50" t="s">
        <v>114</v>
      </c>
      <c r="S356" s="50" t="s">
        <v>1217</v>
      </c>
      <c r="U356" s="50">
        <v>-0.02</v>
      </c>
      <c r="W356" s="50">
        <v>-0.02</v>
      </c>
      <c r="X356" s="50">
        <v>-0.02</v>
      </c>
      <c r="Y356" s="50">
        <v>-0.02</v>
      </c>
      <c r="AC356" s="50">
        <v>857341</v>
      </c>
      <c r="AE356" s="50" t="s">
        <v>4370</v>
      </c>
    </row>
    <row r="357" spans="1:31">
      <c r="A357" s="50" t="s">
        <v>4645</v>
      </c>
      <c r="B357" s="50" t="s">
        <v>212</v>
      </c>
      <c r="C357" s="50" t="s">
        <v>213</v>
      </c>
      <c r="D357" s="50" t="e">
        <f ca="1">Image("https://images-na.ssl-images-amazon.com/images/I/31ro7SZzScL.jpg;https://images-na.ssl-images-amazon.com/images/I/41rDv4ZdyWL.jpg;https://images-na.ssl-images-amazon.com/images/I/21nDHD-DMTL.jpg")</f>
        <v>#NAME?</v>
      </c>
      <c r="E357" s="50" t="s">
        <v>16</v>
      </c>
      <c r="F357" s="50" t="s">
        <v>214</v>
      </c>
      <c r="S357" s="50" t="s">
        <v>1217</v>
      </c>
      <c r="U357" s="50">
        <v>-0.03</v>
      </c>
      <c r="W357" s="50">
        <v>-0.03</v>
      </c>
      <c r="X357" s="50">
        <v>-0.03</v>
      </c>
      <c r="Y357" s="50">
        <v>-0.03</v>
      </c>
      <c r="AC357" s="50">
        <v>56874</v>
      </c>
      <c r="AE357" s="50" t="s">
        <v>4370</v>
      </c>
    </row>
    <row r="358" spans="1:31">
      <c r="A358" s="50" t="s">
        <v>4646</v>
      </c>
      <c r="B358" s="50" t="s">
        <v>257</v>
      </c>
      <c r="C358" s="50" t="s">
        <v>258</v>
      </c>
      <c r="D358" s="50" t="e">
        <f t="shared" ref="D358:D359" ca="1" si="2">Image("https://images-na.ssl-images-amazon.com/images/I/414uy19KyuL.jpg;https://images-na.ssl-images-amazon.com/images/I/51VgTgrqkBL.jpg;https://images-na.ssl-images-amazon.com/images/I/217R6QtYohL.jpg")</f>
        <v>#NAME?</v>
      </c>
      <c r="E358" s="50" t="s">
        <v>16</v>
      </c>
      <c r="F358" s="50" t="s">
        <v>259</v>
      </c>
      <c r="S358" s="50" t="s">
        <v>1217</v>
      </c>
      <c r="U358" s="50">
        <v>-0.13</v>
      </c>
      <c r="W358" s="50">
        <v>-0.13</v>
      </c>
      <c r="X358" s="50">
        <v>-0.13</v>
      </c>
      <c r="Y358" s="50">
        <v>-0.13</v>
      </c>
      <c r="AC358" s="50">
        <v>179687</v>
      </c>
      <c r="AE358" s="50" t="s">
        <v>4370</v>
      </c>
    </row>
    <row r="359" spans="1:31">
      <c r="A359" s="50" t="s">
        <v>4646</v>
      </c>
      <c r="B359" s="50" t="s">
        <v>257</v>
      </c>
      <c r="C359" s="50" t="s">
        <v>1990</v>
      </c>
      <c r="D359" s="50" t="e">
        <f t="shared" ca="1" si="2"/>
        <v>#NAME?</v>
      </c>
      <c r="E359" s="50" t="s">
        <v>16</v>
      </c>
      <c r="F359" s="50" t="s">
        <v>259</v>
      </c>
      <c r="H359" s="50">
        <v>1</v>
      </c>
      <c r="R359" s="50" t="s">
        <v>4357</v>
      </c>
      <c r="S359" s="50" t="s">
        <v>1217</v>
      </c>
      <c r="T359" s="50">
        <v>-5.71</v>
      </c>
      <c r="W359" s="50">
        <v>-5.71</v>
      </c>
      <c r="X359" s="50">
        <v>-5.71</v>
      </c>
      <c r="Y359" s="50">
        <v>-5.71</v>
      </c>
      <c r="AC359" s="50">
        <v>179687</v>
      </c>
      <c r="AE359" s="50" t="s">
        <v>4370</v>
      </c>
    </row>
    <row r="360" spans="1:31">
      <c r="A360" s="50" t="s">
        <v>4647</v>
      </c>
      <c r="B360" s="50" t="s">
        <v>593</v>
      </c>
      <c r="C360" s="50" t="s">
        <v>4648</v>
      </c>
      <c r="D360" s="50" t="e">
        <f t="shared" ref="D360:D361" ca="1" si="3">Image("https://images-na.ssl-images-amazon.com/images/I/514t6cG+uEL.jpg;https://images-na.ssl-images-amazon.com/images/I/5171GXg8k1L.jpg;https://images-na.ssl-images-amazon.com/images/I/51gwNiXYJKL.jpg;https://images-na.ssl-images-amazon.com/images/I/41Za8Txea7L"&amp;".jpg;https://images-na.ssl-images-amazon.com/images/I/41aAwEgvFcL.jpg")</f>
        <v>#NAME?</v>
      </c>
      <c r="E360" s="50" t="s">
        <v>16</v>
      </c>
      <c r="F360" s="50" t="s">
        <v>595</v>
      </c>
      <c r="S360" s="50" t="s">
        <v>1217</v>
      </c>
      <c r="U360" s="50">
        <v>-0.03</v>
      </c>
      <c r="W360" s="50">
        <v>-0.03</v>
      </c>
      <c r="X360" s="50">
        <v>-0.03</v>
      </c>
      <c r="Y360" s="50">
        <v>-0.03</v>
      </c>
      <c r="AC360" s="50">
        <v>48401</v>
      </c>
      <c r="AE360" s="50" t="s">
        <v>4370</v>
      </c>
    </row>
    <row r="361" spans="1:31">
      <c r="A361" s="50" t="s">
        <v>4647</v>
      </c>
      <c r="B361" s="50" t="s">
        <v>593</v>
      </c>
      <c r="C361" s="50" t="s">
        <v>1348</v>
      </c>
      <c r="D361" s="50" t="e">
        <f t="shared" ca="1" si="3"/>
        <v>#NAME?</v>
      </c>
      <c r="E361" s="50" t="s">
        <v>16</v>
      </c>
      <c r="F361" s="50" t="s">
        <v>595</v>
      </c>
      <c r="S361" s="50" t="s">
        <v>1217</v>
      </c>
      <c r="U361" s="50">
        <v>-0.77</v>
      </c>
      <c r="W361" s="50">
        <v>-0.77</v>
      </c>
      <c r="X361" s="50">
        <v>-0.77</v>
      </c>
      <c r="Y361" s="50">
        <v>-0.77</v>
      </c>
      <c r="AC361" s="50">
        <v>48401</v>
      </c>
      <c r="AE361" s="50" t="s">
        <v>4370</v>
      </c>
    </row>
    <row r="362" spans="1:31">
      <c r="A362" s="50" t="s">
        <v>4649</v>
      </c>
      <c r="B362" s="50" t="s">
        <v>364</v>
      </c>
      <c r="C362" s="50" t="s">
        <v>1345</v>
      </c>
      <c r="D362" s="50" t="e">
        <f ca="1">Image("https://images-na.ssl-images-amazon.com/images/I/51kYqN8VecL.jpg;https://images-na.ssl-images-amazon.com/images/I/51NjPwGo5PL.jpg;https://images-na.ssl-images-amazon.com/images/I/51VSOBRpXmL.jpg;https://images-na.ssl-images-amazon.com/images/I/51kYqN8VecL"&amp;".jpg;https://images-na.ssl-images-amazon.com/images/I/41sElGdth8L.jpg;https://images-na.ssl-images-amazon.com/images/I/51XLFzObTLL.jpg")</f>
        <v>#NAME?</v>
      </c>
      <c r="E362" s="50" t="s">
        <v>16</v>
      </c>
      <c r="F362" s="50" t="s">
        <v>360</v>
      </c>
      <c r="S362" s="50" t="s">
        <v>1217</v>
      </c>
      <c r="U362" s="50">
        <v>-9.5399999999999991</v>
      </c>
      <c r="W362" s="50">
        <v>-9.5399999999999991</v>
      </c>
      <c r="X362" s="50">
        <v>-9.5399999999999991</v>
      </c>
      <c r="Y362" s="50">
        <v>-9.5399999999999991</v>
      </c>
      <c r="AC362" s="50">
        <v>48401</v>
      </c>
      <c r="AE362" s="50" t="s">
        <v>4370</v>
      </c>
    </row>
    <row r="363" spans="1:31">
      <c r="A363" s="50" t="s">
        <v>4650</v>
      </c>
      <c r="B363" s="50" t="s">
        <v>364</v>
      </c>
      <c r="C363" s="50" t="s">
        <v>4651</v>
      </c>
      <c r="D363" s="50" t="e">
        <f ca="1">Image("https://images-na.ssl-images-amazon.com/images/I/51kYqN8VecL.jpg;https://images-na.ssl-images-amazon.com/images/I/51NjPwGo5PL.jpg;https://images-na.ssl-images-amazon.com/images/I/51VSOBRpXmL.jpg;https://images-na.ssl-images-amazon.com/images/I/51kYqN8VecL"&amp;".jpg;https://images-na.ssl-images-amazon.com/images/I/41sElGdth8L.jpg;https://images-na.ssl-images-amazon.com/images/I/51XLFzObTLL.jpg")</f>
        <v>#NAME?</v>
      </c>
      <c r="E363" s="50" t="s">
        <v>16</v>
      </c>
      <c r="F363" s="50" t="s">
        <v>4652</v>
      </c>
      <c r="S363" s="50" t="s">
        <v>1217</v>
      </c>
      <c r="U363" s="50">
        <v>-1.36</v>
      </c>
      <c r="W363" s="50">
        <v>-1.36</v>
      </c>
      <c r="X363" s="50">
        <v>-1.36</v>
      </c>
      <c r="Y363" s="50">
        <v>-1.36</v>
      </c>
      <c r="AC363" s="50">
        <v>48401</v>
      </c>
      <c r="AE363" s="50" t="s">
        <v>4370</v>
      </c>
    </row>
    <row r="364" spans="1:31">
      <c r="A364" s="50" t="s">
        <v>4495</v>
      </c>
      <c r="B364" s="50" t="s">
        <v>1128</v>
      </c>
      <c r="C364" s="50" t="s">
        <v>4653</v>
      </c>
      <c r="D364" s="50" t="e">
        <f ca="1">Image("https://images-na.ssl-images-amazon.com/images/I/51f2Q7Le+kL.jpg;https://images-na.ssl-images-amazon.com/images/I/516RHvBUo2L.jpg;https://images-na.ssl-images-amazon.com/images/I/411zTd0YqSL.jpg;https://images-na.ssl-images-amazon.com/images/I/41Fs8hSUqUL"&amp;".jpg;https://images-na.ssl-images-amazon.com/images/I/41ssZ0uTeDL.jpg;https://images-na.ssl-images-amazon.com/images/I/51NsRxyEzqL.jpg")</f>
        <v>#NAME?</v>
      </c>
      <c r="E364" s="50" t="s">
        <v>16</v>
      </c>
      <c r="F364" s="50" t="s">
        <v>4654</v>
      </c>
      <c r="H364" s="50">
        <v>1</v>
      </c>
      <c r="R364" s="50" t="s">
        <v>4357</v>
      </c>
      <c r="T364" s="50">
        <v>-25.52</v>
      </c>
      <c r="W364" s="50">
        <v>-25.52</v>
      </c>
      <c r="X364" s="50">
        <v>-25.52</v>
      </c>
      <c r="Y364" s="50">
        <v>-25.52</v>
      </c>
      <c r="AC364" s="50">
        <v>48401</v>
      </c>
      <c r="AE364" s="50" t="s">
        <v>4370</v>
      </c>
    </row>
    <row r="365" spans="1:31">
      <c r="A365" s="50" t="s">
        <v>4655</v>
      </c>
      <c r="B365" s="50" t="s">
        <v>43</v>
      </c>
      <c r="C365" s="50" t="s">
        <v>4656</v>
      </c>
      <c r="D365" s="50" t="e">
        <f ca="1">Image("https://images-na.ssl-images-amazon.com/images/I/51291o7fzdL.jpg;https://images-na.ssl-images-amazon.com/images/I/51NDwofsY9L.jpg;https://images-na.ssl-images-amazon.com/images/I/41TM8PrZnJL.jpg;https://images-na.ssl-images-amazon.com/images/I/413TjTXnyIL"&amp;".jpg;https://images-na.ssl-images-amazon.com/images/I/51qBa1U+56L.jpg;https://images-na.ssl-images-amazon.com/images/I/51BfznTgQ3L.jpg;https://images-na.ssl-images-amazon.com/images/I/51lHkguOGLL.jpg")</f>
        <v>#NAME?</v>
      </c>
      <c r="E365" s="50" t="s">
        <v>20</v>
      </c>
      <c r="F365" s="50" t="s">
        <v>60</v>
      </c>
      <c r="S365" s="50" t="s">
        <v>1217</v>
      </c>
      <c r="U365" s="50">
        <v>18.57</v>
      </c>
      <c r="W365" s="50">
        <v>18.57</v>
      </c>
      <c r="X365" s="50">
        <v>18.57</v>
      </c>
      <c r="Y365" s="50">
        <v>18.57</v>
      </c>
      <c r="AC365" s="50">
        <v>125997</v>
      </c>
      <c r="AE365" s="50" t="s">
        <v>4370</v>
      </c>
    </row>
    <row r="366" spans="1:31">
      <c r="A366" s="50" t="s">
        <v>4655</v>
      </c>
      <c r="B366" s="50" t="s">
        <v>43</v>
      </c>
      <c r="C366" s="50" t="s">
        <v>4657</v>
      </c>
      <c r="D366" s="50" t="e">
        <f ca="1">Image("https://images-na.ssl-images-amazon.com/images/I/41qjLr9szXL.jpg;https://images-na.ssl-images-amazon.com/images/I/51NDwofsY9L.jpg;https://images-na.ssl-images-amazon.com/images/I/41TM8PrZnJL.jpg;https://images-na.ssl-images-amazon.com/images/I/413TjTXnyIL"&amp;".jpg;https://images-na.ssl-images-amazon.com/images/I/51ktGsjRZ6L.jpg;https://images-na.ssl-images-amazon.com/images/I/51loRx1BqCL.jpg;https://images-na.ssl-images-amazon.com/images/I/51pnsOsQ-PL.jpg;https://images-na.ssl-images-amazon.com/images/I/51Bfzn"&amp;"TgQ3L.jpg;https://images-na.ssl-images-amazon.com/images/I/51qBa1U+56L.jpg")</f>
        <v>#NAME?</v>
      </c>
      <c r="E366" s="50" t="s">
        <v>20</v>
      </c>
      <c r="F366" s="50" t="s">
        <v>4658</v>
      </c>
      <c r="S366" s="50" t="s">
        <v>1217</v>
      </c>
      <c r="U366" s="50">
        <v>-6</v>
      </c>
      <c r="W366" s="50">
        <v>-6</v>
      </c>
      <c r="X366" s="50">
        <v>-6</v>
      </c>
      <c r="Y366" s="50">
        <v>-6</v>
      </c>
      <c r="AC366" s="50">
        <v>125997</v>
      </c>
      <c r="AE366" s="50" t="s">
        <v>4370</v>
      </c>
    </row>
    <row r="367" spans="1:31">
      <c r="A367" s="50" t="s">
        <v>4659</v>
      </c>
      <c r="B367" s="50" t="s">
        <v>393</v>
      </c>
      <c r="C367" s="50" t="s">
        <v>4660</v>
      </c>
      <c r="D367" s="50" t="e">
        <f ca="1">Image("https://images-na.ssl-images-amazon.com/images/I/51c6tAKGoYL.jpg;https://images-na.ssl-images-amazon.com/images/I/41QOGsXOB0L.jpg;https://images-na.ssl-images-amazon.com/images/I/41p9V6FtZcL.jpg;https://images-na.ssl-images-amazon.com/images/I/51kqR-rkioL"&amp;".jpg;https://images-na.ssl-images-amazon.com/images/I/41MI2j5PI6L.jpg;https://images-na.ssl-images-amazon.com/images/I/41DQGJc6sFL.jpg;https://images-na.ssl-images-amazon.com/images/I/51TlGUEJwNL.jpg;https://images-na.ssl-images-amazon.com/images/I/51I0FX"&amp;"KtoGL.jpg;https://images-na.ssl-images-amazon.com/images/I/51tO9mSNCPL.jpg")</f>
        <v>#NAME?</v>
      </c>
      <c r="E367" s="50" t="s">
        <v>20</v>
      </c>
      <c r="F367" s="50" t="s">
        <v>4661</v>
      </c>
      <c r="S367" s="50" t="s">
        <v>1217</v>
      </c>
      <c r="U367" s="50">
        <v>-0.45</v>
      </c>
      <c r="W367" s="50">
        <v>-0.45</v>
      </c>
      <c r="X367" s="50">
        <v>-0.45</v>
      </c>
      <c r="Y367" s="50">
        <v>-0.45</v>
      </c>
      <c r="AC367" s="50">
        <v>505892</v>
      </c>
      <c r="AE367" s="50" t="s">
        <v>4370</v>
      </c>
    </row>
    <row r="368" spans="1:31">
      <c r="A368" s="50" t="s">
        <v>4462</v>
      </c>
      <c r="B368" s="50" t="s">
        <v>49</v>
      </c>
      <c r="C368" s="50" t="s">
        <v>4662</v>
      </c>
      <c r="D368" s="50" t="e">
        <f ca="1">Image("https://images-na.ssl-images-amazon.com/images/I/51x4M5NGCjL.jpg;https://images-na.ssl-images-amazon.com/images/I/412S7MP0UUL.jpg;https://images-na.ssl-images-amazon.com/images/I/51QJdx9Qz6L.jpg;https://images-na.ssl-images-amazon.com/images/I/5187UFB8gmL"&amp;".jpg;https://images-na.ssl-images-amazon.com/images/I/41Vad5eroaL.jpg;https://images-na.ssl-images-amazon.com/images/I/51w-zadXJSL.jpg;https://images-na.ssl-images-amazon.com/images/I/41SHvwo5IsL.jpg")</f>
        <v>#NAME?</v>
      </c>
      <c r="E368" s="50" t="s">
        <v>20</v>
      </c>
      <c r="F368" s="50" t="s">
        <v>51</v>
      </c>
      <c r="S368" s="50" t="s">
        <v>1217</v>
      </c>
      <c r="U368" s="50">
        <v>18.55</v>
      </c>
      <c r="W368" s="50">
        <v>18.55</v>
      </c>
      <c r="X368" s="50">
        <v>18.55</v>
      </c>
      <c r="Y368" s="50">
        <v>18.55</v>
      </c>
      <c r="AC368" s="50">
        <v>178867</v>
      </c>
      <c r="AE368" s="50" t="s">
        <v>4370</v>
      </c>
    </row>
    <row r="369" spans="1:31">
      <c r="A369" s="50" t="s">
        <v>4462</v>
      </c>
      <c r="B369" s="50" t="s">
        <v>49</v>
      </c>
      <c r="C369" s="50" t="s">
        <v>4663</v>
      </c>
      <c r="D369" s="50" t="e">
        <f ca="1">Image("https://images-na.ssl-images-amazon.com/images/I/51x4M5NGCjL.jpg;https://images-na.ssl-images-amazon.com/images/I/412S7MP0UUL.jpg;https://images-na.ssl-images-amazon.com/images/I/51QJdx9Qz6L.jpg;https://images-na.ssl-images-amazon.com/images/I/5187UFB8gmL"&amp;".jpg;https://images-na.ssl-images-amazon.com/images/I/41Vad5eroaL.jpg;https://images-na.ssl-images-amazon.com/images/I/51w-zadXJSL.jpg;https://images-na.ssl-images-amazon.com/images/I/41SHvwo5IsL.jpg")</f>
        <v>#NAME?</v>
      </c>
      <c r="E369" s="50" t="s">
        <v>20</v>
      </c>
      <c r="F369" s="50" t="s">
        <v>4664</v>
      </c>
      <c r="S369" s="50" t="s">
        <v>1217</v>
      </c>
      <c r="U369" s="50">
        <v>-31.51</v>
      </c>
      <c r="W369" s="50">
        <v>-31.51</v>
      </c>
      <c r="X369" s="50">
        <v>-31.51</v>
      </c>
      <c r="Y369" s="50">
        <v>-31.51</v>
      </c>
      <c r="AC369" s="50">
        <v>178867</v>
      </c>
      <c r="AE369" s="50" t="s">
        <v>4370</v>
      </c>
    </row>
    <row r="370" spans="1:31">
      <c r="A370" s="50" t="s">
        <v>4665</v>
      </c>
      <c r="B370" s="50" t="s">
        <v>171</v>
      </c>
      <c r="C370" s="50" t="s">
        <v>172</v>
      </c>
      <c r="D370" s="50" t="e">
        <f ca="1">Image("https://images-na.ssl-images-amazon.com/images/I/51ms-kSR2SL.jpg;https://images-na.ssl-images-amazon.com/images/I/41nI8pn5KIL.jpg;https://images-na.ssl-images-amazon.com/images/I/41+EChMV-RL.jpg;https://images-na.ssl-images-amazon.com/images/I/41pE7WZ1DbL"&amp;".jpg;https://images-na.ssl-images-amazon.com/images/I/51zXMiplYYL.jpg;https://images-na.ssl-images-amazon.com/images/I/51jxUEFT+QL.jpg;https://images-na.ssl-images-amazon.com/images/I/51NYT0cZc1L.jpg")</f>
        <v>#NAME?</v>
      </c>
      <c r="E370" s="50" t="s">
        <v>20</v>
      </c>
      <c r="F370" s="50" t="s">
        <v>173</v>
      </c>
      <c r="S370" s="50" t="s">
        <v>1217</v>
      </c>
      <c r="U370" s="50">
        <v>-0.01</v>
      </c>
      <c r="W370" s="50">
        <v>-0.01</v>
      </c>
      <c r="X370" s="50">
        <v>-0.01</v>
      </c>
      <c r="Y370" s="50">
        <v>-0.01</v>
      </c>
      <c r="AC370" s="50">
        <v>54948</v>
      </c>
      <c r="AE370" s="50" t="s">
        <v>4370</v>
      </c>
    </row>
    <row r="371" spans="1:31">
      <c r="A371" s="50" t="s">
        <v>4666</v>
      </c>
      <c r="B371" s="50" t="s">
        <v>683</v>
      </c>
      <c r="C371" s="50" t="s">
        <v>4667</v>
      </c>
      <c r="D371" s="50" t="e">
        <f ca="1">Image("https://images-na.ssl-images-amazon.com/images/I/41g5hSV5obL.jpg;https://images-na.ssl-images-amazon.com/images/I/41S3Uk+V6CL.jpg;https://images-na.ssl-images-amazon.com/images/I/41mxMhcrSzL.jpg;https://images-na.ssl-images-amazon.com/images/I/41MYsi+mkKL"&amp;".jpg;https://images-na.ssl-images-amazon.com/images/I/51ODzstM74L.jpg;https://images-na.ssl-images-amazon.com/images/I/61ukAHs5khL.jpg;https://images-na.ssl-images-amazon.com/images/I/51VDQjeIXBL.jpg;https://images-na.ssl-images-amazon.com/images/I/41PbUY"&amp;"P9KYL.jpg")</f>
        <v>#NAME?</v>
      </c>
      <c r="E371" s="50" t="s">
        <v>20</v>
      </c>
      <c r="F371" s="50" t="s">
        <v>685</v>
      </c>
      <c r="H371" s="50">
        <v>1</v>
      </c>
      <c r="R371" s="50" t="s">
        <v>4357</v>
      </c>
      <c r="S371" s="50" t="s">
        <v>1217</v>
      </c>
      <c r="T371" s="50">
        <v>-14.07</v>
      </c>
      <c r="W371" s="50">
        <v>-14.07</v>
      </c>
      <c r="X371" s="50">
        <v>-14.07</v>
      </c>
      <c r="Y371" s="50">
        <v>-14.07</v>
      </c>
      <c r="AC371" s="50">
        <v>388812</v>
      </c>
      <c r="AE371" s="50" t="s">
        <v>4370</v>
      </c>
    </row>
    <row r="372" spans="1:31">
      <c r="A372" s="50" t="s">
        <v>4668</v>
      </c>
      <c r="B372" s="50" t="s">
        <v>127</v>
      </c>
      <c r="C372" s="50" t="s">
        <v>4669</v>
      </c>
      <c r="D372" s="50" t="e">
        <f ca="1">Image("https://images-na.ssl-images-amazon.com/images/I/41bJhvd6iWL.jpg;https://images-na.ssl-images-amazon.com/images/I/51NDwofsY9L.jpg;https://images-na.ssl-images-amazon.com/images/I/41TM8PrZnJL.jpg;https://images-na.ssl-images-amazon.com/images/I/413TjTXnyIL"&amp;".jpg;https://images-na.ssl-images-amazon.com/images/I/51qBa1U+56L.jpg;https://images-na.ssl-images-amazon.com/images/I/51BfznTgQ3L.jpg;https://images-na.ssl-images-amazon.com/images/I/51lHkguOGLL.jpg")</f>
        <v>#NAME?</v>
      </c>
      <c r="E372" s="50" t="s">
        <v>20</v>
      </c>
      <c r="F372" s="50" t="s">
        <v>4670</v>
      </c>
      <c r="S372" s="50" t="s">
        <v>1217</v>
      </c>
      <c r="U372" s="50">
        <v>10.38</v>
      </c>
      <c r="W372" s="50">
        <v>10.38</v>
      </c>
      <c r="X372" s="50">
        <v>10.38</v>
      </c>
      <c r="Y372" s="50">
        <v>10.38</v>
      </c>
      <c r="AC372" s="50">
        <v>125997</v>
      </c>
      <c r="AE372" s="50" t="s">
        <v>4370</v>
      </c>
    </row>
    <row r="373" spans="1:31">
      <c r="A373" s="50" t="s">
        <v>4671</v>
      </c>
      <c r="B373" s="50" t="s">
        <v>730</v>
      </c>
      <c r="C373" s="50" t="s">
        <v>731</v>
      </c>
      <c r="D373" s="50" t="e">
        <f ca="1">Image("https://images-na.ssl-images-amazon.com/images/I/414oFIY8HIL.jpg;https://images-na.ssl-images-amazon.com/images/I/41ZONmv61mL.jpg;https://images-na.ssl-images-amazon.com/images/I/41NDt9wbTeL.jpg;https://images-na.ssl-images-amazon.com/images/I/41vBgooeEQL"&amp;".jpg;https://images-na.ssl-images-amazon.com/images/I/51qpSUST8DL.jpg;https://images-na.ssl-images-amazon.com/images/I/610qSO4sDXL.jpg;https://images-na.ssl-images-amazon.com/images/I/613-dRRq42L.jpg")</f>
        <v>#NAME?</v>
      </c>
      <c r="E373" s="50" t="s">
        <v>20</v>
      </c>
      <c r="F373" s="50" t="s">
        <v>732</v>
      </c>
      <c r="S373" s="50" t="s">
        <v>1217</v>
      </c>
      <c r="U373" s="50">
        <v>-0.02</v>
      </c>
      <c r="W373" s="50">
        <v>-0.02</v>
      </c>
      <c r="X373" s="50">
        <v>-0.02</v>
      </c>
      <c r="Y373" s="50">
        <v>-0.02</v>
      </c>
      <c r="AC373" s="50">
        <v>1189481</v>
      </c>
      <c r="AE373" s="50" t="s">
        <v>4370</v>
      </c>
    </row>
    <row r="374" spans="1:31">
      <c r="A374" s="50" t="s">
        <v>4672</v>
      </c>
      <c r="B374" s="50" t="s">
        <v>518</v>
      </c>
      <c r="C374" s="50" t="s">
        <v>519</v>
      </c>
      <c r="D374" s="50" t="e">
        <f ca="1">Image("https://images-na.ssl-images-amazon.com/images/I/416kCWZQWdL.jpg;https://images-na.ssl-images-amazon.com/images/I/41QoXUsC0zL.jpg;https://images-na.ssl-images-amazon.com/images/I/41yXDWQT51L.jpg;https://images-na.ssl-images-amazon.com/images/I/41CNkbEvNuL"&amp;".jpg;https://images-na.ssl-images-amazon.com/images/I/513k6zCY5TL.jpg;https://images-na.ssl-images-amazon.com/images/I/51yvcbscM8L.jpg;https://images-na.ssl-images-amazon.com/images/I/51OGdAJV8cL.jpg")</f>
        <v>#NAME?</v>
      </c>
      <c r="E374" s="50" t="s">
        <v>20</v>
      </c>
      <c r="F374" s="50" t="s">
        <v>520</v>
      </c>
      <c r="H374" s="50">
        <v>2</v>
      </c>
      <c r="R374" s="50" t="s">
        <v>4357</v>
      </c>
      <c r="S374" s="50" t="s">
        <v>1217</v>
      </c>
      <c r="T374" s="50">
        <v>-31.66</v>
      </c>
      <c r="W374" s="50">
        <v>-31.66</v>
      </c>
      <c r="X374" s="50">
        <v>-31.66</v>
      </c>
      <c r="Y374" s="50">
        <v>-31.66</v>
      </c>
      <c r="AC374" s="50">
        <v>505892</v>
      </c>
      <c r="AE374" s="50" t="s">
        <v>4370</v>
      </c>
    </row>
    <row r="375" spans="1:31">
      <c r="A375" s="50" t="s">
        <v>4673</v>
      </c>
      <c r="B375" s="50" t="s">
        <v>1016</v>
      </c>
      <c r="C375" s="50" t="s">
        <v>4674</v>
      </c>
      <c r="D375" s="50" t="e">
        <f ca="1">Image("https://images-na.ssl-images-amazon.com/images/I/315FRLu3f6L.jpg;https://images-na.ssl-images-amazon.com/images/I/41yxmwlZw0L.jpg;https://images-na.ssl-images-amazon.com/images/I/31gb-Qky7bL.jpg;https://images-na.ssl-images-amazon.com/images/I/41vgY6--x+L"&amp;".jpg;https://images-na.ssl-images-amazon.com/images/I/415QNYmdDtL.jpg;https://images-na.ssl-images-amazon.com/images/I/41bI9upgZ7L.jpg;https://images-na.ssl-images-amazon.com/images/I/41UM6xAtSnL.jpg")</f>
        <v>#NAME?</v>
      </c>
      <c r="E375" s="50" t="s">
        <v>20</v>
      </c>
      <c r="F375" s="50" t="s">
        <v>1018</v>
      </c>
      <c r="S375" s="50" t="s">
        <v>1217</v>
      </c>
      <c r="U375" s="50">
        <v>-0.04</v>
      </c>
      <c r="W375" s="50">
        <v>-0.04</v>
      </c>
      <c r="X375" s="50">
        <v>-0.04</v>
      </c>
      <c r="Y375" s="50">
        <v>-0.04</v>
      </c>
      <c r="AC375" s="50">
        <v>153686</v>
      </c>
      <c r="AE375" s="50" t="s">
        <v>4370</v>
      </c>
    </row>
    <row r="376" spans="1:31">
      <c r="A376" s="50" t="s">
        <v>4542</v>
      </c>
      <c r="B376" s="50" t="s">
        <v>1109</v>
      </c>
      <c r="C376" s="50" t="s">
        <v>4675</v>
      </c>
      <c r="D376" s="50" t="e">
        <f t="shared" ref="D376:D377" ca="1" si="4">Image("https://images-na.ssl-images-amazon.com/images/I/410OBUcY9QL.jpg;https://images-na.ssl-images-amazon.com/images/I/41NK6UwOFEL.jpg;https://images-na.ssl-images-amazon.com/images/I/41eOENRJklL.jpg;https://images-na.ssl-images-amazon.com/images/I/51JEErS2TpL"&amp;".jpg;https://images-na.ssl-images-amazon.com/images/I/51TL2r1thUL.jpg;https://images-na.ssl-images-amazon.com/images/I/51Y2cisnTuL.jpg;https://images-na.ssl-images-amazon.com/images/I/51ve0fJM3uL.jpg")</f>
        <v>#NAME?</v>
      </c>
      <c r="E376" s="50" t="s">
        <v>20</v>
      </c>
      <c r="F376" s="50" t="s">
        <v>1111</v>
      </c>
      <c r="S376" s="50" t="s">
        <v>1217</v>
      </c>
      <c r="U376" s="50">
        <v>-2.38</v>
      </c>
      <c r="W376" s="50">
        <v>-2.38</v>
      </c>
      <c r="X376" s="50">
        <v>-2.38</v>
      </c>
      <c r="Y376" s="50">
        <v>-2.38</v>
      </c>
      <c r="AC376" s="50">
        <v>211287</v>
      </c>
      <c r="AE376" s="50" t="s">
        <v>4370</v>
      </c>
    </row>
    <row r="377" spans="1:31">
      <c r="A377" s="50" t="s">
        <v>4542</v>
      </c>
      <c r="B377" s="50" t="s">
        <v>1109</v>
      </c>
      <c r="C377" s="50" t="s">
        <v>4676</v>
      </c>
      <c r="D377" s="50" t="e">
        <f t="shared" ca="1" si="4"/>
        <v>#NAME?</v>
      </c>
      <c r="E377" s="50" t="s">
        <v>20</v>
      </c>
      <c r="F377" s="50" t="s">
        <v>1111</v>
      </c>
      <c r="S377" s="50" t="s">
        <v>1217</v>
      </c>
      <c r="U377" s="50">
        <v>-1.46</v>
      </c>
      <c r="W377" s="50">
        <v>-1.46</v>
      </c>
      <c r="X377" s="50">
        <v>-1.46</v>
      </c>
      <c r="Y377" s="50">
        <v>-1.46</v>
      </c>
      <c r="AC377" s="50">
        <v>211287</v>
      </c>
      <c r="AE377" s="50" t="s">
        <v>4370</v>
      </c>
    </row>
    <row r="378" spans="1:31">
      <c r="A378" s="50" t="s">
        <v>4677</v>
      </c>
      <c r="B378" s="50" t="s">
        <v>1040</v>
      </c>
      <c r="C378" s="50" t="s">
        <v>4678</v>
      </c>
      <c r="D378" s="50" t="e">
        <f ca="1">Image("https://images-na.ssl-images-amazon.com/images/I/31CKKUF4pxL.jpg;https://images-na.ssl-images-amazon.com/images/I/41UYEDq4H+L.jpg;https://images-na.ssl-images-amazon.com/images/I/31locn7gy3L.jpg;https://images-na.ssl-images-amazon.com/images/I/31BoAWcluBL"&amp;".jpg;https://images-na.ssl-images-amazon.com/images/I/516pd7vGl3L.jpg;https://images-na.ssl-images-amazon.com/images/I/51uhYFH-53L.jpg;https://images-na.ssl-images-amazon.com/images/I/51oS4h7uk5L.jpg;https://images-na.ssl-images-amazon.com/images/I/51SUcQ"&amp;"y1ieL.jpg")</f>
        <v>#NAME?</v>
      </c>
      <c r="E378" s="50" t="s">
        <v>20</v>
      </c>
      <c r="F378" s="50" t="s">
        <v>1042</v>
      </c>
      <c r="S378" s="50" t="s">
        <v>1217</v>
      </c>
      <c r="U378" s="50">
        <v>-0.08</v>
      </c>
      <c r="W378" s="50">
        <v>-0.08</v>
      </c>
      <c r="X378" s="50">
        <v>-0.08</v>
      </c>
      <c r="Y378" s="50">
        <v>-0.08</v>
      </c>
      <c r="AC378" s="50">
        <v>7124224</v>
      </c>
      <c r="AE378" s="50" t="s">
        <v>4370</v>
      </c>
    </row>
    <row r="379" spans="1:31">
      <c r="A379" s="50" t="s">
        <v>4679</v>
      </c>
      <c r="B379" s="50" t="s">
        <v>701</v>
      </c>
      <c r="C379" s="50" t="s">
        <v>4680</v>
      </c>
      <c r="D379" s="50" t="e">
        <f ca="1">Image("https://images-na.ssl-images-amazon.com/images/I/41wKIhJkGTL.jpg;https://images-na.ssl-images-amazon.com/images/I/511-SAOioaL.jpg;https://images-na.ssl-images-amazon.com/images/I/31F3rYzkFUL.jpg;https://images-na.ssl-images-amazon.com/images/I/51npLQ9s1NL"&amp;".jpg;https://images-na.ssl-images-amazon.com/images/I/51njMWJPCiL.jpg;https://images-na.ssl-images-amazon.com/images/I/41y6tiAdA9L.jpg")</f>
        <v>#NAME?</v>
      </c>
      <c r="E379" s="50" t="s">
        <v>20</v>
      </c>
      <c r="F379" s="50" t="s">
        <v>703</v>
      </c>
      <c r="S379" s="50" t="s">
        <v>1217</v>
      </c>
      <c r="U379" s="50">
        <v>-2.6</v>
      </c>
      <c r="W379" s="50">
        <v>-2.6</v>
      </c>
      <c r="X379" s="50">
        <v>-2.6</v>
      </c>
      <c r="Y379" s="50">
        <v>-2.6</v>
      </c>
      <c r="AC379" s="50">
        <v>189132</v>
      </c>
      <c r="AE379" s="50" t="s">
        <v>4370</v>
      </c>
    </row>
    <row r="380" spans="1:31">
      <c r="A380" s="50" t="s">
        <v>4681</v>
      </c>
      <c r="B380" s="50" t="s">
        <v>977</v>
      </c>
      <c r="C380" s="50" t="s">
        <v>978</v>
      </c>
      <c r="D380" s="50" t="e">
        <f ca="1">Image("https://images-na.ssl-images-amazon.com/images/I/31CKKUF4pxL.jpg;https://images-na.ssl-images-amazon.com/images/I/41UYEDq4H+L.jpg;https://images-na.ssl-images-amazon.com/images/I/31locn7gy3L.jpg;https://images-na.ssl-images-amazon.com/images/I/31BoAWcluBL"&amp;".jpg;https://images-na.ssl-images-amazon.com/images/I/516pd7vGl3L.jpg;https://images-na.ssl-images-amazon.com/images/I/51uhYFH-53L.jpg;https://images-na.ssl-images-amazon.com/images/I/51oS4h7uk5L.jpg;https://images-na.ssl-images-amazon.com/images/I/51SUcQ"&amp;"y1ieL.jpg")</f>
        <v>#NAME?</v>
      </c>
      <c r="E380" s="50" t="s">
        <v>20</v>
      </c>
      <c r="F380" s="50" t="s">
        <v>979</v>
      </c>
      <c r="S380" s="50" t="s">
        <v>1217</v>
      </c>
      <c r="U380" s="50">
        <v>-2.1800000000000002</v>
      </c>
      <c r="W380" s="50">
        <v>-2.1800000000000002</v>
      </c>
      <c r="X380" s="50">
        <v>-2.1800000000000002</v>
      </c>
      <c r="Y380" s="50">
        <v>-2.1800000000000002</v>
      </c>
      <c r="AC380" s="50">
        <v>7124224</v>
      </c>
      <c r="AE380" s="50" t="s">
        <v>4370</v>
      </c>
    </row>
    <row r="381" spans="1:31">
      <c r="A381" s="50" t="s">
        <v>4467</v>
      </c>
      <c r="B381" s="50" t="s">
        <v>76</v>
      </c>
      <c r="C381" s="50" t="s">
        <v>4682</v>
      </c>
      <c r="D381" s="50" t="e">
        <f ca="1">Image("https://images-na.ssl-images-amazon.com/images/I/41WfQlAKgEL.jpg;https://images-na.ssl-images-amazon.com/images/I/41A2eaJ3hvL.jpg;https://images-na.ssl-images-amazon.com/images/I/51o6bKBFqbL.jpg;https://images-na.ssl-images-amazon.com/images/I/41AHI5LW2SL"&amp;".jpg;https://images-na.ssl-images-amazon.com/images/I/5149HJf7zWL.jpg;https://images-na.ssl-images-amazon.com/images/I/513qvw4uCWL.jpg;https://images-na.ssl-images-amazon.com/images/I/61FbXfMSk1L.jpg")</f>
        <v>#NAME?</v>
      </c>
      <c r="E381" s="50" t="s">
        <v>20</v>
      </c>
      <c r="F381" s="50" t="s">
        <v>78</v>
      </c>
      <c r="S381" s="50" t="s">
        <v>1217</v>
      </c>
      <c r="U381" s="50">
        <v>-0.04</v>
      </c>
      <c r="W381" s="50">
        <v>-0.04</v>
      </c>
      <c r="X381" s="50">
        <v>-0.04</v>
      </c>
      <c r="Y381" s="50">
        <v>-0.04</v>
      </c>
      <c r="AC381" s="50">
        <v>54948</v>
      </c>
      <c r="AE381" s="50" t="s">
        <v>4370</v>
      </c>
    </row>
    <row r="382" spans="1:31">
      <c r="A382" s="50" t="s">
        <v>4683</v>
      </c>
      <c r="B382" s="50" t="s">
        <v>1019</v>
      </c>
      <c r="C382" s="50" t="s">
        <v>1020</v>
      </c>
      <c r="D382" s="50" t="e">
        <f ca="1">Image("https://images-na.ssl-images-amazon.com/images/I/31BTU9iIYYL.jpg;https://images-na.ssl-images-amazon.com/images/I/41Bv8s8rD3L.jpg;https://images-na.ssl-images-amazon.com/images/I/31+j3PGKtmL.jpg;https://images-na.ssl-images-amazon.com/images/I/41pbCKOpRYL"&amp;".jpg;https://images-na.ssl-images-amazon.com/images/I/31kGcn2vBOL.jpg;https://images-na.ssl-images-amazon.com/images/I/51CzfE8Sv5L.jpg;https://images-na.ssl-images-amazon.com/images/I/51lxe1MHPZL.jpg;https://images-na.ssl-images-amazon.com/images/I/51Oe5O"&amp;"c76GL.jpg;https://images-na.ssl-images-amazon.com/images/I/51vEc1YAsML.jpg")</f>
        <v>#NAME?</v>
      </c>
      <c r="E382" s="50" t="s">
        <v>20</v>
      </c>
      <c r="F382" s="50" t="s">
        <v>1021</v>
      </c>
      <c r="S382" s="50" t="s">
        <v>1217</v>
      </c>
      <c r="U382" s="50">
        <v>-6.26</v>
      </c>
      <c r="W382" s="50">
        <v>-6.26</v>
      </c>
      <c r="X382" s="50">
        <v>-6.26</v>
      </c>
      <c r="Y382" s="50">
        <v>-6.26</v>
      </c>
      <c r="AC382" s="50">
        <v>5404360</v>
      </c>
      <c r="AE382" s="50" t="s">
        <v>4370</v>
      </c>
    </row>
    <row r="383" spans="1:31">
      <c r="A383" s="50" t="s">
        <v>4684</v>
      </c>
      <c r="B383" s="50" t="s">
        <v>1097</v>
      </c>
      <c r="C383" s="50" t="s">
        <v>1098</v>
      </c>
      <c r="D383" s="50" t="e">
        <f ca="1">Image("https://images-na.ssl-images-amazon.com/images/I/51Tx7-tL8UL.jpg;https://images-na.ssl-images-amazon.com/images/I/41b17TyvohL.jpg;https://images-na.ssl-images-amazon.com/images/I/51rmVeEVurL.jpg;https://images-na.ssl-images-amazon.com/images/I/61kvSiwUjTL"&amp;".jpg;https://images-na.ssl-images-amazon.com/images/I/614Hn5GqeDL.jpg;https://images-na.ssl-images-amazon.com/images/I/51Awi5MQP3L.jpg;https://images-na.ssl-images-amazon.com/images/I/41gs71Rhl6L.jpg")</f>
        <v>#NAME?</v>
      </c>
      <c r="E383" s="50" t="s">
        <v>20</v>
      </c>
      <c r="F383" s="50" t="s">
        <v>1099</v>
      </c>
      <c r="S383" s="50" t="s">
        <v>1217</v>
      </c>
      <c r="U383" s="50">
        <v>-21.76</v>
      </c>
      <c r="W383" s="50">
        <v>-21.76</v>
      </c>
      <c r="X383" s="50">
        <v>-21.76</v>
      </c>
      <c r="Y383" s="50">
        <v>-21.76</v>
      </c>
      <c r="AC383" s="50">
        <v>1228354</v>
      </c>
      <c r="AE383" s="50" t="s">
        <v>4370</v>
      </c>
    </row>
    <row r="384" spans="1:31">
      <c r="A384" s="50" t="s">
        <v>4685</v>
      </c>
      <c r="B384" s="50" t="s">
        <v>1097</v>
      </c>
      <c r="C384" s="50" t="s">
        <v>4686</v>
      </c>
      <c r="D384" s="50" t="e">
        <f ca="1">Image("https://images-na.ssl-images-amazon.com/images/I/51Tx7-tL8UL.jpg;https://images-na.ssl-images-amazon.com/images/I/41b17TyvohL.jpg;https://images-na.ssl-images-amazon.com/images/I/51rmVeEVurL.jpg;https://images-na.ssl-images-amazon.com/images/I/61kvSiwUjTL"&amp;".jpg;https://images-na.ssl-images-amazon.com/images/I/614Hn5GqeDL.jpg;https://images-na.ssl-images-amazon.com/images/I/51Awi5MQP3L.jpg;https://images-na.ssl-images-amazon.com/images/I/41gs71Rhl6L.jpg")</f>
        <v>#NAME?</v>
      </c>
      <c r="E384" s="50" t="s">
        <v>20</v>
      </c>
      <c r="F384" s="50" t="s">
        <v>4687</v>
      </c>
      <c r="S384" s="50" t="s">
        <v>1217</v>
      </c>
      <c r="U384" s="50">
        <v>-0.36</v>
      </c>
      <c r="W384" s="50">
        <v>-0.36</v>
      </c>
      <c r="X384" s="50">
        <v>-0.36</v>
      </c>
      <c r="Y384" s="50">
        <v>-0.36</v>
      </c>
      <c r="AC384" s="50">
        <v>1228354</v>
      </c>
      <c r="AE384" s="50" t="s">
        <v>4370</v>
      </c>
    </row>
    <row r="385" spans="1:31">
      <c r="A385" s="50" t="s">
        <v>4688</v>
      </c>
      <c r="B385" s="50" t="s">
        <v>277</v>
      </c>
      <c r="C385" s="50" t="s">
        <v>4689</v>
      </c>
      <c r="D385" s="50" t="e">
        <f t="shared" ref="D385:D386" ca="1" si="5">Image("https://images-na.ssl-images-amazon.com/images/I/41aKdLZnWxL.jpg;https://images-na.ssl-images-amazon.com/images/I/41b6HMl130L.jpg;https://images-na.ssl-images-amazon.com/images/I/41KW8hFrpHS.jpg;https://images-na.ssl-images-amazon.com/images/I/41r4qdBIS0L"&amp;".jpg;https://images-na.ssl-images-amazon.com/images/I/41zpqNN3hAL.jpg;https://images-na.ssl-images-amazon.com/images/I/51AOa6oTe4L.jpg;https://images-na.ssl-images-amazon.com/images/I/41rYE9Xu+ML.jpg")</f>
        <v>#NAME?</v>
      </c>
      <c r="E385" s="50" t="s">
        <v>20</v>
      </c>
      <c r="F385" s="50" t="s">
        <v>279</v>
      </c>
      <c r="S385" s="50" t="s">
        <v>1217</v>
      </c>
      <c r="U385" s="50">
        <v>-2.4900000000000002</v>
      </c>
      <c r="W385" s="50">
        <v>-2.4900000000000002</v>
      </c>
      <c r="X385" s="50">
        <v>-2.4900000000000002</v>
      </c>
      <c r="Y385" s="50">
        <v>-2.4900000000000002</v>
      </c>
      <c r="AC385" s="50">
        <v>244859</v>
      </c>
      <c r="AE385" s="50" t="s">
        <v>4370</v>
      </c>
    </row>
    <row r="386" spans="1:31">
      <c r="A386" s="50" t="s">
        <v>4690</v>
      </c>
      <c r="B386" s="50" t="s">
        <v>1148</v>
      </c>
      <c r="C386" s="50" t="s">
        <v>4691</v>
      </c>
      <c r="D386" s="50" t="e">
        <f t="shared" ca="1" si="5"/>
        <v>#NAME?</v>
      </c>
      <c r="E386" s="50" t="s">
        <v>20</v>
      </c>
      <c r="F386" s="50" t="s">
        <v>4692</v>
      </c>
      <c r="S386" s="50" t="s">
        <v>1217</v>
      </c>
      <c r="U386" s="50">
        <v>-7.7</v>
      </c>
      <c r="W386" s="50">
        <v>-7.7</v>
      </c>
      <c r="X386" s="50">
        <v>-7.7</v>
      </c>
      <c r="Y386" s="50">
        <v>-7.7</v>
      </c>
      <c r="AC386" s="50">
        <v>244859</v>
      </c>
      <c r="AE386" s="50" t="s">
        <v>4370</v>
      </c>
    </row>
    <row r="387" spans="1:31">
      <c r="A387" s="50" t="s">
        <v>4693</v>
      </c>
      <c r="B387" s="50" t="s">
        <v>1177</v>
      </c>
      <c r="C387" s="50" t="s">
        <v>4694</v>
      </c>
      <c r="D387" s="50" t="e">
        <f ca="1">Image("https://images-na.ssl-images-amazon.com/images/I/418KqpfRhML.jpg;https://images-na.ssl-images-amazon.com/images/I/41b6HMl130L.jpg;https://images-na.ssl-images-amazon.com/images/I/41KW8hFrpHS.jpg;https://images-na.ssl-images-amazon.com/images/I/41r4qdBIS0L"&amp;".jpg;https://images-na.ssl-images-amazon.com/images/I/51AOa6oTe4L.jpg;https://images-na.ssl-images-amazon.com/images/I/41rYE9Xu+ML.jpg")</f>
        <v>#NAME?</v>
      </c>
      <c r="E387" s="50" t="s">
        <v>20</v>
      </c>
      <c r="F387" s="50" t="s">
        <v>4695</v>
      </c>
      <c r="S387" s="50" t="s">
        <v>1217</v>
      </c>
      <c r="U387" s="50">
        <v>-170.65</v>
      </c>
      <c r="W387" s="50">
        <v>-170.65</v>
      </c>
      <c r="X387" s="50">
        <v>-170.65</v>
      </c>
      <c r="Y387" s="50">
        <v>-170.65</v>
      </c>
      <c r="AC387" s="50">
        <v>244859</v>
      </c>
      <c r="AE387" s="50" t="s">
        <v>4370</v>
      </c>
    </row>
    <row r="388" spans="1:31">
      <c r="A388" s="50" t="s">
        <v>4696</v>
      </c>
      <c r="B388" s="50" t="s">
        <v>1100</v>
      </c>
      <c r="C388" s="50" t="s">
        <v>1101</v>
      </c>
      <c r="D388" s="50" t="e">
        <f ca="1">Image("https://images-na.ssl-images-amazon.com/images/I/31ubhXrlFqL.jpg;https://images-na.ssl-images-amazon.com/images/I/41RN3ZjEPPL.jpg;https://images-na.ssl-images-amazon.com/images/I/31-AjHltNjL.jpg;https://images-na.ssl-images-amazon.com/images/I/41KWkWg0ToL"&amp;".jpg;https://images-na.ssl-images-amazon.com/images/I/51d2WSVeFIL.jpg;https://images-na.ssl-images-amazon.com/images/I/413Yl74rKCL.jpg")</f>
        <v>#NAME?</v>
      </c>
      <c r="E388" s="50" t="s">
        <v>16</v>
      </c>
      <c r="F388" s="50" t="s">
        <v>1102</v>
      </c>
      <c r="S388" s="50" t="s">
        <v>1217</v>
      </c>
      <c r="U388" s="50">
        <v>-24.48</v>
      </c>
      <c r="W388" s="50">
        <v>-24.48</v>
      </c>
      <c r="X388" s="50">
        <v>-24.48</v>
      </c>
      <c r="Y388" s="50">
        <v>-24.48</v>
      </c>
      <c r="AC388" s="50">
        <v>5369633</v>
      </c>
      <c r="AE388" s="50" t="s">
        <v>4370</v>
      </c>
    </row>
    <row r="389" spans="1:31">
      <c r="A389" s="50" t="s">
        <v>4697</v>
      </c>
      <c r="B389" s="50" t="s">
        <v>857</v>
      </c>
      <c r="C389" s="50" t="s">
        <v>858</v>
      </c>
      <c r="D389" s="50" t="e">
        <f ca="1">Image("https://images-na.ssl-images-amazon.com/images/I/512YEeXfq3L.jpg;https://images-na.ssl-images-amazon.com/images/I/510fN+0J3zL.jpg;https://images-na.ssl-images-amazon.com/images/I/51lIlFamgTL.jpg;https://images-na.ssl-images-amazon.com/images/I/614XwNvMVzL"&amp;".jpg;https://images-na.ssl-images-amazon.com/images/I/51rCXwp9Z6S.jpg;https://images-na.ssl-images-amazon.com/images/I/51A0IYlEKpL.jpg;https://images-na.ssl-images-amazon.com/images/I/61+clyMAOCL.jpg")</f>
        <v>#NAME?</v>
      </c>
      <c r="E389" s="50" t="s">
        <v>20</v>
      </c>
      <c r="F389" s="50" t="s">
        <v>402</v>
      </c>
      <c r="S389" s="50" t="s">
        <v>1217</v>
      </c>
      <c r="U389" s="50">
        <v>-7.8</v>
      </c>
      <c r="W389" s="50">
        <v>-7.8</v>
      </c>
      <c r="X389" s="50">
        <v>-7.8</v>
      </c>
      <c r="Y389" s="50">
        <v>-7.8</v>
      </c>
      <c r="AC389" s="50">
        <v>367087</v>
      </c>
      <c r="AE389" s="50" t="s">
        <v>4370</v>
      </c>
    </row>
    <row r="390" spans="1:31">
      <c r="A390" s="50" t="s">
        <v>4698</v>
      </c>
      <c r="B390" s="50" t="s">
        <v>1036</v>
      </c>
      <c r="C390" s="50" t="s">
        <v>1037</v>
      </c>
      <c r="D390" s="50" t="e">
        <f ca="1">Image("https://images-na.ssl-images-amazon.com/images/I/41D3mwHTS9L.jpg;https://images-na.ssl-images-amazon.com/images/I/51x5JuEdkuL.jpg;https://images-na.ssl-images-amazon.com/images/I/51V6w8BW3SL.jpg;https://images-na.ssl-images-amazon.com/images/I/51yoasfGo4L"&amp;".jpg;https://images-na.ssl-images-amazon.com/images/I/51hAaUNhYDS.jpg;https://images-na.ssl-images-amazon.com/images/I/316lh1DCN-L.jpg;https://images-na.ssl-images-amazon.com/images/I/51AeeEt4ZRL.jpg")</f>
        <v>#NAME?</v>
      </c>
      <c r="E390" s="50" t="s">
        <v>20</v>
      </c>
      <c r="F390" s="50" t="s">
        <v>402</v>
      </c>
      <c r="S390" s="50" t="s">
        <v>1217</v>
      </c>
      <c r="U390" s="50">
        <v>-7.99</v>
      </c>
      <c r="W390" s="50">
        <v>-7.99</v>
      </c>
      <c r="X390" s="50">
        <v>-7.99</v>
      </c>
      <c r="Y390" s="50">
        <v>-7.99</v>
      </c>
      <c r="AC390" s="50">
        <v>367087</v>
      </c>
      <c r="AE390" s="50" t="s">
        <v>4370</v>
      </c>
    </row>
    <row r="391" spans="1:31">
      <c r="A391" s="50" t="s">
        <v>4699</v>
      </c>
      <c r="B391" s="50" t="s">
        <v>827</v>
      </c>
      <c r="C391" s="50" t="s">
        <v>828</v>
      </c>
      <c r="D391" s="50" t="e">
        <f ca="1">Image("https://images-na.ssl-images-amazon.com/images/I/41RCIvZdnWL.jpg;https://images-na.ssl-images-amazon.com/images/I/51ZKFcIOXNL.jpg;https://images-na.ssl-images-amazon.com/images/I/51NEP4pEOZL.jpg;https://images-na.ssl-images-amazon.com/images/I/51BewhNWlRL"&amp;".jpg;https://images-na.ssl-images-amazon.com/images/I/51zUYX+O7uS.jpg;https://images-na.ssl-images-amazon.com/images/I/51aA9WSp2cL.jpg;https://images-na.ssl-images-amazon.com/images/I/41BfUFRiKkL.jpg")</f>
        <v>#NAME?</v>
      </c>
      <c r="E391" s="50" t="s">
        <v>20</v>
      </c>
      <c r="F391" s="50" t="s">
        <v>402</v>
      </c>
      <c r="S391" s="50" t="s">
        <v>1217</v>
      </c>
      <c r="U391" s="50">
        <v>3.58</v>
      </c>
      <c r="W391" s="50">
        <v>3.58</v>
      </c>
      <c r="X391" s="50">
        <v>3.58</v>
      </c>
      <c r="Y391" s="50">
        <v>3.58</v>
      </c>
      <c r="AC391" s="50">
        <v>367087</v>
      </c>
      <c r="AE391" s="50" t="s">
        <v>4370</v>
      </c>
    </row>
    <row r="392" spans="1:31">
      <c r="A392" s="50" t="s">
        <v>4700</v>
      </c>
      <c r="B392" s="50" t="s">
        <v>94</v>
      </c>
      <c r="C392" s="50" t="s">
        <v>95</v>
      </c>
      <c r="D392" s="50" t="e">
        <f ca="1">Image("https://images-na.ssl-images-amazon.com/images/I/41XxtP53SHL.jpg;https://images-na.ssl-images-amazon.com/images/I/41N4J-gvEOL.jpg;https://images-na.ssl-images-amazon.com/images/I/51NKQK93QwL.jpg;https://images-na.ssl-images-amazon.com/images/I/51ldLWl+xPL"&amp;".jpg;https://images-na.ssl-images-amazon.com/images/I/51-OBHwTsFL.jpg;https://images-na.ssl-images-amazon.com/images/I/51UHDnxz5gL.jpg;https://images-na.ssl-images-amazon.com/images/I/41EQ8YE35tL.jpg")</f>
        <v>#NAME?</v>
      </c>
      <c r="E392" s="50" t="s">
        <v>20</v>
      </c>
      <c r="F392" s="50" t="s">
        <v>96</v>
      </c>
      <c r="S392" s="50" t="s">
        <v>1217</v>
      </c>
      <c r="U392" s="50">
        <v>-0.01</v>
      </c>
      <c r="W392" s="50">
        <v>-0.01</v>
      </c>
      <c r="X392" s="50">
        <v>-0.01</v>
      </c>
      <c r="Y392" s="50">
        <v>-0.01</v>
      </c>
      <c r="AC392" s="50">
        <v>54948</v>
      </c>
      <c r="AE392" s="50" t="s">
        <v>4370</v>
      </c>
    </row>
    <row r="393" spans="1:31">
      <c r="A393" s="50" t="s">
        <v>4533</v>
      </c>
      <c r="B393" s="50" t="s">
        <v>58</v>
      </c>
      <c r="C393" s="50" t="s">
        <v>4656</v>
      </c>
      <c r="D393" s="50" t="e">
        <f ca="1">Image("https://images-na.ssl-images-amazon.com/images/I/51291o7fzdL.jpg;https://images-na.ssl-images-amazon.com/images/I/51NDwofsY9L.jpg;https://images-na.ssl-images-amazon.com/images/I/41TM8PrZnJL.jpg;https://images-na.ssl-images-amazon.com/images/I/413TjTXnyIL"&amp;".jpg;https://images-na.ssl-images-amazon.com/images/I/51qBa1U+56L.jpg;https://images-na.ssl-images-amazon.com/images/I/51BfznTgQ3L.jpg;https://images-na.ssl-images-amazon.com/images/I/51lHkguOGLL.jpg")</f>
        <v>#NAME?</v>
      </c>
      <c r="E393" s="50" t="s">
        <v>20</v>
      </c>
      <c r="F393" s="50" t="s">
        <v>60</v>
      </c>
      <c r="S393" s="50" t="s">
        <v>1217</v>
      </c>
      <c r="U393" s="50">
        <v>-0.57999999999999996</v>
      </c>
      <c r="W393" s="50">
        <v>-0.57999999999999996</v>
      </c>
      <c r="X393" s="50">
        <v>-0.57999999999999996</v>
      </c>
      <c r="Y393" s="50">
        <v>-0.57999999999999996</v>
      </c>
      <c r="AC393" s="50">
        <v>125997</v>
      </c>
      <c r="AE393" s="50" t="s">
        <v>4370</v>
      </c>
    </row>
    <row r="394" spans="1:31">
      <c r="A394" s="50" t="s">
        <v>4701</v>
      </c>
      <c r="B394" s="50" t="s">
        <v>260</v>
      </c>
      <c r="C394" s="50" t="s">
        <v>4702</v>
      </c>
      <c r="D394" s="50" t="e">
        <f ca="1">Image("https://images-na.ssl-images-amazon.com/images/I/51aax+LXamL.jpg;https://images-na.ssl-images-amazon.com/images/I/51K8G8sxrGL.jpg;https://images-na.ssl-images-amazon.com/images/I/51Yxjdxj-RL.jpg;https://images-na.ssl-images-amazon.com/images/I/415XsatkMhL"&amp;".jpg;https://images-na.ssl-images-amazon.com/images/I/61UNLoniAoL.jpg;https://images-na.ssl-images-amazon.com/images/I/61XZSXM935L.jpg;https://images-na.ssl-images-amazon.com/images/I/618r+q6zVUL.jpg")</f>
        <v>#NAME?</v>
      </c>
      <c r="E394" s="50" t="s">
        <v>20</v>
      </c>
      <c r="F394" s="50" t="s">
        <v>262</v>
      </c>
      <c r="S394" s="50" t="s">
        <v>1217</v>
      </c>
      <c r="U394" s="50">
        <v>-0.11</v>
      </c>
      <c r="W394" s="50">
        <v>-0.11</v>
      </c>
      <c r="X394" s="50">
        <v>-0.11</v>
      </c>
      <c r="Y394" s="50">
        <v>-0.11</v>
      </c>
      <c r="AC394" s="50">
        <v>317291</v>
      </c>
      <c r="AE394" s="50" t="s">
        <v>4370</v>
      </c>
    </row>
    <row r="395" spans="1:31">
      <c r="A395" s="50" t="s">
        <v>4703</v>
      </c>
      <c r="B395" s="50" t="s">
        <v>1082</v>
      </c>
      <c r="C395" s="50" t="s">
        <v>1083</v>
      </c>
      <c r="D395" s="50" t="e">
        <f ca="1">Image("https://images-na.ssl-images-amazon.com/images/I/61pVVjulz0L.jpg;https://images-na.ssl-images-amazon.com/images/I/51U3ybid3rL.jpg;https://images-na.ssl-images-amazon.com/images/I/51HqyA3dZgL.jpg;https://images-na.ssl-images-amazon.com/images/I/51S1rkJCpiL"&amp;".jpg;https://images-na.ssl-images-amazon.com/images/I/41uAwGPKNyL.jpg;https://images-na.ssl-images-amazon.com/images/I/510C2HwWzeL.jpg;https://images-na.ssl-images-amazon.com/images/I/51FZCScSfvL.jpg")</f>
        <v>#NAME?</v>
      </c>
      <c r="E395" s="50" t="s">
        <v>20</v>
      </c>
      <c r="F395" s="50" t="s">
        <v>1084</v>
      </c>
      <c r="S395" s="50" t="s">
        <v>1217</v>
      </c>
      <c r="U395" s="50">
        <v>-16.649999999999999</v>
      </c>
      <c r="W395" s="50">
        <v>-16.649999999999999</v>
      </c>
      <c r="X395" s="50">
        <v>-16.649999999999999</v>
      </c>
      <c r="Y395" s="50">
        <v>-16.649999999999999</v>
      </c>
      <c r="AC395" s="50">
        <v>852549</v>
      </c>
      <c r="AE395" s="50" t="s">
        <v>4370</v>
      </c>
    </row>
    <row r="396" spans="1:31">
      <c r="A396" s="50" t="s">
        <v>4704</v>
      </c>
      <c r="B396" s="50" t="s">
        <v>1094</v>
      </c>
      <c r="C396" s="50" t="s">
        <v>1095</v>
      </c>
      <c r="D396" s="50" t="e">
        <f ca="1">Image("https://images-na.ssl-images-amazon.com/images/I/517oXAVssES.jpg;https://images-na.ssl-images-amazon.com/images/I/51RKehx+BoS.jpg;https://images-na.ssl-images-amazon.com/images/I/41kIBn3+6WL.jpg;https://images-na.ssl-images-amazon.com/images/I/51OR+a0OHOL"&amp;".jpg;https://images-na.ssl-images-amazon.com/images/I/51REfti4q2L.jpg;https://images-na.ssl-images-amazon.com/images/I/41ytCBq-tLL.jpg")</f>
        <v>#NAME?</v>
      </c>
      <c r="E396" s="50" t="s">
        <v>20</v>
      </c>
      <c r="F396" s="50" t="s">
        <v>1096</v>
      </c>
      <c r="H396" s="50">
        <v>2</v>
      </c>
      <c r="R396" s="50" t="s">
        <v>4357</v>
      </c>
      <c r="S396" s="50" t="s">
        <v>1217</v>
      </c>
      <c r="T396" s="50">
        <v>-21.82</v>
      </c>
      <c r="U396" s="50">
        <v>-0.02</v>
      </c>
      <c r="W396" s="50">
        <v>-21.84</v>
      </c>
      <c r="X396" s="50">
        <v>-21.84</v>
      </c>
      <c r="Y396" s="50">
        <v>-21.84</v>
      </c>
      <c r="AC396" s="50">
        <v>90695</v>
      </c>
      <c r="AE396" s="50" t="s">
        <v>4370</v>
      </c>
    </row>
    <row r="397" spans="1:31">
      <c r="A397" s="50" t="s">
        <v>4705</v>
      </c>
      <c r="B397" s="50" t="s">
        <v>1049</v>
      </c>
      <c r="C397" s="50" t="s">
        <v>1050</v>
      </c>
      <c r="D397" s="50" t="e">
        <f ca="1">Image("https://images-na.ssl-images-amazon.com/images/I/51fgCcYpieS.jpg;https://images-na.ssl-images-amazon.com/images/I/51NWpLnHXQS.jpg;https://images-na.ssl-images-amazon.com/images/I/51sNT+8cZGL.jpg;https://images-na.ssl-images-amazon.com/images/I/51Ysj1DLqoL"&amp;".jpg;https://images-na.ssl-images-amazon.com/images/I/51IX9ZvDzJL.jpg;https://images-na.ssl-images-amazon.com/images/I/513oMS3MI-L.jpg;https://images-na.ssl-images-amazon.com/images/I/514ljmBXrlL.jpg")</f>
        <v>#NAME?</v>
      </c>
      <c r="E397" s="50" t="s">
        <v>20</v>
      </c>
      <c r="F397" s="50" t="s">
        <v>1051</v>
      </c>
      <c r="H397" s="50">
        <v>1</v>
      </c>
      <c r="R397" s="50" t="s">
        <v>4357</v>
      </c>
      <c r="S397" s="50" t="s">
        <v>1217</v>
      </c>
      <c r="T397" s="50">
        <v>-10.91</v>
      </c>
      <c r="W397" s="50">
        <v>-10.91</v>
      </c>
      <c r="X397" s="50">
        <v>-10.91</v>
      </c>
      <c r="Y397" s="50">
        <v>-10.91</v>
      </c>
      <c r="AC397" s="50">
        <v>90695</v>
      </c>
      <c r="AE397" s="50" t="s">
        <v>4370</v>
      </c>
    </row>
    <row r="398" spans="1:31">
      <c r="A398" s="50" t="s">
        <v>4706</v>
      </c>
      <c r="B398" s="50" t="s">
        <v>154</v>
      </c>
      <c r="C398" s="50" t="s">
        <v>4707</v>
      </c>
      <c r="D398" s="50" t="e">
        <f ca="1">Image("https://images-na.ssl-images-amazon.com/images/I/418r1Ul4f6S.jpg;https://images-na.ssl-images-amazon.com/images/I/51+FjnQX7mS.jpg;https://images-na.ssl-images-amazon.com/images/I/41ldPjktwDS.jpg;https://images-na.ssl-images-amazon.com/images/I/61vB7MZUz3S"&amp;".jpg;https://images-na.ssl-images-amazon.com/images/I/314g2uvo+QS.jpg;https://images-na.ssl-images-amazon.com/images/I/41poqv9TyTL.jpg")</f>
        <v>#NAME?</v>
      </c>
      <c r="E398" s="50" t="s">
        <v>20</v>
      </c>
      <c r="F398" s="50" t="s">
        <v>156</v>
      </c>
      <c r="S398" s="50" t="s">
        <v>1217</v>
      </c>
      <c r="U398" s="50">
        <v>-0.21</v>
      </c>
      <c r="W398" s="50">
        <v>-0.21</v>
      </c>
      <c r="X398" s="50">
        <v>-0.21</v>
      </c>
      <c r="Y398" s="50">
        <v>-0.21</v>
      </c>
      <c r="AE398" s="50" t="s">
        <v>4370</v>
      </c>
    </row>
    <row r="399" spans="1:31">
      <c r="A399" s="50" t="s">
        <v>4708</v>
      </c>
      <c r="B399" s="50" t="s">
        <v>100</v>
      </c>
      <c r="C399" s="50" t="s">
        <v>101</v>
      </c>
      <c r="D399" s="50" t="e">
        <f ca="1">Image("https://images-na.ssl-images-amazon.com/images/I/31eXRUjBMbL.jpg;https://images-na.ssl-images-amazon.com/images/I/216MqaMqpcL.jpg;https://images-na.ssl-images-amazon.com/images/I/513qXfkwQHL.jpg;https://images-na.ssl-images-amazon.com/images/I/51oOWnpHliL"&amp;".jpg;https://images-na.ssl-images-amazon.com/images/I/51IOJ0m18nL.jpg;https://images-na.ssl-images-amazon.com/images/I/51o4+P8zXtL.jpg;https://images-na.ssl-images-amazon.com/images/I/51rSrc9q7RL.jpg;https://images-na.ssl-images-amazon.com/images/I/6184X-"&amp;"sipfL.jpg")</f>
        <v>#NAME?</v>
      </c>
      <c r="E399" s="50" t="s">
        <v>20</v>
      </c>
      <c r="F399" s="50" t="s">
        <v>102</v>
      </c>
      <c r="S399" s="50" t="s">
        <v>1217</v>
      </c>
      <c r="U399" s="50">
        <v>-7.99</v>
      </c>
      <c r="W399" s="50">
        <v>-7.99</v>
      </c>
      <c r="X399" s="50">
        <v>-7.99</v>
      </c>
      <c r="Y399" s="50">
        <v>-7.99</v>
      </c>
      <c r="AC399" s="50">
        <v>54948</v>
      </c>
      <c r="AE399" s="50" t="s">
        <v>4370</v>
      </c>
    </row>
    <row r="400" spans="1:31">
      <c r="A400" s="50" t="s">
        <v>4709</v>
      </c>
      <c r="B400" s="50" t="s">
        <v>992</v>
      </c>
      <c r="C400" s="50" t="s">
        <v>993</v>
      </c>
      <c r="D400" s="50" t="e">
        <f ca="1">Image("https://images-na.ssl-images-amazon.com/images/I/41A9euI2RjS.jpg;https://images-na.ssl-images-amazon.com/images/I/51glowYipBS.jpg;https://images-na.ssl-images-amazon.com/images/I/51E5Uuz5PWS.jpg;https://images-na.ssl-images-amazon.com/images/I/61RqWXbFhIS"&amp;".jpg;https://images-na.ssl-images-amazon.com/images/I/512s9XQoPyS.jpg;https://images-na.ssl-images-amazon.com/images/I/51DJz7A05OS.jpg;https://images-na.ssl-images-amazon.com/images/I/51SNQncY9KS.jpg")</f>
        <v>#NAME?</v>
      </c>
      <c r="E400" s="50" t="s">
        <v>20</v>
      </c>
      <c r="F400" s="50" t="s">
        <v>994</v>
      </c>
      <c r="S400" s="50" t="s">
        <v>1217</v>
      </c>
      <c r="U400" s="50">
        <v>-3.12</v>
      </c>
      <c r="W400" s="50">
        <v>-3.12</v>
      </c>
      <c r="X400" s="50">
        <v>-3.12</v>
      </c>
      <c r="Y400" s="50">
        <v>-3.12</v>
      </c>
      <c r="AC400" s="50">
        <v>367087</v>
      </c>
      <c r="AE400" s="50" t="s">
        <v>4370</v>
      </c>
    </row>
    <row r="401" spans="1:31">
      <c r="A401" s="50" t="s">
        <v>4710</v>
      </c>
      <c r="B401" s="50" t="s">
        <v>1001</v>
      </c>
      <c r="C401" s="50" t="s">
        <v>1002</v>
      </c>
      <c r="D401" s="50" t="e">
        <f ca="1">Image("https://images-na.ssl-images-amazon.com/images/I/41iV5oFBPZS.jpg;https://images-na.ssl-images-amazon.com/images/I/61IUloso2US.jpg;https://images-na.ssl-images-amazon.com/images/I/41imtaig3AS.jpg;https://images-na.ssl-images-amazon.com/images/I/51AFBVxKxSS"&amp;".jpg;https://images-na.ssl-images-amazon.com/images/I/511H5osZZMS.jpg;https://images-na.ssl-images-amazon.com/images/I/51C5vn2s4aS.jpg")</f>
        <v>#NAME?</v>
      </c>
      <c r="E401" s="50" t="s">
        <v>20</v>
      </c>
      <c r="F401" s="50" t="s">
        <v>1003</v>
      </c>
      <c r="S401" s="50" t="s">
        <v>1217</v>
      </c>
      <c r="U401" s="50">
        <v>-3.94</v>
      </c>
      <c r="W401" s="50">
        <v>-3.94</v>
      </c>
      <c r="X401" s="50">
        <v>-3.94</v>
      </c>
      <c r="Y401" s="50">
        <v>-3.94</v>
      </c>
      <c r="AE401" s="50" t="s">
        <v>4370</v>
      </c>
    </row>
    <row r="402" spans="1:31">
      <c r="A402" s="50" t="s">
        <v>4711</v>
      </c>
      <c r="B402" s="50" t="s">
        <v>749</v>
      </c>
      <c r="C402" s="50" t="s">
        <v>750</v>
      </c>
      <c r="D402" s="50" t="e">
        <f t="shared" ref="D402:D403" ca="1" si="6">Image("https://images-na.ssl-images-amazon.com/images/I/31jeeSfq5CL.jpg;https://images-na.ssl-images-amazon.com/images/I/21IaHHNkhEL.jpg;https://images-na.ssl-images-amazon.com/images/I/31RgXkMJk3L.jpg;https://images-na.ssl-images-amazon.com/images/I/51cia6K+mhL"&amp;".jpg;https://images-na.ssl-images-amazon.com/images/I/51kew2nJz2L.jpg;https://images-na.ssl-images-amazon.com/images/I/514qDsH-8FL.jpg")</f>
        <v>#NAME?</v>
      </c>
      <c r="E402" s="50" t="s">
        <v>20</v>
      </c>
      <c r="F402" s="50" t="s">
        <v>751</v>
      </c>
      <c r="U402" s="50">
        <v>-0.8</v>
      </c>
      <c r="W402" s="50">
        <v>-0.8</v>
      </c>
      <c r="X402" s="50">
        <v>-0.8</v>
      </c>
      <c r="Y402" s="50">
        <v>-0.8</v>
      </c>
      <c r="AC402" s="50">
        <v>54948</v>
      </c>
      <c r="AE402" s="50" t="s">
        <v>4370</v>
      </c>
    </row>
    <row r="403" spans="1:31">
      <c r="A403" s="50" t="s">
        <v>4712</v>
      </c>
      <c r="B403" s="50" t="s">
        <v>749</v>
      </c>
      <c r="C403" s="50" t="s">
        <v>4713</v>
      </c>
      <c r="D403" s="50" t="e">
        <f t="shared" ca="1" si="6"/>
        <v>#NAME?</v>
      </c>
      <c r="E403" s="50" t="s">
        <v>20</v>
      </c>
      <c r="F403" s="50" t="s">
        <v>751</v>
      </c>
      <c r="S403" s="50" t="s">
        <v>1217</v>
      </c>
      <c r="U403" s="50">
        <v>-0.01</v>
      </c>
      <c r="W403" s="50">
        <v>-0.01</v>
      </c>
      <c r="X403" s="50">
        <v>-0.01</v>
      </c>
      <c r="Y403" s="50">
        <v>-0.01</v>
      </c>
      <c r="AC403" s="50">
        <v>54948</v>
      </c>
      <c r="AE403" s="50" t="s">
        <v>4370</v>
      </c>
    </row>
    <row r="404" spans="1:31">
      <c r="A404" s="50" t="s">
        <v>4414</v>
      </c>
      <c r="B404" s="50" t="s">
        <v>539</v>
      </c>
      <c r="C404" s="50" t="s">
        <v>4714</v>
      </c>
      <c r="D404" s="50" t="e">
        <f ca="1">Image("https://images-na.ssl-images-amazon.com/images/I/317r31q1MzL.jpg;https://images-na.ssl-images-amazon.com/images/I/31Mo+VL8Y0L.jpg;https://images-na.ssl-images-amazon.com/images/I/3152JEeuqnL.jpg;https://images-na.ssl-images-amazon.com/images/I/41WqCjB8hyL"&amp;".jpg;https://images-na.ssl-images-amazon.com/images/I/41NbMPA08qL.jpg;https://images-na.ssl-images-amazon.com/images/I/41TL6egbrJL.jpg")</f>
        <v>#NAME?</v>
      </c>
      <c r="E404" s="50" t="s">
        <v>20</v>
      </c>
      <c r="F404" s="50" t="s">
        <v>541</v>
      </c>
      <c r="H404" s="50">
        <v>1</v>
      </c>
      <c r="R404" s="50" t="s">
        <v>4357</v>
      </c>
      <c r="S404" s="50" t="s">
        <v>1217</v>
      </c>
      <c r="T404" s="50">
        <v>-6.54</v>
      </c>
      <c r="U404" s="50">
        <v>-0.55000000000000004</v>
      </c>
      <c r="W404" s="50">
        <v>-7.09</v>
      </c>
      <c r="X404" s="50">
        <v>-7.09</v>
      </c>
      <c r="Y404" s="50">
        <v>-7.09</v>
      </c>
      <c r="AC404" s="50">
        <v>189132</v>
      </c>
      <c r="AE404" s="50" t="s">
        <v>4370</v>
      </c>
    </row>
    <row r="405" spans="1:31">
      <c r="A405" s="50" t="s">
        <v>4715</v>
      </c>
      <c r="B405" s="50" t="s">
        <v>1091</v>
      </c>
      <c r="C405" s="50" t="s">
        <v>1092</v>
      </c>
      <c r="D405" s="50" t="e">
        <f ca="1">Image("https://images-na.ssl-images-amazon.com/images/I/31EATR0giVL.jpg;https://images-na.ssl-images-amazon.com/images/I/21BkWKFMAcL.jpg;https://images-na.ssl-images-amazon.com/images/I/41865lPiNRL.jpg;https://images-na.ssl-images-amazon.com/images/I/31iALLa3UrL"&amp;".jpg;https://images-na.ssl-images-amazon.com/images/I/410bSO3RwJL.jpg")</f>
        <v>#NAME?</v>
      </c>
      <c r="E405" s="50" t="s">
        <v>20</v>
      </c>
      <c r="F405" s="50" t="s">
        <v>1093</v>
      </c>
      <c r="K405" s="50">
        <v>-0.96</v>
      </c>
      <c r="L405" s="50">
        <v>-0.96</v>
      </c>
      <c r="S405" s="50" t="s">
        <v>1217</v>
      </c>
      <c r="U405" s="50">
        <v>-17.53</v>
      </c>
      <c r="W405" s="50">
        <v>-18.489999999999998</v>
      </c>
      <c r="X405" s="50">
        <v>-18.489999999999998</v>
      </c>
      <c r="Y405" s="50">
        <v>-18.489999999999998</v>
      </c>
      <c r="AC405" s="50">
        <v>1681285</v>
      </c>
      <c r="AE405" s="50" t="s">
        <v>4370</v>
      </c>
    </row>
    <row r="406" spans="1:31">
      <c r="A406" s="50" t="s">
        <v>4716</v>
      </c>
      <c r="B406" s="50" t="s">
        <v>1056</v>
      </c>
      <c r="C406" s="50" t="s">
        <v>1057</v>
      </c>
      <c r="D406" s="50" t="e">
        <f ca="1">Image("https://images-na.ssl-images-amazon.com/images/I/41dTtRJIF6L.jpg;https://images-na.ssl-images-amazon.com/images/I/31YsLSXtuGL.jpg;https://images-na.ssl-images-amazon.com/images/I/41CdUa0ttmL.jpg;https://images-na.ssl-images-amazon.com/images/I/51rOP7i9z1L"&amp;".jpg;https://images-na.ssl-images-amazon.com/images/I/41qWXzItvuL.jpg;https://images-na.ssl-images-amazon.com/images/I/41FSzNK0IUL.jpg")</f>
        <v>#NAME?</v>
      </c>
      <c r="E406" s="50" t="s">
        <v>20</v>
      </c>
      <c r="F406" s="50" t="s">
        <v>1058</v>
      </c>
      <c r="K406" s="50">
        <v>-3.39</v>
      </c>
      <c r="L406" s="50">
        <v>-3.39</v>
      </c>
      <c r="S406" s="50" t="s">
        <v>1217</v>
      </c>
      <c r="U406" s="50">
        <v>-8.16</v>
      </c>
      <c r="W406" s="50">
        <v>-11.55</v>
      </c>
      <c r="X406" s="50">
        <v>-11.55</v>
      </c>
      <c r="Y406" s="50">
        <v>-11.55</v>
      </c>
      <c r="AC406" s="50">
        <v>1681285</v>
      </c>
      <c r="AE406" s="50" t="s">
        <v>4370</v>
      </c>
    </row>
    <row r="407" spans="1:31">
      <c r="A407" s="50" t="s">
        <v>4717</v>
      </c>
      <c r="B407" s="50" t="s">
        <v>1085</v>
      </c>
      <c r="C407" s="50" t="s">
        <v>1086</v>
      </c>
      <c r="D407" s="50" t="e">
        <f ca="1">Image("https://images-na.ssl-images-amazon.com/images/I/31nbKM5TObL.jpg;https://images-na.ssl-images-amazon.com/images/I/21OzfKnIc7L.jpg;https://images-na.ssl-images-amazon.com/images/I/31DTU5ORlaL.jpg;https://images-na.ssl-images-amazon.com/images/I/41JZabUr+zL"&amp;".jpg;https://images-na.ssl-images-amazon.com/images/I/41W6XcYn-iL.jpg;https://images-na.ssl-images-amazon.com/images/I/41LKow+DwZL.jpg")</f>
        <v>#NAME?</v>
      </c>
      <c r="E407" s="50" t="s">
        <v>20</v>
      </c>
      <c r="F407" s="50" t="s">
        <v>1087</v>
      </c>
      <c r="K407" s="50">
        <v>-3.03</v>
      </c>
      <c r="L407" s="50">
        <v>-3.03</v>
      </c>
      <c r="S407" s="50" t="s">
        <v>1217</v>
      </c>
      <c r="U407" s="50">
        <v>-13.62</v>
      </c>
      <c r="W407" s="50">
        <v>-16.649999999999999</v>
      </c>
      <c r="X407" s="50">
        <v>-16.649999999999999</v>
      </c>
      <c r="Y407" s="50">
        <v>-16.649999999999999</v>
      </c>
      <c r="AC407" s="50">
        <v>1681285</v>
      </c>
      <c r="AE407" s="50" t="s">
        <v>4370</v>
      </c>
    </row>
    <row r="408" spans="1:31">
      <c r="A408" s="50" t="s">
        <v>4718</v>
      </c>
      <c r="B408" s="50" t="s">
        <v>1076</v>
      </c>
      <c r="C408" s="50" t="s">
        <v>1077</v>
      </c>
      <c r="D408" s="50" t="e">
        <f ca="1">Image("https://images-na.ssl-images-amazon.com/images/I/410MOgmv0PL.jpg;https://images-na.ssl-images-amazon.com/images/I/31dDhqe9+oL.jpg;https://images-na.ssl-images-amazon.com/images/I/410MOgmv0PL.jpg;https://images-na.ssl-images-amazon.com/images/I/513JxHAnj5L"&amp;".jpg;https://images-na.ssl-images-amazon.com/images/I/41oPSdEahKL.jpg")</f>
        <v>#NAME?</v>
      </c>
      <c r="E408" s="50" t="s">
        <v>20</v>
      </c>
      <c r="F408" s="50" t="s">
        <v>1078</v>
      </c>
      <c r="K408" s="50">
        <v>-0.57999999999999996</v>
      </c>
      <c r="L408" s="50">
        <v>-0.57999999999999996</v>
      </c>
      <c r="S408" s="50" t="s">
        <v>1217</v>
      </c>
      <c r="U408" s="50">
        <v>-15.97</v>
      </c>
      <c r="W408" s="50">
        <v>-16.55</v>
      </c>
      <c r="X408" s="50">
        <v>-16.55</v>
      </c>
      <c r="Y408" s="50">
        <v>-16.55</v>
      </c>
      <c r="AC408" s="50">
        <v>1681285</v>
      </c>
      <c r="AE408" s="50" t="s">
        <v>4370</v>
      </c>
    </row>
    <row r="409" spans="1:31">
      <c r="A409" s="50" t="s">
        <v>4719</v>
      </c>
      <c r="B409" s="50" t="s">
        <v>1088</v>
      </c>
      <c r="C409" s="50" t="s">
        <v>1089</v>
      </c>
      <c r="D409" s="50" t="e">
        <f ca="1">Image("https://images-na.ssl-images-amazon.com/images/I/51fMoAEQLpL.jpg;https://images-na.ssl-images-amazon.com/images/I/31bVl17sFLL.jpg;https://images-na.ssl-images-amazon.com/images/I/417NufvpbFL.jpg;https://images-na.ssl-images-amazon.com/images/I/41nTgDjIpmL"&amp;".jpg;https://images-na.ssl-images-amazon.com/images/I/41hW+5L9E-L.jpg;https://images-na.ssl-images-amazon.com/images/I/411b+u93KJL.jpg")</f>
        <v>#NAME?</v>
      </c>
      <c r="E409" s="50" t="s">
        <v>20</v>
      </c>
      <c r="F409" s="50" t="s">
        <v>1090</v>
      </c>
      <c r="K409" s="50">
        <v>-1.89</v>
      </c>
      <c r="L409" s="50">
        <v>-1.89</v>
      </c>
      <c r="S409" s="50" t="s">
        <v>1217</v>
      </c>
      <c r="U409" s="50">
        <v>-16.350000000000001</v>
      </c>
      <c r="W409" s="50">
        <v>-18.239999999999998</v>
      </c>
      <c r="X409" s="50">
        <v>-18.239999999999998</v>
      </c>
      <c r="Y409" s="50">
        <v>-18.239999999999998</v>
      </c>
      <c r="AC409" s="50">
        <v>1681285</v>
      </c>
      <c r="AE409" s="50" t="s">
        <v>4370</v>
      </c>
    </row>
    <row r="410" spans="1:31">
      <c r="A410" s="50" t="s">
        <v>4720</v>
      </c>
      <c r="B410" s="50" t="s">
        <v>1062</v>
      </c>
      <c r="C410" s="50" t="s">
        <v>1063</v>
      </c>
      <c r="D410" s="50" t="e">
        <f ca="1">Image("https://images-na.ssl-images-amazon.com/images/I/41oSmneZ2QL.jpg;https://images-na.ssl-images-amazon.com/images/I/41DMpDBqpGL.jpg;https://images-na.ssl-images-amazon.com/images/I/41e2eFmNsLL.jpg;https://images-na.ssl-images-amazon.com/images/I/51q19cVFVVL"&amp;".jpg;https://images-na.ssl-images-amazon.com/images/I/51wSn51h3rL.jpg;https://images-na.ssl-images-amazon.com/images/I/61W2eRJqGxL.jpg;https://images-na.ssl-images-amazon.com/images/I/41EVjGg9RvL.jpg")</f>
        <v>#NAME?</v>
      </c>
      <c r="E410" s="50" t="s">
        <v>20</v>
      </c>
      <c r="F410" s="50" t="s">
        <v>1064</v>
      </c>
      <c r="K410" s="50">
        <v>-3.46</v>
      </c>
      <c r="L410" s="50">
        <v>-3.46</v>
      </c>
      <c r="S410" s="50" t="s">
        <v>1217</v>
      </c>
      <c r="U410" s="50">
        <v>-9.2100000000000009</v>
      </c>
      <c r="W410" s="50">
        <v>-12.67</v>
      </c>
      <c r="X410" s="50">
        <v>-12.67</v>
      </c>
      <c r="Y410" s="50">
        <v>-12.67</v>
      </c>
      <c r="AC410" s="50">
        <v>1428070</v>
      </c>
      <c r="AE410" s="50" t="s">
        <v>4370</v>
      </c>
    </row>
    <row r="411" spans="1:31">
      <c r="A411" s="50" t="s">
        <v>4721</v>
      </c>
      <c r="B411" s="50" t="s">
        <v>1073</v>
      </c>
      <c r="C411" s="50" t="s">
        <v>1074</v>
      </c>
      <c r="D411" s="50" t="e">
        <f ca="1">Image("https://images-na.ssl-images-amazon.com/images/I/41KHajN38KL.jpg;https://images-na.ssl-images-amazon.com/images/I/418iNPC-9VL.jpg;https://images-na.ssl-images-amazon.com/images/I/41e2eFmNsLL.jpg;https://images-na.ssl-images-amazon.com/images/I/51q19cVFVVL"&amp;".jpg;https://images-na.ssl-images-amazon.com/images/I/517wZkJHaUL.jpg;https://images-na.ssl-images-amazon.com/images/I/61-4GsdzAEL.jpg;https://images-na.ssl-images-amazon.com/images/I/41EVjGg9RvL.jpg")</f>
        <v>#NAME?</v>
      </c>
      <c r="E411" s="50" t="s">
        <v>20</v>
      </c>
      <c r="F411" s="50" t="s">
        <v>1075</v>
      </c>
      <c r="S411" s="50" t="s">
        <v>1217</v>
      </c>
      <c r="U411" s="50">
        <v>-15.04</v>
      </c>
      <c r="W411" s="50">
        <v>-15.04</v>
      </c>
      <c r="X411" s="50">
        <v>-15.04</v>
      </c>
      <c r="Y411" s="50">
        <v>-15.04</v>
      </c>
      <c r="AC411" s="50">
        <v>1428070</v>
      </c>
      <c r="AE411" s="50" t="s">
        <v>4370</v>
      </c>
    </row>
    <row r="412" spans="1:31">
      <c r="A412" s="50" t="s">
        <v>4722</v>
      </c>
      <c r="B412" s="50" t="s">
        <v>938</v>
      </c>
      <c r="C412" s="50" t="s">
        <v>939</v>
      </c>
      <c r="D412" s="50" t="e">
        <f ca="1">Image("https://images-na.ssl-images-amazon.com/images/I/41S8VDdJlwL.jpg;https://images-na.ssl-images-amazon.com/images/I/41ktXRUM9wL.jpg;https://images-na.ssl-images-amazon.com/images/I/41e2eFmNsLL.jpg;https://images-na.ssl-images-amazon.com/images/I/51q19cVFVVL"&amp;".jpg;https://images-na.ssl-images-amazon.com/images/I/510hRQ0Gh1L.jpg;https://images-na.ssl-images-amazon.com/images/I/61L3RajjVXL.jpg;https://images-na.ssl-images-amazon.com/images/I/41EVjGg9RvL.jpg")</f>
        <v>#NAME?</v>
      </c>
      <c r="E412" s="50" t="s">
        <v>20</v>
      </c>
      <c r="F412" s="50" t="s">
        <v>940</v>
      </c>
      <c r="S412" s="50" t="s">
        <v>1217</v>
      </c>
      <c r="U412" s="50">
        <v>-0.18</v>
      </c>
      <c r="W412" s="50">
        <v>-0.18</v>
      </c>
      <c r="X412" s="50">
        <v>-0.18</v>
      </c>
      <c r="Y412" s="50">
        <v>-0.18</v>
      </c>
      <c r="AC412" s="50">
        <v>1428070</v>
      </c>
      <c r="AE412" s="50" t="s">
        <v>4370</v>
      </c>
    </row>
    <row r="413" spans="1:31">
      <c r="A413" s="50" t="s">
        <v>4723</v>
      </c>
      <c r="B413" s="50" t="s">
        <v>1139</v>
      </c>
      <c r="C413" s="50" t="s">
        <v>1140</v>
      </c>
      <c r="D413" s="50" t="e">
        <f ca="1">Image("https://images-na.ssl-images-amazon.com/images/I/41C-mkpk06L.jpg;https://images-na.ssl-images-amazon.com/images/I/51o7MtToPgL.jpg;https://images-na.ssl-images-amazon.com/images/I/5129D9H0scL.jpg;https://images-na.ssl-images-amazon.com/images/I/51FTtCrZfzL"&amp;".jpg;https://images-na.ssl-images-amazon.com/images/I/51cFT+6VW4L.jpg;https://images-na.ssl-images-amazon.com/images/I/619qo4AYLFL.jpg")</f>
        <v>#NAME?</v>
      </c>
      <c r="E413" s="50" t="s">
        <v>20</v>
      </c>
      <c r="F413" s="50" t="s">
        <v>1141</v>
      </c>
      <c r="S413" s="50" t="s">
        <v>1217</v>
      </c>
      <c r="U413" s="50">
        <v>-84.74</v>
      </c>
      <c r="W413" s="50">
        <v>-84.74</v>
      </c>
      <c r="X413" s="50">
        <v>-84.74</v>
      </c>
      <c r="Y413" s="50">
        <v>-84.74</v>
      </c>
      <c r="AC413" s="50">
        <v>4996135</v>
      </c>
      <c r="AE413" s="50" t="s">
        <v>4370</v>
      </c>
    </row>
    <row r="414" spans="1:31">
      <c r="A414" s="50" t="s">
        <v>4724</v>
      </c>
      <c r="B414" s="50" t="s">
        <v>1130</v>
      </c>
      <c r="C414" s="50" t="s">
        <v>1131</v>
      </c>
      <c r="D414" s="50" t="e">
        <f ca="1">Image("https://images-na.ssl-images-amazon.com/images/I/41J+QRPXAwL.jpg;https://images-na.ssl-images-amazon.com/images/I/4166ZMubJbL.jpg;https://images-na.ssl-images-amazon.com/images/I/618l49+NIlL.jpg;https://images-na.ssl-images-amazon.com/images/I/61U23mYLj8L"&amp;".jpg;https://images-na.ssl-images-amazon.com/images/I/51-UnarTABL.jpg;https://images-na.ssl-images-amazon.com/images/I/51mesxZgqHL.jpg")</f>
        <v>#NAME?</v>
      </c>
      <c r="E414" s="50" t="s">
        <v>20</v>
      </c>
      <c r="F414" s="50" t="s">
        <v>1132</v>
      </c>
      <c r="S414" s="50" t="s">
        <v>1217</v>
      </c>
      <c r="U414" s="50">
        <v>-73.739999999999995</v>
      </c>
      <c r="W414" s="50">
        <v>-73.739999999999995</v>
      </c>
      <c r="X414" s="50">
        <v>-73.739999999999995</v>
      </c>
      <c r="Y414" s="50">
        <v>-73.739999999999995</v>
      </c>
      <c r="AE414" s="50" t="s">
        <v>4370</v>
      </c>
    </row>
    <row r="415" spans="1:31">
      <c r="A415" s="50" t="s">
        <v>4725</v>
      </c>
      <c r="B415" s="50" t="s">
        <v>1151</v>
      </c>
      <c r="C415" s="50" t="s">
        <v>1152</v>
      </c>
      <c r="D415" s="50" t="e">
        <f ca="1">Image("https://images-na.ssl-images-amazon.com/images/I/510gXJCB7XL.jpg;https://images-na.ssl-images-amazon.com/images/I/41rNStcwXPL.jpg;https://images-na.ssl-images-amazon.com/images/I/51kDueAduqL.jpg;https://images-na.ssl-images-amazon.com/images/I/51-+fxmfG+L"&amp;".jpg;https://images-na.ssl-images-amazon.com/images/I/519cmIo7RuL.jpg;https://images-na.ssl-images-amazon.com/images/I/51O+AwLfSpL.jpg")</f>
        <v>#NAME?</v>
      </c>
      <c r="E415" s="50" t="s">
        <v>20</v>
      </c>
      <c r="F415" s="50" t="s">
        <v>1153</v>
      </c>
      <c r="S415" s="50" t="s">
        <v>1217</v>
      </c>
      <c r="U415" s="50">
        <v>-99.61</v>
      </c>
      <c r="W415" s="50">
        <v>-99.61</v>
      </c>
      <c r="X415" s="50">
        <v>-99.61</v>
      </c>
      <c r="Y415" s="50">
        <v>-99.61</v>
      </c>
      <c r="AE415" s="50" t="s">
        <v>4370</v>
      </c>
    </row>
    <row r="416" spans="1:31">
      <c r="A416" s="50" t="s">
        <v>4726</v>
      </c>
      <c r="B416" s="50" t="s">
        <v>1145</v>
      </c>
      <c r="C416" s="50" t="s">
        <v>1146</v>
      </c>
      <c r="D416" s="50" t="e">
        <f ca="1">Image("https://images-na.ssl-images-amazon.com/images/I/413ifyMos2L.jpg;https://images-na.ssl-images-amazon.com/images/I/5154YeD11kL.jpg;https://images-na.ssl-images-amazon.com/images/I/51m3Wj71zNL.jpg;https://images-na.ssl-images-amazon.com/images/I/51XyHUfZ9HL"&amp;".jpg;https://images-na.ssl-images-amazon.com/images/I/51xk6KUoIZL.jpg;https://images-na.ssl-images-amazon.com/images/I/51RKr7ZL-wL.jpg")</f>
        <v>#NAME?</v>
      </c>
      <c r="E416" s="50" t="s">
        <v>20</v>
      </c>
      <c r="F416" s="50" t="s">
        <v>1147</v>
      </c>
      <c r="S416" s="50" t="s">
        <v>1217</v>
      </c>
      <c r="U416" s="50">
        <v>-97.31</v>
      </c>
      <c r="W416" s="50">
        <v>-97.31</v>
      </c>
      <c r="X416" s="50">
        <v>-97.31</v>
      </c>
      <c r="Y416" s="50">
        <v>-97.31</v>
      </c>
      <c r="AC416" s="50">
        <v>4996135</v>
      </c>
      <c r="AE416" s="50" t="s">
        <v>4370</v>
      </c>
    </row>
    <row r="417" spans="1:31">
      <c r="A417" s="50" t="s">
        <v>4727</v>
      </c>
      <c r="B417" s="50" t="s">
        <v>1163</v>
      </c>
      <c r="C417" s="50" t="s">
        <v>1164</v>
      </c>
      <c r="D417" s="50" t="e">
        <f ca="1">Image("https://images-na.ssl-images-amazon.com/images/I/51bsbn3QyCL.jpg;https://images-na.ssl-images-amazon.com/images/I/41O9fcmUrRL.jpg;https://images-na.ssl-images-amazon.com/images/I/510Tl+DAKAL.jpg;https://images-na.ssl-images-amazon.com/images/I/51f+liGYefL"&amp;".jpg;https://images-na.ssl-images-amazon.com/images/I/51C-vc2UfDL.jpg;https://images-na.ssl-images-amazon.com/images/I/41jLjdA7EWL.jpg")</f>
        <v>#NAME?</v>
      </c>
      <c r="E417" s="50" t="s">
        <v>20</v>
      </c>
      <c r="F417" s="50" t="s">
        <v>1153</v>
      </c>
      <c r="S417" s="50" t="s">
        <v>1217</v>
      </c>
      <c r="U417" s="50">
        <v>-115.82</v>
      </c>
      <c r="W417" s="50">
        <v>-115.82</v>
      </c>
      <c r="X417" s="50">
        <v>-115.82</v>
      </c>
      <c r="Y417" s="50">
        <v>-115.82</v>
      </c>
      <c r="AE417" s="50" t="s">
        <v>4370</v>
      </c>
    </row>
    <row r="418" spans="1:31">
      <c r="A418" s="50" t="s">
        <v>4728</v>
      </c>
      <c r="B418" s="50" t="s">
        <v>1117</v>
      </c>
      <c r="C418" s="50" t="s">
        <v>1118</v>
      </c>
      <c r="D418" s="50" t="e">
        <f ca="1">Image("https://images-na.ssl-images-amazon.com/images/I/413OwQ8UBKL.jpg;https://images-na.ssl-images-amazon.com/images/I/41JpBZa5rZL.jpg;https://images-na.ssl-images-amazon.com/images/I/61p4i6-GVVL.jpg;https://images-na.ssl-images-amazon.com/images/I/513YS6YgNVL"&amp;".jpg;https://images-na.ssl-images-amazon.com/images/I/51e3GQbbQHL.jpg;https://images-na.ssl-images-amazon.com/images/I/610JZfj6WyL.jpg")</f>
        <v>#NAME?</v>
      </c>
      <c r="E418" s="50" t="s">
        <v>20</v>
      </c>
      <c r="F418" s="50" t="s">
        <v>1119</v>
      </c>
      <c r="S418" s="50" t="s">
        <v>1217</v>
      </c>
      <c r="U418" s="50">
        <v>-32.89</v>
      </c>
      <c r="W418" s="50">
        <v>-32.89</v>
      </c>
      <c r="X418" s="50">
        <v>-32.89</v>
      </c>
      <c r="Y418" s="50">
        <v>-32.89</v>
      </c>
      <c r="AC418" s="50">
        <v>4996135</v>
      </c>
      <c r="AE418" s="50" t="s">
        <v>4370</v>
      </c>
    </row>
    <row r="419" spans="1:31">
      <c r="A419" s="50" t="s">
        <v>4729</v>
      </c>
      <c r="B419" s="50" t="s">
        <v>1122</v>
      </c>
      <c r="C419" s="50" t="s">
        <v>1123</v>
      </c>
      <c r="D419" s="50" t="e">
        <f ca="1">Image("https://images-na.ssl-images-amazon.com/images/I/41E61PQZ4xL.jpg;https://images-na.ssl-images-amazon.com/images/I/41eNhmB+vWL.jpg;https://images-na.ssl-images-amazon.com/images/I/51ZbhLmdGDL.jpg;https://images-na.ssl-images-amazon.com/images/I/515HDv6vWqL"&amp;".jpg;https://images-na.ssl-images-amazon.com/images/I/51V1P-OFGPL.jpg;https://images-na.ssl-images-amazon.com/images/I/519WurDesXL.jpg")</f>
        <v>#NAME?</v>
      </c>
      <c r="E419" s="50" t="s">
        <v>20</v>
      </c>
      <c r="F419" s="50" t="s">
        <v>1124</v>
      </c>
      <c r="S419" s="50" t="s">
        <v>1217</v>
      </c>
      <c r="U419" s="50">
        <v>-43.2</v>
      </c>
      <c r="W419" s="50">
        <v>-43.2</v>
      </c>
      <c r="X419" s="50">
        <v>-43.2</v>
      </c>
      <c r="Y419" s="50">
        <v>-43.2</v>
      </c>
      <c r="AC419" s="50">
        <v>4996135</v>
      </c>
      <c r="AE419" s="50" t="s">
        <v>4370</v>
      </c>
    </row>
    <row r="420" spans="1:31">
      <c r="A420" s="50" t="s">
        <v>4730</v>
      </c>
      <c r="B420" s="50" t="s">
        <v>931</v>
      </c>
      <c r="C420" s="50" t="s">
        <v>932</v>
      </c>
      <c r="D420" s="50" t="e">
        <f ca="1">Image("https://images-na.ssl-images-amazon.com/images/I/51VrHFqjc2L.jpg;https://images-na.ssl-images-amazon.com/images/I/51a+a5iENTL.jpg;https://images-na.ssl-images-amazon.com/images/I/41S9iwEJbhL.jpg;https://images-na.ssl-images-amazon.com/images/I/51lDcDaD5XL"&amp;".jpg;https://images-na.ssl-images-amazon.com/images/I/51VrHFqjc2L.jpg;https://images-na.ssl-images-amazon.com/images/I/41wu2n7i0mL.jpg;https://images-na.ssl-images-amazon.com/images/I/51+pWOIM7RL.jpg;https://images-na.ssl-images-amazon.com/images/I/41chDq"&amp;"LhXQL.jpg")</f>
        <v>#NAME?</v>
      </c>
      <c r="E420" s="50" t="s">
        <v>20</v>
      </c>
      <c r="F420" s="50" t="s">
        <v>933</v>
      </c>
      <c r="S420" s="50" t="s">
        <v>1217</v>
      </c>
      <c r="AC420" s="50">
        <v>1164044</v>
      </c>
      <c r="AE420" s="50" t="s">
        <v>4370</v>
      </c>
    </row>
    <row r="421" spans="1:31">
      <c r="A421" s="50" t="s">
        <v>4731</v>
      </c>
      <c r="B421" s="50" t="s">
        <v>103</v>
      </c>
      <c r="C421" s="50" t="s">
        <v>4732</v>
      </c>
      <c r="D421" s="50" t="e">
        <f ca="1">Image("https://images-na.ssl-images-amazon.com/images/I/51i+SfRFHdL.jpg;https://images-na.ssl-images-amazon.com/images/I/71+KsOmS3BL.jpg;https://images-na.ssl-images-amazon.com/images/I/61pV-HlDrTL.jpg;https://images-na.ssl-images-amazon.com/images/I/411fU-c6aZL"&amp;".jpg;https://images-na.ssl-images-amazon.com/images/I/41cS4Y02AbL.jpg")</f>
        <v>#NAME?</v>
      </c>
      <c r="E421" s="50" t="s">
        <v>16</v>
      </c>
      <c r="F421" s="50" t="s">
        <v>4733</v>
      </c>
      <c r="G421" s="50">
        <v>214</v>
      </c>
      <c r="H421" s="50">
        <v>27</v>
      </c>
      <c r="I421" s="50">
        <v>1733.51</v>
      </c>
      <c r="R421" s="50">
        <v>12.62</v>
      </c>
      <c r="S421" s="50">
        <v>85.19</v>
      </c>
      <c r="T421" s="50">
        <v>-181.37</v>
      </c>
      <c r="U421" s="50">
        <v>-1274.07</v>
      </c>
      <c r="W421" s="50">
        <v>278.07</v>
      </c>
      <c r="X421" s="50">
        <v>278.07</v>
      </c>
      <c r="Y421" s="50">
        <v>278.07</v>
      </c>
      <c r="AA421" s="50">
        <v>16.04</v>
      </c>
      <c r="AC421" s="50">
        <v>121334</v>
      </c>
      <c r="AE421" s="50" t="s">
        <v>4734</v>
      </c>
    </row>
    <row r="422" spans="1:31">
      <c r="A422" s="50" t="s">
        <v>4735</v>
      </c>
      <c r="B422" s="50" t="s">
        <v>194</v>
      </c>
      <c r="C422" s="50" t="s">
        <v>195</v>
      </c>
      <c r="D422" s="50" t="e">
        <f ca="1">Image("https://images-na.ssl-images-amazon.com/images/I/51KcXSkthiL.jpg;https://images-na.ssl-images-amazon.com/images/I/61Sh8gi670L.jpg;https://images-na.ssl-images-amazon.com/images/I/51D6FCv9tNL.jpg;https://images-na.ssl-images-amazon.com/images/I/51LLLgzA3NL"&amp;".jpg;https://images-na.ssl-images-amazon.com/images/I/51oHl-hkKIL.jpg;https://images-na.ssl-images-amazon.com/images/I/41SRZzSBCPL.jpg")</f>
        <v>#NAME?</v>
      </c>
      <c r="E422" s="50" t="s">
        <v>16</v>
      </c>
      <c r="F422" s="50" t="s">
        <v>196</v>
      </c>
      <c r="G422" s="50">
        <v>116</v>
      </c>
      <c r="H422" s="50">
        <v>18</v>
      </c>
      <c r="I422" s="50">
        <v>1120.7</v>
      </c>
      <c r="R422" s="50">
        <v>15.52</v>
      </c>
      <c r="S422" s="50">
        <v>21.43</v>
      </c>
      <c r="T422" s="50">
        <v>-152.13</v>
      </c>
      <c r="U422" s="50">
        <v>-533.47</v>
      </c>
      <c r="W422" s="50">
        <v>435.1</v>
      </c>
      <c r="X422" s="50">
        <v>435.1</v>
      </c>
      <c r="Y422" s="50">
        <v>435.1</v>
      </c>
      <c r="AA422" s="50">
        <v>38.82</v>
      </c>
      <c r="AC422" s="50">
        <v>269522</v>
      </c>
      <c r="AE422" s="50" t="s">
        <v>4734</v>
      </c>
    </row>
    <row r="423" spans="1:31">
      <c r="A423" s="50" t="s">
        <v>4736</v>
      </c>
      <c r="B423" s="50" t="s">
        <v>174</v>
      </c>
      <c r="C423" s="50" t="s">
        <v>175</v>
      </c>
      <c r="D423" s="50" t="e">
        <f ca="1">Image("https://images-na.ssl-images-amazon.com/images/I/41m0mV03IgL.jpg;https://images-na.ssl-images-amazon.com/images/I/61-maqKvXEL.jpg;https://images-na.ssl-images-amazon.com/images/I/51K9oYhqfPL.jpg;https://images-na.ssl-images-amazon.com/images/I/51Vjwwji4JL"&amp;".jpg;https://images-na.ssl-images-amazon.com/images/I/51oHl-hkKIL.jpg;https://images-na.ssl-images-amazon.com/images/I/41SRZzSBCPL.jpg")</f>
        <v>#NAME?</v>
      </c>
      <c r="E423" s="50" t="s">
        <v>16</v>
      </c>
      <c r="F423" s="50" t="s">
        <v>176</v>
      </c>
      <c r="G423" s="50">
        <v>114</v>
      </c>
      <c r="H423" s="50">
        <v>13</v>
      </c>
      <c r="I423" s="50">
        <v>1436.95</v>
      </c>
      <c r="R423" s="50">
        <v>11.4</v>
      </c>
      <c r="S423" s="50">
        <v>72.73</v>
      </c>
      <c r="T423" s="50">
        <v>-141.21</v>
      </c>
      <c r="U423" s="50">
        <v>-771.81</v>
      </c>
      <c r="W423" s="50">
        <v>523.92999999999995</v>
      </c>
      <c r="X423" s="50">
        <v>523.92999999999995</v>
      </c>
      <c r="Y423" s="50">
        <v>523.92999999999995</v>
      </c>
      <c r="AA423" s="50">
        <v>36.46</v>
      </c>
      <c r="AC423" s="50">
        <v>396674</v>
      </c>
      <c r="AE423" s="50" t="s">
        <v>4734</v>
      </c>
    </row>
    <row r="424" spans="1:31">
      <c r="A424" s="50" t="s">
        <v>4737</v>
      </c>
      <c r="B424" s="50" t="s">
        <v>265</v>
      </c>
      <c r="C424" s="50" t="s">
        <v>266</v>
      </c>
      <c r="D424" s="50" t="e">
        <f ca="1">Image("https://images-na.ssl-images-amazon.com/images/I/51ZWxg4RY0L.jpg;https://images-na.ssl-images-amazon.com/images/I/61NzgyhJIyL.jpg;https://images-na.ssl-images-amazon.com/images/I/51BosQbvjML.jpg;https://images-na.ssl-images-amazon.com/images/I/51oHl-hkKIL"&amp;".jpg;https://images-na.ssl-images-amazon.com/images/I/41SRZzSBCPL.jpg")</f>
        <v>#NAME?</v>
      </c>
      <c r="E424" s="50" t="s">
        <v>16</v>
      </c>
      <c r="F424" s="50" t="s">
        <v>267</v>
      </c>
      <c r="G424" s="50">
        <v>101</v>
      </c>
      <c r="H424" s="50">
        <v>4</v>
      </c>
      <c r="I424" s="50">
        <v>700.92</v>
      </c>
      <c r="R424" s="50">
        <v>3.96</v>
      </c>
      <c r="S424" s="50">
        <v>50</v>
      </c>
      <c r="T424" s="50">
        <v>-24.62</v>
      </c>
      <c r="U424" s="50">
        <v>-416.51</v>
      </c>
      <c r="W424" s="50">
        <v>259.79000000000002</v>
      </c>
      <c r="X424" s="50">
        <v>259.79000000000002</v>
      </c>
      <c r="Y424" s="50">
        <v>259.79000000000002</v>
      </c>
      <c r="AA424" s="50">
        <v>37.06</v>
      </c>
      <c r="AC424" s="50">
        <v>75009</v>
      </c>
      <c r="AE424" s="50" t="s">
        <v>4734</v>
      </c>
    </row>
    <row r="425" spans="1:31">
      <c r="A425" s="50" t="s">
        <v>4738</v>
      </c>
      <c r="B425" s="50" t="s">
        <v>148</v>
      </c>
      <c r="C425" s="50" t="s">
        <v>4739</v>
      </c>
      <c r="D425" s="50" t="e">
        <f ca="1">Image("https://images-na.ssl-images-amazon.com/images/I/51lJ6C7xETL.jpg;https://images-na.ssl-images-amazon.com/images/I/619-4yd5huL.jpg;https://images-na.ssl-images-amazon.com/images/I/51g24DSmvwL.jpg;https://images-na.ssl-images-amazon.com/images/I/41ZV3p4+usL"&amp;".jpg;https://images-na.ssl-images-amazon.com/images/I/41SRZzSBCPL.jpg")</f>
        <v>#NAME?</v>
      </c>
      <c r="E425" s="50" t="s">
        <v>16</v>
      </c>
      <c r="F425" s="50" t="s">
        <v>150</v>
      </c>
      <c r="G425" s="50">
        <v>55</v>
      </c>
      <c r="H425" s="50">
        <v>4</v>
      </c>
      <c r="I425" s="50">
        <v>516.44000000000005</v>
      </c>
      <c r="R425" s="50">
        <v>7.27</v>
      </c>
      <c r="S425" s="50">
        <v>50</v>
      </c>
      <c r="T425" s="50">
        <v>-32.47</v>
      </c>
      <c r="U425" s="50">
        <v>-351.37</v>
      </c>
      <c r="W425" s="50">
        <v>132.6</v>
      </c>
      <c r="X425" s="50">
        <v>132.6</v>
      </c>
      <c r="Y425" s="50">
        <v>132.6</v>
      </c>
      <c r="AA425" s="50">
        <v>25.68</v>
      </c>
      <c r="AC425" s="50">
        <v>75009</v>
      </c>
      <c r="AE425" s="50" t="s">
        <v>4734</v>
      </c>
    </row>
    <row r="426" spans="1:31">
      <c r="A426" s="50" t="s">
        <v>4740</v>
      </c>
      <c r="B426" s="50" t="s">
        <v>254</v>
      </c>
      <c r="C426" s="50" t="s">
        <v>255</v>
      </c>
      <c r="D426" s="50" t="e">
        <f ca="1">Image("https://images-na.ssl-images-amazon.com/images/I/51JrPfM0MJL.jpg;https://images-na.ssl-images-amazon.com/images/I/71ThQhKriML.jpg;https://images-na.ssl-images-amazon.com/images/I/614SUtaHiUL.jpg;https://images-na.ssl-images-amazon.com/images/I/519YIxITq6L"&amp;".jpg;https://images-na.ssl-images-amazon.com/images/I/61ER4-lZ5mL.jpg;https://images-na.ssl-images-amazon.com/images/I/41cS4Y02AbL.jpg")</f>
        <v>#NAME?</v>
      </c>
      <c r="E426" s="50" t="s">
        <v>16</v>
      </c>
      <c r="F426" s="50" t="s">
        <v>256</v>
      </c>
      <c r="G426" s="50">
        <v>50</v>
      </c>
      <c r="H426" s="50">
        <v>5</v>
      </c>
      <c r="I426" s="50">
        <v>447</v>
      </c>
      <c r="R426" s="50">
        <v>10</v>
      </c>
      <c r="T426" s="50">
        <v>-39.35</v>
      </c>
      <c r="U426" s="50">
        <v>-223.63</v>
      </c>
      <c r="W426" s="50">
        <v>184.02</v>
      </c>
      <c r="X426" s="50">
        <v>184.02</v>
      </c>
      <c r="Y426" s="50">
        <v>184.02</v>
      </c>
      <c r="AA426" s="50">
        <v>41.17</v>
      </c>
      <c r="AC426" s="50">
        <v>326533</v>
      </c>
      <c r="AE426" s="50" t="s">
        <v>4734</v>
      </c>
    </row>
    <row r="427" spans="1:31">
      <c r="A427" s="50" t="s">
        <v>4741</v>
      </c>
      <c r="B427" s="50" t="s">
        <v>301</v>
      </c>
      <c r="C427" s="50" t="s">
        <v>302</v>
      </c>
      <c r="D427" s="50" t="e">
        <f ca="1">Image("https://images-na.ssl-images-amazon.com/images/I/51nf1p3N2cL.jpg;https://images-na.ssl-images-amazon.com/images/I/61-Li3UXBvL.jpg;https://images-na.ssl-images-amazon.com/images/I/61AzMecisYL.jpg;https://images-na.ssl-images-amazon.com/images/I/617WX-FE6PL"&amp;".jpg;https://images-na.ssl-images-amazon.com/images/I/61ER4-lZ5mL.jpg;https://images-na.ssl-images-amazon.com/images/I/41cS4Y02AbL.jpg")</f>
        <v>#NAME?</v>
      </c>
      <c r="E427" s="50" t="s">
        <v>16</v>
      </c>
      <c r="F427" s="50" t="s">
        <v>303</v>
      </c>
      <c r="G427" s="50">
        <v>49</v>
      </c>
      <c r="H427" s="50">
        <v>3</v>
      </c>
      <c r="I427" s="50">
        <v>553.16</v>
      </c>
      <c r="R427" s="50">
        <v>6.12</v>
      </c>
      <c r="S427" s="50">
        <v>100</v>
      </c>
      <c r="T427" s="50">
        <v>-29.58</v>
      </c>
      <c r="U427" s="50">
        <v>-377.99</v>
      </c>
      <c r="W427" s="50">
        <v>145.59</v>
      </c>
      <c r="X427" s="50">
        <v>145.59</v>
      </c>
      <c r="Y427" s="50">
        <v>145.59</v>
      </c>
      <c r="AA427" s="50">
        <v>26.32</v>
      </c>
      <c r="AC427" s="50">
        <v>75009</v>
      </c>
      <c r="AE427" s="50" t="s">
        <v>4734</v>
      </c>
    </row>
    <row r="428" spans="1:31">
      <c r="A428" s="50" t="s">
        <v>4742</v>
      </c>
      <c r="B428" s="50" t="s">
        <v>1160</v>
      </c>
      <c r="C428" s="50" t="s">
        <v>1161</v>
      </c>
      <c r="D428" s="50" t="e">
        <f ca="1">Image("https://images-na.ssl-images-amazon.com/images/I/51+896ws5bL.jpg;https://images-na.ssl-images-amazon.com/images/I/61NfGFiZtwL.jpg;https://images-na.ssl-images-amazon.com/images/I/510eDUtPGJL.jpg;https://images-na.ssl-images-amazon.com/images/I/61ER4-lZ5mL"&amp;".jpg;https://images-na.ssl-images-amazon.com/images/I/41cS4Y02AbL.jpg")</f>
        <v>#NAME?</v>
      </c>
      <c r="E428" s="50" t="s">
        <v>16</v>
      </c>
      <c r="F428" s="50" t="s">
        <v>1162</v>
      </c>
      <c r="G428" s="50">
        <v>39</v>
      </c>
      <c r="H428" s="50">
        <v>3</v>
      </c>
      <c r="I428" s="50">
        <v>256.33</v>
      </c>
      <c r="R428" s="50">
        <v>7.69</v>
      </c>
      <c r="S428" s="50">
        <v>33.33</v>
      </c>
      <c r="T428" s="50">
        <v>-20.21</v>
      </c>
      <c r="U428" s="50">
        <v>-347.97</v>
      </c>
      <c r="W428" s="50">
        <v>-111.85</v>
      </c>
      <c r="X428" s="50">
        <v>-111.85</v>
      </c>
      <c r="Y428" s="50">
        <v>-111.85</v>
      </c>
      <c r="AA428" s="50">
        <v>-43.64</v>
      </c>
      <c r="AC428" s="50">
        <v>75009</v>
      </c>
      <c r="AE428" s="50" t="s">
        <v>4734</v>
      </c>
    </row>
    <row r="429" spans="1:31">
      <c r="A429" s="50" t="s">
        <v>4743</v>
      </c>
      <c r="B429" s="50" t="s">
        <v>301</v>
      </c>
      <c r="C429" s="50" t="s">
        <v>4744</v>
      </c>
      <c r="D429" s="50" t="e">
        <f ca="1">Image("https://images-na.ssl-images-amazon.com/images/I/51nf1p3N2cL.jpg;https://images-na.ssl-images-amazon.com/images/I/61-Li3UXBvL.jpg;https://images-na.ssl-images-amazon.com/images/I/61AzMecisYL.jpg;https://images-na.ssl-images-amazon.com/images/I/617WX-FE6PL"&amp;".jpg;https://images-na.ssl-images-amazon.com/images/I/61ER4-lZ5mL.jpg;https://images-na.ssl-images-amazon.com/images/I/41cS4Y02AbL.jpg")</f>
        <v>#NAME?</v>
      </c>
      <c r="E429" s="50" t="s">
        <v>16</v>
      </c>
      <c r="F429" s="50" t="s">
        <v>303</v>
      </c>
      <c r="G429" s="50">
        <v>30</v>
      </c>
      <c r="H429" s="50">
        <v>3</v>
      </c>
      <c r="I429" s="50">
        <v>337.32</v>
      </c>
      <c r="R429" s="50">
        <v>10</v>
      </c>
      <c r="T429" s="50">
        <v>-29.55</v>
      </c>
      <c r="U429" s="50">
        <v>-238.39</v>
      </c>
      <c r="W429" s="50">
        <v>69.38</v>
      </c>
      <c r="X429" s="50">
        <v>69.38</v>
      </c>
      <c r="Y429" s="50">
        <v>69.38</v>
      </c>
      <c r="AA429" s="50">
        <v>20.57</v>
      </c>
      <c r="AC429" s="50">
        <v>75009</v>
      </c>
      <c r="AE429" s="50" t="s">
        <v>4734</v>
      </c>
    </row>
    <row r="430" spans="1:31">
      <c r="A430" s="50" t="s">
        <v>4740</v>
      </c>
      <c r="B430" s="50" t="s">
        <v>254</v>
      </c>
      <c r="C430" s="50" t="s">
        <v>4745</v>
      </c>
      <c r="D430" s="50" t="e">
        <f ca="1">Image("https://images-na.ssl-images-amazon.com/images/I/51JrPfM0MJL.jpg;https://images-na.ssl-images-amazon.com/images/I/71ThQhKriML.jpg;https://images-na.ssl-images-amazon.com/images/I/614SUtaHiUL.jpg;https://images-na.ssl-images-amazon.com/images/I/519YIxITq6L"&amp;".jpg;https://images-na.ssl-images-amazon.com/images/I/61ER4-lZ5mL.jpg;https://images-na.ssl-images-amazon.com/images/I/41cS4Y02AbL.jpg")</f>
        <v>#NAME?</v>
      </c>
      <c r="E430" s="50" t="s">
        <v>16</v>
      </c>
      <c r="F430" s="50" t="s">
        <v>256</v>
      </c>
      <c r="G430" s="50">
        <v>27</v>
      </c>
      <c r="I430" s="50">
        <v>233.49</v>
      </c>
      <c r="S430" s="50" t="s">
        <v>1217</v>
      </c>
      <c r="U430" s="50">
        <v>-140.11000000000001</v>
      </c>
      <c r="W430" s="50">
        <v>93.38</v>
      </c>
      <c r="X430" s="50">
        <v>93.38</v>
      </c>
      <c r="Y430" s="50">
        <v>93.38</v>
      </c>
      <c r="AA430" s="50">
        <v>39.99</v>
      </c>
      <c r="AC430" s="50">
        <v>326533</v>
      </c>
      <c r="AE430" s="50" t="s">
        <v>4734</v>
      </c>
    </row>
    <row r="431" spans="1:31">
      <c r="A431" s="50" t="s">
        <v>4746</v>
      </c>
      <c r="B431" s="50" t="s">
        <v>409</v>
      </c>
      <c r="C431" s="50" t="s">
        <v>410</v>
      </c>
      <c r="D431" s="50" t="e">
        <f ca="1">Image("https://images-na.ssl-images-amazon.com/images/I/31GeyANItrL.jpg;https://images-na.ssl-images-amazon.com/images/I/51nBifORE-L.jpg;https://images-na.ssl-images-amazon.com/images/I/51Zr8VrzF1L.jpg;https://images-na.ssl-images-amazon.com/images/I/51KD03os6CL"&amp;".jpg;https://images-na.ssl-images-amazon.com/images/I/517buProtvL.jpg;https://images-na.ssl-images-amazon.com/images/I/5195l-kHtAL.jpg;https://images-na.ssl-images-amazon.com/images/I/51YhBQOjFzL.jpg")</f>
        <v>#NAME?</v>
      </c>
      <c r="E431" s="50" t="s">
        <v>20</v>
      </c>
      <c r="F431" s="50" t="s">
        <v>411</v>
      </c>
      <c r="G431" s="50">
        <v>10</v>
      </c>
      <c r="I431" s="50">
        <v>104.91</v>
      </c>
      <c r="S431" s="50" t="s">
        <v>1217</v>
      </c>
      <c r="U431" s="50">
        <v>-74.72</v>
      </c>
      <c r="W431" s="50">
        <v>30.19</v>
      </c>
      <c r="X431" s="50">
        <v>30.19</v>
      </c>
      <c r="Y431" s="50">
        <v>30.19</v>
      </c>
      <c r="AA431" s="50">
        <v>28.78</v>
      </c>
      <c r="AC431" s="50">
        <v>172363</v>
      </c>
      <c r="AE431" s="50" t="s">
        <v>4734</v>
      </c>
    </row>
    <row r="432" spans="1:31">
      <c r="A432" s="50" t="s">
        <v>4747</v>
      </c>
      <c r="B432" s="50" t="s">
        <v>505</v>
      </c>
      <c r="C432" s="50" t="s">
        <v>506</v>
      </c>
      <c r="D432" s="50" t="e">
        <f ca="1">Image("https://images-na.ssl-images-amazon.com/images/I/51l+8tQtjIL.jpg")</f>
        <v>#NAME?</v>
      </c>
      <c r="E432" s="50" t="s">
        <v>507</v>
      </c>
      <c r="F432" s="50" t="s">
        <v>508</v>
      </c>
      <c r="G432" s="50">
        <v>9</v>
      </c>
      <c r="I432" s="50">
        <v>127.95</v>
      </c>
      <c r="S432" s="50" t="s">
        <v>1217</v>
      </c>
      <c r="U432" s="50">
        <v>-60.64</v>
      </c>
      <c r="W432" s="50">
        <v>67.31</v>
      </c>
      <c r="X432" s="50">
        <v>67.31</v>
      </c>
      <c r="Y432" s="50">
        <v>67.31</v>
      </c>
      <c r="AA432" s="50">
        <v>52.61</v>
      </c>
      <c r="AE432" s="50" t="s">
        <v>4734</v>
      </c>
    </row>
    <row r="433" spans="1:31">
      <c r="A433" s="50" t="s">
        <v>4748</v>
      </c>
      <c r="B433" s="50" t="s">
        <v>554</v>
      </c>
      <c r="C433" s="50" t="s">
        <v>555</v>
      </c>
      <c r="D433" s="50" t="e">
        <f ca="1">Image("https://images-na.ssl-images-amazon.com/images/I/31Ad5HrLpOL.jpg;https://images-na.ssl-images-amazon.com/images/I/21LwDgCQ0dL.jpg;https://images-na.ssl-images-amazon.com/images/I/215dW+udfIL.jpg;https://images-na.ssl-images-amazon.com/images/I/41QQuAx931L"&amp;".jpg;https://images-na.ssl-images-amazon.com/images/I/41w4VajnmLL.jpg")</f>
        <v>#NAME?</v>
      </c>
      <c r="E433" s="50" t="s">
        <v>20</v>
      </c>
      <c r="F433" s="50" t="s">
        <v>556</v>
      </c>
      <c r="G433" s="50">
        <v>7</v>
      </c>
      <c r="I433" s="50">
        <v>105</v>
      </c>
      <c r="S433" s="50" t="s">
        <v>1217</v>
      </c>
      <c r="U433" s="50">
        <v>-62.44</v>
      </c>
      <c r="W433" s="50">
        <v>42.56</v>
      </c>
      <c r="X433" s="50">
        <v>42.56</v>
      </c>
      <c r="Y433" s="50">
        <v>42.56</v>
      </c>
      <c r="AA433" s="50">
        <v>40.53</v>
      </c>
      <c r="AC433" s="50">
        <v>686928</v>
      </c>
      <c r="AE433" s="50" t="s">
        <v>4734</v>
      </c>
    </row>
    <row r="434" spans="1:31">
      <c r="A434" s="50" t="s">
        <v>4749</v>
      </c>
      <c r="B434" s="50" t="s">
        <v>971</v>
      </c>
      <c r="C434" s="50" t="s">
        <v>972</v>
      </c>
      <c r="D434" s="50" t="e">
        <f ca="1">Image("https://images-na.ssl-images-amazon.com/images/I/31+N1cJ9KBL.jpg;https://images-na.ssl-images-amazon.com/images/I/41gJNXcyu+L.jpg;https://images-na.ssl-images-amazon.com/images/I/21IF0sQKcUL.jpg")</f>
        <v>#NAME?</v>
      </c>
      <c r="E434" s="50" t="s">
        <v>20</v>
      </c>
      <c r="F434" s="50" t="s">
        <v>973</v>
      </c>
      <c r="G434" s="50">
        <v>1</v>
      </c>
      <c r="I434" s="50">
        <v>15</v>
      </c>
      <c r="S434" s="50" t="s">
        <v>1217</v>
      </c>
      <c r="U434" s="50">
        <v>-16.46</v>
      </c>
      <c r="W434" s="50">
        <v>-1.46</v>
      </c>
      <c r="X434" s="50">
        <v>-1.46</v>
      </c>
      <c r="Y434" s="50">
        <v>-1.46</v>
      </c>
      <c r="AA434" s="50">
        <v>-9.73</v>
      </c>
      <c r="AC434" s="50">
        <v>1185418</v>
      </c>
      <c r="AE434" s="50" t="s">
        <v>4734</v>
      </c>
    </row>
    <row r="435" spans="1:31">
      <c r="A435" s="50" t="s">
        <v>4750</v>
      </c>
      <c r="B435" s="50" t="s">
        <v>1079</v>
      </c>
      <c r="C435" s="50" t="s">
        <v>1080</v>
      </c>
      <c r="D435" s="50" t="e">
        <f ca="1">Image("https://images-na.ssl-images-amazon.com/images/I/41J-8ucpXaL.jpg")</f>
        <v>#NAME?</v>
      </c>
      <c r="E435" s="50" t="s">
        <v>20</v>
      </c>
      <c r="F435" s="50" t="s">
        <v>1081</v>
      </c>
      <c r="S435" s="50" t="s">
        <v>1217</v>
      </c>
      <c r="U435" s="50">
        <v>-16.64</v>
      </c>
      <c r="W435" s="50">
        <v>-16.64</v>
      </c>
      <c r="X435" s="50">
        <v>-16.64</v>
      </c>
      <c r="Y435" s="50">
        <v>-16.64</v>
      </c>
      <c r="AC435" s="50">
        <v>3013060</v>
      </c>
      <c r="AE435" s="50" t="s">
        <v>4734</v>
      </c>
    </row>
    <row r="436" spans="1:31">
      <c r="A436" s="50" t="s">
        <v>4751</v>
      </c>
      <c r="B436" s="50" t="s">
        <v>79</v>
      </c>
      <c r="C436" s="50" t="s">
        <v>4752</v>
      </c>
      <c r="D436" s="50" t="e">
        <f ca="1">Image("https://images-na.ssl-images-amazon.com/images/I/41H7i2SOcVL.jpg;https://images-na.ssl-images-amazon.com/images/I/41Ao5HzmU1L.jpg;https://images-na.ssl-images-amazon.com/images/I/41RBTL+FAML.jpg;https://images-na.ssl-images-amazon.com/images/I/41H7i2SOcVL"&amp;".jpg")</f>
        <v>#NAME?</v>
      </c>
      <c r="E436" s="50" t="s">
        <v>16</v>
      </c>
      <c r="F436" s="50" t="s">
        <v>81</v>
      </c>
      <c r="S436" s="50" t="s">
        <v>1217</v>
      </c>
      <c r="U436" s="50">
        <v>-0.01</v>
      </c>
      <c r="W436" s="50">
        <v>-0.01</v>
      </c>
      <c r="X436" s="50">
        <v>-0.01</v>
      </c>
      <c r="Y436" s="50">
        <v>-0.01</v>
      </c>
      <c r="AC436" s="50">
        <v>156074</v>
      </c>
      <c r="AE436" s="50" t="s">
        <v>4734</v>
      </c>
    </row>
    <row r="437" spans="1:31">
      <c r="A437" s="50" t="s">
        <v>4753</v>
      </c>
      <c r="B437" s="50" t="s">
        <v>103</v>
      </c>
      <c r="C437" s="50" t="s">
        <v>4754</v>
      </c>
      <c r="D437" s="50" t="e">
        <f ca="1">Image("https://images-na.ssl-images-amazon.com/images/I/51i+SfRFHdL.jpg;https://images-na.ssl-images-amazon.com/images/I/71+KsOmS3BL.jpg;https://images-na.ssl-images-amazon.com/images/I/61pV-HlDrTL.jpg;https://images-na.ssl-images-amazon.com/images/I/411fU-c6aZL"&amp;".jpg;https://images-na.ssl-images-amazon.com/images/I/41cS4Y02AbL.jpg")</f>
        <v>#NAME?</v>
      </c>
      <c r="E437" s="50" t="s">
        <v>16</v>
      </c>
      <c r="F437" s="50" t="s">
        <v>105</v>
      </c>
      <c r="S437" s="50" t="s">
        <v>1217</v>
      </c>
      <c r="U437" s="50">
        <v>-0.09</v>
      </c>
      <c r="W437" s="50">
        <v>-0.09</v>
      </c>
      <c r="X437" s="50">
        <v>-0.09</v>
      </c>
      <c r="Y437" s="50">
        <v>-0.09</v>
      </c>
      <c r="AC437" s="50">
        <v>121334</v>
      </c>
      <c r="AE437" s="50" t="s">
        <v>4734</v>
      </c>
    </row>
    <row r="438" spans="1:31">
      <c r="A438" s="50" t="s">
        <v>4755</v>
      </c>
      <c r="B438" s="50" t="s">
        <v>148</v>
      </c>
      <c r="C438" s="50" t="s">
        <v>4756</v>
      </c>
      <c r="D438" s="50" t="e">
        <f ca="1">Image("https://images-na.ssl-images-amazon.com/images/I/51lJ6C7xETL.jpg;https://images-na.ssl-images-amazon.com/images/I/619-4yd5huL.jpg;https://images-na.ssl-images-amazon.com/images/I/51g24DSmvwL.jpg;https://images-na.ssl-images-amazon.com/images/I/41ZV3p4+usL"&amp;".jpg;https://images-na.ssl-images-amazon.com/images/I/41SRZzSBCPL.jpg")</f>
        <v>#NAME?</v>
      </c>
      <c r="E438" s="50" t="s">
        <v>16</v>
      </c>
      <c r="F438" s="50" t="s">
        <v>150</v>
      </c>
      <c r="S438" s="50" t="s">
        <v>1217</v>
      </c>
      <c r="U438" s="50">
        <v>-3.2</v>
      </c>
      <c r="W438" s="50">
        <v>-3.2</v>
      </c>
      <c r="X438" s="50">
        <v>-3.2</v>
      </c>
      <c r="Y438" s="50">
        <v>-3.2</v>
      </c>
      <c r="AC438" s="50">
        <v>75009</v>
      </c>
      <c r="AE438" s="50" t="s">
        <v>4734</v>
      </c>
    </row>
    <row r="439" spans="1:31">
      <c r="A439" s="50" t="s">
        <v>4757</v>
      </c>
      <c r="B439" s="50" t="s">
        <v>265</v>
      </c>
      <c r="C439" s="50" t="s">
        <v>4758</v>
      </c>
      <c r="D439" s="50" t="e">
        <f ca="1">Image("https://images-na.ssl-images-amazon.com/images/I/51ZWxg4RY0L.jpg;https://images-na.ssl-images-amazon.com/images/I/61NzgyhJIyL.jpg;https://images-na.ssl-images-amazon.com/images/I/51BosQbvjML.jpg;https://images-na.ssl-images-amazon.com/images/I/51oHl-hkKIL"&amp;".jpg;https://images-na.ssl-images-amazon.com/images/I/41SRZzSBCPL.jpg")</f>
        <v>#NAME?</v>
      </c>
      <c r="E439" s="50" t="s">
        <v>16</v>
      </c>
      <c r="F439" s="50" t="s">
        <v>267</v>
      </c>
      <c r="S439" s="50" t="s">
        <v>1217</v>
      </c>
      <c r="U439" s="50">
        <v>-0.76</v>
      </c>
      <c r="W439" s="50">
        <v>-0.76</v>
      </c>
      <c r="X439" s="50">
        <v>-0.76</v>
      </c>
      <c r="Y439" s="50">
        <v>-0.76</v>
      </c>
      <c r="AC439" s="50">
        <v>75009</v>
      </c>
      <c r="AE439" s="50" t="s">
        <v>4734</v>
      </c>
    </row>
    <row r="440" spans="1:31">
      <c r="A440" s="50" t="s">
        <v>4759</v>
      </c>
      <c r="B440" s="50" t="s">
        <v>194</v>
      </c>
      <c r="C440" s="50" t="s">
        <v>4760</v>
      </c>
      <c r="D440" s="50" t="e">
        <f ca="1">Image("https://images-na.ssl-images-amazon.com/images/I/51KcXSkthiL.jpg;https://images-na.ssl-images-amazon.com/images/I/61Sh8gi670L.jpg;https://images-na.ssl-images-amazon.com/images/I/51D6FCv9tNL.jpg;https://images-na.ssl-images-amazon.com/images/I/51LLLgzA3NL"&amp;".jpg;https://images-na.ssl-images-amazon.com/images/I/51oHl-hkKIL.jpg;https://images-na.ssl-images-amazon.com/images/I/41SRZzSBCPL.jpg")</f>
        <v>#NAME?</v>
      </c>
      <c r="E440" s="50" t="s">
        <v>16</v>
      </c>
      <c r="F440" s="50" t="s">
        <v>196</v>
      </c>
      <c r="S440" s="50" t="s">
        <v>1217</v>
      </c>
      <c r="U440" s="50">
        <v>-3</v>
      </c>
      <c r="W440" s="50">
        <v>-3</v>
      </c>
      <c r="X440" s="50">
        <v>-3</v>
      </c>
      <c r="Y440" s="50">
        <v>-3</v>
      </c>
      <c r="AC440" s="50">
        <v>269522</v>
      </c>
      <c r="AE440" s="50" t="s">
        <v>4734</v>
      </c>
    </row>
    <row r="441" spans="1:31">
      <c r="A441" s="50" t="s">
        <v>4761</v>
      </c>
      <c r="B441" s="50" t="s">
        <v>944</v>
      </c>
      <c r="C441" s="50" t="s">
        <v>945</v>
      </c>
      <c r="D441" s="50" t="e">
        <f ca="1">Image("https://images-na.ssl-images-amazon.com/images/I/41hMIuhmY+L.jpg;https://images-na.ssl-images-amazon.com/images/I/41ITRM+yz+L.jpg;https://images-na.ssl-images-amazon.com/images/I/31Yr+olW55L.jpg")</f>
        <v>#NAME?</v>
      </c>
      <c r="E441" s="50" t="s">
        <v>16</v>
      </c>
      <c r="F441" s="50" t="s">
        <v>946</v>
      </c>
      <c r="S441" s="50" t="s">
        <v>1217</v>
      </c>
      <c r="U441" s="50">
        <v>-0.52</v>
      </c>
      <c r="W441" s="50">
        <v>-0.52</v>
      </c>
      <c r="X441" s="50">
        <v>-0.52</v>
      </c>
      <c r="Y441" s="50">
        <v>-0.52</v>
      </c>
      <c r="AC441" s="50">
        <v>282692</v>
      </c>
      <c r="AE441" s="50" t="s">
        <v>4734</v>
      </c>
    </row>
    <row r="442" spans="1:31">
      <c r="A442" s="50" t="s">
        <v>4762</v>
      </c>
      <c r="B442" s="50" t="s">
        <v>212</v>
      </c>
      <c r="C442" s="50" t="s">
        <v>4763</v>
      </c>
      <c r="D442" s="50" t="e">
        <f ca="1">Image("https://images-na.ssl-images-amazon.com/images/I/31ro7SZzScL.jpg;https://images-na.ssl-images-amazon.com/images/I/41rDv4ZdyWL.jpg;https://images-na.ssl-images-amazon.com/images/I/21nDHD-DMTL.jpg")</f>
        <v>#NAME?</v>
      </c>
      <c r="E442" s="50" t="s">
        <v>16</v>
      </c>
      <c r="F442" s="50" t="s">
        <v>214</v>
      </c>
      <c r="S442" s="50" t="s">
        <v>1217</v>
      </c>
      <c r="U442" s="50">
        <v>-0.52</v>
      </c>
      <c r="W442" s="50">
        <v>-0.52</v>
      </c>
      <c r="X442" s="50">
        <v>-0.52</v>
      </c>
      <c r="Y442" s="50">
        <v>-0.52</v>
      </c>
      <c r="AC442" s="50">
        <v>62242</v>
      </c>
      <c r="AE442" s="50" t="s">
        <v>4734</v>
      </c>
    </row>
    <row r="443" spans="1:31">
      <c r="A443" s="50" t="s">
        <v>4764</v>
      </c>
      <c r="B443" s="50" t="s">
        <v>622</v>
      </c>
      <c r="C443" s="50" t="s">
        <v>623</v>
      </c>
      <c r="D443" s="50" t="e">
        <f ca="1">Image("https://images-na.ssl-images-amazon.com/images/I/31GeyANItrL.jpg;https://images-na.ssl-images-amazon.com/images/I/51nBifORE-L.jpg;https://images-na.ssl-images-amazon.com/images/I/51Zr8VrzF1L.jpg;https://images-na.ssl-images-amazon.com/images/I/51KD03os6CL"&amp;".jpg;https://images-na.ssl-images-amazon.com/images/I/517buProtvL.jpg;https://images-na.ssl-images-amazon.com/images/I/5195l-kHtAL.jpg;https://images-na.ssl-images-amazon.com/images/I/51YhBQOjFzL.jpg")</f>
        <v>#NAME?</v>
      </c>
      <c r="E443" s="50" t="s">
        <v>20</v>
      </c>
      <c r="F443" s="50" t="s">
        <v>624</v>
      </c>
      <c r="S443" s="50" t="s">
        <v>1217</v>
      </c>
      <c r="U443" s="50">
        <v>-6.54</v>
      </c>
      <c r="W443" s="50">
        <v>-6.54</v>
      </c>
      <c r="X443" s="50">
        <v>-6.54</v>
      </c>
      <c r="Y443" s="50">
        <v>-6.54</v>
      </c>
      <c r="AC443" s="50">
        <v>172363</v>
      </c>
      <c r="AE443" s="50" t="s">
        <v>4734</v>
      </c>
    </row>
    <row r="444" spans="1:31">
      <c r="A444" s="50" t="s">
        <v>4765</v>
      </c>
      <c r="B444" s="50" t="s">
        <v>1004</v>
      </c>
      <c r="C444" s="50" t="s">
        <v>1005</v>
      </c>
      <c r="D444" s="50" t="s">
        <v>834</v>
      </c>
      <c r="E444" s="50" t="s">
        <v>20</v>
      </c>
      <c r="F444" s="50" t="s">
        <v>1006</v>
      </c>
      <c r="S444" s="50" t="s">
        <v>1217</v>
      </c>
      <c r="U444" s="50">
        <v>-4.43</v>
      </c>
      <c r="W444" s="50">
        <v>-4.43</v>
      </c>
      <c r="X444" s="50">
        <v>-4.43</v>
      </c>
      <c r="Y444" s="50">
        <v>-4.43</v>
      </c>
      <c r="AC444" s="50">
        <v>24263</v>
      </c>
      <c r="AE444" s="50" t="s">
        <v>4734</v>
      </c>
    </row>
    <row r="445" spans="1:31">
      <c r="A445" s="50" t="s">
        <v>4766</v>
      </c>
      <c r="B445" s="50" t="s">
        <v>1025</v>
      </c>
      <c r="C445" s="50" t="s">
        <v>1026</v>
      </c>
      <c r="D445" s="50" t="s">
        <v>834</v>
      </c>
      <c r="E445" s="50" t="s">
        <v>20</v>
      </c>
      <c r="F445" s="50" t="s">
        <v>1027</v>
      </c>
      <c r="S445" s="50" t="s">
        <v>1217</v>
      </c>
      <c r="U445" s="50">
        <v>-6.97</v>
      </c>
      <c r="W445" s="50">
        <v>-6.97</v>
      </c>
      <c r="X445" s="50">
        <v>-6.97</v>
      </c>
      <c r="Y445" s="50">
        <v>-6.97</v>
      </c>
      <c r="AC445" s="50">
        <v>24263</v>
      </c>
      <c r="AE445" s="50" t="s">
        <v>4734</v>
      </c>
    </row>
    <row r="446" spans="1:31">
      <c r="A446" s="50" t="s">
        <v>4767</v>
      </c>
      <c r="B446" s="50" t="s">
        <v>1013</v>
      </c>
      <c r="C446" s="50" t="s">
        <v>1014</v>
      </c>
      <c r="D446" s="50" t="e">
        <f ca="1">Image("https://images-na.ssl-images-amazon.com/images/I/31Ad5HrLpOL.jpg;https://images-na.ssl-images-amazon.com/images/I/21LwDgCQ0dL.jpg;https://images-na.ssl-images-amazon.com/images/I/215dW+udfIL.jpg;https://images-na.ssl-images-amazon.com/images/I/41QQuAx931L"&amp;".jpg;https://images-na.ssl-images-amazon.com/images/I/41w4VajnmLL.jpg")</f>
        <v>#NAME?</v>
      </c>
      <c r="E446" s="50" t="s">
        <v>20</v>
      </c>
      <c r="F446" s="50" t="s">
        <v>1015</v>
      </c>
      <c r="S446" s="50" t="s">
        <v>1217</v>
      </c>
      <c r="U446" s="50">
        <v>-5.52</v>
      </c>
      <c r="W446" s="50">
        <v>-5.52</v>
      </c>
      <c r="X446" s="50">
        <v>-5.52</v>
      </c>
      <c r="Y446" s="50">
        <v>-5.52</v>
      </c>
      <c r="AC446" s="50">
        <v>686928</v>
      </c>
      <c r="AE446" s="50" t="s">
        <v>4734</v>
      </c>
    </row>
    <row r="447" spans="1:31">
      <c r="A447" s="50" t="s">
        <v>4768</v>
      </c>
      <c r="B447" s="50" t="s">
        <v>1010</v>
      </c>
      <c r="C447" s="50" t="s">
        <v>1011</v>
      </c>
      <c r="D447" s="50" t="s">
        <v>834</v>
      </c>
      <c r="E447" s="50" t="s">
        <v>20</v>
      </c>
      <c r="F447" s="50" t="s">
        <v>1012</v>
      </c>
      <c r="S447" s="50" t="s">
        <v>1217</v>
      </c>
      <c r="U447" s="50">
        <v>-5.21</v>
      </c>
      <c r="W447" s="50">
        <v>-5.21</v>
      </c>
      <c r="X447" s="50">
        <v>-5.21</v>
      </c>
      <c r="Y447" s="50">
        <v>-5.21</v>
      </c>
      <c r="AE447" s="50" t="s">
        <v>4734</v>
      </c>
    </row>
    <row r="448" spans="1:31">
      <c r="A448" s="50" t="s">
        <v>4769</v>
      </c>
      <c r="B448" s="50" t="s">
        <v>1043</v>
      </c>
      <c r="C448" s="50" t="s">
        <v>1044</v>
      </c>
      <c r="D448" s="50" t="s">
        <v>834</v>
      </c>
      <c r="E448" s="50" t="s">
        <v>20</v>
      </c>
      <c r="F448" s="50" t="s">
        <v>1045</v>
      </c>
      <c r="S448" s="50" t="s">
        <v>1217</v>
      </c>
      <c r="U448" s="50">
        <v>-9.19</v>
      </c>
      <c r="W448" s="50">
        <v>-9.19</v>
      </c>
      <c r="X448" s="50">
        <v>-9.19</v>
      </c>
      <c r="Y448" s="50">
        <v>-9.19</v>
      </c>
      <c r="AE448" s="50" t="s">
        <v>4734</v>
      </c>
    </row>
    <row r="449" spans="1:31">
      <c r="A449" s="50" t="s">
        <v>4770</v>
      </c>
      <c r="B449" s="50" t="s">
        <v>928</v>
      </c>
      <c r="C449" s="50" t="s">
        <v>4771</v>
      </c>
      <c r="D449" s="50" t="e">
        <f t="shared" ref="D449:D450" ca="1" si="7">Image("https://images-na.ssl-images-amazon.com/images/I/31Ad5HrLpOL.jpg;https://images-na.ssl-images-amazon.com/images/I/21LwDgCQ0dL.jpg;https://images-na.ssl-images-amazon.com/images/I/215dW+udfIL.jpg;https://images-na.ssl-images-amazon.com/images/I/41QQuAx931L"&amp;".jpg;https://images-na.ssl-images-amazon.com/images/I/41w4VajnmLL.jpg")</f>
        <v>#NAME?</v>
      </c>
      <c r="E449" s="50" t="s">
        <v>20</v>
      </c>
      <c r="F449" s="50" t="s">
        <v>930</v>
      </c>
      <c r="S449" s="50" t="s">
        <v>1217</v>
      </c>
      <c r="U449" s="50">
        <v>-6.27</v>
      </c>
      <c r="W449" s="50">
        <v>-6.27</v>
      </c>
      <c r="X449" s="50">
        <v>-6.27</v>
      </c>
      <c r="Y449" s="50">
        <v>-6.27</v>
      </c>
      <c r="AE449" s="50" t="s">
        <v>4734</v>
      </c>
    </row>
    <row r="450" spans="1:31">
      <c r="A450" s="50" t="s">
        <v>4772</v>
      </c>
      <c r="B450" s="50" t="s">
        <v>953</v>
      </c>
      <c r="C450" s="50" t="s">
        <v>4773</v>
      </c>
      <c r="D450" s="50" t="e">
        <f t="shared" ca="1" si="7"/>
        <v>#NAME?</v>
      </c>
      <c r="E450" s="50" t="s">
        <v>20</v>
      </c>
      <c r="F450" s="50" t="s">
        <v>955</v>
      </c>
      <c r="S450" s="50" t="s">
        <v>1217</v>
      </c>
      <c r="U450" s="50">
        <v>-6.65</v>
      </c>
      <c r="W450" s="50">
        <v>-6.65</v>
      </c>
      <c r="X450" s="50">
        <v>-6.65</v>
      </c>
      <c r="Y450" s="50">
        <v>-6.65</v>
      </c>
      <c r="AE450" s="50" t="s">
        <v>4734</v>
      </c>
    </row>
    <row r="451" spans="1:31">
      <c r="A451" s="50" t="s">
        <v>4774</v>
      </c>
      <c r="B451" s="50" t="s">
        <v>974</v>
      </c>
      <c r="C451" s="50" t="s">
        <v>975</v>
      </c>
      <c r="D451" s="50" t="s">
        <v>834</v>
      </c>
      <c r="E451" s="50" t="s">
        <v>20</v>
      </c>
      <c r="F451" s="50" t="s">
        <v>976</v>
      </c>
      <c r="S451" s="50" t="s">
        <v>1217</v>
      </c>
      <c r="U451" s="50">
        <v>-1.59</v>
      </c>
      <c r="W451" s="50">
        <v>-1.59</v>
      </c>
      <c r="X451" s="50">
        <v>-1.59</v>
      </c>
      <c r="Y451" s="50">
        <v>-1.59</v>
      </c>
      <c r="AE451" s="50" t="s">
        <v>4734</v>
      </c>
    </row>
    <row r="452" spans="1:31">
      <c r="A452" s="50" t="s">
        <v>4775</v>
      </c>
      <c r="B452" s="50" t="s">
        <v>1022</v>
      </c>
      <c r="C452" s="50" t="s">
        <v>1023</v>
      </c>
      <c r="D452" s="50" t="s">
        <v>1024</v>
      </c>
      <c r="E452" s="50" t="s">
        <v>1024</v>
      </c>
      <c r="F452" s="50" t="s">
        <v>1024</v>
      </c>
      <c r="S452" s="50" t="s">
        <v>1217</v>
      </c>
      <c r="U452" s="50">
        <v>-6.49</v>
      </c>
      <c r="W452" s="50">
        <v>-6.49</v>
      </c>
      <c r="X452" s="50">
        <v>-6.49</v>
      </c>
      <c r="Y452" s="50">
        <v>-6.49</v>
      </c>
      <c r="AE452" s="50" t="s">
        <v>4734</v>
      </c>
    </row>
    <row r="453" spans="1:31">
      <c r="A453" s="50" t="s">
        <v>4254</v>
      </c>
      <c r="B453" s="50" t="s">
        <v>10</v>
      </c>
      <c r="C453" s="50" t="s">
        <v>4776</v>
      </c>
      <c r="D453" s="50" t="e">
        <f ca="1">Image("https://images-na.ssl-images-amazon.com/images/I/41X+Cd3f7QL.jpg;https://images-na.ssl-images-amazon.com/images/I/316UmAiMAsL.jpg;https://images-na.ssl-images-amazon.com/images/I/31teahcaMhL.jpg;https://images-na.ssl-images-amazon.com/images/I/31b3ZDpPpIL"&amp;".jpg")</f>
        <v>#NAME?</v>
      </c>
      <c r="E453" s="50" t="s">
        <v>12</v>
      </c>
      <c r="F453" s="50" t="s">
        <v>13</v>
      </c>
      <c r="G453" s="50">
        <v>2509</v>
      </c>
      <c r="H453" s="50">
        <v>50</v>
      </c>
      <c r="I453" s="50">
        <v>23287.66</v>
      </c>
      <c r="R453" s="50">
        <v>1.99</v>
      </c>
      <c r="S453" s="50">
        <v>48.15</v>
      </c>
      <c r="T453" s="50">
        <v>-409.18</v>
      </c>
      <c r="U453" s="50">
        <v>-13303.73</v>
      </c>
      <c r="W453" s="50">
        <v>9574.75</v>
      </c>
      <c r="X453" s="50">
        <v>9574.75</v>
      </c>
      <c r="Y453" s="50">
        <v>9574.75</v>
      </c>
      <c r="AA453" s="50">
        <v>41.12</v>
      </c>
      <c r="AC453" s="50">
        <v>1413</v>
      </c>
      <c r="AE453" s="50" t="s">
        <v>4777</v>
      </c>
    </row>
    <row r="454" spans="1:31">
      <c r="A454" s="50" t="s">
        <v>4778</v>
      </c>
      <c r="B454" s="50" t="s">
        <v>34</v>
      </c>
      <c r="C454" s="50" t="s">
        <v>4779</v>
      </c>
      <c r="D454" s="50" t="e">
        <f ca="1">Image("https://images-na.ssl-images-amazon.com/images/I/41nu0L5qUvL.jpg;https://images-na.ssl-images-amazon.com/images/I/419kHqW8ZbL.jpg;https://images-na.ssl-images-amazon.com/images/I/21JW5zRTLvL.jpg")</f>
        <v>#NAME?</v>
      </c>
      <c r="E454" s="50" t="s">
        <v>16</v>
      </c>
      <c r="F454" s="50" t="s">
        <v>36</v>
      </c>
      <c r="G454" s="50">
        <v>907</v>
      </c>
      <c r="H454" s="50">
        <v>30</v>
      </c>
      <c r="I454" s="50">
        <v>9829.18</v>
      </c>
      <c r="R454" s="50">
        <v>3.31</v>
      </c>
      <c r="S454" s="50">
        <v>46.43</v>
      </c>
      <c r="T454" s="50">
        <v>-280.14</v>
      </c>
      <c r="U454" s="50">
        <v>-5800.13</v>
      </c>
      <c r="W454" s="50">
        <v>3748.91</v>
      </c>
      <c r="X454" s="50">
        <v>3748.91</v>
      </c>
      <c r="Y454" s="50">
        <v>3748.91</v>
      </c>
      <c r="AA454" s="50">
        <v>38.14</v>
      </c>
      <c r="AC454" s="50">
        <v>62242</v>
      </c>
      <c r="AE454" s="50" t="s">
        <v>4777</v>
      </c>
    </row>
    <row r="455" spans="1:31">
      <c r="A455" s="50" t="s">
        <v>4246</v>
      </c>
      <c r="B455" s="50" t="s">
        <v>37</v>
      </c>
      <c r="C455" s="50" t="s">
        <v>4780</v>
      </c>
      <c r="D455" s="50" t="e">
        <f ca="1">Image("https://images-na.ssl-images-amazon.com/images/I/51QNrY7+45L.jpg;https://images-na.ssl-images-amazon.com/images/I/41BGqOsQRbL.jpg;https://images-na.ssl-images-amazon.com/images/I/41mZYBF9UML.jpg;https://images-na.ssl-images-amazon.com/images/I/41f3-al81pL"&amp;".jpg;https://images-na.ssl-images-amazon.com/images/I/51tdwZD6Z1L.jpg;https://images-na.ssl-images-amazon.com/images/I/611wZYAJlEL.jpg;https://images-na.ssl-images-amazon.com/images/I/51SmOiqXgtL.jpg")</f>
        <v>#NAME?</v>
      </c>
      <c r="E455" s="50" t="s">
        <v>20</v>
      </c>
      <c r="F455" s="50" t="s">
        <v>4781</v>
      </c>
      <c r="G455" s="50">
        <v>724</v>
      </c>
      <c r="H455" s="50">
        <v>93</v>
      </c>
      <c r="I455" s="50">
        <v>8814.83</v>
      </c>
      <c r="K455" s="50">
        <v>-146.97999999999999</v>
      </c>
      <c r="L455" s="50">
        <v>-146.97999999999999</v>
      </c>
      <c r="R455" s="50">
        <v>12.85</v>
      </c>
      <c r="S455" s="50">
        <v>46.99</v>
      </c>
      <c r="T455" s="50">
        <v>-1019.96</v>
      </c>
      <c r="U455" s="50">
        <v>-4242.79</v>
      </c>
      <c r="W455" s="50">
        <v>3394.11</v>
      </c>
      <c r="X455" s="50">
        <v>3394.11</v>
      </c>
      <c r="Y455" s="50">
        <v>3405.1</v>
      </c>
      <c r="AA455" s="50">
        <v>38.5</v>
      </c>
      <c r="AC455" s="50">
        <v>34727</v>
      </c>
      <c r="AD455" s="50">
        <v>1.67</v>
      </c>
      <c r="AE455" s="50" t="s">
        <v>4777</v>
      </c>
    </row>
    <row r="456" spans="1:31">
      <c r="A456" s="50" t="s">
        <v>4782</v>
      </c>
      <c r="B456" s="50" t="s">
        <v>31</v>
      </c>
      <c r="C456" s="50" t="s">
        <v>4783</v>
      </c>
      <c r="D456" s="50" t="e">
        <f ca="1">Image("https://images-na.ssl-images-amazon.com/images/I/51hpfk8d-oL.jpg;https://images-na.ssl-images-amazon.com/images/I/51Xp1dzFxPL.jpg;https://images-na.ssl-images-amazon.com/images/I/51a1-EYbZOL.jpg;https://images-na.ssl-images-amazon.com/images/I/51Exg-ZkqoL"&amp;".jpg")</f>
        <v>#NAME?</v>
      </c>
      <c r="E456" s="50" t="s">
        <v>20</v>
      </c>
      <c r="F456" s="50" t="s">
        <v>33</v>
      </c>
      <c r="G456" s="50">
        <v>587</v>
      </c>
      <c r="H456" s="50">
        <v>10</v>
      </c>
      <c r="I456" s="50">
        <v>5544.13</v>
      </c>
      <c r="K456" s="50">
        <v>-271.74</v>
      </c>
      <c r="L456" s="50">
        <v>-271.74</v>
      </c>
      <c r="R456" s="50">
        <v>1.7</v>
      </c>
      <c r="S456" s="50">
        <v>16.670000000000002</v>
      </c>
      <c r="T456" s="50">
        <v>-85.86</v>
      </c>
      <c r="U456" s="50">
        <v>-2703.46</v>
      </c>
      <c r="W456" s="50">
        <v>2483.0700000000002</v>
      </c>
      <c r="X456" s="50">
        <v>2483.0700000000002</v>
      </c>
      <c r="Y456" s="50">
        <v>2483.0700000000002</v>
      </c>
      <c r="AA456" s="50">
        <v>44.79</v>
      </c>
      <c r="AC456" s="50">
        <v>56130</v>
      </c>
      <c r="AD456" s="50">
        <v>4.9000000000000004</v>
      </c>
      <c r="AE456" s="50" t="s">
        <v>4777</v>
      </c>
    </row>
    <row r="457" spans="1:31">
      <c r="A457" s="50" t="s">
        <v>4784</v>
      </c>
      <c r="B457" s="50" t="s">
        <v>73</v>
      </c>
      <c r="C457" s="50" t="s">
        <v>4785</v>
      </c>
      <c r="D457" s="50" t="e">
        <f ca="1">Image("https://images-na.ssl-images-amazon.com/images/I/41Riwv5rLIL.jpg;https://images-na.ssl-images-amazon.com/images/I/41am3P0IcdL.jpg;https://images-na.ssl-images-amazon.com/images/I/41jRuf03hTL.jpg;https://images-na.ssl-images-amazon.com/images/I/41sJxaJ4f0L"&amp;".jpg")</f>
        <v>#NAME?</v>
      </c>
      <c r="E457" s="50" t="s">
        <v>16</v>
      </c>
      <c r="F457" s="50" t="s">
        <v>75</v>
      </c>
      <c r="G457" s="50">
        <v>486</v>
      </c>
      <c r="H457" s="50">
        <v>11</v>
      </c>
      <c r="I457" s="50">
        <v>4292.07</v>
      </c>
      <c r="K457" s="50">
        <v>-1.05</v>
      </c>
      <c r="L457" s="50">
        <v>-1.05</v>
      </c>
      <c r="R457" s="50">
        <v>2.2599999999999998</v>
      </c>
      <c r="S457" s="50">
        <v>54.55</v>
      </c>
      <c r="T457" s="50">
        <v>-86.86</v>
      </c>
      <c r="U457" s="50">
        <v>-2528.0500000000002</v>
      </c>
      <c r="W457" s="50">
        <v>1676.11</v>
      </c>
      <c r="X457" s="50">
        <v>1676.11</v>
      </c>
      <c r="Y457" s="50">
        <v>1676.11</v>
      </c>
      <c r="AA457" s="50">
        <v>39.049999999999997</v>
      </c>
      <c r="AC457" s="50">
        <v>529994</v>
      </c>
      <c r="AD457" s="50">
        <v>0.02</v>
      </c>
      <c r="AE457" s="50" t="s">
        <v>4777</v>
      </c>
    </row>
    <row r="458" spans="1:31">
      <c r="A458" s="50" t="s">
        <v>4441</v>
      </c>
      <c r="B458" s="50" t="s">
        <v>70</v>
      </c>
      <c r="C458" s="50" t="s">
        <v>71</v>
      </c>
      <c r="D458" s="50" t="e">
        <f ca="1">Image("https://images-na.ssl-images-amazon.com/images/I/413l3NMhAQL.jpg;https://images-na.ssl-images-amazon.com/images/I/51YJHQ4ILFL.jpg;https://images-na.ssl-images-amazon.com/images/I/51L1CnfS72L.jpg;https://images-na.ssl-images-amazon.com/images/I/41+r-n9QY0L"&amp;".jpg;https://images-na.ssl-images-amazon.com/images/I/51eyrJ4lM5L.jpg;https://images-na.ssl-images-amazon.com/images/I/51Jm2JId33L.jpg;https://images-na.ssl-images-amazon.com/images/I/41h-4X0e4iL.jpg;https://images-na.ssl-images-amazon.com/images/I/41ay8C"&amp;"KQtBL.jpg")</f>
        <v>#NAME?</v>
      </c>
      <c r="E458" s="50" t="s">
        <v>16</v>
      </c>
      <c r="F458" s="50" t="s">
        <v>72</v>
      </c>
      <c r="G458" s="50">
        <v>426</v>
      </c>
      <c r="H458" s="50">
        <v>31</v>
      </c>
      <c r="I458" s="50">
        <v>4305.75</v>
      </c>
      <c r="R458" s="50">
        <v>7.28</v>
      </c>
      <c r="S458" s="50">
        <v>46.67</v>
      </c>
      <c r="T458" s="50">
        <v>-277.42</v>
      </c>
      <c r="U458" s="50">
        <v>-2576.12</v>
      </c>
      <c r="W458" s="50">
        <v>1452.21</v>
      </c>
      <c r="X458" s="50">
        <v>1452.21</v>
      </c>
      <c r="Y458" s="50">
        <v>1452.21</v>
      </c>
      <c r="AA458" s="50">
        <v>33.729999999999997</v>
      </c>
      <c r="AE458" s="50" t="s">
        <v>4777</v>
      </c>
    </row>
    <row r="459" spans="1:31">
      <c r="A459" s="50" t="s">
        <v>4467</v>
      </c>
      <c r="B459" s="50" t="s">
        <v>76</v>
      </c>
      <c r="C459" s="50" t="s">
        <v>4786</v>
      </c>
      <c r="D459" s="50" t="e">
        <f ca="1">Image("https://images-na.ssl-images-amazon.com/images/I/41WfQlAKgEL.jpg;https://images-na.ssl-images-amazon.com/images/I/41A2eaJ3hvL.jpg;https://images-na.ssl-images-amazon.com/images/I/51o6bKBFqbL.jpg;https://images-na.ssl-images-amazon.com/images/I/41AHI5LW2SL"&amp;".jpg;https://images-na.ssl-images-amazon.com/images/I/5149HJf7zWL.jpg;https://images-na.ssl-images-amazon.com/images/I/513qvw4uCWL.jpg;https://images-na.ssl-images-amazon.com/images/I/61FbXfMSk1L.jpg")</f>
        <v>#NAME?</v>
      </c>
      <c r="E459" s="50" t="s">
        <v>20</v>
      </c>
      <c r="F459" s="50" t="s">
        <v>78</v>
      </c>
      <c r="G459" s="50">
        <v>379</v>
      </c>
      <c r="H459" s="50">
        <v>55</v>
      </c>
      <c r="I459" s="50">
        <v>5978.55</v>
      </c>
      <c r="K459" s="50">
        <v>-665.97</v>
      </c>
      <c r="L459" s="50">
        <v>-665.97</v>
      </c>
      <c r="R459" s="50">
        <v>14.51</v>
      </c>
      <c r="S459" s="50">
        <v>25.53</v>
      </c>
      <c r="T459" s="50">
        <v>-777.82</v>
      </c>
      <c r="U459" s="50">
        <v>-2746.84</v>
      </c>
      <c r="W459" s="50">
        <v>1787.92</v>
      </c>
      <c r="X459" s="50">
        <v>1787.92</v>
      </c>
      <c r="Y459" s="50">
        <v>1787.92</v>
      </c>
      <c r="AA459" s="50">
        <v>29.91</v>
      </c>
      <c r="AC459" s="50">
        <v>34727</v>
      </c>
      <c r="AD459" s="50">
        <v>11.14</v>
      </c>
      <c r="AE459" s="50" t="s">
        <v>4777</v>
      </c>
    </row>
    <row r="460" spans="1:31">
      <c r="A460" s="50" t="s">
        <v>4377</v>
      </c>
      <c r="B460" s="50" t="s">
        <v>79</v>
      </c>
      <c r="C460" s="50" t="s">
        <v>4787</v>
      </c>
      <c r="D460" s="50" t="e">
        <f ca="1">Image("https://images-na.ssl-images-amazon.com/images/I/41H7i2SOcVL.jpg;https://images-na.ssl-images-amazon.com/images/I/41Ao5HzmU1L.jpg;https://images-na.ssl-images-amazon.com/images/I/41RBTL+FAML.jpg;https://images-na.ssl-images-amazon.com/images/I/41H7i2SOcVL"&amp;".jpg")</f>
        <v>#NAME?</v>
      </c>
      <c r="E460" s="50" t="s">
        <v>16</v>
      </c>
      <c r="F460" s="50" t="s">
        <v>81</v>
      </c>
      <c r="G460" s="50">
        <v>377</v>
      </c>
      <c r="H460" s="50">
        <v>10</v>
      </c>
      <c r="I460" s="50">
        <v>2980</v>
      </c>
      <c r="K460" s="50">
        <v>-8.9</v>
      </c>
      <c r="L460" s="50">
        <v>-8.9</v>
      </c>
      <c r="R460" s="50">
        <v>2.65</v>
      </c>
      <c r="S460" s="50">
        <v>37.5</v>
      </c>
      <c r="T460" s="50">
        <v>-70</v>
      </c>
      <c r="U460" s="50">
        <v>-1873.24</v>
      </c>
      <c r="W460" s="50">
        <v>1027.8599999999999</v>
      </c>
      <c r="X460" s="50">
        <v>1027.8599999999999</v>
      </c>
      <c r="Y460" s="50">
        <v>1027.8599999999999</v>
      </c>
      <c r="AA460" s="50">
        <v>34.49</v>
      </c>
      <c r="AC460" s="50">
        <v>156074</v>
      </c>
      <c r="AD460" s="50">
        <v>0.3</v>
      </c>
      <c r="AE460" s="50" t="s">
        <v>4777</v>
      </c>
    </row>
    <row r="461" spans="1:31">
      <c r="A461" s="50" t="s">
        <v>4577</v>
      </c>
      <c r="B461" s="50" t="s">
        <v>130</v>
      </c>
      <c r="C461" s="50" t="s">
        <v>4788</v>
      </c>
      <c r="D461" s="50" t="e">
        <f ca="1">Image("https://images-na.ssl-images-amazon.com/images/I/51XXMHOfvHL.jpg;https://images-na.ssl-images-amazon.com/images/I/51zLdjSt2VL.jpg;https://images-na.ssl-images-amazon.com/images/I/51-oevD1sfL.jpg;https://images-na.ssl-images-amazon.com/images/I/51rlEk-ifVL"&amp;".jpg;https://images-na.ssl-images-amazon.com/images/I/61QFTeQHz7L.jpg;https://images-na.ssl-images-amazon.com/images/I/513kSGDfDbL.jpg;https://images-na.ssl-images-amazon.com/images/I/61-OE0Ece+L.jpg;https://images-na.ssl-images-amazon.com/images/I/518Yvv"&amp;"P9pvL.jpg;https://images-na.ssl-images-amazon.com/images/I/51L37dHsiuL.jpg")</f>
        <v>#NAME?</v>
      </c>
      <c r="E461" s="50" t="s">
        <v>20</v>
      </c>
      <c r="F461" s="50" t="s">
        <v>132</v>
      </c>
      <c r="G461" s="50">
        <v>340</v>
      </c>
      <c r="H461" s="50">
        <v>34</v>
      </c>
      <c r="I461" s="50">
        <v>2544.1999999999998</v>
      </c>
      <c r="K461" s="50">
        <v>-15.76</v>
      </c>
      <c r="L461" s="50">
        <v>-15.76</v>
      </c>
      <c r="R461" s="50">
        <v>10</v>
      </c>
      <c r="S461" s="50">
        <v>70.59</v>
      </c>
      <c r="T461" s="50">
        <v>-232.41</v>
      </c>
      <c r="U461" s="50">
        <v>-1378.43</v>
      </c>
      <c r="W461" s="50">
        <v>917.6</v>
      </c>
      <c r="X461" s="50">
        <v>917.6</v>
      </c>
      <c r="Y461" s="50">
        <v>917.6</v>
      </c>
      <c r="AA461" s="50">
        <v>36.07</v>
      </c>
      <c r="AC461" s="50">
        <v>114330</v>
      </c>
      <c r="AD461" s="50">
        <v>0.62</v>
      </c>
      <c r="AE461" s="50" t="s">
        <v>4777</v>
      </c>
    </row>
    <row r="462" spans="1:31">
      <c r="A462" s="50" t="s">
        <v>4789</v>
      </c>
      <c r="B462" s="50" t="s">
        <v>14</v>
      </c>
      <c r="C462" s="50" t="s">
        <v>4790</v>
      </c>
      <c r="D462" s="50" t="e">
        <f ca="1">Image("https://images-na.ssl-images-amazon.com/images/I/51wu2q-zKuL.jpg;https://images-na.ssl-images-amazon.com/images/I/517-DmWn7iL.jpg;https://images-na.ssl-images-amazon.com/images/I/41veFufhgBL.jpg;https://images-na.ssl-images-amazon.com/images/I/41BTUKYzcuL"&amp;".jpg;https://images-na.ssl-images-amazon.com/images/I/51mgfxVp3wL.jpg")</f>
        <v>#NAME?</v>
      </c>
      <c r="E462" s="50" t="s">
        <v>16</v>
      </c>
      <c r="F462" s="50" t="s">
        <v>17</v>
      </c>
      <c r="G462" s="50">
        <v>249</v>
      </c>
      <c r="H462" s="50">
        <v>23</v>
      </c>
      <c r="I462" s="50">
        <v>20824.439999999999</v>
      </c>
      <c r="R462" s="50">
        <v>9.24</v>
      </c>
      <c r="S462" s="50">
        <v>43.48</v>
      </c>
      <c r="T462" s="50">
        <v>-1640.44</v>
      </c>
      <c r="U462" s="50">
        <v>-5117.51</v>
      </c>
      <c r="W462" s="50">
        <v>14066.49</v>
      </c>
      <c r="X462" s="50">
        <v>14066.49</v>
      </c>
      <c r="Y462" s="50">
        <v>14066.49</v>
      </c>
      <c r="AA462" s="50">
        <v>67.55</v>
      </c>
      <c r="AC462" s="50">
        <v>11213</v>
      </c>
      <c r="AE462" s="50" t="s">
        <v>4777</v>
      </c>
    </row>
    <row r="463" spans="1:31">
      <c r="A463" s="50" t="s">
        <v>4289</v>
      </c>
      <c r="B463" s="50" t="s">
        <v>115</v>
      </c>
      <c r="C463" s="50" t="s">
        <v>4791</v>
      </c>
      <c r="D463" s="50" t="e">
        <f ca="1">Image("https://images-na.ssl-images-amazon.com/images/I/413ck9lsOKL.jpg;https://images-na.ssl-images-amazon.com/images/I/51UscLhaobL.jpg;https://images-na.ssl-images-amazon.com/images/I/419iX+USdLL.jpg;https://images-na.ssl-images-amazon.com/images/I/41dskjfBfCL"&amp;".jpg;https://images-na.ssl-images-amazon.com/images/I/41aiVR-WqFL.jpg;https://images-na.ssl-images-amazon.com/images/I/417VtmlIFML.jpg;https://images-na.ssl-images-amazon.com/images/I/41BHpUibkjL.jpg;https://images-na.ssl-images-amazon.com/images/I/61tPVZ"&amp;"EHwGL.jpg")</f>
        <v>#NAME?</v>
      </c>
      <c r="E463" s="50" t="s">
        <v>20</v>
      </c>
      <c r="F463" s="50" t="s">
        <v>117</v>
      </c>
      <c r="G463" s="50">
        <v>243</v>
      </c>
      <c r="H463" s="50">
        <v>8</v>
      </c>
      <c r="I463" s="50">
        <v>2158.16</v>
      </c>
      <c r="K463" s="50">
        <v>-1.48</v>
      </c>
      <c r="L463" s="50">
        <v>-1.48</v>
      </c>
      <c r="R463" s="50">
        <v>3.29</v>
      </c>
      <c r="S463" s="50">
        <v>44.44</v>
      </c>
      <c r="T463" s="50">
        <v>-64.52</v>
      </c>
      <c r="U463" s="50">
        <v>-1233.9100000000001</v>
      </c>
      <c r="W463" s="50">
        <v>858.25</v>
      </c>
      <c r="X463" s="50">
        <v>858.25</v>
      </c>
      <c r="Y463" s="50">
        <v>858.25</v>
      </c>
      <c r="AA463" s="50">
        <v>39.770000000000003</v>
      </c>
      <c r="AC463" s="50">
        <v>100087</v>
      </c>
      <c r="AD463" s="50">
        <v>7.0000000000000007E-2</v>
      </c>
      <c r="AE463" s="50" t="s">
        <v>4777</v>
      </c>
    </row>
    <row r="464" spans="1:31">
      <c r="A464" s="50" t="s">
        <v>4700</v>
      </c>
      <c r="B464" s="50" t="s">
        <v>94</v>
      </c>
      <c r="C464" s="50" t="s">
        <v>4792</v>
      </c>
      <c r="D464" s="50" t="e">
        <f ca="1">Image("https://images-na.ssl-images-amazon.com/images/I/41XxtP53SHL.jpg;https://images-na.ssl-images-amazon.com/images/I/41N4J-gvEOL.jpg;https://images-na.ssl-images-amazon.com/images/I/51NKQK93QwL.jpg;https://images-na.ssl-images-amazon.com/images/I/51ldLWl+xPL"&amp;".jpg;https://images-na.ssl-images-amazon.com/images/I/51-OBHwTsFL.jpg;https://images-na.ssl-images-amazon.com/images/I/51UHDnxz5gL.jpg;https://images-na.ssl-images-amazon.com/images/I/41EQ8YE35tL.jpg")</f>
        <v>#NAME?</v>
      </c>
      <c r="E464" s="50" t="s">
        <v>20</v>
      </c>
      <c r="F464" s="50" t="s">
        <v>96</v>
      </c>
      <c r="G464" s="50">
        <v>243</v>
      </c>
      <c r="H464" s="50">
        <v>21</v>
      </c>
      <c r="I464" s="50">
        <v>3229.25</v>
      </c>
      <c r="K464" s="50">
        <v>-138.28</v>
      </c>
      <c r="L464" s="50">
        <v>-138.28</v>
      </c>
      <c r="R464" s="50">
        <v>8.64</v>
      </c>
      <c r="S464" s="50">
        <v>35</v>
      </c>
      <c r="T464" s="50">
        <v>-244.82</v>
      </c>
      <c r="U464" s="50">
        <v>-1574.41</v>
      </c>
      <c r="W464" s="50">
        <v>1271.74</v>
      </c>
      <c r="X464" s="50">
        <v>1271.74</v>
      </c>
      <c r="Y464" s="50">
        <v>1271.74</v>
      </c>
      <c r="AA464" s="50">
        <v>39.380000000000003</v>
      </c>
      <c r="AC464" s="50">
        <v>34727</v>
      </c>
      <c r="AD464" s="50">
        <v>4.28</v>
      </c>
      <c r="AE464" s="50" t="s">
        <v>4777</v>
      </c>
    </row>
    <row r="465" spans="1:31">
      <c r="A465" s="50" t="s">
        <v>4793</v>
      </c>
      <c r="B465" s="50" t="s">
        <v>82</v>
      </c>
      <c r="C465" s="50" t="s">
        <v>4794</v>
      </c>
      <c r="D465" s="50" t="e">
        <f ca="1">Image("https://images-na.ssl-images-amazon.com/images/I/41e1rbszsQL.jpg;https://images-na.ssl-images-amazon.com/images/I/21DNaUWkseL.jpg;https://images-na.ssl-images-amazon.com/images/I/31AUIAhX5+L.jpg;https://images-na.ssl-images-amazon.com/images/I/51yQoZzg+yL"&amp;".jpg;https://images-na.ssl-images-amazon.com/images/I/61MVDqWFf7L.jpg;https://images-na.ssl-images-amazon.com/images/I/513VyruhmEL.jpg;https://images-na.ssl-images-amazon.com/images/I/51xNAS7mwJL.jpg;https://images-na.ssl-images-amazon.com/images/I/61WfeJ"&amp;"caHhL.jpg")</f>
        <v>#NAME?</v>
      </c>
      <c r="E465" s="50" t="s">
        <v>20</v>
      </c>
      <c r="F465" s="50" t="s">
        <v>84</v>
      </c>
      <c r="G465" s="50">
        <v>238</v>
      </c>
      <c r="H465" s="50">
        <v>10</v>
      </c>
      <c r="I465" s="50">
        <v>4566.17</v>
      </c>
      <c r="K465" s="50">
        <v>-63.48</v>
      </c>
      <c r="L465" s="50">
        <v>-63.48</v>
      </c>
      <c r="R465" s="50">
        <v>4.2</v>
      </c>
      <c r="S465" s="50">
        <v>9.09</v>
      </c>
      <c r="T465" s="50">
        <v>-165.6</v>
      </c>
      <c r="U465" s="50">
        <v>-3086.89</v>
      </c>
      <c r="W465" s="50">
        <v>1250.2</v>
      </c>
      <c r="X465" s="50">
        <v>1250.2</v>
      </c>
      <c r="Y465" s="50">
        <v>1250.2</v>
      </c>
      <c r="AA465" s="50">
        <v>27.38</v>
      </c>
      <c r="AC465" s="50">
        <v>273902</v>
      </c>
      <c r="AD465" s="50">
        <v>1.39</v>
      </c>
      <c r="AE465" s="50" t="s">
        <v>4777</v>
      </c>
    </row>
    <row r="466" spans="1:31">
      <c r="A466" s="50" t="s">
        <v>4708</v>
      </c>
      <c r="B466" s="50" t="s">
        <v>100</v>
      </c>
      <c r="C466" s="50" t="s">
        <v>4795</v>
      </c>
      <c r="D466" s="50" t="e">
        <f ca="1">Image("https://images-na.ssl-images-amazon.com/images/I/31eXRUjBMbL.jpg;https://images-na.ssl-images-amazon.com/images/I/216MqaMqpcL.jpg;https://images-na.ssl-images-amazon.com/images/I/513qXfkwQHL.jpg;https://images-na.ssl-images-amazon.com/images/I/51oOWnpHliL"&amp;".jpg;https://images-na.ssl-images-amazon.com/images/I/51IOJ0m18nL.jpg;https://images-na.ssl-images-amazon.com/images/I/51o4+P8zXtL.jpg;https://images-na.ssl-images-amazon.com/images/I/51rSrc9q7RL.jpg;https://images-na.ssl-images-amazon.com/images/I/6184X-"&amp;"sipfL.jpg")</f>
        <v>#NAME?</v>
      </c>
      <c r="E466" s="50" t="s">
        <v>20</v>
      </c>
      <c r="F466" s="50" t="s">
        <v>102</v>
      </c>
      <c r="G466" s="50">
        <v>232</v>
      </c>
      <c r="H466" s="50">
        <v>22</v>
      </c>
      <c r="I466" s="50">
        <v>2890.55</v>
      </c>
      <c r="K466" s="50">
        <v>-24.32</v>
      </c>
      <c r="L466" s="50">
        <v>-24.32</v>
      </c>
      <c r="R466" s="50">
        <v>9.48</v>
      </c>
      <c r="S466" s="50">
        <v>56</v>
      </c>
      <c r="T466" s="50">
        <v>-256.64999999999998</v>
      </c>
      <c r="U466" s="50">
        <v>-1356.8</v>
      </c>
      <c r="W466" s="50">
        <v>1252.78</v>
      </c>
      <c r="X466" s="50">
        <v>1252.78</v>
      </c>
      <c r="Y466" s="50">
        <v>1252.78</v>
      </c>
      <c r="AA466" s="50">
        <v>43.34</v>
      </c>
      <c r="AC466" s="50">
        <v>34727</v>
      </c>
      <c r="AD466" s="50">
        <v>0.84</v>
      </c>
      <c r="AE466" s="50" t="s">
        <v>4777</v>
      </c>
    </row>
    <row r="467" spans="1:31">
      <c r="A467" s="50" t="s">
        <v>4373</v>
      </c>
      <c r="B467" s="50" t="s">
        <v>28</v>
      </c>
      <c r="C467" s="50" t="s">
        <v>4796</v>
      </c>
      <c r="D467" s="50" t="e">
        <f ca="1">Image("https://images-na.ssl-images-amazon.com/images/I/414t+kaygYL.jpg;https://images-na.ssl-images-amazon.com/images/I/41a3E3q1+NL.jpg;https://images-na.ssl-images-amazon.com/images/I/41I4eWokYLL.jpg;https://images-na.ssl-images-amazon.com/images/I/41UFL7QUoCL"&amp;".jpg;https://images-na.ssl-images-amazon.com/images/I/41EwXDv1d2L.jpg;https://images-na.ssl-images-amazon.com/images/I/4107BtP3uCL.jpg;https://images-na.ssl-images-amazon.com/images/I/51I4fuQktAL.jpg")</f>
        <v>#NAME?</v>
      </c>
      <c r="E467" s="50" t="s">
        <v>16</v>
      </c>
      <c r="F467" s="50" t="s">
        <v>30</v>
      </c>
      <c r="G467" s="50">
        <v>229</v>
      </c>
      <c r="H467" s="50">
        <v>23</v>
      </c>
      <c r="I467" s="50">
        <v>3024.62</v>
      </c>
      <c r="R467" s="50">
        <v>10.039999999999999</v>
      </c>
      <c r="S467" s="50">
        <v>55.56</v>
      </c>
      <c r="T467" s="50">
        <v>-258.2</v>
      </c>
      <c r="U467" s="50">
        <v>-1043.04</v>
      </c>
      <c r="W467" s="50">
        <v>1723.38</v>
      </c>
      <c r="X467" s="50">
        <v>1723.38</v>
      </c>
      <c r="Y467" s="50">
        <v>1723.38</v>
      </c>
      <c r="AA467" s="50">
        <v>56.98</v>
      </c>
      <c r="AC467" s="50">
        <v>127726</v>
      </c>
      <c r="AE467" s="50" t="s">
        <v>4777</v>
      </c>
    </row>
    <row r="468" spans="1:31">
      <c r="A468" s="50" t="s">
        <v>4462</v>
      </c>
      <c r="B468" s="50" t="s">
        <v>49</v>
      </c>
      <c r="C468" s="50" t="s">
        <v>4797</v>
      </c>
      <c r="D468" s="50" t="e">
        <f ca="1">Image("https://images-na.ssl-images-amazon.com/images/I/51x4M5NGCjL.jpg;https://images-na.ssl-images-amazon.com/images/I/412S7MP0UUL.jpg;https://images-na.ssl-images-amazon.com/images/I/51QJdx9Qz6L.jpg;https://images-na.ssl-images-amazon.com/images/I/5187UFB8gmL"&amp;".jpg;https://images-na.ssl-images-amazon.com/images/I/41Vad5eroaL.jpg;https://images-na.ssl-images-amazon.com/images/I/51w-zadXJSL.jpg;https://images-na.ssl-images-amazon.com/images/I/41SHvwo5IsL.jpg")</f>
        <v>#NAME?</v>
      </c>
      <c r="E468" s="50" t="s">
        <v>20</v>
      </c>
      <c r="F468" s="50" t="s">
        <v>51</v>
      </c>
      <c r="G468" s="50">
        <v>210</v>
      </c>
      <c r="H468" s="50">
        <v>14</v>
      </c>
      <c r="I468" s="50">
        <v>5370.3</v>
      </c>
      <c r="K468" s="50">
        <v>-415.68</v>
      </c>
      <c r="L468" s="50">
        <v>-415.68</v>
      </c>
      <c r="R468" s="50">
        <v>6.67</v>
      </c>
      <c r="S468" s="50">
        <v>15.38</v>
      </c>
      <c r="T468" s="50">
        <v>-314.22000000000003</v>
      </c>
      <c r="U468" s="50">
        <v>-2320.37</v>
      </c>
      <c r="W468" s="50">
        <v>2320.0300000000002</v>
      </c>
      <c r="X468" s="50">
        <v>2320.0300000000002</v>
      </c>
      <c r="Y468" s="50">
        <v>2320.0300000000002</v>
      </c>
      <c r="AA468" s="50">
        <v>43.2</v>
      </c>
      <c r="AC468" s="50">
        <v>256782</v>
      </c>
      <c r="AD468" s="50">
        <v>7.74</v>
      </c>
      <c r="AE468" s="50" t="s">
        <v>4777</v>
      </c>
    </row>
    <row r="469" spans="1:31">
      <c r="A469" s="50" t="s">
        <v>4644</v>
      </c>
      <c r="B469" s="50" t="s">
        <v>112</v>
      </c>
      <c r="C469" s="50" t="s">
        <v>4798</v>
      </c>
      <c r="D469" s="50" t="e">
        <f ca="1">Image("https://images-na.ssl-images-amazon.com/images/I/51GS85U8mIL.jpg;https://images-na.ssl-images-amazon.com/images/I/61hllX89pOL.jpg;https://images-na.ssl-images-amazon.com/images/I/518uvPo7gJL.jpg;https://images-na.ssl-images-amazon.com/images/I/41IHpEjv6BL"&amp;".jpg")</f>
        <v>#NAME?</v>
      </c>
      <c r="E469" s="50" t="s">
        <v>16</v>
      </c>
      <c r="F469" s="50" t="s">
        <v>114</v>
      </c>
      <c r="G469" s="50">
        <v>195</v>
      </c>
      <c r="H469" s="50">
        <v>10</v>
      </c>
      <c r="I469" s="50">
        <v>2158.14</v>
      </c>
      <c r="K469" s="50">
        <v>-2.09</v>
      </c>
      <c r="L469" s="50">
        <v>-2.09</v>
      </c>
      <c r="R469" s="50">
        <v>5.13</v>
      </c>
      <c r="S469" s="50">
        <v>36.36</v>
      </c>
      <c r="T469" s="50">
        <v>-92.77</v>
      </c>
      <c r="U469" s="50">
        <v>-1033.93</v>
      </c>
      <c r="W469" s="50">
        <v>1029.3499999999999</v>
      </c>
      <c r="X469" s="50">
        <v>1029.3499999999999</v>
      </c>
      <c r="Y469" s="50">
        <v>1029.3499999999999</v>
      </c>
      <c r="AA469" s="50">
        <v>47.7</v>
      </c>
      <c r="AC469" s="50">
        <v>935400</v>
      </c>
      <c r="AD469" s="50">
        <v>0.1</v>
      </c>
      <c r="AE469" s="50" t="s">
        <v>4777</v>
      </c>
    </row>
    <row r="470" spans="1:31">
      <c r="A470" s="50" t="s">
        <v>4799</v>
      </c>
      <c r="B470" s="50" t="s">
        <v>43</v>
      </c>
      <c r="C470" s="50" t="s">
        <v>4800</v>
      </c>
      <c r="D470" s="50" t="e">
        <f ca="1">Image("https://images-na.ssl-images-amazon.com/images/I/41qjLr9szXL.jpg;https://images-na.ssl-images-amazon.com/images/I/51NDwofsY9L.jpg;https://images-na.ssl-images-amazon.com/images/I/41TM8PrZnJL.jpg;https://images-na.ssl-images-amazon.com/images/I/413TjTXnyIL"&amp;".jpg;https://images-na.ssl-images-amazon.com/images/I/51ktGsjRZ6L.jpg;https://images-na.ssl-images-amazon.com/images/I/51loRx1BqCL.jpg;https://images-na.ssl-images-amazon.com/images/I/51pnsOsQ-PL.jpg;https://images-na.ssl-images-amazon.com/images/I/51Bfzn"&amp;"TgQ3L.jpg;https://images-na.ssl-images-amazon.com/images/I/51qBa1U+56L.jpg")</f>
        <v>#NAME?</v>
      </c>
      <c r="E470" s="50" t="s">
        <v>20</v>
      </c>
      <c r="F470" s="50" t="s">
        <v>45</v>
      </c>
      <c r="G470" s="50">
        <v>180</v>
      </c>
      <c r="H470" s="50">
        <v>7</v>
      </c>
      <c r="I470" s="50">
        <v>3360.31</v>
      </c>
      <c r="K470" s="50">
        <v>-13.65</v>
      </c>
      <c r="L470" s="50">
        <v>-13.65</v>
      </c>
      <c r="R470" s="50">
        <v>3.89</v>
      </c>
      <c r="S470" s="50">
        <v>14.29</v>
      </c>
      <c r="T470" s="50">
        <v>-119.21</v>
      </c>
      <c r="U470" s="50">
        <v>-1687.39</v>
      </c>
      <c r="W470" s="50">
        <v>1540.06</v>
      </c>
      <c r="X470" s="50">
        <v>1540.06</v>
      </c>
      <c r="Y470" s="50">
        <v>1540.06</v>
      </c>
      <c r="AA470" s="50">
        <v>45.83</v>
      </c>
      <c r="AC470" s="50">
        <v>69706</v>
      </c>
      <c r="AD470" s="50">
        <v>0.41</v>
      </c>
      <c r="AE470" s="50" t="s">
        <v>4777</v>
      </c>
    </row>
    <row r="471" spans="1:31">
      <c r="A471" s="50" t="s">
        <v>4801</v>
      </c>
      <c r="B471" s="50" t="s">
        <v>55</v>
      </c>
      <c r="C471" s="50" t="s">
        <v>4802</v>
      </c>
      <c r="D471" s="50" t="e">
        <f ca="1">Image("https://images-na.ssl-images-amazon.com/images/I/41sjg6LtdnL.jpg;https://images-na.ssl-images-amazon.com/images/I/41Is4NvWhGL.jpg;https://images-na.ssl-images-amazon.com/images/I/51lDHEsWl7L.jpg;https://images-na.ssl-images-amazon.com/images/I/41JtPOZpu8L"&amp;".jpg;https://images-na.ssl-images-amazon.com/images/I/516NJd0jFCL.jpg;https://images-na.ssl-images-amazon.com/images/I/41b59UwEiOL.jpg;https://images-na.ssl-images-amazon.com/images/I/51ywO-tRIkL.jpg;https://images-na.ssl-images-amazon.com/images/I/51HAwN"&amp;"WrdLL.jpg")</f>
        <v>#NAME?</v>
      </c>
      <c r="E471" s="50" t="s">
        <v>20</v>
      </c>
      <c r="F471" s="50" t="s">
        <v>57</v>
      </c>
      <c r="G471" s="50">
        <v>170</v>
      </c>
      <c r="H471" s="50">
        <v>14</v>
      </c>
      <c r="I471" s="50">
        <v>3760.94</v>
      </c>
      <c r="K471" s="50">
        <v>-53.25</v>
      </c>
      <c r="L471" s="50">
        <v>-53.25</v>
      </c>
      <c r="R471" s="50">
        <v>8.24</v>
      </c>
      <c r="S471" s="50">
        <v>25</v>
      </c>
      <c r="T471" s="50">
        <v>-274.85000000000002</v>
      </c>
      <c r="U471" s="50">
        <v>-1748.35</v>
      </c>
      <c r="W471" s="50">
        <v>1684.49</v>
      </c>
      <c r="X471" s="50">
        <v>1684.49</v>
      </c>
      <c r="Y471" s="50">
        <v>1684.49</v>
      </c>
      <c r="AA471" s="50">
        <v>44.79</v>
      </c>
      <c r="AC471" s="50">
        <v>275369</v>
      </c>
      <c r="AD471" s="50">
        <v>1.42</v>
      </c>
      <c r="AE471" s="50" t="s">
        <v>4777</v>
      </c>
    </row>
    <row r="472" spans="1:31">
      <c r="A472" s="50" t="s">
        <v>4803</v>
      </c>
      <c r="B472" s="50" t="s">
        <v>58</v>
      </c>
      <c r="C472" s="50" t="s">
        <v>4804</v>
      </c>
      <c r="D472" s="50" t="e">
        <f ca="1">Image("https://images-na.ssl-images-amazon.com/images/I/51291o7fzdL.jpg;https://images-na.ssl-images-amazon.com/images/I/51NDwofsY9L.jpg;https://images-na.ssl-images-amazon.com/images/I/41TM8PrZnJL.jpg;https://images-na.ssl-images-amazon.com/images/I/413TjTXnyIL"&amp;".jpg;https://images-na.ssl-images-amazon.com/images/I/51qBa1U+56L.jpg;https://images-na.ssl-images-amazon.com/images/I/51BfznTgQ3L.jpg;https://images-na.ssl-images-amazon.com/images/I/51lHkguOGLL.jpg")</f>
        <v>#NAME?</v>
      </c>
      <c r="E472" s="50" t="s">
        <v>20</v>
      </c>
      <c r="F472" s="50" t="s">
        <v>60</v>
      </c>
      <c r="G472" s="50">
        <v>166</v>
      </c>
      <c r="H472" s="50">
        <v>16</v>
      </c>
      <c r="I472" s="50">
        <v>4193</v>
      </c>
      <c r="K472" s="50">
        <v>-386.1</v>
      </c>
      <c r="L472" s="50">
        <v>-386.1</v>
      </c>
      <c r="R472" s="50">
        <v>9.64</v>
      </c>
      <c r="S472" s="50">
        <v>6.67</v>
      </c>
      <c r="T472" s="50">
        <v>-352.88</v>
      </c>
      <c r="U472" s="50">
        <v>-1523.39</v>
      </c>
      <c r="W472" s="50">
        <v>1930.63</v>
      </c>
      <c r="X472" s="50">
        <v>1930.63</v>
      </c>
      <c r="Y472" s="50">
        <v>1930.63</v>
      </c>
      <c r="AA472" s="50">
        <v>46.04</v>
      </c>
      <c r="AC472" s="50">
        <v>69706</v>
      </c>
      <c r="AD472" s="50">
        <v>9.2100000000000009</v>
      </c>
      <c r="AE472" s="50" t="s">
        <v>4777</v>
      </c>
    </row>
    <row r="473" spans="1:31">
      <c r="A473" s="50" t="s">
        <v>4805</v>
      </c>
      <c r="B473" s="50" t="s">
        <v>85</v>
      </c>
      <c r="C473" s="50" t="s">
        <v>4806</v>
      </c>
      <c r="D473" s="50" t="e">
        <f ca="1">Image("https://images-na.ssl-images-amazon.com/images/I/41GJWRVNJML.jpg;https://images-na.ssl-images-amazon.com/images/I/41GJWRVNJML.jpg")</f>
        <v>#NAME?</v>
      </c>
      <c r="E473" s="50" t="s">
        <v>16</v>
      </c>
      <c r="F473" s="50" t="s">
        <v>4807</v>
      </c>
      <c r="G473" s="50">
        <v>162</v>
      </c>
      <c r="H473" s="50">
        <v>11</v>
      </c>
      <c r="I473" s="50">
        <v>2598.1999999999998</v>
      </c>
      <c r="K473" s="50">
        <v>-0.71</v>
      </c>
      <c r="L473" s="50">
        <v>-0.71</v>
      </c>
      <c r="R473" s="50">
        <v>6.79</v>
      </c>
      <c r="S473" s="50">
        <v>36.36</v>
      </c>
      <c r="T473" s="50">
        <v>-152.54</v>
      </c>
      <c r="U473" s="50">
        <v>-1040.02</v>
      </c>
      <c r="W473" s="50">
        <v>1404.93</v>
      </c>
      <c r="X473" s="50">
        <v>1404.93</v>
      </c>
      <c r="Y473" s="50">
        <v>1404.93</v>
      </c>
      <c r="AA473" s="50">
        <v>54.07</v>
      </c>
      <c r="AC473" s="50">
        <v>234376</v>
      </c>
      <c r="AD473" s="50">
        <v>0.03</v>
      </c>
      <c r="AE473" s="50" t="s">
        <v>4777</v>
      </c>
    </row>
    <row r="474" spans="1:31">
      <c r="A474" s="50" t="s">
        <v>4808</v>
      </c>
      <c r="B474" s="50" t="s">
        <v>124</v>
      </c>
      <c r="C474" s="50" t="s">
        <v>4809</v>
      </c>
      <c r="D474" s="50" t="e">
        <f ca="1">Image("https://images-na.ssl-images-amazon.com/images/I/41WXH4eXCPL.jpg;https://images-na.ssl-images-amazon.com/images/I/41hiBGIN59L.jpg;https://images-na.ssl-images-amazon.com/images/I/41pLcIqYpFL.jpg;https://images-na.ssl-images-amazon.com/images/I/41xohT54HIL"&amp;".jpg;https://images-na.ssl-images-amazon.com/images/I/518nEUk7pCL.jpg;https://images-na.ssl-images-amazon.com/images/I/41AaYUClzHL.jpg")</f>
        <v>#NAME?</v>
      </c>
      <c r="E474" s="50" t="s">
        <v>16</v>
      </c>
      <c r="F474" s="50" t="s">
        <v>126</v>
      </c>
      <c r="G474" s="50">
        <v>146</v>
      </c>
      <c r="H474" s="50">
        <v>9</v>
      </c>
      <c r="I474" s="50">
        <v>1194.94</v>
      </c>
      <c r="R474" s="50">
        <v>6.16</v>
      </c>
      <c r="S474" s="50">
        <v>37.5</v>
      </c>
      <c r="T474" s="50">
        <v>-66.08</v>
      </c>
      <c r="U474" s="50">
        <v>-749.1</v>
      </c>
      <c r="W474" s="50">
        <v>379.76</v>
      </c>
      <c r="X474" s="50">
        <v>379.76</v>
      </c>
      <c r="Y474" s="50">
        <v>379.76</v>
      </c>
      <c r="AA474" s="50">
        <v>31.78</v>
      </c>
      <c r="AC474" s="50">
        <v>62242</v>
      </c>
      <c r="AE474" s="50" t="s">
        <v>4777</v>
      </c>
    </row>
    <row r="475" spans="1:31">
      <c r="A475" s="50" t="s">
        <v>4810</v>
      </c>
      <c r="B475" s="50" t="s">
        <v>168</v>
      </c>
      <c r="C475" s="50" t="s">
        <v>169</v>
      </c>
      <c r="D475" s="50" t="e">
        <f ca="1">Image("https://images-na.ssl-images-amazon.com/images/I/511dTfVh3qL.jpg;https://images-na.ssl-images-amazon.com/images/I/51ib6xDKXwL.jpg;https://images-na.ssl-images-amazon.com/images/I/41Lfp3uQhBL.jpg;https://images-na.ssl-images-amazon.com/images/I/41hx+s+7uIL"&amp;".jpg;https://images-na.ssl-images-amazon.com/images/I/51FQWAbFbTL.jpg")</f>
        <v>#NAME?</v>
      </c>
      <c r="E475" s="50" t="s">
        <v>20</v>
      </c>
      <c r="F475" s="50" t="s">
        <v>170</v>
      </c>
      <c r="G475" s="50">
        <v>142</v>
      </c>
      <c r="H475" s="50">
        <v>21</v>
      </c>
      <c r="I475" s="50">
        <v>1802.4</v>
      </c>
      <c r="K475" s="50">
        <v>-32.17</v>
      </c>
      <c r="L475" s="50">
        <v>-32.17</v>
      </c>
      <c r="R475" s="50">
        <v>14.79</v>
      </c>
      <c r="S475" s="50">
        <v>36.840000000000003</v>
      </c>
      <c r="T475" s="50">
        <v>-231.14</v>
      </c>
      <c r="U475" s="50">
        <v>-955.5</v>
      </c>
      <c r="W475" s="50">
        <v>583.59</v>
      </c>
      <c r="X475" s="50">
        <v>583.59</v>
      </c>
      <c r="Y475" s="50">
        <v>583.59</v>
      </c>
      <c r="AA475" s="50">
        <v>32.380000000000003</v>
      </c>
      <c r="AC475" s="50">
        <v>69706</v>
      </c>
      <c r="AD475" s="50">
        <v>1.78</v>
      </c>
      <c r="AE475" s="50" t="s">
        <v>4777</v>
      </c>
    </row>
    <row r="476" spans="1:31">
      <c r="A476" s="50" t="s">
        <v>4397</v>
      </c>
      <c r="B476" s="50" t="s">
        <v>133</v>
      </c>
      <c r="C476" s="50" t="s">
        <v>4811</v>
      </c>
      <c r="D476" s="50" t="e">
        <f ca="1">Image("https://images-na.ssl-images-amazon.com/images/I/51nHGj1X3wL.jpg;https://images-na.ssl-images-amazon.com/images/I/41eH2MC-bxL.jpg;https://images-na.ssl-images-amazon.com/images/I/41BbOMETspL.jpg;https://images-na.ssl-images-amazon.com/images/I/41uoF6ucv5L"&amp;".jpg;https://images-na.ssl-images-amazon.com/images/I/51mvhruf2OL.jpg;https://images-na.ssl-images-amazon.com/images/I/61uCEYPxRvL.jpg;https://images-na.ssl-images-amazon.com/images/I/41ykDXxBy9L.jpg")</f>
        <v>#NAME?</v>
      </c>
      <c r="E476" s="50" t="s">
        <v>20</v>
      </c>
      <c r="F476" s="50" t="s">
        <v>135</v>
      </c>
      <c r="G476" s="50">
        <v>127</v>
      </c>
      <c r="H476" s="50">
        <v>14</v>
      </c>
      <c r="I476" s="50">
        <v>1518.96</v>
      </c>
      <c r="K476" s="50">
        <v>-0.25</v>
      </c>
      <c r="L476" s="50">
        <v>-0.25</v>
      </c>
      <c r="R476" s="50">
        <v>11.02</v>
      </c>
      <c r="S476" s="50">
        <v>25</v>
      </c>
      <c r="T476" s="50">
        <v>-147.66</v>
      </c>
      <c r="U476" s="50">
        <v>-831.79</v>
      </c>
      <c r="W476" s="50">
        <v>539.26</v>
      </c>
      <c r="X476" s="50">
        <v>539.26</v>
      </c>
      <c r="Y476" s="50">
        <v>539.26</v>
      </c>
      <c r="AA476" s="50">
        <v>35.5</v>
      </c>
      <c r="AC476" s="50">
        <v>404054</v>
      </c>
      <c r="AD476" s="50">
        <v>0.02</v>
      </c>
      <c r="AE476" s="50" t="s">
        <v>4777</v>
      </c>
    </row>
    <row r="477" spans="1:31">
      <c r="A477" s="50" t="s">
        <v>4413</v>
      </c>
      <c r="B477" s="50" t="s">
        <v>127</v>
      </c>
      <c r="C477" s="50" t="s">
        <v>4812</v>
      </c>
      <c r="D477" s="50" t="e">
        <f ca="1">Image("https://images-na.ssl-images-amazon.com/images/I/41bJhvd6iWL.jpg;https://images-na.ssl-images-amazon.com/images/I/51NDwofsY9L.jpg;https://images-na.ssl-images-amazon.com/images/I/41TM8PrZnJL.jpg;https://images-na.ssl-images-amazon.com/images/I/413TjTXnyIL"&amp;".jpg;https://images-na.ssl-images-amazon.com/images/I/51qBa1U+56L.jpg;https://images-na.ssl-images-amazon.com/images/I/51BfznTgQ3L.jpg;https://images-na.ssl-images-amazon.com/images/I/51lHkguOGLL.jpg")</f>
        <v>#NAME?</v>
      </c>
      <c r="E477" s="50" t="s">
        <v>20</v>
      </c>
      <c r="F477" s="50" t="s">
        <v>4579</v>
      </c>
      <c r="G477" s="50">
        <v>114</v>
      </c>
      <c r="H477" s="50">
        <v>2</v>
      </c>
      <c r="I477" s="50">
        <v>1572</v>
      </c>
      <c r="K477" s="50">
        <v>-3.06</v>
      </c>
      <c r="L477" s="50">
        <v>-3.06</v>
      </c>
      <c r="R477" s="50">
        <v>1.75</v>
      </c>
      <c r="S477" s="50">
        <v>50</v>
      </c>
      <c r="T477" s="50">
        <v>-25.21</v>
      </c>
      <c r="U477" s="50">
        <v>-800.18</v>
      </c>
      <c r="W477" s="50">
        <v>743.55</v>
      </c>
      <c r="X477" s="50">
        <v>743.55</v>
      </c>
      <c r="Y477" s="50">
        <v>743.55</v>
      </c>
      <c r="AA477" s="50">
        <v>47.3</v>
      </c>
      <c r="AC477" s="50">
        <v>69706</v>
      </c>
      <c r="AD477" s="50">
        <v>0.19</v>
      </c>
      <c r="AE477" s="50" t="s">
        <v>4777</v>
      </c>
    </row>
    <row r="478" spans="1:31">
      <c r="A478" s="50" t="s">
        <v>4576</v>
      </c>
      <c r="B478" s="50" t="s">
        <v>109</v>
      </c>
      <c r="C478" s="50" t="s">
        <v>4813</v>
      </c>
      <c r="D478" s="50" t="e">
        <f ca="1">Image("https://images-na.ssl-images-amazon.com/images/I/51S+beLeB+L.jpg;https://images-na.ssl-images-amazon.com/images/I/51bP+QEm33L.jpg;https://images-na.ssl-images-amazon.com/images/I/51UX+C7CfWL.jpg;https://images-na.ssl-images-amazon.com/images/I/515y3Qli5rL"&amp;".jpg;https://images-na.ssl-images-amazon.com/images/I/51dKPuaBCrL.jpg;https://images-na.ssl-images-amazon.com/images/I/51q2V4XUXSL.jpg;https://images-na.ssl-images-amazon.com/images/I/41WuHjltXmL.jpg")</f>
        <v>#NAME?</v>
      </c>
      <c r="E478" s="50" t="s">
        <v>20</v>
      </c>
      <c r="F478" s="50" t="s">
        <v>111</v>
      </c>
      <c r="G478" s="50">
        <v>112</v>
      </c>
      <c r="H478" s="50">
        <v>10</v>
      </c>
      <c r="I478" s="50">
        <v>2248.92</v>
      </c>
      <c r="K478" s="50">
        <v>-1.97</v>
      </c>
      <c r="L478" s="50">
        <v>-1.97</v>
      </c>
      <c r="R478" s="50">
        <v>8.93</v>
      </c>
      <c r="S478" s="50">
        <v>45.45</v>
      </c>
      <c r="T478" s="50">
        <v>-176.25</v>
      </c>
      <c r="U478" s="50">
        <v>-1028.1300000000001</v>
      </c>
      <c r="W478" s="50">
        <v>1042.57</v>
      </c>
      <c r="X478" s="50">
        <v>1042.57</v>
      </c>
      <c r="Y478" s="50">
        <v>1042.57</v>
      </c>
      <c r="AA478" s="50">
        <v>46.36</v>
      </c>
      <c r="AC478" s="50">
        <v>355945</v>
      </c>
      <c r="AD478" s="50">
        <v>0.09</v>
      </c>
      <c r="AE478" s="50" t="s">
        <v>4777</v>
      </c>
    </row>
    <row r="479" spans="1:31">
      <c r="A479" s="50" t="s">
        <v>4643</v>
      </c>
      <c r="B479" s="50" t="s">
        <v>40</v>
      </c>
      <c r="C479" s="50" t="s">
        <v>4814</v>
      </c>
      <c r="D479" s="50" t="e">
        <f ca="1">Image("https://images-na.ssl-images-amazon.com/images/I/418XkK501gL.jpg;https://images-na.ssl-images-amazon.com/images/I/31F3m78sHOL.jpg;https://images-na.ssl-images-amazon.com/images/I/41hyQHOM+6L.jpg;https://images-na.ssl-images-amazon.com/images/I/31Fzjoqa-mL"&amp;".jpg")</f>
        <v>#NAME?</v>
      </c>
      <c r="E479" s="50" t="s">
        <v>16</v>
      </c>
      <c r="F479" s="50" t="s">
        <v>42</v>
      </c>
      <c r="G479" s="50">
        <v>111</v>
      </c>
      <c r="H479" s="50">
        <v>13</v>
      </c>
      <c r="I479" s="50">
        <v>4647.37</v>
      </c>
      <c r="R479" s="50">
        <v>11.71</v>
      </c>
      <c r="S479" s="50">
        <v>16.670000000000002</v>
      </c>
      <c r="T479" s="50">
        <v>-458.86</v>
      </c>
      <c r="U479" s="50">
        <v>-1416.29</v>
      </c>
      <c r="W479" s="50">
        <v>2772.22</v>
      </c>
      <c r="X479" s="50">
        <v>2772.22</v>
      </c>
      <c r="Y479" s="50">
        <v>2772.22</v>
      </c>
      <c r="AA479" s="50">
        <v>59.65</v>
      </c>
      <c r="AC479" s="50">
        <v>41693</v>
      </c>
      <c r="AE479" s="50" t="s">
        <v>4777</v>
      </c>
    </row>
    <row r="480" spans="1:31">
      <c r="A480" s="50" t="s">
        <v>4390</v>
      </c>
      <c r="B480" s="50" t="s">
        <v>61</v>
      </c>
      <c r="C480" s="50" t="s">
        <v>4815</v>
      </c>
      <c r="D480" s="50" t="e">
        <f ca="1">Image("https://images-na.ssl-images-amazon.com/images/I/61-vY+vY6-L.jpg;https://images-na.ssl-images-amazon.com/images/I/61ZwFXFkBeL.jpg;https://images-na.ssl-images-amazon.com/images/I/51Pe8vz+BJL.jpg;https://images-na.ssl-images-amazon.com/images/I/51zKGvKninL"&amp;".jpg;https://images-na.ssl-images-amazon.com/images/I/51UHY7APveL.jpg")</f>
        <v>#NAME?</v>
      </c>
      <c r="E480" s="50" t="s">
        <v>16</v>
      </c>
      <c r="F480" s="50" t="s">
        <v>63</v>
      </c>
      <c r="G480" s="50">
        <v>100</v>
      </c>
      <c r="H480" s="50">
        <v>5</v>
      </c>
      <c r="I480" s="50">
        <v>1746.33</v>
      </c>
      <c r="R480" s="50">
        <v>5</v>
      </c>
      <c r="S480" s="50">
        <v>25</v>
      </c>
      <c r="T480" s="50">
        <v>-79.150000000000006</v>
      </c>
      <c r="U480" s="50">
        <v>-866.58</v>
      </c>
      <c r="W480" s="50">
        <v>800.6</v>
      </c>
      <c r="X480" s="50">
        <v>800.6</v>
      </c>
      <c r="Y480" s="50">
        <v>800.6</v>
      </c>
      <c r="AA480" s="50">
        <v>45.84</v>
      </c>
      <c r="AC480" s="50">
        <v>263352</v>
      </c>
      <c r="AE480" s="50" t="s">
        <v>4777</v>
      </c>
    </row>
    <row r="481" spans="1:31">
      <c r="A481" s="50" t="s">
        <v>4646</v>
      </c>
      <c r="B481" s="50" t="s">
        <v>257</v>
      </c>
      <c r="C481" s="50" t="s">
        <v>4816</v>
      </c>
      <c r="D481" s="50" t="e">
        <f ca="1">Image("https://images-na.ssl-images-amazon.com/images/I/414uy19KyuL.jpg;https://images-na.ssl-images-amazon.com/images/I/51VgTgrqkBL.jpg;https://images-na.ssl-images-amazon.com/images/I/217R6QtYohL.jpg")</f>
        <v>#NAME?</v>
      </c>
      <c r="E481" s="50" t="s">
        <v>16</v>
      </c>
      <c r="F481" s="50" t="s">
        <v>259</v>
      </c>
      <c r="G481" s="50">
        <v>97</v>
      </c>
      <c r="H481" s="50">
        <v>9</v>
      </c>
      <c r="I481" s="50">
        <v>639.1</v>
      </c>
      <c r="R481" s="50">
        <v>9.2799999999999994</v>
      </c>
      <c r="S481" s="50">
        <v>100</v>
      </c>
      <c r="T481" s="50">
        <v>-50.68</v>
      </c>
      <c r="U481" s="50">
        <v>-356.85</v>
      </c>
      <c r="W481" s="50">
        <v>231.57</v>
      </c>
      <c r="X481" s="50">
        <v>231.57</v>
      </c>
      <c r="Y481" s="50">
        <v>231.57</v>
      </c>
      <c r="AA481" s="50">
        <v>36.229999999999997</v>
      </c>
      <c r="AC481" s="50">
        <v>208379</v>
      </c>
      <c r="AE481" s="50" t="s">
        <v>4777</v>
      </c>
    </row>
    <row r="482" spans="1:31">
      <c r="A482" s="50" t="s">
        <v>4817</v>
      </c>
      <c r="B482" s="50" t="s">
        <v>381</v>
      </c>
      <c r="C482" s="50" t="s">
        <v>4818</v>
      </c>
      <c r="D482" s="50" t="e">
        <f ca="1">Image("https://images-na.ssl-images-amazon.com/images/I/51XXMHOfvHL.jpg;https://images-na.ssl-images-amazon.com/images/I/51-oevD1sfL.jpg;https://images-na.ssl-images-amazon.com/images/I/51rlEk-ifVL.jpg;https://images-na.ssl-images-amazon.com/images/I/61QFTeQHz7L"&amp;".jpg;https://images-na.ssl-images-amazon.com/images/I/513kSGDfDbL.jpg;https://images-na.ssl-images-amazon.com/images/I/518YvvP9pvL.jpg;https://images-na.ssl-images-amazon.com/images/I/51L37dHsiuL.jpg;https://images-na.ssl-images-amazon.com/images/I/419TMH"&amp;"jSq9L.jpg")</f>
        <v>#NAME?</v>
      </c>
      <c r="E482" s="50" t="s">
        <v>20</v>
      </c>
      <c r="F482" s="50" t="s">
        <v>383</v>
      </c>
      <c r="G482" s="50">
        <v>81</v>
      </c>
      <c r="H482" s="50">
        <v>3</v>
      </c>
      <c r="I482" s="50">
        <v>568.46</v>
      </c>
      <c r="R482" s="50">
        <v>3.7</v>
      </c>
      <c r="S482" s="50">
        <v>33.33</v>
      </c>
      <c r="T482" s="50">
        <v>-18.46</v>
      </c>
      <c r="U482" s="50">
        <v>-409.1</v>
      </c>
      <c r="W482" s="50">
        <v>140.9</v>
      </c>
      <c r="X482" s="50">
        <v>140.9</v>
      </c>
      <c r="Y482" s="50">
        <v>140.9</v>
      </c>
      <c r="AA482" s="50">
        <v>24.79</v>
      </c>
      <c r="AC482" s="50">
        <v>114330</v>
      </c>
      <c r="AE482" s="50" t="s">
        <v>4777</v>
      </c>
    </row>
    <row r="483" spans="1:31">
      <c r="A483" s="50" t="s">
        <v>4400</v>
      </c>
      <c r="B483" s="50" t="s">
        <v>162</v>
      </c>
      <c r="C483" s="50" t="s">
        <v>4819</v>
      </c>
      <c r="D483" s="50" t="e">
        <f ca="1">Image("https://images-na.ssl-images-amazon.com/images/I/51TA3mmUmJL.jpg;https://images-na.ssl-images-amazon.com/images/I/51TA3mmUmJL.jpg;https://images-na.ssl-images-amazon.com/images/I/41JhNSG9p0L.jpg;https://images-na.ssl-images-amazon.com/images/I/418LCldbhiL"&amp;".jpg;https://images-na.ssl-images-amazon.com/images/I/41WbzEPgdRL.jpg")</f>
        <v>#NAME?</v>
      </c>
      <c r="E483" s="50" t="s">
        <v>16</v>
      </c>
      <c r="F483" s="50" t="s">
        <v>164</v>
      </c>
      <c r="G483" s="50">
        <v>79</v>
      </c>
      <c r="H483" s="50">
        <v>6</v>
      </c>
      <c r="I483" s="50">
        <v>908.53</v>
      </c>
      <c r="K483" s="50">
        <v>-1.55</v>
      </c>
      <c r="L483" s="50">
        <v>-1.55</v>
      </c>
      <c r="R483" s="50">
        <v>7.59</v>
      </c>
      <c r="T483" s="50">
        <v>-64.27</v>
      </c>
      <c r="U483" s="50">
        <v>-451.2</v>
      </c>
      <c r="W483" s="50">
        <v>391.51</v>
      </c>
      <c r="X483" s="50">
        <v>391.51</v>
      </c>
      <c r="Y483" s="50">
        <v>391.51</v>
      </c>
      <c r="AA483" s="50">
        <v>43.09</v>
      </c>
      <c r="AC483" s="50">
        <v>1069829</v>
      </c>
      <c r="AD483" s="50">
        <v>0.17</v>
      </c>
      <c r="AE483" s="50" t="s">
        <v>4777</v>
      </c>
    </row>
    <row r="484" spans="1:31">
      <c r="A484" s="50" t="s">
        <v>4820</v>
      </c>
      <c r="B484" s="50" t="s">
        <v>310</v>
      </c>
      <c r="C484" s="50" t="s">
        <v>311</v>
      </c>
      <c r="D484" s="50" t="e">
        <f ca="1">Image("https://images-na.ssl-images-amazon.com/images/I/41EUSaD5ClS.jpg;https://images-na.ssl-images-amazon.com/images/I/41HOiRHbEuS.jpg;https://images-na.ssl-images-amazon.com/images/I/41tzeQpwtBS.jpg;https://images-na.ssl-images-amazon.com/images/I/412HTsGnTpS"&amp;".jpg;https://images-na.ssl-images-amazon.com/images/I/51dIs+7iP6S.jpg;https://images-na.ssl-images-amazon.com/images/I/4156M7lZ6bS.jpg")</f>
        <v>#NAME?</v>
      </c>
      <c r="E484" s="50" t="s">
        <v>20</v>
      </c>
      <c r="F484" s="50" t="s">
        <v>312</v>
      </c>
      <c r="G484" s="50">
        <v>77</v>
      </c>
      <c r="H484" s="50">
        <v>4</v>
      </c>
      <c r="I484" s="50">
        <v>833.64</v>
      </c>
      <c r="R484" s="50">
        <v>5.19</v>
      </c>
      <c r="S484" s="50">
        <v>33.33</v>
      </c>
      <c r="T484" s="50">
        <v>-36.49</v>
      </c>
      <c r="U484" s="50">
        <v>-594.35</v>
      </c>
      <c r="W484" s="50">
        <v>202.8</v>
      </c>
      <c r="X484" s="50">
        <v>202.8</v>
      </c>
      <c r="Y484" s="50">
        <v>202.8</v>
      </c>
      <c r="AA484" s="50">
        <v>24.33</v>
      </c>
      <c r="AC484" s="50">
        <v>1172418</v>
      </c>
      <c r="AE484" s="50" t="s">
        <v>4777</v>
      </c>
    </row>
    <row r="485" spans="1:31">
      <c r="A485" s="50" t="s">
        <v>4821</v>
      </c>
      <c r="B485" s="50" t="s">
        <v>188</v>
      </c>
      <c r="C485" s="50" t="s">
        <v>4822</v>
      </c>
      <c r="D485" s="50" t="e">
        <f ca="1">Image("https://images-na.ssl-images-amazon.com/images/I/41i09UI3y5S.jpg;https://images-na.ssl-images-amazon.com/images/I/41xd5xp0bvS.jpg;https://images-na.ssl-images-amazon.com/images/I/418EFTN0CQS.jpg;https://images-na.ssl-images-amazon.com/images/I/31BF-CUEs1S"&amp;".jpg;https://images-na.ssl-images-amazon.com/images/I/41Qg1EFhOZS.jpg;https://images-na.ssl-images-amazon.com/images/I/61fhgSwXFJL.jpg;https://images-na.ssl-images-amazon.com/images/I/51XqxoUuIrL.jpg")</f>
        <v>#NAME?</v>
      </c>
      <c r="E485" s="50" t="s">
        <v>20</v>
      </c>
      <c r="F485" s="50" t="s">
        <v>190</v>
      </c>
      <c r="G485" s="50">
        <v>70</v>
      </c>
      <c r="H485" s="50">
        <v>16</v>
      </c>
      <c r="I485" s="50">
        <v>968.04</v>
      </c>
      <c r="K485" s="50">
        <v>-62.15</v>
      </c>
      <c r="L485" s="50">
        <v>-62.15</v>
      </c>
      <c r="R485" s="50">
        <v>22.86</v>
      </c>
      <c r="S485" s="50">
        <v>18.75</v>
      </c>
      <c r="T485" s="50">
        <v>-197.82</v>
      </c>
      <c r="U485" s="50">
        <v>-458.84</v>
      </c>
      <c r="W485" s="50">
        <v>249.23</v>
      </c>
      <c r="X485" s="50">
        <v>249.23</v>
      </c>
      <c r="Y485" s="50">
        <v>249.23</v>
      </c>
      <c r="AA485" s="50">
        <v>25.75</v>
      </c>
      <c r="AC485" s="50">
        <v>34727</v>
      </c>
      <c r="AD485" s="50">
        <v>6.42</v>
      </c>
      <c r="AE485" s="50" t="s">
        <v>4777</v>
      </c>
    </row>
    <row r="486" spans="1:31">
      <c r="A486" s="50" t="s">
        <v>4665</v>
      </c>
      <c r="B486" s="50" t="s">
        <v>171</v>
      </c>
      <c r="C486" s="50" t="s">
        <v>4823</v>
      </c>
      <c r="D486" s="50" t="e">
        <f ca="1">Image("https://images-na.ssl-images-amazon.com/images/I/51ms-kSR2SL.jpg;https://images-na.ssl-images-amazon.com/images/I/41nI8pn5KIL.jpg;https://images-na.ssl-images-amazon.com/images/I/41+EChMV-RL.jpg;https://images-na.ssl-images-amazon.com/images/I/41pE7WZ1DbL"&amp;".jpg;https://images-na.ssl-images-amazon.com/images/I/51zXMiplYYL.jpg;https://images-na.ssl-images-amazon.com/images/I/51jxUEFT+QL.jpg;https://images-na.ssl-images-amazon.com/images/I/51NYT0cZc1L.jpg")</f>
        <v>#NAME?</v>
      </c>
      <c r="E486" s="50" t="s">
        <v>20</v>
      </c>
      <c r="F486" s="50" t="s">
        <v>173</v>
      </c>
      <c r="G486" s="50">
        <v>67</v>
      </c>
      <c r="H486" s="50">
        <v>5</v>
      </c>
      <c r="I486" s="50">
        <v>857.2</v>
      </c>
      <c r="R486" s="50">
        <v>7.46</v>
      </c>
      <c r="S486" s="50">
        <v>60</v>
      </c>
      <c r="T486" s="50">
        <v>-67.489999999999995</v>
      </c>
      <c r="U486" s="50">
        <v>-385.28</v>
      </c>
      <c r="W486" s="50">
        <v>404.43</v>
      </c>
      <c r="X486" s="50">
        <v>404.43</v>
      </c>
      <c r="Y486" s="50">
        <v>404.43</v>
      </c>
      <c r="AA486" s="50">
        <v>47.18</v>
      </c>
      <c r="AC486" s="50">
        <v>34727</v>
      </c>
      <c r="AE486" s="50" t="s">
        <v>4777</v>
      </c>
    </row>
    <row r="487" spans="1:31">
      <c r="A487" s="50" t="s">
        <v>4444</v>
      </c>
      <c r="B487" s="50" t="s">
        <v>277</v>
      </c>
      <c r="C487" s="50" t="s">
        <v>4824</v>
      </c>
      <c r="D487" s="50" t="e">
        <f ca="1">Image("https://images-na.ssl-images-amazon.com/images/I/41aKdLZnWxL.jpg;https://images-na.ssl-images-amazon.com/images/I/41b6HMl130L.jpg;https://images-na.ssl-images-amazon.com/images/I/41KW8hFrpHS.jpg;https://images-na.ssl-images-amazon.com/images/I/41r4qdBIS0L"&amp;".jpg;https://images-na.ssl-images-amazon.com/images/I/41zpqNN3hAL.jpg;https://images-na.ssl-images-amazon.com/images/I/51AOa6oTe4L.jpg;https://images-na.ssl-images-amazon.com/images/I/41rYE9Xu+ML.jpg")</f>
        <v>#NAME?</v>
      </c>
      <c r="E487" s="50" t="s">
        <v>20</v>
      </c>
      <c r="F487" s="50" t="s">
        <v>279</v>
      </c>
      <c r="G487" s="50">
        <v>67</v>
      </c>
      <c r="H487" s="50">
        <v>6</v>
      </c>
      <c r="I487" s="50">
        <v>800.04</v>
      </c>
      <c r="K487" s="50">
        <v>-16.61</v>
      </c>
      <c r="L487" s="50">
        <v>-16.61</v>
      </c>
      <c r="R487" s="50">
        <v>8.9600000000000009</v>
      </c>
      <c r="S487" s="50">
        <v>40</v>
      </c>
      <c r="T487" s="50">
        <v>-62.88</v>
      </c>
      <c r="U487" s="50">
        <v>-494.31</v>
      </c>
      <c r="W487" s="50">
        <v>226.24</v>
      </c>
      <c r="X487" s="50">
        <v>226.24</v>
      </c>
      <c r="Y487" s="50">
        <v>226.24</v>
      </c>
      <c r="AA487" s="50">
        <v>28.28</v>
      </c>
      <c r="AC487" s="50">
        <v>298291</v>
      </c>
      <c r="AD487" s="50">
        <v>2.08</v>
      </c>
      <c r="AE487" s="50" t="s">
        <v>4777</v>
      </c>
    </row>
    <row r="488" spans="1:31">
      <c r="A488" s="50" t="s">
        <v>4825</v>
      </c>
      <c r="B488" s="50" t="s">
        <v>337</v>
      </c>
      <c r="C488" s="50" t="s">
        <v>338</v>
      </c>
      <c r="D488" s="50" t="e">
        <f ca="1">Image("https://images-na.ssl-images-amazon.com/images/I/41ZmkL51wSL.jpg;https://images-na.ssl-images-amazon.com/images/I/418X7RSxP6L.jpg;https://images-na.ssl-images-amazon.com/images/I/31DQPBMF9EL.jpg")</f>
        <v>#NAME?</v>
      </c>
      <c r="E488" s="50" t="s">
        <v>16</v>
      </c>
      <c r="F488" s="50" t="s">
        <v>339</v>
      </c>
      <c r="G488" s="50">
        <v>64</v>
      </c>
      <c r="H488" s="50">
        <v>2</v>
      </c>
      <c r="I488" s="50">
        <v>491.2</v>
      </c>
      <c r="R488" s="50">
        <v>3.13</v>
      </c>
      <c r="S488" s="50">
        <v>100</v>
      </c>
      <c r="T488" s="50">
        <v>-13.38</v>
      </c>
      <c r="U488" s="50">
        <v>-312.39</v>
      </c>
      <c r="W488" s="50">
        <v>165.43</v>
      </c>
      <c r="X488" s="50">
        <v>165.43</v>
      </c>
      <c r="Y488" s="50">
        <v>165.43</v>
      </c>
      <c r="AA488" s="50">
        <v>33.68</v>
      </c>
      <c r="AC488" s="50">
        <v>195591</v>
      </c>
      <c r="AE488" s="50" t="s">
        <v>4777</v>
      </c>
    </row>
    <row r="489" spans="1:31">
      <c r="A489" s="50" t="s">
        <v>4826</v>
      </c>
      <c r="B489" s="50" t="s">
        <v>197</v>
      </c>
      <c r="C489" s="50" t="s">
        <v>198</v>
      </c>
      <c r="D489" s="50" t="e">
        <f ca="1">Image("https://images-na.ssl-images-amazon.com/images/I/41J6tdTj5IL.jpg;https://images-na.ssl-images-amazon.com/images/I/4145Ci3ZBQL.jpg;https://images-na.ssl-images-amazon.com/images/I/41n2irdqHvL.jpg;https://images-na.ssl-images-amazon.com/images/I/41ASV4tybhL"&amp;".jpg;https://images-na.ssl-images-amazon.com/images/I/51UauncQgVL.jpg;https://images-na.ssl-images-amazon.com/images/I/61fs0aBX88L.jpg;https://images-na.ssl-images-amazon.com/images/I/51UnvBaMyDL.jpg")</f>
        <v>#NAME?</v>
      </c>
      <c r="E489" s="50" t="s">
        <v>20</v>
      </c>
      <c r="F489" s="50" t="s">
        <v>199</v>
      </c>
      <c r="G489" s="50">
        <v>62</v>
      </c>
      <c r="I489" s="50">
        <v>490.98</v>
      </c>
      <c r="S489" s="50" t="s">
        <v>1217</v>
      </c>
      <c r="U489" s="50">
        <v>-73.5</v>
      </c>
      <c r="W489" s="50">
        <v>50.5</v>
      </c>
      <c r="X489" s="50">
        <v>50.5</v>
      </c>
      <c r="Y489" s="50">
        <v>417.48</v>
      </c>
      <c r="AA489" s="50">
        <v>10.29</v>
      </c>
      <c r="AC489" s="50">
        <v>852633</v>
      </c>
      <c r="AE489" s="50" t="s">
        <v>4777</v>
      </c>
    </row>
    <row r="490" spans="1:31">
      <c r="A490" s="50" t="s">
        <v>4402</v>
      </c>
      <c r="B490" s="50" t="s">
        <v>271</v>
      </c>
      <c r="C490" s="50" t="s">
        <v>4827</v>
      </c>
      <c r="D490" s="50" t="e">
        <f ca="1">Image("https://images-na.ssl-images-amazon.com/images/I/41ia68IkwAL.jpg;https://images-na.ssl-images-amazon.com/images/I/41H71gYb39L.jpg;https://images-na.ssl-images-amazon.com/images/I/31wllfkDPGL.jpg")</f>
        <v>#NAME?</v>
      </c>
      <c r="E490" s="50" t="s">
        <v>16</v>
      </c>
      <c r="F490" s="50" t="s">
        <v>273</v>
      </c>
      <c r="G490" s="50">
        <v>61</v>
      </c>
      <c r="H490" s="50">
        <v>5</v>
      </c>
      <c r="I490" s="50">
        <v>537.29999999999995</v>
      </c>
      <c r="K490" s="50">
        <v>-0.22</v>
      </c>
      <c r="L490" s="50">
        <v>-0.22</v>
      </c>
      <c r="R490" s="50">
        <v>8.1999999999999993</v>
      </c>
      <c r="S490" s="50">
        <v>80</v>
      </c>
      <c r="T490" s="50">
        <v>-35.36</v>
      </c>
      <c r="U490" s="50">
        <v>-325.55</v>
      </c>
      <c r="W490" s="50">
        <v>176.17</v>
      </c>
      <c r="X490" s="50">
        <v>176.17</v>
      </c>
      <c r="Y490" s="50">
        <v>176.17</v>
      </c>
      <c r="AA490" s="50">
        <v>32.79</v>
      </c>
      <c r="AC490" s="50">
        <v>267382</v>
      </c>
      <c r="AD490" s="50">
        <v>0.04</v>
      </c>
      <c r="AE490" s="50" t="s">
        <v>4777</v>
      </c>
    </row>
    <row r="491" spans="1:31">
      <c r="A491" s="50" t="s">
        <v>4828</v>
      </c>
      <c r="B491" s="50" t="s">
        <v>118</v>
      </c>
      <c r="C491" s="50" t="s">
        <v>119</v>
      </c>
      <c r="D491" s="50" t="e">
        <f ca="1">Image("https://images-na.ssl-images-amazon.com/images/I/41y-G9NVZkL.jpg;https://images-na.ssl-images-amazon.com/images/I/31ZHUpZd3XL.jpg;https://images-na.ssl-images-amazon.com/images/I/31gZwW-zYPL.jpg;https://images-na.ssl-images-amazon.com/images/I/41Ohq1BKzHL"&amp;".jpg;https://images-na.ssl-images-amazon.com/images/I/31eH4IEysCL.jpg;https://images-na.ssl-images-amazon.com/images/I/51OKOeXMhWL.jpg")</f>
        <v>#NAME?</v>
      </c>
      <c r="E491" s="50" t="s">
        <v>20</v>
      </c>
      <c r="F491" s="50" t="s">
        <v>120</v>
      </c>
      <c r="G491" s="50">
        <v>61</v>
      </c>
      <c r="H491" s="50">
        <v>3</v>
      </c>
      <c r="I491" s="50">
        <v>2170.1999999999998</v>
      </c>
      <c r="K491" s="50">
        <v>-103.44</v>
      </c>
      <c r="L491" s="50">
        <v>-103.44</v>
      </c>
      <c r="R491" s="50">
        <v>4.92</v>
      </c>
      <c r="S491" s="50">
        <v>100</v>
      </c>
      <c r="T491" s="50">
        <v>-92.94</v>
      </c>
      <c r="U491" s="50">
        <v>-991.64</v>
      </c>
      <c r="W491" s="50">
        <v>982.18</v>
      </c>
      <c r="X491" s="50">
        <v>982.18</v>
      </c>
      <c r="Y491" s="50">
        <v>982.18</v>
      </c>
      <c r="AA491" s="50">
        <v>45.26</v>
      </c>
      <c r="AC491" s="50">
        <v>409799</v>
      </c>
      <c r="AD491" s="50">
        <v>4.7699999999999996</v>
      </c>
      <c r="AE491" s="50" t="s">
        <v>4777</v>
      </c>
    </row>
    <row r="492" spans="1:31">
      <c r="A492" s="50" t="s">
        <v>4829</v>
      </c>
      <c r="B492" s="50" t="s">
        <v>121</v>
      </c>
      <c r="C492" s="50" t="s">
        <v>4830</v>
      </c>
      <c r="D492" s="50" t="e">
        <f ca="1">Image("https://images-na.ssl-images-amazon.com/images/I/51hR1oa-eeL.jpg;https://images-na.ssl-images-amazon.com/images/I/51mV7gfc+wL.jpg;https://images-na.ssl-images-amazon.com/images/I/518tk2oalpL.jpg;https://images-na.ssl-images-amazon.com/images/I/411sLFpTzpL"&amp;".jpg;https://images-na.ssl-images-amazon.com/images/I/417MCp82FgL.jpg;https://images-na.ssl-images-amazon.com/images/I/51ZoF6mOtyL.jpg")</f>
        <v>#NAME?</v>
      </c>
      <c r="E492" s="50" t="s">
        <v>16</v>
      </c>
      <c r="F492" s="50" t="s">
        <v>123</v>
      </c>
      <c r="G492" s="50">
        <v>60</v>
      </c>
      <c r="H492" s="50">
        <v>2</v>
      </c>
      <c r="I492" s="50">
        <v>1205.52</v>
      </c>
      <c r="R492" s="50">
        <v>3.33</v>
      </c>
      <c r="T492" s="50">
        <v>-32.020000000000003</v>
      </c>
      <c r="U492" s="50">
        <v>-618.76</v>
      </c>
      <c r="W492" s="50">
        <v>554.74</v>
      </c>
      <c r="X492" s="50">
        <v>554.74</v>
      </c>
      <c r="Y492" s="50">
        <v>554.74</v>
      </c>
      <c r="AA492" s="50">
        <v>46.02</v>
      </c>
      <c r="AC492" s="50">
        <v>432149</v>
      </c>
      <c r="AE492" s="50" t="s">
        <v>4777</v>
      </c>
    </row>
    <row r="493" spans="1:31">
      <c r="A493" s="50" t="s">
        <v>4645</v>
      </c>
      <c r="B493" s="50" t="s">
        <v>212</v>
      </c>
      <c r="C493" s="50" t="s">
        <v>4831</v>
      </c>
      <c r="D493" s="50" t="e">
        <f ca="1">Image("https://images-na.ssl-images-amazon.com/images/I/31ro7SZzScL.jpg;https://images-na.ssl-images-amazon.com/images/I/41rDv4ZdyWL.jpg;https://images-na.ssl-images-amazon.com/images/I/21nDHD-DMTL.jpg")</f>
        <v>#NAME?</v>
      </c>
      <c r="E493" s="50" t="s">
        <v>16</v>
      </c>
      <c r="F493" s="50" t="s">
        <v>214</v>
      </c>
      <c r="G493" s="50">
        <v>59</v>
      </c>
      <c r="H493" s="50">
        <v>3</v>
      </c>
      <c r="I493" s="50">
        <v>617</v>
      </c>
      <c r="R493" s="50">
        <v>5.08</v>
      </c>
      <c r="T493" s="50">
        <v>-25.32</v>
      </c>
      <c r="U493" s="50">
        <v>-361.74</v>
      </c>
      <c r="W493" s="50">
        <v>229.94</v>
      </c>
      <c r="X493" s="50">
        <v>229.94</v>
      </c>
      <c r="Y493" s="50">
        <v>229.94</v>
      </c>
      <c r="AA493" s="50">
        <v>37.270000000000003</v>
      </c>
      <c r="AC493" s="50">
        <v>62242</v>
      </c>
      <c r="AE493" s="50" t="s">
        <v>4777</v>
      </c>
    </row>
    <row r="494" spans="1:31">
      <c r="A494" s="50" t="s">
        <v>4832</v>
      </c>
      <c r="B494" s="50" t="s">
        <v>209</v>
      </c>
      <c r="C494" s="50" t="s">
        <v>4833</v>
      </c>
      <c r="D494" s="50" t="e">
        <f ca="1">Image("https://images-na.ssl-images-amazon.com/images/I/41+JHU14crL.jpg;https://images-na.ssl-images-amazon.com/images/I/41xoTJ4+dVL.jpg;https://images-na.ssl-images-amazon.com/images/I/41V+CYYfpnL.jpg;https://images-na.ssl-images-amazon.com/images/I/41azsv55EGL"&amp;".jpg;https://images-na.ssl-images-amazon.com/images/I/51QqJuzAkNL.jpg;https://images-na.ssl-images-amazon.com/images/I/513HYvwThzL.jpg;https://images-na.ssl-images-amazon.com/images/I/51AcoKF2QDL.jpg")</f>
        <v>#NAME?</v>
      </c>
      <c r="E494" s="50" t="s">
        <v>20</v>
      </c>
      <c r="F494" s="50" t="s">
        <v>211</v>
      </c>
      <c r="G494" s="50">
        <v>57</v>
      </c>
      <c r="H494" s="50">
        <v>5</v>
      </c>
      <c r="I494" s="50">
        <v>740.22</v>
      </c>
      <c r="R494" s="50">
        <v>8.77</v>
      </c>
      <c r="S494" s="50">
        <v>50</v>
      </c>
      <c r="T494" s="50">
        <v>-59.41</v>
      </c>
      <c r="U494" s="50">
        <v>-369.78</v>
      </c>
      <c r="W494" s="50">
        <v>311.02999999999997</v>
      </c>
      <c r="X494" s="50">
        <v>311.02999999999997</v>
      </c>
      <c r="Y494" s="50">
        <v>311.02999999999997</v>
      </c>
      <c r="AA494" s="50">
        <v>42.02</v>
      </c>
      <c r="AC494" s="50">
        <v>275369</v>
      </c>
      <c r="AE494" s="50" t="s">
        <v>4777</v>
      </c>
    </row>
    <row r="495" spans="1:31">
      <c r="A495" s="50" t="s">
        <v>4410</v>
      </c>
      <c r="B495" s="50" t="s">
        <v>268</v>
      </c>
      <c r="C495" s="50" t="s">
        <v>4834</v>
      </c>
      <c r="D495" s="50" t="e">
        <f ca="1">Image("https://images-na.ssl-images-amazon.com/images/I/513VTGGveqL.jpg;https://images-na.ssl-images-amazon.com/images/I/41-YXjLDFeL.jpg;https://images-na.ssl-images-amazon.com/images/I/31ngxov2kvL.jpg;https://images-na.ssl-images-amazon.com/images/I/41ECErp3h9L"&amp;".jpg;https://images-na.ssl-images-amazon.com/images/I/51U8ySi6pWL.jpg;https://images-na.ssl-images-amazon.com/images/I/610c29gpwUL.jpg;https://images-na.ssl-images-amazon.com/images/I/61nFhVKyMeL.jpg")</f>
        <v>#NAME?</v>
      </c>
      <c r="E495" s="50" t="s">
        <v>20</v>
      </c>
      <c r="F495" s="50" t="s">
        <v>270</v>
      </c>
      <c r="G495" s="50">
        <v>56</v>
      </c>
      <c r="H495" s="50">
        <v>11</v>
      </c>
      <c r="I495" s="50">
        <v>747.71</v>
      </c>
      <c r="K495" s="50">
        <v>-1.59</v>
      </c>
      <c r="L495" s="50">
        <v>-1.59</v>
      </c>
      <c r="R495" s="50">
        <v>19.64</v>
      </c>
      <c r="S495" s="50">
        <v>50</v>
      </c>
      <c r="T495" s="50">
        <v>-130.41</v>
      </c>
      <c r="U495" s="50">
        <v>-462.94</v>
      </c>
      <c r="W495" s="50">
        <v>152.77000000000001</v>
      </c>
      <c r="X495" s="50">
        <v>152.77000000000001</v>
      </c>
      <c r="Y495" s="50">
        <v>152.77000000000001</v>
      </c>
      <c r="AA495" s="50">
        <v>20.43</v>
      </c>
      <c r="AC495" s="50">
        <v>275369</v>
      </c>
      <c r="AD495" s="50">
        <v>0.21</v>
      </c>
      <c r="AE495" s="50" t="s">
        <v>4777</v>
      </c>
    </row>
    <row r="496" spans="1:31">
      <c r="A496" s="50" t="s">
        <v>4835</v>
      </c>
      <c r="B496" s="50" t="s">
        <v>64</v>
      </c>
      <c r="C496" s="50" t="s">
        <v>4836</v>
      </c>
      <c r="D496" s="50" t="e">
        <f ca="1">Image("https://images-na.ssl-images-amazon.com/images/I/41AOEKiwIhL.jpg;https://images-na.ssl-images-amazon.com/images/I/31exv-sLHFS.jpg;https://images-na.ssl-images-amazon.com/images/I/31wvL5ZhC-S.jpg;https://images-na.ssl-images-amazon.com/images/I/31Q5U5NIiXS"&amp;".jpg;https://images-na.ssl-images-amazon.com/images/I/31RGHfa+tWS.jpg;https://images-na.ssl-images-amazon.com/images/I/51zXI6J2ljS.jpg")</f>
        <v>#NAME?</v>
      </c>
      <c r="E496" s="50" t="s">
        <v>16</v>
      </c>
      <c r="F496" s="50" t="s">
        <v>66</v>
      </c>
      <c r="G496" s="50">
        <v>55</v>
      </c>
      <c r="H496" s="50">
        <v>6</v>
      </c>
      <c r="I496" s="50">
        <v>642.42999999999995</v>
      </c>
      <c r="R496" s="50">
        <v>10.91</v>
      </c>
      <c r="S496" s="50">
        <v>66.67</v>
      </c>
      <c r="T496" s="50">
        <v>-62.62</v>
      </c>
      <c r="U496" s="50">
        <v>-259.81</v>
      </c>
      <c r="W496" s="50">
        <v>320</v>
      </c>
      <c r="X496" s="50">
        <v>320</v>
      </c>
      <c r="Y496" s="50">
        <v>320</v>
      </c>
      <c r="AA496" s="50">
        <v>49.81</v>
      </c>
      <c r="AC496" s="50">
        <v>143853</v>
      </c>
      <c r="AE496" s="50" t="s">
        <v>4777</v>
      </c>
    </row>
    <row r="497" spans="1:31">
      <c r="A497" s="50" t="s">
        <v>4837</v>
      </c>
      <c r="B497" s="50" t="s">
        <v>97</v>
      </c>
      <c r="C497" s="50" t="s">
        <v>4838</v>
      </c>
      <c r="D497" s="50" t="e">
        <f ca="1">Image("https://images-na.ssl-images-amazon.com/images/I/41efs2pFS2S.jpg;https://images-na.ssl-images-amazon.com/images/I/51U+Th7kKwS.jpg;https://images-na.ssl-images-amazon.com/images/I/51CMEnVrYcS.jpg;https://images-na.ssl-images-amazon.com/images/I/41qquD7NrcS"&amp;".jpg;https://images-na.ssl-images-amazon.com/images/I/41YjHQa3JgS.jpg;https://images-na.ssl-images-amazon.com/images/I/51cuTOz+a-S.jpg;https://images-na.ssl-images-amazon.com/images/I/61damUmO69S.jpg")</f>
        <v>#NAME?</v>
      </c>
      <c r="E497" s="50" t="s">
        <v>16</v>
      </c>
      <c r="F497" s="50" t="s">
        <v>99</v>
      </c>
      <c r="G497" s="50">
        <v>53</v>
      </c>
      <c r="H497" s="50">
        <v>6</v>
      </c>
      <c r="I497" s="50">
        <v>1613.96</v>
      </c>
      <c r="R497" s="50">
        <v>11.32</v>
      </c>
      <c r="S497" s="50">
        <v>75</v>
      </c>
      <c r="T497" s="50">
        <v>-161.04</v>
      </c>
      <c r="U497" s="50">
        <v>-663.77</v>
      </c>
      <c r="W497" s="50">
        <v>789.15</v>
      </c>
      <c r="X497" s="50">
        <v>789.15</v>
      </c>
      <c r="Y497" s="50">
        <v>789.15</v>
      </c>
      <c r="AA497" s="50">
        <v>48.9</v>
      </c>
      <c r="AC497" s="50">
        <v>320926</v>
      </c>
      <c r="AE497" s="50" t="s">
        <v>4777</v>
      </c>
    </row>
    <row r="498" spans="1:31">
      <c r="A498" s="50" t="s">
        <v>4839</v>
      </c>
      <c r="B498" s="50" t="s">
        <v>106</v>
      </c>
      <c r="C498" s="50" t="s">
        <v>107</v>
      </c>
      <c r="D498" s="50" t="e">
        <f ca="1">Image("https://images-na.ssl-images-amazon.com/images/I/51QPxP+AtNL.jpg;https://images-na.ssl-images-amazon.com/images/I/615xk-+7bPL.jpg;https://images-na.ssl-images-amazon.com/images/I/51uEMzjTWmL.jpg;https://images-na.ssl-images-amazon.com/images/I/41cBJbItpFL"&amp;".jpg")</f>
        <v>#NAME?</v>
      </c>
      <c r="E498" s="50" t="s">
        <v>16</v>
      </c>
      <c r="F498" s="50" t="s">
        <v>108</v>
      </c>
      <c r="G498" s="50">
        <v>53</v>
      </c>
      <c r="H498" s="50">
        <v>3</v>
      </c>
      <c r="I498" s="50">
        <v>1709.36</v>
      </c>
      <c r="R498" s="50">
        <v>5.66</v>
      </c>
      <c r="S498" s="50">
        <v>66.67</v>
      </c>
      <c r="T498" s="50">
        <v>-82.44</v>
      </c>
      <c r="U498" s="50">
        <v>-517.79999999999995</v>
      </c>
      <c r="W498" s="50">
        <v>1109.1199999999999</v>
      </c>
      <c r="X498" s="50">
        <v>1109.1199999999999</v>
      </c>
      <c r="Y498" s="50">
        <v>1109.1199999999999</v>
      </c>
      <c r="AA498" s="50">
        <v>64.89</v>
      </c>
      <c r="AC498" s="50">
        <v>59749</v>
      </c>
      <c r="AE498" s="50" t="s">
        <v>4777</v>
      </c>
    </row>
    <row r="499" spans="1:31">
      <c r="A499" s="50" t="s">
        <v>4659</v>
      </c>
      <c r="B499" s="50" t="s">
        <v>393</v>
      </c>
      <c r="C499" s="50" t="s">
        <v>4840</v>
      </c>
      <c r="D499" s="50" t="e">
        <f ca="1">Image("https://images-na.ssl-images-amazon.com/images/I/51c6tAKGoYL.jpg;https://images-na.ssl-images-amazon.com/images/I/41QOGsXOB0L.jpg;https://images-na.ssl-images-amazon.com/images/I/41p9V6FtZcL.jpg;https://images-na.ssl-images-amazon.com/images/I/51kqR-rkioL"&amp;".jpg;https://images-na.ssl-images-amazon.com/images/I/41MI2j5PI6L.jpg;https://images-na.ssl-images-amazon.com/images/I/41DQGJc6sFL.jpg;https://images-na.ssl-images-amazon.com/images/I/51TlGUEJwNL.jpg;https://images-na.ssl-images-amazon.com/images/I/51I0FX"&amp;"KtoGL.jpg;https://images-na.ssl-images-amazon.com/images/I/51tO9mSNCPL.jpg")</f>
        <v>#NAME?</v>
      </c>
      <c r="E499" s="50" t="s">
        <v>20</v>
      </c>
      <c r="F499" s="50" t="s">
        <v>395</v>
      </c>
      <c r="G499" s="50">
        <v>52</v>
      </c>
      <c r="H499" s="50">
        <v>5</v>
      </c>
      <c r="I499" s="50">
        <v>595.35</v>
      </c>
      <c r="K499" s="50">
        <v>-27.98</v>
      </c>
      <c r="L499" s="50">
        <v>-27.98</v>
      </c>
      <c r="R499" s="50">
        <v>9.6199999999999992</v>
      </c>
      <c r="S499" s="50">
        <v>40</v>
      </c>
      <c r="T499" s="50">
        <v>-50.56</v>
      </c>
      <c r="U499" s="50">
        <v>-301.85000000000002</v>
      </c>
      <c r="W499" s="50">
        <v>214.96</v>
      </c>
      <c r="X499" s="50">
        <v>214.96</v>
      </c>
      <c r="Y499" s="50">
        <v>214.96</v>
      </c>
      <c r="AA499" s="50">
        <v>36.11</v>
      </c>
      <c r="AC499" s="50">
        <v>510839</v>
      </c>
      <c r="AD499" s="50">
        <v>4.7</v>
      </c>
      <c r="AE499" s="50" t="s">
        <v>4777</v>
      </c>
    </row>
    <row r="500" spans="1:31">
      <c r="A500" s="50" t="s">
        <v>4841</v>
      </c>
      <c r="B500" s="50" t="s">
        <v>1174</v>
      </c>
      <c r="C500" s="50" t="s">
        <v>1175</v>
      </c>
      <c r="D500" s="50" t="e">
        <f ca="1">Image("https://images-na.ssl-images-amazon.com/images/I/41Wwfal1GXL.jpg;https://images-na.ssl-images-amazon.com/images/I/51vxxj5HoaL.jpg;https://images-na.ssl-images-amazon.com/images/I/515bHFGU3GL.jpg;https://images-na.ssl-images-amazon.com/images/I/512Vzw6wI5L"&amp;".jpg;https://images-na.ssl-images-amazon.com/images/I/41nyUN5tmcL.jpg;https://images-na.ssl-images-amazon.com/images/I/61L-tXzuspL.jpg")</f>
        <v>#NAME?</v>
      </c>
      <c r="E500" s="50" t="s">
        <v>20</v>
      </c>
      <c r="F500" s="50" t="s">
        <v>1176</v>
      </c>
      <c r="G500" s="50">
        <v>51</v>
      </c>
      <c r="H500" s="50">
        <v>3</v>
      </c>
      <c r="I500" s="50">
        <v>407.49</v>
      </c>
      <c r="K500" s="50">
        <v>-295.89999999999998</v>
      </c>
      <c r="L500" s="50">
        <v>-295.89999999999998</v>
      </c>
      <c r="R500" s="50">
        <v>5.88</v>
      </c>
      <c r="S500" s="50">
        <v>33.33</v>
      </c>
      <c r="T500" s="50">
        <v>-21.09</v>
      </c>
      <c r="U500" s="50">
        <v>-344.53</v>
      </c>
      <c r="W500" s="50">
        <v>-254.03</v>
      </c>
      <c r="X500" s="50">
        <v>-254.03</v>
      </c>
      <c r="Y500" s="50">
        <v>-254.03</v>
      </c>
      <c r="AA500" s="50">
        <v>-62.34</v>
      </c>
      <c r="AC500" s="50">
        <v>480631</v>
      </c>
      <c r="AD500" s="50">
        <v>72.62</v>
      </c>
      <c r="AE500" s="50" t="s">
        <v>4777</v>
      </c>
    </row>
    <row r="501" spans="1:31">
      <c r="A501" s="50" t="s">
        <v>4403</v>
      </c>
      <c r="B501" s="50" t="s">
        <v>578</v>
      </c>
      <c r="C501" s="50" t="s">
        <v>4842</v>
      </c>
      <c r="D501" s="50" t="e">
        <f ca="1">Image("https://images-na.ssl-images-amazon.com/images/I/41NI7O+XdLL.jpg;https://images-na.ssl-images-amazon.com/images/I/41cmYfhJpzL.jpg;https://images-na.ssl-images-amazon.com/images/I/41WnOXaDm3L.jpg;https://images-na.ssl-images-amazon.com/images/I/318b8VdLmrL"&amp;".jpg;https://images-na.ssl-images-amazon.com/images/I/31L0mZ5N2iL.jpg;https://images-na.ssl-images-amazon.com/images/I/51p22NM6GaL.jpg;https://images-na.ssl-images-amazon.com/images/I/61xaxM5bkZL.jpg;https://images-na.ssl-images-amazon.com/images/I/418vJz"&amp;"t74mL.jpg")</f>
        <v>#NAME?</v>
      </c>
      <c r="E501" s="50" t="s">
        <v>20</v>
      </c>
      <c r="F501" s="50" t="s">
        <v>580</v>
      </c>
      <c r="G501" s="50">
        <v>49</v>
      </c>
      <c r="H501" s="50">
        <v>8</v>
      </c>
      <c r="I501" s="50">
        <v>634.01</v>
      </c>
      <c r="K501" s="50">
        <v>-0.83</v>
      </c>
      <c r="L501" s="50">
        <v>-0.83</v>
      </c>
      <c r="R501" s="50">
        <v>16.329999999999998</v>
      </c>
      <c r="S501" s="50">
        <v>50</v>
      </c>
      <c r="T501" s="50">
        <v>-86.57</v>
      </c>
      <c r="U501" s="50">
        <v>-337.76</v>
      </c>
      <c r="W501" s="50">
        <v>208.85</v>
      </c>
      <c r="X501" s="50">
        <v>208.85</v>
      </c>
      <c r="Y501" s="50">
        <v>208.85</v>
      </c>
      <c r="AA501" s="50">
        <v>32.94</v>
      </c>
      <c r="AC501" s="50">
        <v>34727</v>
      </c>
      <c r="AD501" s="50">
        <v>0.13</v>
      </c>
      <c r="AE501" s="50" t="s">
        <v>4777</v>
      </c>
    </row>
    <row r="502" spans="1:31">
      <c r="A502" s="50" t="s">
        <v>4389</v>
      </c>
      <c r="B502" s="50" t="s">
        <v>91</v>
      </c>
      <c r="C502" s="50" t="s">
        <v>4843</v>
      </c>
      <c r="D502" s="50" t="e">
        <f ca="1">Image("https://images-na.ssl-images-amazon.com/images/I/51SfzncLCrL.jpg;https://images-na.ssl-images-amazon.com/images/I/51ArNUbwoyL.jpg;https://images-na.ssl-images-amazon.com/images/I/51QsWzifNgL.jpg;https://images-na.ssl-images-amazon.com/images/I/4166ErZC6nL"&amp;".jpg")</f>
        <v>#NAME?</v>
      </c>
      <c r="E502" s="50" t="s">
        <v>16</v>
      </c>
      <c r="F502" s="50" t="s">
        <v>93</v>
      </c>
      <c r="G502" s="50">
        <v>48</v>
      </c>
      <c r="H502" s="50">
        <v>1</v>
      </c>
      <c r="I502" s="50">
        <v>768.04</v>
      </c>
      <c r="K502" s="50">
        <v>-1.1100000000000001</v>
      </c>
      <c r="L502" s="50">
        <v>-1.1100000000000001</v>
      </c>
      <c r="R502" s="50">
        <v>2.08</v>
      </c>
      <c r="S502" s="50">
        <v>100</v>
      </c>
      <c r="T502" s="50">
        <v>-15.4</v>
      </c>
      <c r="U502" s="50">
        <v>-301.22000000000003</v>
      </c>
      <c r="W502" s="50">
        <v>450.31</v>
      </c>
      <c r="X502" s="50">
        <v>450.31</v>
      </c>
      <c r="Y502" s="50">
        <v>450.31</v>
      </c>
      <c r="AA502" s="50">
        <v>58.63</v>
      </c>
      <c r="AD502" s="50">
        <v>0.14000000000000001</v>
      </c>
      <c r="AE502" s="50" t="s">
        <v>4777</v>
      </c>
    </row>
    <row r="503" spans="1:31">
      <c r="A503" s="50" t="s">
        <v>4844</v>
      </c>
      <c r="B503" s="50" t="s">
        <v>340</v>
      </c>
      <c r="C503" s="50" t="s">
        <v>341</v>
      </c>
      <c r="D503" s="50" t="e">
        <f ca="1">Image("https://images-na.ssl-images-amazon.com/images/I/41j84QtYRvL.jpg;https://images-na.ssl-images-amazon.com/images/I/41H71gYb39L.jpg;https://images-na.ssl-images-amazon.com/images/I/31GBhoj1EdL.jpg")</f>
        <v>#NAME?</v>
      </c>
      <c r="E503" s="50" t="s">
        <v>16</v>
      </c>
      <c r="F503" s="50" t="s">
        <v>342</v>
      </c>
      <c r="G503" s="50">
        <v>47</v>
      </c>
      <c r="H503" s="50">
        <v>3</v>
      </c>
      <c r="I503" s="50">
        <v>407.17</v>
      </c>
      <c r="R503" s="50">
        <v>6.38</v>
      </c>
      <c r="T503" s="50">
        <v>-21.12</v>
      </c>
      <c r="U503" s="50">
        <v>-240.91</v>
      </c>
      <c r="W503" s="50">
        <v>145.13999999999999</v>
      </c>
      <c r="X503" s="50">
        <v>145.13999999999999</v>
      </c>
      <c r="Y503" s="50">
        <v>145.13999999999999</v>
      </c>
      <c r="AA503" s="50">
        <v>35.65</v>
      </c>
      <c r="AC503" s="50">
        <v>267382</v>
      </c>
      <c r="AE503" s="50" t="s">
        <v>4777</v>
      </c>
    </row>
    <row r="504" spans="1:31">
      <c r="A504" s="50" t="s">
        <v>4436</v>
      </c>
      <c r="B504" s="50" t="s">
        <v>1171</v>
      </c>
      <c r="C504" s="50" t="s">
        <v>4845</v>
      </c>
      <c r="D504" s="50" t="e">
        <f ca="1">Image("https://images-na.ssl-images-amazon.com/images/I/41AbtKwDu0L.jpg;https://images-na.ssl-images-amazon.com/images/I/41GunUFjBSL.jpg;https://images-na.ssl-images-amazon.com/images/I/415STP9-fnL.jpg;https://images-na.ssl-images-amazon.com/images/I/41BaHpI1TOL"&amp;".jpg;https://images-na.ssl-images-amazon.com/images/I/4130HCY+5YL.jpg;https://images-na.ssl-images-amazon.com/images/I/61fqwgEVD3L.jpg;https://images-na.ssl-images-amazon.com/images/I/51kCsw3jfFL.jpg")</f>
        <v>#NAME?</v>
      </c>
      <c r="E504" s="50" t="s">
        <v>20</v>
      </c>
      <c r="F504" s="50" t="s">
        <v>1173</v>
      </c>
      <c r="G504" s="50">
        <v>47</v>
      </c>
      <c r="H504" s="50">
        <v>15</v>
      </c>
      <c r="I504" s="50">
        <v>608.89</v>
      </c>
      <c r="K504" s="50">
        <v>-1.48</v>
      </c>
      <c r="L504" s="50">
        <v>-1.48</v>
      </c>
      <c r="R504" s="50">
        <v>31.91</v>
      </c>
      <c r="S504" s="50">
        <v>42.86</v>
      </c>
      <c r="T504" s="50">
        <v>-170.15</v>
      </c>
      <c r="U504" s="50">
        <v>-321.12</v>
      </c>
      <c r="W504" s="50">
        <v>116.14</v>
      </c>
      <c r="X504" s="50">
        <v>116.14</v>
      </c>
      <c r="Y504" s="50">
        <v>116.14</v>
      </c>
      <c r="AA504" s="50">
        <v>19.07</v>
      </c>
      <c r="AC504" s="50">
        <v>34727</v>
      </c>
      <c r="AD504" s="50">
        <v>0.24</v>
      </c>
      <c r="AE504" s="50" t="s">
        <v>4777</v>
      </c>
    </row>
    <row r="505" spans="1:31">
      <c r="A505" s="50" t="s">
        <v>4846</v>
      </c>
      <c r="B505" s="50" t="s">
        <v>482</v>
      </c>
      <c r="C505" s="50" t="s">
        <v>4847</v>
      </c>
      <c r="D505" s="50" t="e">
        <f ca="1">Image("https://images-na.ssl-images-amazon.com/images/I/41iHJ38k61L.jpg;https://images-na.ssl-images-amazon.com/images/I/41D7Ob7WA7L.jpg;https://images-na.ssl-images-amazon.com/images/I/41afjj8PxdL.jpg;https://images-na.ssl-images-amazon.com/images/I/515Gj1IxW3L"&amp;".jpg;https://images-na.ssl-images-amazon.com/images/I/51rhdLSHn4L.jpg;https://images-na.ssl-images-amazon.com/images/I/41AiekfLTEL.jpg")</f>
        <v>#NAME?</v>
      </c>
      <c r="E505" s="50" t="s">
        <v>16</v>
      </c>
      <c r="F505" s="50" t="s">
        <v>484</v>
      </c>
      <c r="G505" s="50">
        <v>46</v>
      </c>
      <c r="H505" s="50">
        <v>8</v>
      </c>
      <c r="I505" s="50">
        <v>544.48</v>
      </c>
      <c r="K505" s="50">
        <v>-0.25</v>
      </c>
      <c r="L505" s="50">
        <v>-0.25</v>
      </c>
      <c r="R505" s="50">
        <v>17.39</v>
      </c>
      <c r="S505" s="50">
        <v>62.5</v>
      </c>
      <c r="T505" s="50">
        <v>-90.11</v>
      </c>
      <c r="U505" s="50">
        <v>-329.97</v>
      </c>
      <c r="W505" s="50">
        <v>124.15</v>
      </c>
      <c r="X505" s="50">
        <v>124.15</v>
      </c>
      <c r="Y505" s="50">
        <v>124.15</v>
      </c>
      <c r="AA505" s="50">
        <v>22.8</v>
      </c>
      <c r="AC505" s="50">
        <v>290818</v>
      </c>
      <c r="AD505" s="50">
        <v>0.05</v>
      </c>
      <c r="AE505" s="50" t="s">
        <v>4777</v>
      </c>
    </row>
    <row r="506" spans="1:31">
      <c r="A506" s="50" t="s">
        <v>4848</v>
      </c>
      <c r="B506" s="50" t="s">
        <v>46</v>
      </c>
      <c r="C506" s="50" t="s">
        <v>4849</v>
      </c>
      <c r="D506" s="50" t="e">
        <f ca="1">Image("https://images-na.ssl-images-amazon.com/images/I/31CBdF+1J4L.jpg;https://images-na.ssl-images-amazon.com/images/I/21ucIJxr87L.jpg;https://images-na.ssl-images-amazon.com/images/I/31FC8wsDksL.jpg;https://images-na.ssl-images-amazon.com/images/I/31sSF2oQGfL"&amp;".jpg;https://images-na.ssl-images-amazon.com/images/I/11Xse3KQL4L.jpg;https://images-na.ssl-images-amazon.com/images/I/31mrIpihA5L.jpg")</f>
        <v>#NAME?</v>
      </c>
      <c r="E506" s="50" t="s">
        <v>20</v>
      </c>
      <c r="F506" s="50" t="s">
        <v>48</v>
      </c>
      <c r="G506" s="50">
        <v>46</v>
      </c>
      <c r="H506" s="50">
        <v>4</v>
      </c>
      <c r="I506" s="50">
        <v>3754.96</v>
      </c>
      <c r="K506" s="50">
        <v>-52.54</v>
      </c>
      <c r="L506" s="50">
        <v>-52.54</v>
      </c>
      <c r="R506" s="50">
        <v>8.6999999999999993</v>
      </c>
      <c r="S506" s="50">
        <v>50</v>
      </c>
      <c r="T506" s="50">
        <v>-290</v>
      </c>
      <c r="U506" s="50">
        <v>-935.5</v>
      </c>
      <c r="W506" s="50">
        <v>2476.92</v>
      </c>
      <c r="X506" s="50">
        <v>2476.92</v>
      </c>
      <c r="Y506" s="50">
        <v>2476.92</v>
      </c>
      <c r="AA506" s="50">
        <v>65.959999999999994</v>
      </c>
      <c r="AC506" s="50">
        <v>59911</v>
      </c>
      <c r="AD506" s="50">
        <v>1.4</v>
      </c>
      <c r="AE506" s="50" t="s">
        <v>4777</v>
      </c>
    </row>
    <row r="507" spans="1:31">
      <c r="A507" s="50" t="s">
        <v>4850</v>
      </c>
      <c r="B507" s="50" t="s">
        <v>165</v>
      </c>
      <c r="C507" s="50" t="s">
        <v>166</v>
      </c>
      <c r="D507" s="50" t="e">
        <f ca="1">Image("https://images-na.ssl-images-amazon.com/images/I/41aKdLZnWxL.jpg;https://images-na.ssl-images-amazon.com/images/I/41b6HMl130L.jpg;https://images-na.ssl-images-amazon.com/images/I/410+NRt3MqL.jpg;https://images-na.ssl-images-amazon.com/images/I/41r4qdBIS0L"&amp;".jpg;https://images-na.ssl-images-amazon.com/images/I/61j03NBpzsL.jpg;https://images-na.ssl-images-amazon.com/images/I/51AOa6oTe4L.jpg;https://images-na.ssl-images-amazon.com/images/I/41rYE9Xu+ML.jpg")</f>
        <v>#NAME?</v>
      </c>
      <c r="E507" s="50" t="s">
        <v>20</v>
      </c>
      <c r="F507" s="50" t="s">
        <v>167</v>
      </c>
      <c r="G507" s="50">
        <v>45</v>
      </c>
      <c r="H507" s="50">
        <v>2</v>
      </c>
      <c r="I507" s="50">
        <v>1015.09</v>
      </c>
      <c r="R507" s="50">
        <v>4.4400000000000004</v>
      </c>
      <c r="S507" s="50">
        <v>50</v>
      </c>
      <c r="T507" s="50">
        <v>-37.659999999999997</v>
      </c>
      <c r="U507" s="50">
        <v>-389.87</v>
      </c>
      <c r="W507" s="50">
        <v>587.55999999999995</v>
      </c>
      <c r="X507" s="50">
        <v>587.55999999999995</v>
      </c>
      <c r="Y507" s="50">
        <v>587.55999999999995</v>
      </c>
      <c r="AA507" s="50">
        <v>57.88</v>
      </c>
      <c r="AC507" s="50">
        <v>298291</v>
      </c>
      <c r="AE507" s="50" t="s">
        <v>4777</v>
      </c>
    </row>
    <row r="508" spans="1:31">
      <c r="A508" s="50" t="s">
        <v>4746</v>
      </c>
      <c r="B508" s="50" t="s">
        <v>409</v>
      </c>
      <c r="C508" s="50" t="s">
        <v>4851</v>
      </c>
      <c r="D508" s="50" t="e">
        <f ca="1">Image("https://images-na.ssl-images-amazon.com/images/I/31GeyANItrL.jpg;https://images-na.ssl-images-amazon.com/images/I/51nBifORE-L.jpg;https://images-na.ssl-images-amazon.com/images/I/51Zr8VrzF1L.jpg;https://images-na.ssl-images-amazon.com/images/I/51KD03os6CL"&amp;".jpg;https://images-na.ssl-images-amazon.com/images/I/517buProtvL.jpg;https://images-na.ssl-images-amazon.com/images/I/5195l-kHtAL.jpg;https://images-na.ssl-images-amazon.com/images/I/51YhBQOjFzL.jpg")</f>
        <v>#NAME?</v>
      </c>
      <c r="E508" s="50" t="s">
        <v>20</v>
      </c>
      <c r="F508" s="50" t="s">
        <v>411</v>
      </c>
      <c r="G508" s="50">
        <v>45</v>
      </c>
      <c r="H508" s="50">
        <v>4</v>
      </c>
      <c r="I508" s="50">
        <v>449.55</v>
      </c>
      <c r="R508" s="50">
        <v>8.89</v>
      </c>
      <c r="S508" s="50">
        <v>100</v>
      </c>
      <c r="T508" s="50">
        <v>-35.159999999999997</v>
      </c>
      <c r="U508" s="50">
        <v>-331.03</v>
      </c>
      <c r="W508" s="50">
        <v>83.36</v>
      </c>
      <c r="X508" s="50">
        <v>83.36</v>
      </c>
      <c r="Y508" s="50">
        <v>83.36</v>
      </c>
      <c r="AA508" s="50">
        <v>18.54</v>
      </c>
      <c r="AC508" s="50">
        <v>172363</v>
      </c>
      <c r="AE508" s="50" t="s">
        <v>4777</v>
      </c>
    </row>
    <row r="509" spans="1:31">
      <c r="A509" s="50" t="s">
        <v>4852</v>
      </c>
      <c r="B509" s="50" t="s">
        <v>236</v>
      </c>
      <c r="C509" s="50" t="s">
        <v>237</v>
      </c>
      <c r="D509" s="50" t="e">
        <f ca="1">Image("https://images-na.ssl-images-amazon.com/images/I/51ORlClkXYL.jpg;https://images-na.ssl-images-amazon.com/images/I/51lPR-ccaKL.jpg")</f>
        <v>#NAME?</v>
      </c>
      <c r="E509" s="50" t="s">
        <v>20</v>
      </c>
      <c r="F509" s="50" t="s">
        <v>238</v>
      </c>
      <c r="G509" s="50">
        <v>43</v>
      </c>
      <c r="H509" s="50">
        <v>5</v>
      </c>
      <c r="I509" s="50">
        <v>439.14</v>
      </c>
      <c r="R509" s="50">
        <v>11.63</v>
      </c>
      <c r="S509" s="50" t="s">
        <v>1217</v>
      </c>
      <c r="T509" s="50">
        <v>-54.21</v>
      </c>
      <c r="U509" s="50">
        <v>-87.85</v>
      </c>
      <c r="W509" s="50">
        <v>46.64</v>
      </c>
      <c r="X509" s="50">
        <v>46.64</v>
      </c>
      <c r="Y509" s="50">
        <v>297.08</v>
      </c>
      <c r="AA509" s="50">
        <v>10.62</v>
      </c>
      <c r="AC509" s="50">
        <v>1761765</v>
      </c>
      <c r="AE509" s="50" t="s">
        <v>4777</v>
      </c>
    </row>
    <row r="510" spans="1:31">
      <c r="A510" s="50" t="s">
        <v>4507</v>
      </c>
      <c r="B510" s="50" t="s">
        <v>177</v>
      </c>
      <c r="C510" s="50" t="s">
        <v>4853</v>
      </c>
      <c r="D510" s="50" t="e">
        <f ca="1">Image("https://images-na.ssl-images-amazon.com/images/I/51Ehvwzry3L.jpg;https://images-na.ssl-images-amazon.com/images/I/51iHJKv8U7L.jpg;https://images-na.ssl-images-amazon.com/images/I/41BsSSDnaoL.jpg;https://images-na.ssl-images-amazon.com/images/I/41EA7HcLmRL"&amp;".jpg;https://images-na.ssl-images-amazon.com/images/I/41V2hKyQAfL.jpg;https://images-na.ssl-images-amazon.com/images/I/51mKkCBcUbL.jpg;https://images-na.ssl-images-amazon.com/images/I/61gwCr5gKGL.jpg")</f>
        <v>#NAME?</v>
      </c>
      <c r="E510" s="50" t="s">
        <v>20</v>
      </c>
      <c r="F510" s="50" t="s">
        <v>179</v>
      </c>
      <c r="G510" s="50">
        <v>43</v>
      </c>
      <c r="H510" s="50">
        <v>4</v>
      </c>
      <c r="I510" s="50">
        <v>973.19</v>
      </c>
      <c r="R510" s="50">
        <v>9.3000000000000007</v>
      </c>
      <c r="T510" s="50">
        <v>-75.319999999999993</v>
      </c>
      <c r="U510" s="50">
        <v>-438.62</v>
      </c>
      <c r="W510" s="50">
        <v>459.25</v>
      </c>
      <c r="X510" s="50">
        <v>459.25</v>
      </c>
      <c r="Y510" s="50">
        <v>459.25</v>
      </c>
      <c r="AA510" s="50">
        <v>47.19</v>
      </c>
      <c r="AC510" s="50">
        <v>567819</v>
      </c>
      <c r="AE510" s="50" t="s">
        <v>4777</v>
      </c>
    </row>
    <row r="511" spans="1:31">
      <c r="A511" s="50" t="s">
        <v>4463</v>
      </c>
      <c r="B511" s="50" t="s">
        <v>403</v>
      </c>
      <c r="C511" s="50" t="s">
        <v>4854</v>
      </c>
      <c r="D511" s="50" t="e">
        <f ca="1">Image("https://images-na.ssl-images-amazon.com/images/I/414TxdU8BLL.jpg;https://images-na.ssl-images-amazon.com/images/I/5123BYH92DL.jpg;https://images-na.ssl-images-amazon.com/images/I/41AhO2AeTHL.jpg;https://images-na.ssl-images-amazon.com/images/I/51+Eztjn3fL"&amp;".jpg;https://images-na.ssl-images-amazon.com/images/I/41k9Qg3r+7L.jpg;https://images-na.ssl-images-amazon.com/images/I/51mLy7k98hL.jpg;https://images-na.ssl-images-amazon.com/images/I/41JwYiT88IL.jpg")</f>
        <v>#NAME?</v>
      </c>
      <c r="E511" s="50" t="s">
        <v>20</v>
      </c>
      <c r="F511" s="50" t="s">
        <v>405</v>
      </c>
      <c r="G511" s="50">
        <v>39</v>
      </c>
      <c r="I511" s="50">
        <v>485.79</v>
      </c>
      <c r="K511" s="50">
        <v>-10.72</v>
      </c>
      <c r="L511" s="50">
        <v>-10.72</v>
      </c>
      <c r="U511" s="50">
        <v>-269.69</v>
      </c>
      <c r="W511" s="50">
        <v>205.38</v>
      </c>
      <c r="X511" s="50">
        <v>205.38</v>
      </c>
      <c r="Y511" s="50">
        <v>205.38</v>
      </c>
      <c r="AA511" s="50">
        <v>42.28</v>
      </c>
      <c r="AC511" s="50">
        <v>404054</v>
      </c>
      <c r="AD511" s="50">
        <v>2.21</v>
      </c>
      <c r="AE511" s="50" t="s">
        <v>4777</v>
      </c>
    </row>
    <row r="512" spans="1:31">
      <c r="A512" s="50" t="s">
        <v>4855</v>
      </c>
      <c r="B512" s="50" t="s">
        <v>139</v>
      </c>
      <c r="C512" s="50" t="s">
        <v>4856</v>
      </c>
      <c r="D512" s="50" t="e">
        <f ca="1">Image("https://images-na.ssl-images-amazon.com/images/I/51Rl9tbrpyL.jpg;https://images-na.ssl-images-amazon.com/images/I/51SPR+4SLiL.jpg;https://images-na.ssl-images-amazon.com/images/I/41vfB9m5tOL.jpg;https://images-na.ssl-images-amazon.com/images/I/41v0Aerb4OL"&amp;".jpg;https://images-na.ssl-images-amazon.com/images/I/31tls1anW+L.jpg;https://images-na.ssl-images-amazon.com/images/I/516ZXiYv7NL.jpg")</f>
        <v>#NAME?</v>
      </c>
      <c r="E512" s="50" t="s">
        <v>20</v>
      </c>
      <c r="F512" s="50" t="s">
        <v>141</v>
      </c>
      <c r="G512" s="50">
        <v>37</v>
      </c>
      <c r="H512" s="50">
        <v>2</v>
      </c>
      <c r="I512" s="50">
        <v>1178.01</v>
      </c>
      <c r="K512" s="50">
        <v>-28.41</v>
      </c>
      <c r="L512" s="50">
        <v>-28.41</v>
      </c>
      <c r="R512" s="50">
        <v>5.41</v>
      </c>
      <c r="S512" s="50">
        <v>100</v>
      </c>
      <c r="T512" s="50">
        <v>-44</v>
      </c>
      <c r="U512" s="50">
        <v>-444.65</v>
      </c>
      <c r="W512" s="50">
        <v>660.95</v>
      </c>
      <c r="X512" s="50">
        <v>660.95</v>
      </c>
      <c r="Y512" s="50">
        <v>660.95</v>
      </c>
      <c r="AA512" s="50">
        <v>56.11</v>
      </c>
      <c r="AC512" s="50">
        <v>40994</v>
      </c>
      <c r="AD512" s="50">
        <v>2.41</v>
      </c>
      <c r="AE512" s="50" t="s">
        <v>4777</v>
      </c>
    </row>
    <row r="513" spans="1:31">
      <c r="A513" s="50" t="s">
        <v>4857</v>
      </c>
      <c r="B513" s="50" t="s">
        <v>560</v>
      </c>
      <c r="C513" s="50" t="s">
        <v>561</v>
      </c>
      <c r="D513" s="50" t="e">
        <f ca="1">Image("https://images-na.ssl-images-amazon.com/images/I/411kEgan53L.jpg;https://images-na.ssl-images-amazon.com/images/I/41w4ROC6D1L.jpg;https://images-na.ssl-images-amazon.com/images/I/313BUOgA2gL.jpg;https://images-na.ssl-images-amazon.com/images/I/51UZrtSSLfL"&amp;".jpg")</f>
        <v>#NAME?</v>
      </c>
      <c r="E513" s="50" t="s">
        <v>16</v>
      </c>
      <c r="F513" s="50" t="s">
        <v>562</v>
      </c>
      <c r="G513" s="50">
        <v>29</v>
      </c>
      <c r="H513" s="50">
        <v>26</v>
      </c>
      <c r="I513" s="50">
        <v>282.99</v>
      </c>
      <c r="R513" s="50">
        <v>89.66</v>
      </c>
      <c r="S513" s="50" t="s">
        <v>1217</v>
      </c>
      <c r="T513" s="50">
        <v>-223.27</v>
      </c>
      <c r="U513" s="50">
        <v>-42.38</v>
      </c>
      <c r="W513" s="50">
        <v>-149.65</v>
      </c>
      <c r="X513" s="50">
        <v>-149.65</v>
      </c>
      <c r="Y513" s="50">
        <v>17.34</v>
      </c>
      <c r="AA513" s="50">
        <v>-52.88</v>
      </c>
      <c r="AC513" s="50">
        <v>282692</v>
      </c>
      <c r="AE513" s="50" t="s">
        <v>4777</v>
      </c>
    </row>
    <row r="514" spans="1:31">
      <c r="A514" s="50" t="s">
        <v>4858</v>
      </c>
      <c r="B514" s="50" t="s">
        <v>331</v>
      </c>
      <c r="C514" s="50" t="s">
        <v>332</v>
      </c>
      <c r="D514" s="50" t="e">
        <f ca="1">Image("https://images-na.ssl-images-amazon.com/images/I/51-YS2scMxL.jpg;https://images-na.ssl-images-amazon.com/images/I/51tmrgn3bqL.jpg;https://images-na.ssl-images-amazon.com/images/I/41X8sC2INXL.jpg;https://images-na.ssl-images-amazon.com/images/I/51EC51kvDOL"&amp;".jpg;https://images-na.ssl-images-amazon.com/images/I/51HCI94jOKL.jpg;https://images-na.ssl-images-amazon.com/images/I/51vIiDveGfL.jpg")</f>
        <v>#NAME?</v>
      </c>
      <c r="E514" s="50" t="s">
        <v>20</v>
      </c>
      <c r="F514" s="50" t="s">
        <v>333</v>
      </c>
      <c r="G514" s="50">
        <v>29</v>
      </c>
      <c r="H514" s="50">
        <v>2</v>
      </c>
      <c r="I514" s="50">
        <v>342.53</v>
      </c>
      <c r="R514" s="50">
        <v>6.9</v>
      </c>
      <c r="S514" s="50">
        <v>100</v>
      </c>
      <c r="T514" s="50">
        <v>-20.64</v>
      </c>
      <c r="U514" s="50">
        <v>-148.37</v>
      </c>
      <c r="W514" s="50">
        <v>173.52</v>
      </c>
      <c r="X514" s="50">
        <v>173.52</v>
      </c>
      <c r="Y514" s="50">
        <v>173.52</v>
      </c>
      <c r="AA514" s="50">
        <v>50.66</v>
      </c>
      <c r="AC514" s="50">
        <v>90942</v>
      </c>
      <c r="AE514" s="50" t="s">
        <v>4777</v>
      </c>
    </row>
    <row r="515" spans="1:31">
      <c r="A515" s="50" t="s">
        <v>4859</v>
      </c>
      <c r="B515" s="50" t="s">
        <v>224</v>
      </c>
      <c r="C515" s="50" t="s">
        <v>225</v>
      </c>
      <c r="D515" s="50" t="e">
        <f ca="1">Image("https://images-na.ssl-images-amazon.com/images/I/41efs2pFS2S.jpg;https://images-na.ssl-images-amazon.com/images/I/51U+Th7kKwS.jpg;https://images-na.ssl-images-amazon.com/images/I/51CMEnVrYcS.jpg;https://images-na.ssl-images-amazon.com/images/I/41qquD7NrcS"&amp;".jpg;https://images-na.ssl-images-amazon.com/images/I/41YjHQa3JgS.jpg;https://images-na.ssl-images-amazon.com/images/I/51cuTOz+a-S.jpg;https://images-na.ssl-images-amazon.com/images/I/61damUmO69S.jpg")</f>
        <v>#NAME?</v>
      </c>
      <c r="E515" s="50" t="s">
        <v>16</v>
      </c>
      <c r="F515" s="50" t="s">
        <v>226</v>
      </c>
      <c r="G515" s="50">
        <v>27</v>
      </c>
      <c r="H515" s="50">
        <v>7</v>
      </c>
      <c r="I515" s="50">
        <v>786.2</v>
      </c>
      <c r="R515" s="50">
        <v>25.93</v>
      </c>
      <c r="S515" s="50">
        <v>25</v>
      </c>
      <c r="T515" s="50">
        <v>-175.3</v>
      </c>
      <c r="U515" s="50">
        <v>-267.33999999999997</v>
      </c>
      <c r="W515" s="50">
        <v>343.56</v>
      </c>
      <c r="X515" s="50">
        <v>343.56</v>
      </c>
      <c r="Y515" s="50">
        <v>343.56</v>
      </c>
      <c r="AA515" s="50">
        <v>43.7</v>
      </c>
      <c r="AC515" s="50">
        <v>320926</v>
      </c>
      <c r="AE515" s="50" t="s">
        <v>4777</v>
      </c>
    </row>
    <row r="516" spans="1:31">
      <c r="A516" s="50" t="s">
        <v>4512</v>
      </c>
      <c r="B516" s="50" t="s">
        <v>355</v>
      </c>
      <c r="C516" s="50" t="s">
        <v>4860</v>
      </c>
      <c r="D516" s="50" t="e">
        <f ca="1">Image("https://images-na.ssl-images-amazon.com/images/I/31rfydc2mQL.jpg;https://images-na.ssl-images-amazon.com/images/I/312lrVBIHYL.jpg;https://images-na.ssl-images-amazon.com/images/I/31ZkyTzDxcL.jpg;https://images-na.ssl-images-amazon.com/images/I/510nwfBN1vL"&amp;".jpg;https://images-na.ssl-images-amazon.com/images/I/51-14-yMsIL.jpg;https://images-na.ssl-images-amazon.com/images/I/51OjJFS+R0L.jpg")</f>
        <v>#NAME?</v>
      </c>
      <c r="E516" s="50" t="s">
        <v>20</v>
      </c>
      <c r="F516" s="50" t="s">
        <v>357</v>
      </c>
      <c r="G516" s="50">
        <v>27</v>
      </c>
      <c r="H516" s="50">
        <v>1</v>
      </c>
      <c r="I516" s="50">
        <v>266</v>
      </c>
      <c r="R516" s="50">
        <v>3.7</v>
      </c>
      <c r="S516" s="50" t="s">
        <v>1217</v>
      </c>
      <c r="T516" s="50">
        <v>-8.15</v>
      </c>
      <c r="U516" s="50">
        <v>-121.86</v>
      </c>
      <c r="W516" s="50">
        <v>135.99</v>
      </c>
      <c r="X516" s="50">
        <v>135.99</v>
      </c>
      <c r="Y516" s="50">
        <v>135.99</v>
      </c>
      <c r="AA516" s="50">
        <v>51.12</v>
      </c>
      <c r="AC516" s="50">
        <v>90942</v>
      </c>
      <c r="AE516" s="50" t="s">
        <v>4777</v>
      </c>
    </row>
    <row r="517" spans="1:31">
      <c r="A517" s="50" t="s">
        <v>4861</v>
      </c>
      <c r="B517" s="50" t="s">
        <v>328</v>
      </c>
      <c r="C517" s="50" t="s">
        <v>329</v>
      </c>
      <c r="D517" s="50" t="e">
        <f ca="1">Image("https://images-na.ssl-images-amazon.com/images/I/31C0SlG4ZWL.jpg;https://images-na.ssl-images-amazon.com/images/I/31W0fZg-VfL.jpg;https://images-na.ssl-images-amazon.com/images/I/31KkKUK5fJL.jpg;https://images-na.ssl-images-amazon.com/images/I/51wGbT7sizL"&amp;".jpg;https://images-na.ssl-images-amazon.com/images/I/51EXDi+ejbL.jpg;https://images-na.ssl-images-amazon.com/images/I/51uumpRYccL.jpg")</f>
        <v>#NAME?</v>
      </c>
      <c r="E517" s="50" t="s">
        <v>20</v>
      </c>
      <c r="F517" s="50" t="s">
        <v>330</v>
      </c>
      <c r="G517" s="50">
        <v>27</v>
      </c>
      <c r="H517" s="50">
        <v>3</v>
      </c>
      <c r="I517" s="50">
        <v>355.47</v>
      </c>
      <c r="R517" s="50">
        <v>11.11</v>
      </c>
      <c r="T517" s="50">
        <v>-32.06</v>
      </c>
      <c r="U517" s="50">
        <v>-145.62</v>
      </c>
      <c r="W517" s="50">
        <v>177.79</v>
      </c>
      <c r="X517" s="50">
        <v>177.79</v>
      </c>
      <c r="Y517" s="50">
        <v>177.79</v>
      </c>
      <c r="AA517" s="50">
        <v>50.02</v>
      </c>
      <c r="AC517" s="50">
        <v>90942</v>
      </c>
      <c r="AE517" s="50" t="s">
        <v>4777</v>
      </c>
    </row>
    <row r="518" spans="1:31">
      <c r="A518" s="50" t="s">
        <v>4862</v>
      </c>
      <c r="B518" s="50" t="s">
        <v>186</v>
      </c>
      <c r="C518" s="50" t="s">
        <v>187</v>
      </c>
      <c r="D518" s="50" t="e">
        <f ca="1">Image("https://images-na.ssl-images-amazon.com/images/I/51UMwCTiswL.jpg;https://images-na.ssl-images-amazon.com/images/I/41y25dbr3mL.jpg;https://images-na.ssl-images-amazon.com/images/I/41DK6xflUDL.jpg;https://images-na.ssl-images-amazon.com/images/I/412dKAPx9zL"&amp;".jpg;https://images-na.ssl-images-amazon.com/images/I/31tls1anW+L.jpg;https://images-na.ssl-images-amazon.com/images/I/516ZXiYv7NL.jpg")</f>
        <v>#NAME?</v>
      </c>
      <c r="E518" s="50" t="s">
        <v>20</v>
      </c>
      <c r="F518" s="50" t="s">
        <v>141</v>
      </c>
      <c r="G518" s="50">
        <v>27</v>
      </c>
      <c r="H518" s="50">
        <v>1</v>
      </c>
      <c r="I518" s="50">
        <v>754.31</v>
      </c>
      <c r="K518" s="50">
        <v>-22.56</v>
      </c>
      <c r="L518" s="50">
        <v>-22.56</v>
      </c>
      <c r="R518" s="50">
        <v>3.7</v>
      </c>
      <c r="S518" s="50">
        <v>100</v>
      </c>
      <c r="T518" s="50">
        <v>-22</v>
      </c>
      <c r="U518" s="50">
        <v>-256.98</v>
      </c>
      <c r="W518" s="50">
        <v>452.77</v>
      </c>
      <c r="X518" s="50">
        <v>452.77</v>
      </c>
      <c r="Y518" s="50">
        <v>452.77</v>
      </c>
      <c r="AA518" s="50">
        <v>60.02</v>
      </c>
      <c r="AC518" s="50">
        <v>40994</v>
      </c>
      <c r="AD518" s="50">
        <v>2.99</v>
      </c>
      <c r="AE518" s="50" t="s">
        <v>4777</v>
      </c>
    </row>
    <row r="519" spans="1:31">
      <c r="A519" s="50" t="s">
        <v>4863</v>
      </c>
      <c r="B519" s="50" t="s">
        <v>1180</v>
      </c>
      <c r="C519" s="50" t="s">
        <v>4864</v>
      </c>
      <c r="D519" s="50" t="e">
        <f ca="1">Image("https://images-na.ssl-images-amazon.com/images/I/41BcaS8dGNL.jpg;https://images-na.ssl-images-amazon.com/images/I/41-xZwheKvL.jpg;https://images-na.ssl-images-amazon.com/images/I/31ookAhX8-L.jpg;https://images-na.ssl-images-amazon.com/images/I/41FYhvHbWXL"&amp;".jpg;https://images-na.ssl-images-amazon.com/images/I/41ZlgyvwMmL.jpg;https://images-na.ssl-images-amazon.com/images/I/419jyl9qUiL.jpg")</f>
        <v>#NAME?</v>
      </c>
      <c r="E519" s="50" t="s">
        <v>16</v>
      </c>
      <c r="F519" s="50" t="s">
        <v>1182</v>
      </c>
      <c r="G519" s="50">
        <v>26</v>
      </c>
      <c r="H519" s="50">
        <v>6</v>
      </c>
      <c r="I519" s="50">
        <v>385.03</v>
      </c>
      <c r="R519" s="50">
        <v>23.08</v>
      </c>
      <c r="T519" s="50">
        <v>-79.14</v>
      </c>
      <c r="U519" s="50">
        <v>-417.9</v>
      </c>
      <c r="W519" s="50">
        <v>-112.01</v>
      </c>
      <c r="X519" s="50">
        <v>-112.01</v>
      </c>
      <c r="Y519" s="50">
        <v>-112.01</v>
      </c>
      <c r="AA519" s="50">
        <v>-29.09</v>
      </c>
      <c r="AC519" s="50">
        <v>356097</v>
      </c>
      <c r="AE519" s="50" t="s">
        <v>4777</v>
      </c>
    </row>
    <row r="520" spans="1:31">
      <c r="A520" s="50" t="s">
        <v>4865</v>
      </c>
      <c r="B520" s="50" t="s">
        <v>450</v>
      </c>
      <c r="C520" s="50" t="s">
        <v>451</v>
      </c>
      <c r="D520" s="50" t="e">
        <f ca="1">Image("https://images-na.ssl-images-amazon.com/images/I/314pyQvUGzL.jpg;https://images-na.ssl-images-amazon.com/images/I/31ld8nPK9mL.jpg;https://images-na.ssl-images-amazon.com/images/I/313BKQCS8xL.jpg;https://images-na.ssl-images-amazon.com/images/I/61EdZcyPleL"&amp;".jpg;https://images-na.ssl-images-amazon.com/images/I/51Pueuvx0oL.jpg;https://images-na.ssl-images-amazon.com/images/I/51GL1QedrWL.jpg")</f>
        <v>#NAME?</v>
      </c>
      <c r="E520" s="50" t="s">
        <v>20</v>
      </c>
      <c r="F520" s="50" t="s">
        <v>452</v>
      </c>
      <c r="G520" s="50">
        <v>26</v>
      </c>
      <c r="H520" s="50">
        <v>4</v>
      </c>
      <c r="I520" s="50">
        <v>323.75</v>
      </c>
      <c r="R520" s="50">
        <v>15.38</v>
      </c>
      <c r="S520" s="50">
        <v>25</v>
      </c>
      <c r="T520" s="50">
        <v>-38.21</v>
      </c>
      <c r="U520" s="50">
        <v>-192.39</v>
      </c>
      <c r="W520" s="50">
        <v>93.15</v>
      </c>
      <c r="X520" s="50">
        <v>93.15</v>
      </c>
      <c r="Y520" s="50">
        <v>93.15</v>
      </c>
      <c r="AA520" s="50">
        <v>28.77</v>
      </c>
      <c r="AC520" s="50">
        <v>90942</v>
      </c>
      <c r="AE520" s="50" t="s">
        <v>4777</v>
      </c>
    </row>
    <row r="521" spans="1:31">
      <c r="A521" s="50" t="s">
        <v>4866</v>
      </c>
      <c r="B521" s="50" t="s">
        <v>622</v>
      </c>
      <c r="C521" s="50" t="s">
        <v>4867</v>
      </c>
      <c r="D521" s="50" t="e">
        <f ca="1">Image("https://images-na.ssl-images-amazon.com/images/I/31GeyANItrL.jpg;https://images-na.ssl-images-amazon.com/images/I/51nBifORE-L.jpg;https://images-na.ssl-images-amazon.com/images/I/51Zr8VrzF1L.jpg;https://images-na.ssl-images-amazon.com/images/I/51KD03os6CL"&amp;".jpg;https://images-na.ssl-images-amazon.com/images/I/517buProtvL.jpg;https://images-na.ssl-images-amazon.com/images/I/5195l-kHtAL.jpg;https://images-na.ssl-images-amazon.com/images/I/51YhBQOjFzL.jpg")</f>
        <v>#NAME?</v>
      </c>
      <c r="E521" s="50" t="s">
        <v>20</v>
      </c>
      <c r="F521" s="50" t="s">
        <v>624</v>
      </c>
      <c r="G521" s="50">
        <v>26</v>
      </c>
      <c r="I521" s="50">
        <v>285.48</v>
      </c>
      <c r="K521" s="50">
        <v>-60.22</v>
      </c>
      <c r="M521" s="50">
        <v>-60.22</v>
      </c>
      <c r="S521" s="50" t="s">
        <v>1217</v>
      </c>
      <c r="U521" s="50">
        <v>-187.41</v>
      </c>
      <c r="W521" s="50">
        <v>37.85</v>
      </c>
      <c r="X521" s="50">
        <v>37.85</v>
      </c>
      <c r="Y521" s="50">
        <v>37.85</v>
      </c>
      <c r="AA521" s="50">
        <v>13.26</v>
      </c>
      <c r="AC521" s="50">
        <v>172363</v>
      </c>
      <c r="AD521" s="50">
        <v>21.09</v>
      </c>
      <c r="AE521" s="50" t="s">
        <v>4777</v>
      </c>
    </row>
    <row r="522" spans="1:31">
      <c r="A522" s="50" t="s">
        <v>4868</v>
      </c>
      <c r="B522" s="50" t="s">
        <v>85</v>
      </c>
      <c r="C522" s="50" t="s">
        <v>1671</v>
      </c>
      <c r="D522" s="50" t="e">
        <f ca="1">Image("https://images-na.ssl-images-amazon.com/images/I/41GJWRVNJML.jpg;https://images-na.ssl-images-amazon.com/images/I/41GJWRVNJML.jpg")</f>
        <v>#NAME?</v>
      </c>
      <c r="E522" s="50" t="s">
        <v>16</v>
      </c>
      <c r="F522" s="50" t="s">
        <v>4807</v>
      </c>
      <c r="G522" s="50">
        <v>25</v>
      </c>
      <c r="H522" s="50">
        <v>5</v>
      </c>
      <c r="I522" s="50">
        <v>387.89</v>
      </c>
      <c r="R522" s="50">
        <v>20</v>
      </c>
      <c r="S522" s="50" t="s">
        <v>1217</v>
      </c>
      <c r="T522" s="50">
        <v>-65.11</v>
      </c>
      <c r="U522" s="50">
        <v>-58.14</v>
      </c>
      <c r="W522" s="50">
        <v>98.92</v>
      </c>
      <c r="X522" s="50">
        <v>98.92</v>
      </c>
      <c r="Y522" s="50">
        <v>264.64</v>
      </c>
      <c r="AA522" s="50">
        <v>25.5</v>
      </c>
      <c r="AC522" s="50">
        <v>234376</v>
      </c>
      <c r="AE522" s="50" t="s">
        <v>4777</v>
      </c>
    </row>
    <row r="523" spans="1:31">
      <c r="A523" s="50" t="s">
        <v>4869</v>
      </c>
      <c r="B523" s="50" t="s">
        <v>325</v>
      </c>
      <c r="C523" s="50" t="s">
        <v>4870</v>
      </c>
      <c r="D523" s="50" t="e">
        <f ca="1">Image("https://images-na.ssl-images-amazon.com/images/I/41dzhot5iQL.jpg;https://images-na.ssl-images-amazon.com/images/I/41Xp03GHduL.jpg")</f>
        <v>#NAME?</v>
      </c>
      <c r="E523" s="50" t="s">
        <v>20</v>
      </c>
      <c r="F523" s="50" t="s">
        <v>327</v>
      </c>
      <c r="G523" s="50">
        <v>25</v>
      </c>
      <c r="H523" s="50">
        <v>2</v>
      </c>
      <c r="I523" s="50">
        <v>285.89</v>
      </c>
      <c r="R523" s="50">
        <v>8</v>
      </c>
      <c r="S523" s="50">
        <v>100</v>
      </c>
      <c r="T523" s="50">
        <v>-19.559999999999999</v>
      </c>
      <c r="U523" s="50">
        <v>-125.64</v>
      </c>
      <c r="W523" s="50">
        <v>140.69</v>
      </c>
      <c r="X523" s="50">
        <v>140.69</v>
      </c>
      <c r="Y523" s="50">
        <v>140.69</v>
      </c>
      <c r="AA523" s="50">
        <v>49.21</v>
      </c>
      <c r="AC523" s="50">
        <v>90942</v>
      </c>
      <c r="AE523" s="50" t="s">
        <v>4777</v>
      </c>
    </row>
    <row r="524" spans="1:31">
      <c r="A524" s="50" t="s">
        <v>4424</v>
      </c>
      <c r="B524" s="50" t="s">
        <v>1168</v>
      </c>
      <c r="C524" s="50" t="s">
        <v>4871</v>
      </c>
      <c r="D524" s="50" t="e">
        <f ca="1">Image("https://images-na.ssl-images-amazon.com/images/I/4192FCBNu6L.jpg;https://images-na.ssl-images-amazon.com/images/I/416rjtaDaoL.jpg;https://images-na.ssl-images-amazon.com/images/I/21fLs58t-oL.jpg;https://images-na.ssl-images-amazon.com/images/I/51nMPt6cGKL"&amp;".jpg;https://images-na.ssl-images-amazon.com/images/I/31sntDzA6oL.jpg;https://images-na.ssl-images-amazon.com/images/I/41aUlTQrDwL.jpg")</f>
        <v>#NAME?</v>
      </c>
      <c r="E524" s="50" t="s">
        <v>20</v>
      </c>
      <c r="F524" s="50" t="s">
        <v>1170</v>
      </c>
      <c r="G524" s="50">
        <v>24</v>
      </c>
      <c r="H524" s="50">
        <v>3</v>
      </c>
      <c r="I524" s="50">
        <v>343.2</v>
      </c>
      <c r="R524" s="50">
        <v>12.5</v>
      </c>
      <c r="S524" s="50">
        <v>100</v>
      </c>
      <c r="T524" s="50">
        <v>-38.01</v>
      </c>
      <c r="U524" s="50">
        <v>-215.96</v>
      </c>
      <c r="W524" s="50">
        <v>89.23</v>
      </c>
      <c r="X524" s="50">
        <v>89.23</v>
      </c>
      <c r="Y524" s="50">
        <v>89.23</v>
      </c>
      <c r="AA524" s="50">
        <v>26</v>
      </c>
      <c r="AC524" s="50">
        <v>34727</v>
      </c>
      <c r="AE524" s="50" t="s">
        <v>4777</v>
      </c>
    </row>
    <row r="525" spans="1:31">
      <c r="A525" s="50" t="s">
        <v>4872</v>
      </c>
      <c r="B525" s="50" t="s">
        <v>1177</v>
      </c>
      <c r="C525" s="50" t="s">
        <v>4873</v>
      </c>
      <c r="D525" s="50" t="e">
        <f ca="1">Image("https://images-na.ssl-images-amazon.com/images/I/418KqpfRhML.jpg;https://images-na.ssl-images-amazon.com/images/I/41b6HMl130L.jpg;https://images-na.ssl-images-amazon.com/images/I/41KW8hFrpHS.jpg;https://images-na.ssl-images-amazon.com/images/I/41r4qdBIS0L"&amp;".jpg;https://images-na.ssl-images-amazon.com/images/I/51AOa6oTe4L.jpg;https://images-na.ssl-images-amazon.com/images/I/41rYE9Xu+ML.jpg")</f>
        <v>#NAME?</v>
      </c>
      <c r="E525" s="50" t="s">
        <v>20</v>
      </c>
      <c r="F525" s="50" t="s">
        <v>1179</v>
      </c>
      <c r="G525" s="50">
        <v>24</v>
      </c>
      <c r="H525" s="50">
        <v>2</v>
      </c>
      <c r="I525" s="50">
        <v>452.84</v>
      </c>
      <c r="K525" s="50">
        <v>-0.18</v>
      </c>
      <c r="L525" s="50">
        <v>-0.18</v>
      </c>
      <c r="R525" s="50">
        <v>8.33</v>
      </c>
      <c r="S525" s="50">
        <v>66.67</v>
      </c>
      <c r="T525" s="50">
        <v>-32.56</v>
      </c>
      <c r="U525" s="50">
        <v>-532.46</v>
      </c>
      <c r="W525" s="50">
        <v>-112.36</v>
      </c>
      <c r="X525" s="50">
        <v>-112.36</v>
      </c>
      <c r="Y525" s="50">
        <v>-112.36</v>
      </c>
      <c r="AA525" s="50">
        <v>-24.81</v>
      </c>
      <c r="AC525" s="50">
        <v>298291</v>
      </c>
      <c r="AD525" s="50">
        <v>0.04</v>
      </c>
      <c r="AE525" s="50" t="s">
        <v>4777</v>
      </c>
    </row>
    <row r="526" spans="1:31">
      <c r="A526" s="50" t="s">
        <v>4441</v>
      </c>
      <c r="B526" s="50" t="s">
        <v>70</v>
      </c>
      <c r="C526" s="50" t="s">
        <v>1755</v>
      </c>
      <c r="D526" s="50" t="e">
        <f ca="1">Image("https://images-na.ssl-images-amazon.com/images/I/413l3NMhAQL.jpg;https://images-na.ssl-images-amazon.com/images/I/51YJHQ4ILFL.jpg;https://images-na.ssl-images-amazon.com/images/I/51L1CnfS72L.jpg;https://images-na.ssl-images-amazon.com/images/I/41+r-n9QY0L"&amp;".jpg;https://images-na.ssl-images-amazon.com/images/I/51eyrJ4lM5L.jpg;https://images-na.ssl-images-amazon.com/images/I/51Jm2JId33L.jpg;https://images-na.ssl-images-amazon.com/images/I/41h-4X0e4iL.jpg;https://images-na.ssl-images-amazon.com/images/I/41ay8C"&amp;"KQtBL.jpg")</f>
        <v>#NAME?</v>
      </c>
      <c r="E526" s="50" t="s">
        <v>16</v>
      </c>
      <c r="F526" s="50" t="s">
        <v>72</v>
      </c>
      <c r="G526" s="50">
        <v>23</v>
      </c>
      <c r="H526" s="50">
        <v>4</v>
      </c>
      <c r="I526" s="50">
        <v>315.88</v>
      </c>
      <c r="R526" s="50">
        <v>17.39</v>
      </c>
      <c r="S526" s="50" t="s">
        <v>1217</v>
      </c>
      <c r="T526" s="50">
        <v>-44.6</v>
      </c>
      <c r="U526" s="50">
        <v>-47.42</v>
      </c>
      <c r="W526" s="50">
        <v>81.040000000000006</v>
      </c>
      <c r="X526" s="50">
        <v>81.040000000000006</v>
      </c>
      <c r="Y526" s="50">
        <v>223.86</v>
      </c>
      <c r="AA526" s="50">
        <v>25.66</v>
      </c>
      <c r="AE526" s="50" t="s">
        <v>4777</v>
      </c>
    </row>
    <row r="527" spans="1:31">
      <c r="A527" s="50" t="s">
        <v>4874</v>
      </c>
      <c r="B527" s="50" t="s">
        <v>91</v>
      </c>
      <c r="C527" s="50" t="s">
        <v>1634</v>
      </c>
      <c r="D527" s="50" t="e">
        <f ca="1">Image("https://images-na.ssl-images-amazon.com/images/I/51SfzncLCrL.jpg;https://images-na.ssl-images-amazon.com/images/I/51ArNUbwoyL.jpg;https://images-na.ssl-images-amazon.com/images/I/51QsWzifNgL.jpg;https://images-na.ssl-images-amazon.com/images/I/4166ErZC6nL"&amp;".jpg")</f>
        <v>#NAME?</v>
      </c>
      <c r="E527" s="50" t="s">
        <v>16</v>
      </c>
      <c r="F527" s="50" t="s">
        <v>93</v>
      </c>
      <c r="G527" s="50">
        <v>22</v>
      </c>
      <c r="H527" s="50">
        <v>4</v>
      </c>
      <c r="I527" s="50">
        <v>370.93</v>
      </c>
      <c r="R527" s="50">
        <v>18.18</v>
      </c>
      <c r="S527" s="50" t="s">
        <v>1217</v>
      </c>
      <c r="T527" s="50">
        <v>-75.23</v>
      </c>
      <c r="U527" s="50">
        <v>-55.7</v>
      </c>
      <c r="W527" s="50">
        <v>95.07</v>
      </c>
      <c r="X527" s="50">
        <v>95.07</v>
      </c>
      <c r="Y527" s="50">
        <v>240</v>
      </c>
      <c r="AA527" s="50">
        <v>25.63</v>
      </c>
      <c r="AE527" s="50" t="s">
        <v>4777</v>
      </c>
    </row>
    <row r="528" spans="1:31">
      <c r="A528" s="50" t="s">
        <v>4875</v>
      </c>
      <c r="B528" s="50" t="s">
        <v>1148</v>
      </c>
      <c r="C528" s="50" t="s">
        <v>4876</v>
      </c>
      <c r="D528" s="50" t="e">
        <f ca="1">Image("https://images-na.ssl-images-amazon.com/images/I/41aKdLZnWxL.jpg;https://images-na.ssl-images-amazon.com/images/I/41b6HMl130L.jpg;https://images-na.ssl-images-amazon.com/images/I/41KW8hFrpHS.jpg;https://images-na.ssl-images-amazon.com/images/I/41r4qdBIS0L"&amp;".jpg;https://images-na.ssl-images-amazon.com/images/I/41zpqNN3hAL.jpg;https://images-na.ssl-images-amazon.com/images/I/51AOa6oTe4L.jpg;https://images-na.ssl-images-amazon.com/images/I/41rYE9Xu+ML.jpg")</f>
        <v>#NAME?</v>
      </c>
      <c r="E528" s="50" t="s">
        <v>20</v>
      </c>
      <c r="F528" s="50" t="s">
        <v>1150</v>
      </c>
      <c r="G528" s="50">
        <v>22</v>
      </c>
      <c r="H528" s="50">
        <v>3</v>
      </c>
      <c r="I528" s="50">
        <v>284.25</v>
      </c>
      <c r="K528" s="50">
        <v>-3.08</v>
      </c>
      <c r="L528" s="50">
        <v>-3.08</v>
      </c>
      <c r="R528" s="50">
        <v>13.64</v>
      </c>
      <c r="S528" s="50">
        <v>33.33</v>
      </c>
      <c r="T528" s="50">
        <v>-35.64</v>
      </c>
      <c r="U528" s="50">
        <v>-300.93</v>
      </c>
      <c r="W528" s="50">
        <v>-55.4</v>
      </c>
      <c r="X528" s="50">
        <v>-55.4</v>
      </c>
      <c r="Y528" s="50">
        <v>-55.4</v>
      </c>
      <c r="AA528" s="50">
        <v>-19.489999999999998</v>
      </c>
      <c r="AC528" s="50">
        <v>298291</v>
      </c>
      <c r="AD528" s="50">
        <v>1.08</v>
      </c>
      <c r="AE528" s="50" t="s">
        <v>4777</v>
      </c>
    </row>
    <row r="529" spans="1:31">
      <c r="A529" s="50" t="s">
        <v>4877</v>
      </c>
      <c r="B529" s="50" t="s">
        <v>441</v>
      </c>
      <c r="C529" s="50" t="s">
        <v>4878</v>
      </c>
      <c r="D529" s="50" t="e">
        <f ca="1">Image("https://images-na.ssl-images-amazon.com/images/I/51vE9yg+bSL.jpg")</f>
        <v>#NAME?</v>
      </c>
      <c r="E529" s="50" t="s">
        <v>20</v>
      </c>
      <c r="F529" s="50" t="s">
        <v>443</v>
      </c>
      <c r="G529" s="50">
        <v>22</v>
      </c>
      <c r="H529" s="50">
        <v>4</v>
      </c>
      <c r="I529" s="50">
        <v>310.20999999999998</v>
      </c>
      <c r="R529" s="50">
        <v>18.18</v>
      </c>
      <c r="S529" s="50">
        <v>75</v>
      </c>
      <c r="T529" s="50">
        <v>-46</v>
      </c>
      <c r="U529" s="50">
        <v>-179.08</v>
      </c>
      <c r="W529" s="50">
        <v>85.13</v>
      </c>
      <c r="X529" s="50">
        <v>85.13</v>
      </c>
      <c r="Y529" s="50">
        <v>85.13</v>
      </c>
      <c r="AA529" s="50">
        <v>27.44</v>
      </c>
      <c r="AC529" s="50">
        <v>90942</v>
      </c>
      <c r="AE529" s="50" t="s">
        <v>4777</v>
      </c>
    </row>
    <row r="530" spans="1:31">
      <c r="A530" s="50" t="s">
        <v>4879</v>
      </c>
      <c r="B530" s="50" t="s">
        <v>191</v>
      </c>
      <c r="C530" s="50" t="s">
        <v>192</v>
      </c>
      <c r="D530" s="50" t="e">
        <f ca="1">Image("https://images-na.ssl-images-amazon.com/images/I/51MAdIF8esL.jpg;https://images-na.ssl-images-amazon.com/images/I/41NYUThSpCL.jpg;https://images-na.ssl-images-amazon.com/images/I/41VboHcJQVL.jpg;https://images-na.ssl-images-amazon.com/images/I/41yqUaMB26L"&amp;".jpg;https://images-na.ssl-images-amazon.com/images/I/41DPNjtfr8L.jpg;https://images-na.ssl-images-amazon.com/images/I/51OX7hHl+wL.jpg")</f>
        <v>#NAME?</v>
      </c>
      <c r="E530" s="50" t="s">
        <v>20</v>
      </c>
      <c r="F530" s="50" t="s">
        <v>193</v>
      </c>
      <c r="G530" s="50">
        <v>21</v>
      </c>
      <c r="H530" s="50">
        <v>2</v>
      </c>
      <c r="I530" s="50">
        <v>718.9</v>
      </c>
      <c r="R530" s="50">
        <v>9.52</v>
      </c>
      <c r="S530" s="50">
        <v>50</v>
      </c>
      <c r="T530" s="50">
        <v>-57.01</v>
      </c>
      <c r="U530" s="50">
        <v>-223.5</v>
      </c>
      <c r="W530" s="50">
        <v>438.39</v>
      </c>
      <c r="X530" s="50">
        <v>438.39</v>
      </c>
      <c r="Y530" s="50">
        <v>438.39</v>
      </c>
      <c r="AA530" s="50">
        <v>60.98</v>
      </c>
      <c r="AC530" s="50">
        <v>2708101</v>
      </c>
      <c r="AE530" s="50" t="s">
        <v>4777</v>
      </c>
    </row>
    <row r="531" spans="1:31">
      <c r="A531" s="50" t="s">
        <v>4880</v>
      </c>
      <c r="B531" s="50" t="s">
        <v>212</v>
      </c>
      <c r="C531" s="50" t="s">
        <v>2024</v>
      </c>
      <c r="D531" s="50" t="e">
        <f ca="1">Image("https://images-na.ssl-images-amazon.com/images/I/31ro7SZzScL.jpg;https://images-na.ssl-images-amazon.com/images/I/41rDv4ZdyWL.jpg;https://images-na.ssl-images-amazon.com/images/I/21nDHD-DMTL.jpg")</f>
        <v>#NAME?</v>
      </c>
      <c r="E531" s="50" t="s">
        <v>16</v>
      </c>
      <c r="F531" s="50" t="s">
        <v>214</v>
      </c>
      <c r="G531" s="50">
        <v>20</v>
      </c>
      <c r="H531" s="50">
        <v>2</v>
      </c>
      <c r="I531" s="50">
        <v>133.30000000000001</v>
      </c>
      <c r="R531" s="50">
        <v>10</v>
      </c>
      <c r="S531" s="50" t="s">
        <v>1217</v>
      </c>
      <c r="T531" s="50">
        <v>-11.79</v>
      </c>
      <c r="U531" s="50">
        <v>-20.03</v>
      </c>
      <c r="W531" s="50">
        <v>-13.52</v>
      </c>
      <c r="X531" s="50">
        <v>-13.52</v>
      </c>
      <c r="Y531" s="50">
        <v>101.48</v>
      </c>
      <c r="AA531" s="50">
        <v>-10.14</v>
      </c>
      <c r="AC531" s="50">
        <v>62242</v>
      </c>
      <c r="AE531" s="50" t="s">
        <v>4777</v>
      </c>
    </row>
    <row r="532" spans="1:31">
      <c r="A532" s="50" t="s">
        <v>4881</v>
      </c>
      <c r="B532" s="50" t="s">
        <v>245</v>
      </c>
      <c r="C532" s="50" t="s">
        <v>246</v>
      </c>
      <c r="D532" s="50" t="e">
        <f ca="1">Image("https://images-na.ssl-images-amazon.com/images/I/41QgQruwukL.jpg;https://images-na.ssl-images-amazon.com/images/I/41H71gYb39L.jpg;https://images-na.ssl-images-amazon.com/images/I/319CQVMgHCL.jpg")</f>
        <v>#NAME?</v>
      </c>
      <c r="E532" s="50" t="s">
        <v>16</v>
      </c>
      <c r="F532" s="50" t="s">
        <v>247</v>
      </c>
      <c r="G532" s="50">
        <v>19</v>
      </c>
      <c r="I532" s="50">
        <v>289.89</v>
      </c>
      <c r="S532" s="50" t="s">
        <v>1217</v>
      </c>
      <c r="U532" s="50">
        <v>-43.47</v>
      </c>
      <c r="W532" s="50">
        <v>119.19</v>
      </c>
      <c r="X532" s="50">
        <v>119.19</v>
      </c>
      <c r="Y532" s="50">
        <v>246.42</v>
      </c>
      <c r="AA532" s="50">
        <v>41.12</v>
      </c>
      <c r="AC532" s="50">
        <v>267382</v>
      </c>
      <c r="AE532" s="50" t="s">
        <v>4777</v>
      </c>
    </row>
    <row r="533" spans="1:31">
      <c r="A533" s="50" t="s">
        <v>4882</v>
      </c>
      <c r="B533" s="50" t="s">
        <v>183</v>
      </c>
      <c r="C533" s="50" t="s">
        <v>184</v>
      </c>
      <c r="D533" s="50" t="e">
        <f ca="1">Image("https://images-na.ssl-images-amazon.com/images/I/31XCB-yz02L.jpg;https://images-na.ssl-images-amazon.com/images/I/31NTwjcGCeL.jpg;https://images-na.ssl-images-amazon.com/images/I/21bg0PLsNpL.jpg;https://images-na.ssl-images-amazon.com/images/I/516ZXiYv7NL"&amp;".jpg;https://images-na.ssl-images-amazon.com/images/I/21E-+BmFo5L.jpg;https://images-na.ssl-images-amazon.com/images/I/31Kps+HAoQL.jpg")</f>
        <v>#NAME?</v>
      </c>
      <c r="E533" s="50" t="s">
        <v>20</v>
      </c>
      <c r="F533" s="50" t="s">
        <v>185</v>
      </c>
      <c r="G533" s="50">
        <v>19</v>
      </c>
      <c r="H533" s="50">
        <v>2</v>
      </c>
      <c r="I533" s="50">
        <v>888.27</v>
      </c>
      <c r="K533" s="50">
        <v>-105.4</v>
      </c>
      <c r="L533" s="50">
        <v>-105.4</v>
      </c>
      <c r="R533" s="50">
        <v>10.53</v>
      </c>
      <c r="S533" s="50">
        <v>50</v>
      </c>
      <c r="T533" s="50">
        <v>-78.13</v>
      </c>
      <c r="U533" s="50">
        <v>-248.56</v>
      </c>
      <c r="W533" s="50">
        <v>456.18</v>
      </c>
      <c r="X533" s="50">
        <v>456.18</v>
      </c>
      <c r="Y533" s="50">
        <v>456.18</v>
      </c>
      <c r="AA533" s="50">
        <v>51.36</v>
      </c>
      <c r="AC533" s="50">
        <v>59911</v>
      </c>
      <c r="AD533" s="50">
        <v>11.87</v>
      </c>
      <c r="AE533" s="50" t="s">
        <v>4777</v>
      </c>
    </row>
    <row r="534" spans="1:31">
      <c r="A534" s="50" t="s">
        <v>4470</v>
      </c>
      <c r="B534" s="50" t="s">
        <v>160</v>
      </c>
      <c r="C534" s="50" t="s">
        <v>4883</v>
      </c>
      <c r="D534" s="50" t="e">
        <f ca="1">Image("https://images-na.ssl-images-amazon.com/images/I/41V+0CpepLL.jpg")</f>
        <v>#NAME?</v>
      </c>
      <c r="E534" s="50" t="s">
        <v>12</v>
      </c>
      <c r="F534" s="50" t="s">
        <v>24</v>
      </c>
      <c r="G534" s="50">
        <v>19</v>
      </c>
      <c r="H534" s="50">
        <v>2</v>
      </c>
      <c r="I534" s="50">
        <v>790.93</v>
      </c>
      <c r="K534" s="50">
        <v>-253.37</v>
      </c>
      <c r="L534" s="50">
        <v>-253.37</v>
      </c>
      <c r="R534" s="50">
        <v>10.53</v>
      </c>
      <c r="S534" s="50" t="s">
        <v>1217</v>
      </c>
      <c r="T534" s="50">
        <v>-72.14</v>
      </c>
      <c r="U534" s="50">
        <v>-118.65</v>
      </c>
      <c r="W534" s="50">
        <v>125.84</v>
      </c>
      <c r="X534" s="50">
        <v>125.84</v>
      </c>
      <c r="Y534" s="50">
        <v>346.77</v>
      </c>
      <c r="AA534" s="50">
        <v>15.91</v>
      </c>
      <c r="AC534" s="50">
        <v>1044334</v>
      </c>
      <c r="AD534" s="50">
        <v>32.03</v>
      </c>
      <c r="AE534" s="50" t="s">
        <v>4777</v>
      </c>
    </row>
    <row r="535" spans="1:31">
      <c r="A535" s="50" t="s">
        <v>4884</v>
      </c>
      <c r="B535" s="50" t="s">
        <v>415</v>
      </c>
      <c r="C535" s="50" t="s">
        <v>416</v>
      </c>
      <c r="D535" s="50" t="e">
        <f ca="1">Image("https://images-na.ssl-images-amazon.com/images/I/41ZmNJvRs4L.jpg;https://images-na.ssl-images-amazon.com/images/I/41A2ydZLV8L.jpg;https://images-na.ssl-images-amazon.com/images/I/41vLAFVNHyL.jpg;https://images-na.ssl-images-amazon.com/images/I/51GmWZVKs8L"&amp;".jpg;https://images-na.ssl-images-amazon.com/images/I/61cI9s7GHQL.jpg;https://images-na.ssl-images-amazon.com/images/I/51jLLEaGTBL.jpg")</f>
        <v>#NAME?</v>
      </c>
      <c r="E535" s="50" t="s">
        <v>20</v>
      </c>
      <c r="F535" s="50" t="s">
        <v>417</v>
      </c>
      <c r="G535" s="50">
        <v>18</v>
      </c>
      <c r="H535" s="50">
        <v>1</v>
      </c>
      <c r="I535" s="50">
        <v>217.35</v>
      </c>
      <c r="R535" s="50">
        <v>5.56</v>
      </c>
      <c r="T535" s="50">
        <v>-10.32</v>
      </c>
      <c r="U535" s="50">
        <v>-95.94</v>
      </c>
      <c r="W535" s="50">
        <v>111.09</v>
      </c>
      <c r="X535" s="50">
        <v>111.09</v>
      </c>
      <c r="Y535" s="50">
        <v>111.09</v>
      </c>
      <c r="AA535" s="50">
        <v>51.11</v>
      </c>
      <c r="AC535" s="50">
        <v>90942</v>
      </c>
      <c r="AE535" s="50" t="s">
        <v>4777</v>
      </c>
    </row>
    <row r="536" spans="1:31">
      <c r="A536" s="50" t="s">
        <v>4466</v>
      </c>
      <c r="B536" s="50" t="s">
        <v>485</v>
      </c>
      <c r="C536" s="50" t="s">
        <v>4885</v>
      </c>
      <c r="D536" s="50" t="e">
        <f ca="1">Image("https://images-na.ssl-images-amazon.com/images/I/412oNqHH5CL.jpg;https://images-na.ssl-images-amazon.com/images/I/41xkFgCKcFL.jpg;https://images-na.ssl-images-amazon.com/images/I/41Qms6P5QZL.jpg;https://images-na.ssl-images-amazon.com/images/I/41B2M6MHPCL"&amp;".jpg;https://images-na.ssl-images-amazon.com/images/I/417JzqBY3nL.jpg;https://images-na.ssl-images-amazon.com/images/I/51ZMeTez5QL.jpg;https://images-na.ssl-images-amazon.com/images/I/51aK6Y10v6L.jpg")</f>
        <v>#NAME?</v>
      </c>
      <c r="E536" s="50" t="s">
        <v>20</v>
      </c>
      <c r="F536" s="50" t="s">
        <v>487</v>
      </c>
      <c r="G536" s="50">
        <v>17</v>
      </c>
      <c r="I536" s="50">
        <v>147.19999999999999</v>
      </c>
      <c r="U536" s="50">
        <v>-80.760000000000005</v>
      </c>
      <c r="W536" s="50">
        <v>66.44</v>
      </c>
      <c r="X536" s="50">
        <v>66.44</v>
      </c>
      <c r="Y536" s="50">
        <v>66.44</v>
      </c>
      <c r="AA536" s="50">
        <v>45.14</v>
      </c>
      <c r="AC536" s="50">
        <v>275369</v>
      </c>
      <c r="AE536" s="50" t="s">
        <v>4777</v>
      </c>
    </row>
    <row r="537" spans="1:31">
      <c r="A537" s="50" t="s">
        <v>4450</v>
      </c>
      <c r="B537" s="50" t="s">
        <v>400</v>
      </c>
      <c r="C537" s="50" t="s">
        <v>4886</v>
      </c>
      <c r="D537" s="50" t="e">
        <f ca="1">Image("https://images-na.ssl-images-amazon.com/images/I/418t99GsBeL.jpg;https://images-na.ssl-images-amazon.com/images/I/51dCrnM6mDL.jpg;https://images-na.ssl-images-amazon.com/images/I/41-a6e7+28L.jpg;https://images-na.ssl-images-amazon.com/images/I/51SdLXPDoNL"&amp;".jpg;https://images-na.ssl-images-amazon.com/images/I/51uSebeVkJS.jpg;https://images-na.ssl-images-amazon.com/images/I/51mLm3qCuxL.jpg;https://images-na.ssl-images-amazon.com/images/I/41mcV6mPDTL.jpg")</f>
        <v>#NAME?</v>
      </c>
      <c r="E537" s="50" t="s">
        <v>20</v>
      </c>
      <c r="F537" s="50" t="s">
        <v>402</v>
      </c>
      <c r="G537" s="50">
        <v>17</v>
      </c>
      <c r="I537" s="50">
        <v>134.6</v>
      </c>
      <c r="S537" s="50" t="s">
        <v>1217</v>
      </c>
      <c r="U537" s="50">
        <v>-20.170000000000002</v>
      </c>
      <c r="W537" s="50">
        <v>16.68</v>
      </c>
      <c r="X537" s="50">
        <v>16.68</v>
      </c>
      <c r="Y537" s="50">
        <v>114.43</v>
      </c>
      <c r="AA537" s="50">
        <v>12.39</v>
      </c>
      <c r="AE537" s="50" t="s">
        <v>4777</v>
      </c>
    </row>
    <row r="538" spans="1:31">
      <c r="A538" s="50" t="s">
        <v>4887</v>
      </c>
      <c r="B538" s="50" t="s">
        <v>390</v>
      </c>
      <c r="C538" s="50" t="s">
        <v>4888</v>
      </c>
      <c r="D538" s="50" t="e">
        <f ca="1">Image("https://images-na.ssl-images-amazon.com/images/I/31zFMIkwk5L.jpg;https://images-na.ssl-images-amazon.com/images/I/41V9Wuc94HL.jpg;https://images-na.ssl-images-amazon.com/images/I/31eekZG8InL.jpg;https://images-na.ssl-images-amazon.com/images/I/51u69-wws9L"&amp;".jpg")</f>
        <v>#NAME?</v>
      </c>
      <c r="E538" s="50" t="s">
        <v>20</v>
      </c>
      <c r="F538" s="50" t="s">
        <v>392</v>
      </c>
      <c r="G538" s="50">
        <v>17</v>
      </c>
      <c r="H538" s="50">
        <v>1</v>
      </c>
      <c r="I538" s="50">
        <v>201.38</v>
      </c>
      <c r="R538" s="50">
        <v>5.88</v>
      </c>
      <c r="S538" s="50">
        <v>100</v>
      </c>
      <c r="T538" s="50">
        <v>-10.32</v>
      </c>
      <c r="U538" s="50">
        <v>-94.22</v>
      </c>
      <c r="W538" s="50">
        <v>96.84</v>
      </c>
      <c r="X538" s="50">
        <v>96.84</v>
      </c>
      <c r="Y538" s="50">
        <v>96.84</v>
      </c>
      <c r="AA538" s="50">
        <v>48.09</v>
      </c>
      <c r="AC538" s="50">
        <v>90942</v>
      </c>
      <c r="AE538" s="50" t="s">
        <v>4777</v>
      </c>
    </row>
    <row r="539" spans="1:31">
      <c r="A539" s="50" t="s">
        <v>4450</v>
      </c>
      <c r="B539" s="50" t="s">
        <v>103</v>
      </c>
      <c r="C539" s="50" t="s">
        <v>1740</v>
      </c>
      <c r="D539" s="50" t="e">
        <f ca="1">Image("https://images-na.ssl-images-amazon.com/images/I/51i+SfRFHdL.jpg;https://images-na.ssl-images-amazon.com/images/I/71+KsOmS3BL.jpg;https://images-na.ssl-images-amazon.com/images/I/61pV-HlDrTL.jpg;https://images-na.ssl-images-amazon.com/images/I/411fU-c6aZL"&amp;".jpg;https://images-na.ssl-images-amazon.com/images/I/41cS4Y02AbL.jpg")</f>
        <v>#NAME?</v>
      </c>
      <c r="E539" s="50" t="s">
        <v>16</v>
      </c>
      <c r="F539" s="50" t="s">
        <v>105</v>
      </c>
      <c r="G539" s="50">
        <v>15</v>
      </c>
      <c r="H539" s="50">
        <v>1</v>
      </c>
      <c r="I539" s="50">
        <v>147.19</v>
      </c>
      <c r="R539" s="50">
        <v>6.67</v>
      </c>
      <c r="S539" s="50" t="s">
        <v>1217</v>
      </c>
      <c r="T539" s="50">
        <v>-8.58</v>
      </c>
      <c r="U539" s="50">
        <v>-22.05</v>
      </c>
      <c r="W539" s="50">
        <v>30.07</v>
      </c>
      <c r="X539" s="50">
        <v>30.07</v>
      </c>
      <c r="Y539" s="50">
        <v>116.56</v>
      </c>
      <c r="AA539" s="50">
        <v>20.43</v>
      </c>
      <c r="AE539" s="50" t="s">
        <v>4777</v>
      </c>
    </row>
    <row r="540" spans="1:31">
      <c r="A540" s="50" t="s">
        <v>4889</v>
      </c>
      <c r="B540" s="50" t="s">
        <v>263</v>
      </c>
      <c r="C540" s="50" t="s">
        <v>264</v>
      </c>
      <c r="D540" s="50" t="e">
        <f ca="1">Image("https://images-na.ssl-images-amazon.com/images/I/41GBW9I65pL.jpg;https://images-na.ssl-images-amazon.com/images/I/51lpvFoncpL.jpg;https://images-na.ssl-images-amazon.com/images/I/41wXdYkHizL.jpg;https://images-na.ssl-images-amazon.com/images/I/41HGjAQiKpL"&amp;".jpg;https://images-na.ssl-images-amazon.com/images/I/31kx3w+Gf1L.jpg;https://images-na.ssl-images-amazon.com/images/I/516ZXiYv7NL.jpg")</f>
        <v>#NAME?</v>
      </c>
      <c r="E540" s="50" t="s">
        <v>20</v>
      </c>
      <c r="F540" s="50" t="s">
        <v>141</v>
      </c>
      <c r="G540" s="50">
        <v>15</v>
      </c>
      <c r="I540" s="50">
        <v>423.95</v>
      </c>
      <c r="K540" s="50">
        <v>-1.43</v>
      </c>
      <c r="L540" s="50">
        <v>-1.43</v>
      </c>
      <c r="S540" s="50" t="s">
        <v>1217</v>
      </c>
      <c r="U540" s="50">
        <v>-160.62</v>
      </c>
      <c r="W540" s="50">
        <v>261.89999999999998</v>
      </c>
      <c r="X540" s="50">
        <v>261.89999999999998</v>
      </c>
      <c r="Y540" s="50">
        <v>261.89999999999998</v>
      </c>
      <c r="AA540" s="50">
        <v>61.78</v>
      </c>
      <c r="AC540" s="50">
        <v>40994</v>
      </c>
      <c r="AD540" s="50">
        <v>0.34</v>
      </c>
      <c r="AE540" s="50" t="s">
        <v>4777</v>
      </c>
    </row>
    <row r="541" spans="1:31">
      <c r="A541" s="50" t="s">
        <v>4890</v>
      </c>
      <c r="B541" s="50" t="s">
        <v>14</v>
      </c>
      <c r="C541" s="50" t="s">
        <v>15</v>
      </c>
      <c r="D541" s="50" t="e">
        <f ca="1">Image("https://images-na.ssl-images-amazon.com/images/I/51wu2q-zKuL.jpg;https://images-na.ssl-images-amazon.com/images/I/517-DmWn7iL.jpg;https://images-na.ssl-images-amazon.com/images/I/41veFufhgBL.jpg;https://images-na.ssl-images-amazon.com/images/I/41BTUKYzcuL"&amp;".jpg;https://images-na.ssl-images-amazon.com/images/I/51mgfxVp3wL.jpg")</f>
        <v>#NAME?</v>
      </c>
      <c r="E541" s="50" t="s">
        <v>16</v>
      </c>
      <c r="F541" s="50" t="s">
        <v>17</v>
      </c>
      <c r="G541" s="50">
        <v>14</v>
      </c>
      <c r="H541" s="50">
        <v>4</v>
      </c>
      <c r="I541" s="50">
        <v>1194.95</v>
      </c>
      <c r="R541" s="50">
        <v>28.57</v>
      </c>
      <c r="S541" s="50" t="s">
        <v>1217</v>
      </c>
      <c r="T541" s="50">
        <v>-324.76</v>
      </c>
      <c r="U541" s="50">
        <v>-179.24</v>
      </c>
      <c r="W541" s="50">
        <v>610.45000000000005</v>
      </c>
      <c r="X541" s="50">
        <v>610.45000000000005</v>
      </c>
      <c r="Y541" s="50">
        <v>690.95</v>
      </c>
      <c r="AA541" s="50">
        <v>51.09</v>
      </c>
      <c r="AC541" s="50">
        <v>11213</v>
      </c>
      <c r="AE541" s="50" t="s">
        <v>4777</v>
      </c>
    </row>
    <row r="542" spans="1:31">
      <c r="A542" s="50" t="s">
        <v>4891</v>
      </c>
      <c r="B542" s="50" t="s">
        <v>424</v>
      </c>
      <c r="C542" s="50" t="s">
        <v>4892</v>
      </c>
      <c r="D542" s="50" t="e">
        <f ca="1">Image("https://images-na.ssl-images-amazon.com/images/I/31rxkYueElL.jpg;https://images-na.ssl-images-amazon.com/images/I/314idXZH1xL.jpg;https://images-na.ssl-images-amazon.com/images/I/315hH+9ybhL.jpg;https://images-na.ssl-images-amazon.com/images/I/51JAGc5-DRL"&amp;".jpg;https://images-na.ssl-images-amazon.com/images/I/51ClpcN1DsL.jpg;https://images-na.ssl-images-amazon.com/images/I/51kjqCLJaYL.jpg")</f>
        <v>#NAME?</v>
      </c>
      <c r="E542" s="50" t="s">
        <v>20</v>
      </c>
      <c r="F542" s="50" t="s">
        <v>426</v>
      </c>
      <c r="G542" s="50">
        <v>14</v>
      </c>
      <c r="I542" s="50">
        <v>165.8</v>
      </c>
      <c r="S542" s="50" t="s">
        <v>1217</v>
      </c>
      <c r="U542" s="50">
        <v>-74.31</v>
      </c>
      <c r="W542" s="50">
        <v>91.49</v>
      </c>
      <c r="X542" s="50">
        <v>91.49</v>
      </c>
      <c r="Y542" s="50">
        <v>91.49</v>
      </c>
      <c r="AA542" s="50">
        <v>55.18</v>
      </c>
      <c r="AC542" s="50">
        <v>90942</v>
      </c>
      <c r="AE542" s="50" t="s">
        <v>4777</v>
      </c>
    </row>
    <row r="543" spans="1:31">
      <c r="A543" s="50" t="s">
        <v>4893</v>
      </c>
      <c r="B543" s="50" t="s">
        <v>435</v>
      </c>
      <c r="C543" s="50" t="s">
        <v>436</v>
      </c>
      <c r="D543" s="50" t="e">
        <f ca="1">Image("https://images-na.ssl-images-amazon.com/images/I/31DinjBV3hL.jpg;https://images-na.ssl-images-amazon.com/images/I/510-GPn9R9L.jpg;https://images-na.ssl-images-amazon.com/images/I/51UYRjk1KVL.jpg;https://images-na.ssl-images-amazon.com/images/I/51ADoc7xe4L"&amp;".jpg;https://images-na.ssl-images-amazon.com/images/I/411YVmiyj0L.jpg;https://images-na.ssl-images-amazon.com/images/I/51juEXUqQ6L.jpg")</f>
        <v>#NAME?</v>
      </c>
      <c r="E543" s="50" t="s">
        <v>20</v>
      </c>
      <c r="F543" s="50" t="s">
        <v>437</v>
      </c>
      <c r="G543" s="50">
        <v>14</v>
      </c>
      <c r="H543" s="50">
        <v>5</v>
      </c>
      <c r="I543" s="50">
        <v>297.87</v>
      </c>
      <c r="K543" s="50">
        <v>-0.05</v>
      </c>
      <c r="L543" s="50">
        <v>-0.05</v>
      </c>
      <c r="R543" s="50">
        <v>35.71</v>
      </c>
      <c r="S543" s="50">
        <v>20</v>
      </c>
      <c r="T543" s="50">
        <v>-103.79</v>
      </c>
      <c r="U543" s="50">
        <v>-120.72</v>
      </c>
      <c r="W543" s="50">
        <v>73.31</v>
      </c>
      <c r="X543" s="50">
        <v>73.31</v>
      </c>
      <c r="Y543" s="50">
        <v>73.31</v>
      </c>
      <c r="AA543" s="50">
        <v>24.61</v>
      </c>
      <c r="AC543" s="50">
        <v>1657628</v>
      </c>
      <c r="AD543" s="50">
        <v>0.02</v>
      </c>
      <c r="AE543" s="50" t="s">
        <v>4777</v>
      </c>
    </row>
    <row r="544" spans="1:31">
      <c r="A544" s="50" t="s">
        <v>4784</v>
      </c>
      <c r="B544" s="50" t="s">
        <v>73</v>
      </c>
      <c r="C544" s="50" t="s">
        <v>2016</v>
      </c>
      <c r="D544" s="50" t="e">
        <f ca="1">Image("https://images-na.ssl-images-amazon.com/images/I/41Riwv5rLIL.jpg;https://images-na.ssl-images-amazon.com/images/I/41am3P0IcdL.jpg;https://images-na.ssl-images-amazon.com/images/I/41jRuf03hTL.jpg;https://images-na.ssl-images-amazon.com/images/I/41sJxaJ4f0L"&amp;".jpg")</f>
        <v>#NAME?</v>
      </c>
      <c r="E544" s="50" t="s">
        <v>16</v>
      </c>
      <c r="F544" s="50" t="s">
        <v>75</v>
      </c>
      <c r="G544" s="50">
        <v>13</v>
      </c>
      <c r="I544" s="50">
        <v>173.8</v>
      </c>
      <c r="S544" s="50" t="s">
        <v>1217</v>
      </c>
      <c r="U544" s="50">
        <v>-26.04</v>
      </c>
      <c r="W544" s="50">
        <v>53.35</v>
      </c>
      <c r="X544" s="50">
        <v>53.35</v>
      </c>
      <c r="Y544" s="50">
        <v>147.76</v>
      </c>
      <c r="AA544" s="50">
        <v>30.7</v>
      </c>
      <c r="AC544" s="50">
        <v>529994</v>
      </c>
      <c r="AE544" s="50" t="s">
        <v>4777</v>
      </c>
    </row>
    <row r="545" spans="1:31">
      <c r="A545" s="50" t="s">
        <v>4672</v>
      </c>
      <c r="B545" s="50" t="s">
        <v>518</v>
      </c>
      <c r="C545" s="50" t="s">
        <v>4894</v>
      </c>
      <c r="D545" s="50" t="e">
        <f ca="1">Image("https://images-na.ssl-images-amazon.com/images/I/416kCWZQWdL.jpg;https://images-na.ssl-images-amazon.com/images/I/41QoXUsC0zL.jpg;https://images-na.ssl-images-amazon.com/images/I/41yXDWQT51L.jpg;https://images-na.ssl-images-amazon.com/images/I/41CNkbEvNuL"&amp;".jpg;https://images-na.ssl-images-amazon.com/images/I/513k6zCY5TL.jpg;https://images-na.ssl-images-amazon.com/images/I/51yvcbscM8L.jpg;https://images-na.ssl-images-amazon.com/images/I/51OGdAJV8cL.jpg")</f>
        <v>#NAME?</v>
      </c>
      <c r="E545" s="50" t="s">
        <v>20</v>
      </c>
      <c r="F545" s="50" t="s">
        <v>520</v>
      </c>
      <c r="G545" s="50">
        <v>13</v>
      </c>
      <c r="H545" s="50">
        <v>2</v>
      </c>
      <c r="I545" s="50">
        <v>173</v>
      </c>
      <c r="R545" s="50">
        <v>15.38</v>
      </c>
      <c r="T545" s="50">
        <v>-23.04</v>
      </c>
      <c r="U545" s="50">
        <v>-108.87</v>
      </c>
      <c r="W545" s="50">
        <v>41.09</v>
      </c>
      <c r="X545" s="50">
        <v>41.09</v>
      </c>
      <c r="Y545" s="50">
        <v>41.09</v>
      </c>
      <c r="AA545" s="50">
        <v>23.75</v>
      </c>
      <c r="AC545" s="50">
        <v>510839</v>
      </c>
      <c r="AE545" s="50" t="s">
        <v>4777</v>
      </c>
    </row>
    <row r="546" spans="1:31">
      <c r="A546" s="50" t="s">
        <v>4778</v>
      </c>
      <c r="B546" s="50" t="s">
        <v>34</v>
      </c>
      <c r="C546" s="50" t="s">
        <v>1695</v>
      </c>
      <c r="D546" s="50" t="e">
        <f ca="1">Image("https://images-na.ssl-images-amazon.com/images/I/41nu0L5qUvL.jpg;https://images-na.ssl-images-amazon.com/images/I/419kHqW8ZbL.jpg;https://images-na.ssl-images-amazon.com/images/I/21JW5zRTLvL.jpg")</f>
        <v>#NAME?</v>
      </c>
      <c r="E546" s="50" t="s">
        <v>16</v>
      </c>
      <c r="F546" s="50" t="s">
        <v>36</v>
      </c>
      <c r="G546" s="50">
        <v>11</v>
      </c>
      <c r="H546" s="50">
        <v>5</v>
      </c>
      <c r="I546" s="50">
        <v>129.22</v>
      </c>
      <c r="R546" s="50">
        <v>45.45</v>
      </c>
      <c r="S546" s="50" t="s">
        <v>1217</v>
      </c>
      <c r="T546" s="50">
        <v>-51.71</v>
      </c>
      <c r="U546" s="50">
        <v>-19.36</v>
      </c>
      <c r="W546" s="50">
        <v>-5.0999999999999996</v>
      </c>
      <c r="X546" s="50">
        <v>-5.0999999999999996</v>
      </c>
      <c r="Y546" s="50">
        <v>58.15</v>
      </c>
      <c r="AA546" s="50">
        <v>-3.95</v>
      </c>
      <c r="AC546" s="50">
        <v>62242</v>
      </c>
      <c r="AE546" s="50" t="s">
        <v>4777</v>
      </c>
    </row>
    <row r="547" spans="1:31">
      <c r="A547" s="50" t="s">
        <v>4895</v>
      </c>
      <c r="B547" s="50" t="s">
        <v>461</v>
      </c>
      <c r="C547" s="50" t="s">
        <v>4896</v>
      </c>
      <c r="D547" s="50" t="e">
        <f ca="1">Image("https://images-na.ssl-images-amazon.com/images/I/4195PiargeL.jpg;https://images-na.ssl-images-amazon.com/images/I/415YChq2O9L.jpg;https://images-na.ssl-images-amazon.com/images/I/41gyHfWTMiL.jpg;https://images-na.ssl-images-amazon.com/images/I/51+ewYN7mAL"&amp;".jpg;https://images-na.ssl-images-amazon.com/images/I/411Ob8x4WAL.jpg;https://images-na.ssl-images-amazon.com/images/I/51cgHjR5VVL.jpg;https://images-na.ssl-images-amazon.com/images/I/51vlwkKMgCL.jpg")</f>
        <v>#NAME?</v>
      </c>
      <c r="E547" s="50" t="s">
        <v>20</v>
      </c>
      <c r="F547" s="50" t="s">
        <v>463</v>
      </c>
      <c r="G547" s="50">
        <v>11</v>
      </c>
      <c r="H547" s="50">
        <v>1</v>
      </c>
      <c r="I547" s="50">
        <v>165</v>
      </c>
      <c r="R547" s="50">
        <v>9.09</v>
      </c>
      <c r="S547" s="50" t="s">
        <v>1217</v>
      </c>
      <c r="T547" s="50">
        <v>-13.2</v>
      </c>
      <c r="U547" s="50">
        <v>-68.14</v>
      </c>
      <c r="W547" s="50">
        <v>83.66</v>
      </c>
      <c r="X547" s="50">
        <v>83.66</v>
      </c>
      <c r="Y547" s="50">
        <v>83.66</v>
      </c>
      <c r="AA547" s="50">
        <v>50.7</v>
      </c>
      <c r="AC547" s="50">
        <v>275369</v>
      </c>
      <c r="AE547" s="50" t="s">
        <v>4777</v>
      </c>
    </row>
    <row r="548" spans="1:31">
      <c r="A548" s="50" t="s">
        <v>4897</v>
      </c>
      <c r="B548" s="50" t="s">
        <v>438</v>
      </c>
      <c r="C548" s="50" t="s">
        <v>439</v>
      </c>
      <c r="D548" s="50" t="e">
        <f ca="1">Image("https://images-na.ssl-images-amazon.com/images/I/51qOpCVI36L.jpg;https://images-na.ssl-images-amazon.com/images/I/51X7IpabZXL.jpg;https://images-na.ssl-images-amazon.com/images/I/51ZvX3mQQVL.jpg;https://images-na.ssl-images-amazon.com/images/I/41unlAhZpuL"&amp;".jpg;https://images-na.ssl-images-amazon.com/images/I/41W-esr3+mL.jpg;https://images-na.ssl-images-amazon.com/images/I/41SeF5aA9EL.jpg;https://images-na.ssl-images-amazon.com/images/I/31q50yMFM2L.jpg;https://images-na.ssl-images-amazon.com/images/I/31khp3"&amp;"6rORL.jpg")</f>
        <v>#NAME?</v>
      </c>
      <c r="E548" s="50" t="s">
        <v>16</v>
      </c>
      <c r="F548" s="50" t="s">
        <v>440</v>
      </c>
      <c r="G548" s="50">
        <v>10</v>
      </c>
      <c r="H548" s="50">
        <v>1</v>
      </c>
      <c r="I548" s="50">
        <v>130.96</v>
      </c>
      <c r="R548" s="50">
        <v>10</v>
      </c>
      <c r="S548" s="50" t="s">
        <v>1217</v>
      </c>
      <c r="T548" s="50">
        <v>-13.86</v>
      </c>
      <c r="U548" s="50">
        <v>-19.649999999999999</v>
      </c>
      <c r="W548" s="50">
        <v>38.99</v>
      </c>
      <c r="X548" s="50">
        <v>38.99</v>
      </c>
      <c r="Y548" s="50">
        <v>97.45</v>
      </c>
      <c r="AA548" s="50">
        <v>29.77</v>
      </c>
      <c r="AC548" s="50">
        <v>1601999</v>
      </c>
      <c r="AE548" s="50" t="s">
        <v>4777</v>
      </c>
    </row>
    <row r="549" spans="1:31">
      <c r="A549" s="50" t="s">
        <v>4898</v>
      </c>
      <c r="B549" s="50" t="s">
        <v>358</v>
      </c>
      <c r="C549" s="50" t="s">
        <v>359</v>
      </c>
      <c r="D549" s="50" t="e">
        <f ca="1">Image("https://images-na.ssl-images-amazon.com/images/I/51aXb1Hwp7L.jpg;https://images-na.ssl-images-amazon.com/images/I/515xt-CqgAL.jpg;https://images-na.ssl-images-amazon.com/images/I/51k8zNqpANL.jpg;https://images-na.ssl-images-amazon.com/images/I/41hNYhOiX4L"&amp;".jpg;https://images-na.ssl-images-amazon.com/images/I/41ssZ0uTeDL.jpg;https://images-na.ssl-images-amazon.com/images/I/615z2hWIeUL.jpg")</f>
        <v>#NAME?</v>
      </c>
      <c r="E549" s="50" t="s">
        <v>16</v>
      </c>
      <c r="F549" s="50" t="s">
        <v>360</v>
      </c>
      <c r="G549" s="50">
        <v>10</v>
      </c>
      <c r="H549" s="50">
        <v>1</v>
      </c>
      <c r="I549" s="50">
        <v>320</v>
      </c>
      <c r="R549" s="50">
        <v>10</v>
      </c>
      <c r="T549" s="50">
        <v>-28.16</v>
      </c>
      <c r="U549" s="50">
        <v>-95.54</v>
      </c>
      <c r="W549" s="50">
        <v>196.3</v>
      </c>
      <c r="X549" s="50">
        <v>196.3</v>
      </c>
      <c r="Y549" s="50">
        <v>196.3</v>
      </c>
      <c r="AA549" s="50">
        <v>61.34</v>
      </c>
      <c r="AC549" s="50">
        <v>50380</v>
      </c>
      <c r="AE549" s="50" t="s">
        <v>4777</v>
      </c>
    </row>
    <row r="550" spans="1:31">
      <c r="A550" s="50" t="s">
        <v>4899</v>
      </c>
      <c r="B550" s="50" t="s">
        <v>171</v>
      </c>
      <c r="C550" s="50" t="s">
        <v>1394</v>
      </c>
      <c r="D550" s="50" t="e">
        <f ca="1">Image("https://images-na.ssl-images-amazon.com/images/I/51ms-kSR2SL.jpg;https://images-na.ssl-images-amazon.com/images/I/41nI8pn5KIL.jpg;https://images-na.ssl-images-amazon.com/images/I/41+EChMV-RL.jpg;https://images-na.ssl-images-amazon.com/images/I/41pE7WZ1DbL"&amp;".jpg;https://images-na.ssl-images-amazon.com/images/I/51zXMiplYYL.jpg;https://images-na.ssl-images-amazon.com/images/I/51jxUEFT+QL.jpg;https://images-na.ssl-images-amazon.com/images/I/51NYT0cZc1L.jpg")</f>
        <v>#NAME?</v>
      </c>
      <c r="E550" s="50" t="s">
        <v>20</v>
      </c>
      <c r="F550" s="50" t="s">
        <v>173</v>
      </c>
      <c r="G550" s="50">
        <v>10</v>
      </c>
      <c r="H550" s="50">
        <v>1</v>
      </c>
      <c r="I550" s="50">
        <v>181.99</v>
      </c>
      <c r="R550" s="50">
        <v>10</v>
      </c>
      <c r="S550" s="50" t="s">
        <v>1217</v>
      </c>
      <c r="T550" s="50">
        <v>-16.5</v>
      </c>
      <c r="U550" s="50">
        <v>-27.32</v>
      </c>
      <c r="W550" s="50">
        <v>68.17</v>
      </c>
      <c r="X550" s="50">
        <v>68.17</v>
      </c>
      <c r="Y550" s="50">
        <v>138.16999999999999</v>
      </c>
      <c r="AA550" s="50">
        <v>37.46</v>
      </c>
      <c r="AC550" s="50">
        <v>34727</v>
      </c>
      <c r="AE550" s="50" t="s">
        <v>4777</v>
      </c>
    </row>
    <row r="551" spans="1:31">
      <c r="A551" s="50" t="s">
        <v>4900</v>
      </c>
      <c r="B551" s="50" t="s">
        <v>352</v>
      </c>
      <c r="C551" s="50" t="s">
        <v>353</v>
      </c>
      <c r="D551" s="50" t="e">
        <f ca="1">Image("https://images-na.ssl-images-amazon.com/images/I/41wt1AGgyRL.jpg;https://images-na.ssl-images-amazon.com/images/I/414CMAHH-FL.jpg;https://images-na.ssl-images-amazon.com/images/I/51W2AdjzIxL.jpg;https://images-na.ssl-images-amazon.com/images/I/41rhN0Z2RaL"&amp;".jpg;https://images-na.ssl-images-amazon.com/images/I/41cXTXcl0bL.jpg;https://images-na.ssl-images-amazon.com/images/I/41dclObNxJL.jpg;https://images-na.ssl-images-amazon.com/images/I/41P9x2oubnL.jpg")</f>
        <v>#NAME?</v>
      </c>
      <c r="E551" s="50" t="s">
        <v>20</v>
      </c>
      <c r="F551" s="50" t="s">
        <v>354</v>
      </c>
      <c r="G551" s="50">
        <v>10</v>
      </c>
      <c r="H551" s="50">
        <v>3</v>
      </c>
      <c r="I551" s="50">
        <v>335.7</v>
      </c>
      <c r="R551" s="50">
        <v>30</v>
      </c>
      <c r="T551" s="50">
        <v>-88.78</v>
      </c>
      <c r="U551" s="50">
        <v>-87.22</v>
      </c>
      <c r="W551" s="50">
        <v>159.69999999999999</v>
      </c>
      <c r="X551" s="50">
        <v>159.69999999999999</v>
      </c>
      <c r="Y551" s="50">
        <v>159.69999999999999</v>
      </c>
      <c r="AA551" s="50">
        <v>47.57</v>
      </c>
      <c r="AC551" s="50">
        <v>2708101</v>
      </c>
      <c r="AE551" s="50" t="s">
        <v>4777</v>
      </c>
    </row>
    <row r="552" spans="1:31">
      <c r="A552" s="50" t="s">
        <v>4880</v>
      </c>
      <c r="B552" s="50" t="s">
        <v>212</v>
      </c>
      <c r="C552" s="50" t="s">
        <v>4901</v>
      </c>
      <c r="D552" s="50" t="e">
        <f ca="1">Image("https://images-na.ssl-images-amazon.com/images/I/31ro7SZzScL.jpg;https://images-na.ssl-images-amazon.com/images/I/41rDv4ZdyWL.jpg;https://images-na.ssl-images-amazon.com/images/I/21nDHD-DMTL.jpg")</f>
        <v>#NAME?</v>
      </c>
      <c r="E552" s="50" t="s">
        <v>16</v>
      </c>
      <c r="F552" s="50" t="s">
        <v>214</v>
      </c>
      <c r="G552" s="50">
        <v>9</v>
      </c>
      <c r="I552" s="50">
        <v>60.75</v>
      </c>
      <c r="S552" s="50" t="s">
        <v>1217</v>
      </c>
      <c r="U552" s="50">
        <v>-9.09</v>
      </c>
      <c r="W552" s="50">
        <v>-0.09</v>
      </c>
      <c r="X552" s="50">
        <v>-0.09</v>
      </c>
      <c r="Y552" s="50">
        <v>51.66</v>
      </c>
      <c r="AA552" s="50">
        <v>-0.15</v>
      </c>
      <c r="AC552" s="50">
        <v>62242</v>
      </c>
      <c r="AE552" s="50" t="s">
        <v>4777</v>
      </c>
    </row>
    <row r="553" spans="1:31">
      <c r="A553" s="50" t="s">
        <v>4902</v>
      </c>
      <c r="B553" s="50" t="s">
        <v>257</v>
      </c>
      <c r="C553" s="50" t="s">
        <v>1990</v>
      </c>
      <c r="D553" s="50" t="e">
        <f ca="1">Image("https://images-na.ssl-images-amazon.com/images/I/414uy19KyuL.jpg;https://images-na.ssl-images-amazon.com/images/I/51VgTgrqkBL.jpg;https://images-na.ssl-images-amazon.com/images/I/217R6QtYohL.jpg")</f>
        <v>#NAME?</v>
      </c>
      <c r="E553" s="50" t="s">
        <v>16</v>
      </c>
      <c r="F553" s="50" t="s">
        <v>259</v>
      </c>
      <c r="G553" s="50">
        <v>9</v>
      </c>
      <c r="H553" s="50">
        <v>1</v>
      </c>
      <c r="I553" s="50">
        <v>54</v>
      </c>
      <c r="R553" s="50">
        <v>11.11</v>
      </c>
      <c r="S553" s="50" t="s">
        <v>1217</v>
      </c>
      <c r="T553" s="50">
        <v>-5.94</v>
      </c>
      <c r="U553" s="50">
        <v>-8.08</v>
      </c>
      <c r="W553" s="50">
        <v>-6.02</v>
      </c>
      <c r="X553" s="50">
        <v>-6.02</v>
      </c>
      <c r="Y553" s="50">
        <v>39.979999999999997</v>
      </c>
      <c r="AA553" s="50">
        <v>-11.15</v>
      </c>
      <c r="AC553" s="50">
        <v>208379</v>
      </c>
      <c r="AE553" s="50" t="s">
        <v>4777</v>
      </c>
    </row>
    <row r="554" spans="1:31">
      <c r="A554" s="50" t="s">
        <v>4903</v>
      </c>
      <c r="B554" s="50" t="s">
        <v>373</v>
      </c>
      <c r="C554" s="50" t="s">
        <v>374</v>
      </c>
      <c r="D554" s="50" t="e">
        <f ca="1">Image("https://images-na.ssl-images-amazon.com/images/I/41VadFmDhhL.jpg;https://images-na.ssl-images-amazon.com/images/I/417yBKYlGKL.jpg;https://images-na.ssl-images-amazon.com/images/I/41uWx19yH4L.jpg;https://images-na.ssl-images-amazon.com/images/I/31I-0vebw0L"&amp;".jpg;https://images-na.ssl-images-amazon.com/images/I/31tls1anW+L.jpg;https://images-na.ssl-images-amazon.com/images/I/516ZXiYv7NL.jpg")</f>
        <v>#NAME?</v>
      </c>
      <c r="E554" s="50" t="s">
        <v>20</v>
      </c>
      <c r="F554" s="50" t="s">
        <v>141</v>
      </c>
      <c r="G554" s="50">
        <v>9</v>
      </c>
      <c r="I554" s="50">
        <v>237.59</v>
      </c>
      <c r="S554" s="50" t="s">
        <v>1217</v>
      </c>
      <c r="U554" s="50">
        <v>-102.48</v>
      </c>
      <c r="W554" s="50">
        <v>135.11000000000001</v>
      </c>
      <c r="X554" s="50">
        <v>135.11000000000001</v>
      </c>
      <c r="Y554" s="50">
        <v>135.11000000000001</v>
      </c>
      <c r="AA554" s="50">
        <v>56.87</v>
      </c>
      <c r="AC554" s="50">
        <v>40994</v>
      </c>
      <c r="AE554" s="50" t="s">
        <v>4777</v>
      </c>
    </row>
    <row r="555" spans="1:31">
      <c r="A555" s="50" t="s">
        <v>4352</v>
      </c>
      <c r="B555" s="50" t="s">
        <v>361</v>
      </c>
      <c r="C555" s="50" t="s">
        <v>1982</v>
      </c>
      <c r="D555" s="50" t="e">
        <f ca="1">Image("https://images-na.ssl-images-amazon.com/images/I/4194Mgbqi8L.jpg;https://images-na.ssl-images-amazon.com/images/I/41EfBGiKHsL.jpg;https://images-na.ssl-images-amazon.com/images/I/21dWq0BcqiL.jpg")</f>
        <v>#NAME?</v>
      </c>
      <c r="E555" s="50" t="s">
        <v>16</v>
      </c>
      <c r="F555" s="50" t="s">
        <v>363</v>
      </c>
      <c r="G555" s="50">
        <v>8</v>
      </c>
      <c r="I555" s="50">
        <v>84.5</v>
      </c>
      <c r="S555" s="50" t="s">
        <v>1217</v>
      </c>
      <c r="U555" s="50">
        <v>-12.67</v>
      </c>
      <c r="W555" s="50">
        <v>25.83</v>
      </c>
      <c r="X555" s="50">
        <v>25.83</v>
      </c>
      <c r="Y555" s="50">
        <v>71.83</v>
      </c>
      <c r="AA555" s="50">
        <v>30.57</v>
      </c>
      <c r="AE555" s="50" t="s">
        <v>4777</v>
      </c>
    </row>
    <row r="556" spans="1:31">
      <c r="A556" s="50" t="s">
        <v>4904</v>
      </c>
      <c r="B556" s="50" t="s">
        <v>294</v>
      </c>
      <c r="C556" s="50" t="s">
        <v>295</v>
      </c>
      <c r="D556" s="50" t="e">
        <f ca="1">Image("https://images-na.ssl-images-amazon.com/images/I/31JBeLoo0SL.jpg;https://images-na.ssl-images-amazon.com/images/I/21i78FuHE2L.jpg;https://images-na.ssl-images-amazon.com/images/I/41LDBVedazL.jpg;https://images-na.ssl-images-amazon.com/images/I/21PH100fTaL"&amp;".jpg;https://images-na.ssl-images-amazon.com/images/I/516ZXiYv7NL.jpg")</f>
        <v>#NAME?</v>
      </c>
      <c r="E556" s="50" t="s">
        <v>20</v>
      </c>
      <c r="F556" s="50" t="s">
        <v>296</v>
      </c>
      <c r="G556" s="50">
        <v>8</v>
      </c>
      <c r="I556" s="50">
        <v>272.61</v>
      </c>
      <c r="U556" s="50">
        <v>-52.66</v>
      </c>
      <c r="W556" s="50">
        <v>219.95</v>
      </c>
      <c r="X556" s="50">
        <v>219.95</v>
      </c>
      <c r="Y556" s="50">
        <v>219.95</v>
      </c>
      <c r="AA556" s="50">
        <v>80.680000000000007</v>
      </c>
      <c r="AC556" s="50">
        <v>174154</v>
      </c>
      <c r="AE556" s="50" t="s">
        <v>4777</v>
      </c>
    </row>
    <row r="557" spans="1:31">
      <c r="A557" s="50" t="s">
        <v>4905</v>
      </c>
      <c r="B557" s="50" t="s">
        <v>274</v>
      </c>
      <c r="C557" s="50" t="s">
        <v>4906</v>
      </c>
      <c r="D557" s="50" t="e">
        <f ca="1">Image("https://images-na.ssl-images-amazon.com/images/I/51Oo4BAms1L.jpg;https://images-na.ssl-images-amazon.com/images/I/51qUjDHX7bL.jpg;https://images-na.ssl-images-amazon.com/images/I/41DgkjwPr-L.jpg;https://images-na.ssl-images-amazon.com/images/I/41wBFfQgLGL"&amp;".jpg;https://images-na.ssl-images-amazon.com/images/I/416Wmo-izaL.jpg;https://images-na.ssl-images-amazon.com/images/I/511Ta-1a0EL.jpg")</f>
        <v>#NAME?</v>
      </c>
      <c r="E557" s="50" t="s">
        <v>16</v>
      </c>
      <c r="F557" s="50" t="s">
        <v>360</v>
      </c>
      <c r="G557" s="50">
        <v>7</v>
      </c>
      <c r="I557" s="50">
        <v>249.84</v>
      </c>
      <c r="S557" s="50" t="s">
        <v>1217</v>
      </c>
      <c r="U557" s="50">
        <v>-101.97</v>
      </c>
      <c r="W557" s="50">
        <v>147.87</v>
      </c>
      <c r="X557" s="50">
        <v>147.87</v>
      </c>
      <c r="Y557" s="50">
        <v>147.87</v>
      </c>
      <c r="AA557" s="50">
        <v>59.19</v>
      </c>
      <c r="AC557" s="50">
        <v>50380</v>
      </c>
      <c r="AE557" s="50" t="s">
        <v>4777</v>
      </c>
    </row>
    <row r="558" spans="1:31">
      <c r="A558" s="50" t="s">
        <v>4907</v>
      </c>
      <c r="B558" s="50" t="s">
        <v>433</v>
      </c>
      <c r="C558" s="50" t="s">
        <v>434</v>
      </c>
      <c r="D558" s="50" t="e">
        <f ca="1">Image("https://images-na.ssl-images-amazon.com/images/I/41Jkb7h0EgL.jpg;https://images-na.ssl-images-amazon.com/images/I/41FiFc4MQUL.jpg;https://images-na.ssl-images-amazon.com/images/I/41Nx0KLjyYL.jpg;https://images-na.ssl-images-amazon.com/images/I/41uBQX-iozL"&amp;".jpg;https://images-na.ssl-images-amazon.com/images/I/31tls1anW+L.jpg;https://images-na.ssl-images-amazon.com/images/I/516ZXiYv7NL.jpg")</f>
        <v>#NAME?</v>
      </c>
      <c r="E558" s="50" t="s">
        <v>20</v>
      </c>
      <c r="F558" s="50" t="s">
        <v>141</v>
      </c>
      <c r="G558" s="50">
        <v>7</v>
      </c>
      <c r="I558" s="50">
        <v>185.09</v>
      </c>
      <c r="K558" s="50">
        <v>-1.29</v>
      </c>
      <c r="L558" s="50">
        <v>-1.29</v>
      </c>
      <c r="S558" s="50" t="s">
        <v>1217</v>
      </c>
      <c r="U558" s="50">
        <v>-86.19</v>
      </c>
      <c r="W558" s="50">
        <v>97.61</v>
      </c>
      <c r="X558" s="50">
        <v>97.61</v>
      </c>
      <c r="Y558" s="50">
        <v>97.61</v>
      </c>
      <c r="AA558" s="50">
        <v>52.74</v>
      </c>
      <c r="AC558" s="50">
        <v>40994</v>
      </c>
      <c r="AD558" s="50">
        <v>0.7</v>
      </c>
      <c r="AE558" s="50" t="s">
        <v>4777</v>
      </c>
    </row>
    <row r="559" spans="1:31">
      <c r="A559" s="50" t="s">
        <v>4908</v>
      </c>
      <c r="B559" s="50" t="s">
        <v>292</v>
      </c>
      <c r="C559" s="50" t="s">
        <v>4909</v>
      </c>
      <c r="D559" s="50" t="e">
        <f ca="1">Image("https://images-na.ssl-images-amazon.com/images/I/31Ka0DrMSgL.jpg;https://images-na.ssl-images-amazon.com/images/I/31t4bUYcRPL.jpg;https://images-na.ssl-images-amazon.com/images/I/312vyQoLUXL.jpg;https://images-na.ssl-images-amazon.com/images/I/31FMUkazwJL"&amp;".jpg;https://images-na.ssl-images-amazon.com/images/I/516ZXiYv7NL.jpg;https://images-na.ssl-images-amazon.com/images/I/31Kps+HAoQL.jpg")</f>
        <v>#NAME?</v>
      </c>
      <c r="E559" s="50" t="s">
        <v>20</v>
      </c>
      <c r="F559" s="50" t="s">
        <v>141</v>
      </c>
      <c r="G559" s="50">
        <v>7</v>
      </c>
      <c r="I559" s="50">
        <v>187.18</v>
      </c>
      <c r="S559" s="50" t="s">
        <v>1217</v>
      </c>
      <c r="U559" s="50">
        <v>-46.18</v>
      </c>
      <c r="W559" s="50">
        <v>141</v>
      </c>
      <c r="X559" s="50">
        <v>141</v>
      </c>
      <c r="Y559" s="50">
        <v>141</v>
      </c>
      <c r="AA559" s="50">
        <v>75.33</v>
      </c>
      <c r="AC559" s="50">
        <v>40994</v>
      </c>
      <c r="AE559" s="50" t="s">
        <v>4777</v>
      </c>
    </row>
    <row r="560" spans="1:31">
      <c r="A560" s="50" t="s">
        <v>4910</v>
      </c>
      <c r="B560" s="50" t="s">
        <v>112</v>
      </c>
      <c r="C560" s="50" t="s">
        <v>2375</v>
      </c>
      <c r="D560" s="50" t="e">
        <f ca="1">Image("https://images-na.ssl-images-amazon.com/images/I/51GS85U8mIL.jpg;https://images-na.ssl-images-amazon.com/images/I/61hllX89pOL.jpg;https://images-na.ssl-images-amazon.com/images/I/518uvPo7gJL.jpg;https://images-na.ssl-images-amazon.com/images/I/41IHpEjv6BL"&amp;".jpg")</f>
        <v>#NAME?</v>
      </c>
      <c r="E560" s="50" t="s">
        <v>16</v>
      </c>
      <c r="F560" s="50" t="s">
        <v>114</v>
      </c>
      <c r="G560" s="50">
        <v>6</v>
      </c>
      <c r="H560" s="50">
        <v>3</v>
      </c>
      <c r="I560" s="50">
        <v>62.38</v>
      </c>
      <c r="R560" s="50">
        <v>50</v>
      </c>
      <c r="S560" s="50" t="s">
        <v>1217</v>
      </c>
      <c r="T560" s="50">
        <v>-28.36</v>
      </c>
      <c r="U560" s="50">
        <v>-8.74</v>
      </c>
      <c r="W560" s="50">
        <v>-9.2200000000000006</v>
      </c>
      <c r="X560" s="50">
        <v>-9.2200000000000006</v>
      </c>
      <c r="Y560" s="50">
        <v>25.28</v>
      </c>
      <c r="AA560" s="50">
        <v>-14.78</v>
      </c>
      <c r="AC560" s="50">
        <v>935400</v>
      </c>
      <c r="AE560" s="50" t="s">
        <v>4777</v>
      </c>
    </row>
    <row r="561" spans="1:31">
      <c r="A561" s="50" t="s">
        <v>4844</v>
      </c>
      <c r="B561" s="50" t="s">
        <v>340</v>
      </c>
      <c r="C561" s="50" t="s">
        <v>1996</v>
      </c>
      <c r="D561" s="50" t="e">
        <f ca="1">Image("https://images-na.ssl-images-amazon.com/images/I/41j84QtYRvL.jpg;https://images-na.ssl-images-amazon.com/images/I/41H71gYb39L.jpg;https://images-na.ssl-images-amazon.com/images/I/31GBhoj1EdL.jpg")</f>
        <v>#NAME?</v>
      </c>
      <c r="E561" s="50" t="s">
        <v>16</v>
      </c>
      <c r="F561" s="50" t="s">
        <v>342</v>
      </c>
      <c r="G561" s="50">
        <v>6</v>
      </c>
      <c r="H561" s="50">
        <v>2</v>
      </c>
      <c r="I561" s="50">
        <v>42.5</v>
      </c>
      <c r="R561" s="50">
        <v>33.33</v>
      </c>
      <c r="S561" s="50" t="s">
        <v>1217</v>
      </c>
      <c r="T561" s="50">
        <v>-13.44</v>
      </c>
      <c r="U561" s="50">
        <v>-6.36</v>
      </c>
      <c r="W561" s="50">
        <v>-11.8</v>
      </c>
      <c r="X561" s="50">
        <v>-11.8</v>
      </c>
      <c r="Y561" s="50">
        <v>22.7</v>
      </c>
      <c r="AA561" s="50">
        <v>-27.76</v>
      </c>
      <c r="AC561" s="50">
        <v>267382</v>
      </c>
      <c r="AE561" s="50" t="s">
        <v>4777</v>
      </c>
    </row>
    <row r="562" spans="1:31">
      <c r="A562" s="50" t="s">
        <v>4911</v>
      </c>
      <c r="B562" s="50" t="s">
        <v>245</v>
      </c>
      <c r="C562" s="50" t="s">
        <v>4912</v>
      </c>
      <c r="D562" s="50" t="e">
        <f ca="1">Image("https://images-na.ssl-images-amazon.com/images/I/41QgQruwukL.jpg;https://images-na.ssl-images-amazon.com/images/I/41H71gYb39L.jpg;https://images-na.ssl-images-amazon.com/images/I/319CQVMgHCL.jpg")</f>
        <v>#NAME?</v>
      </c>
      <c r="E562" s="50" t="s">
        <v>16</v>
      </c>
      <c r="F562" s="50" t="s">
        <v>247</v>
      </c>
      <c r="G562" s="50">
        <v>6</v>
      </c>
      <c r="I562" s="50">
        <v>75</v>
      </c>
      <c r="S562" s="50" t="s">
        <v>1217</v>
      </c>
      <c r="U562" s="50">
        <v>-38.25</v>
      </c>
      <c r="W562" s="50">
        <v>36.75</v>
      </c>
      <c r="X562" s="50">
        <v>36.75</v>
      </c>
      <c r="Y562" s="50">
        <v>36.75</v>
      </c>
      <c r="AA562" s="50">
        <v>49</v>
      </c>
      <c r="AC562" s="50">
        <v>267382</v>
      </c>
      <c r="AE562" s="50" t="s">
        <v>4777</v>
      </c>
    </row>
    <row r="563" spans="1:31">
      <c r="A563" s="50" t="s">
        <v>4913</v>
      </c>
      <c r="B563" s="50" t="s">
        <v>583</v>
      </c>
      <c r="C563" s="50" t="s">
        <v>584</v>
      </c>
      <c r="D563" s="50" t="e">
        <f ca="1">Image("https://images-na.ssl-images-amazon.com/images/I/31OsGoWy2cL.jpg;https://images-na.ssl-images-amazon.com/images/I/41L2yeoahDL.jpg;https://images-na.ssl-images-amazon.com/images/I/41+aTR5HyCL.jpg;https://images-na.ssl-images-amazon.com/images/I/41zqW+BqNOL"&amp;".jpg;https://images-na.ssl-images-amazon.com/images/I/51JWe3vOpnL.jpg;https://images-na.ssl-images-amazon.com/images/I/41ay+0Vwc7L.jpg")</f>
        <v>#NAME?</v>
      </c>
      <c r="E563" s="50" t="s">
        <v>16</v>
      </c>
      <c r="F563" s="50" t="s">
        <v>369</v>
      </c>
      <c r="G563" s="50">
        <v>6</v>
      </c>
      <c r="I563" s="50">
        <v>46.98</v>
      </c>
      <c r="S563" s="50" t="s">
        <v>1217</v>
      </c>
      <c r="U563" s="50">
        <v>-7.04</v>
      </c>
      <c r="W563" s="50">
        <v>4.96</v>
      </c>
      <c r="X563" s="50">
        <v>4.96</v>
      </c>
      <c r="Y563" s="50">
        <v>39.94</v>
      </c>
      <c r="AA563" s="50">
        <v>10.56</v>
      </c>
      <c r="AC563" s="50">
        <v>295426</v>
      </c>
      <c r="AE563" s="50" t="s">
        <v>4777</v>
      </c>
    </row>
    <row r="564" spans="1:31">
      <c r="A564" s="50" t="s">
        <v>4914</v>
      </c>
      <c r="B564" s="50" t="s">
        <v>289</v>
      </c>
      <c r="C564" s="50" t="s">
        <v>2004</v>
      </c>
      <c r="D564" s="50" t="e">
        <f ca="1">Image("https://images-na.ssl-images-amazon.com/images/I/41iZLaruS5L.jpg;https://images-na.ssl-images-amazon.com/images/I/41x55bzF7XL.jpg;https://images-na.ssl-images-amazon.com/images/I/416-9zqgTML.jpg;https://images-na.ssl-images-amazon.com/images/I/51ypuYlthYL"&amp;".jpg;https://images-na.ssl-images-amazon.com/images/I/51nZndGmkBL.jpg")</f>
        <v>#NAME?</v>
      </c>
      <c r="E564" s="50" t="s">
        <v>16</v>
      </c>
      <c r="F564" s="50" t="s">
        <v>291</v>
      </c>
      <c r="G564" s="50">
        <v>6</v>
      </c>
      <c r="H564" s="50">
        <v>1</v>
      </c>
      <c r="I564" s="50">
        <v>56.19</v>
      </c>
      <c r="R564" s="50">
        <v>16.670000000000002</v>
      </c>
      <c r="S564" s="50" t="s">
        <v>1217</v>
      </c>
      <c r="T564" s="50">
        <v>-6.82</v>
      </c>
      <c r="U564" s="50">
        <v>-8.43</v>
      </c>
      <c r="W564" s="50">
        <v>5.72</v>
      </c>
      <c r="X564" s="50">
        <v>5.72</v>
      </c>
      <c r="Y564" s="50">
        <v>40.94</v>
      </c>
      <c r="AA564" s="50">
        <v>10.18</v>
      </c>
      <c r="AC564" s="50">
        <v>520324</v>
      </c>
      <c r="AE564" s="50" t="s">
        <v>4777</v>
      </c>
    </row>
    <row r="565" spans="1:31">
      <c r="A565" s="50" t="s">
        <v>4915</v>
      </c>
      <c r="B565" s="50" t="s">
        <v>548</v>
      </c>
      <c r="C565" s="50" t="s">
        <v>549</v>
      </c>
      <c r="D565" s="50" t="e">
        <f ca="1">Image("https://images-na.ssl-images-amazon.com/images/I/41Dld8-KkkL.jpg;https://images-na.ssl-images-amazon.com/images/I/410uZZVr9pL.jpg;https://images-na.ssl-images-amazon.com/images/I/41xFegftz2L.jpg;https://images-na.ssl-images-amazon.com/images/I/516rmYUsj5L"&amp;".jpg;https://images-na.ssl-images-amazon.com/images/I/61cjnPXQqhL.jpg;https://images-na.ssl-images-amazon.com/images/I/51Gvx6cfBdL.jpg;https://images-na.ssl-images-amazon.com/images/I/51KOzTFKBiL.jpg")</f>
        <v>#NAME?</v>
      </c>
      <c r="E565" s="50" t="s">
        <v>20</v>
      </c>
      <c r="F565" s="50" t="s">
        <v>550</v>
      </c>
      <c r="G565" s="50">
        <v>6</v>
      </c>
      <c r="H565" s="50">
        <v>1</v>
      </c>
      <c r="I565" s="50">
        <v>59.22</v>
      </c>
      <c r="R565" s="50">
        <v>16.670000000000002</v>
      </c>
      <c r="S565" s="50" t="s">
        <v>1217</v>
      </c>
      <c r="T565" s="50">
        <v>-6.32</v>
      </c>
      <c r="U565" s="50">
        <v>-7.47</v>
      </c>
      <c r="W565" s="50">
        <v>-4.79</v>
      </c>
      <c r="X565" s="50">
        <v>-4.79</v>
      </c>
      <c r="Y565" s="50">
        <v>45.43</v>
      </c>
      <c r="AA565" s="50">
        <v>-8.09</v>
      </c>
      <c r="AC565" s="50">
        <v>208038</v>
      </c>
      <c r="AE565" s="50" t="s">
        <v>4777</v>
      </c>
    </row>
    <row r="566" spans="1:31">
      <c r="A566" s="50" t="s">
        <v>4916</v>
      </c>
      <c r="B566" s="50" t="s">
        <v>848</v>
      </c>
      <c r="C566" s="50" t="s">
        <v>849</v>
      </c>
      <c r="D566" s="50" t="e">
        <f ca="1">Image("https://images-na.ssl-images-amazon.com/images/I/51wuu2d8wPL.jpg;https://images-na.ssl-images-amazon.com/images/I/51ky5s74LML.jpg;https://images-na.ssl-images-amazon.com/images/I/51yC44nda5L.jpg;https://images-na.ssl-images-amazon.com/images/I/51dIfN6dcOL"&amp;".jpg;https://images-na.ssl-images-amazon.com/images/I/51m9o8OkwwL.jpg;https://images-na.ssl-images-amazon.com/images/I/51Xdu9ddQbL.jpg")</f>
        <v>#NAME?</v>
      </c>
      <c r="E566" s="50" t="s">
        <v>20</v>
      </c>
      <c r="F566" s="50" t="s">
        <v>850</v>
      </c>
      <c r="G566" s="50">
        <v>6</v>
      </c>
      <c r="I566" s="50">
        <v>41.94</v>
      </c>
      <c r="S566" s="50" t="s">
        <v>1217</v>
      </c>
      <c r="U566" s="50">
        <v>-34.840000000000003</v>
      </c>
      <c r="W566" s="50">
        <v>7.1</v>
      </c>
      <c r="X566" s="50">
        <v>7.1</v>
      </c>
      <c r="Y566" s="50">
        <v>7.1</v>
      </c>
      <c r="AA566" s="50">
        <v>16.93</v>
      </c>
      <c r="AC566" s="50">
        <v>613411</v>
      </c>
      <c r="AE566" s="50" t="s">
        <v>4777</v>
      </c>
    </row>
    <row r="567" spans="1:31">
      <c r="A567" s="50" t="s">
        <v>4917</v>
      </c>
      <c r="B567" s="50" t="s">
        <v>280</v>
      </c>
      <c r="C567" s="50" t="s">
        <v>2154</v>
      </c>
      <c r="D567" s="50" t="e">
        <f ca="1">Image("https://images-na.ssl-images-amazon.com/images/I/51bcd2Fo6LL.jpg;https://images-na.ssl-images-amazon.com/images/I/6118bDsS7lL.jpg;https://images-na.ssl-images-amazon.com/images/I/51O27y+98GL.jpg;https://images-na.ssl-images-amazon.com/images/I/51jlidsealL"&amp;".jpg;https://images-na.ssl-images-amazon.com/images/I/51OMPy+5KqL.jpg;https://images-na.ssl-images-amazon.com/images/I/51VdYNwm4rL.jpg;https://images-na.ssl-images-amazon.com/images/I/51Dc9xjitqL.jpg;https://images-na.ssl-images-amazon.com/images/I/51TUIH"&amp;"3eKwL.jpg;https://images-na.ssl-images-amazon.com/images/I/51mRitk-o7L.jpg")</f>
        <v>#NAME?</v>
      </c>
      <c r="E567" s="50" t="s">
        <v>16</v>
      </c>
      <c r="F567" s="50" t="s">
        <v>4636</v>
      </c>
      <c r="G567" s="50">
        <v>5</v>
      </c>
      <c r="H567" s="50">
        <v>1</v>
      </c>
      <c r="I567" s="50">
        <v>181.97</v>
      </c>
      <c r="R567" s="50">
        <v>20</v>
      </c>
      <c r="S567" s="50" t="s">
        <v>1217</v>
      </c>
      <c r="T567" s="50">
        <v>-31.67</v>
      </c>
      <c r="U567" s="50">
        <v>-27.3</v>
      </c>
      <c r="W567" s="50">
        <v>66.03</v>
      </c>
      <c r="X567" s="50">
        <v>66.03</v>
      </c>
      <c r="Y567" s="50">
        <v>123</v>
      </c>
      <c r="AA567" s="50">
        <v>36.29</v>
      </c>
      <c r="AC567" s="50">
        <v>338039</v>
      </c>
      <c r="AE567" s="50" t="s">
        <v>4777</v>
      </c>
    </row>
    <row r="568" spans="1:31">
      <c r="A568" s="50" t="s">
        <v>4918</v>
      </c>
      <c r="B568" s="50" t="s">
        <v>130</v>
      </c>
      <c r="C568" s="50" t="s">
        <v>1729</v>
      </c>
      <c r="D568" s="50" t="e">
        <f ca="1">Image("https://images-na.ssl-images-amazon.com/images/I/51XXMHOfvHL.jpg;https://images-na.ssl-images-amazon.com/images/I/51zLdjSt2VL.jpg;https://images-na.ssl-images-amazon.com/images/I/51-oevD1sfL.jpg;https://images-na.ssl-images-amazon.com/images/I/51rlEk-ifVL"&amp;".jpg;https://images-na.ssl-images-amazon.com/images/I/61QFTeQHz7L.jpg;https://images-na.ssl-images-amazon.com/images/I/513kSGDfDbL.jpg;https://images-na.ssl-images-amazon.com/images/I/61-OE0Ece+L.jpg;https://images-na.ssl-images-amazon.com/images/I/518Yvv"&amp;"P9pvL.jpg;https://images-na.ssl-images-amazon.com/images/I/51L37dHsiuL.jpg")</f>
        <v>#NAME?</v>
      </c>
      <c r="E568" s="50" t="s">
        <v>20</v>
      </c>
      <c r="F568" s="50" t="s">
        <v>132</v>
      </c>
      <c r="G568" s="50">
        <v>5</v>
      </c>
      <c r="H568" s="50">
        <v>5</v>
      </c>
      <c r="I568" s="50">
        <v>45.25</v>
      </c>
      <c r="R568" s="50">
        <v>100</v>
      </c>
      <c r="S568" s="50" t="s">
        <v>1217</v>
      </c>
      <c r="T568" s="50">
        <v>-40.9</v>
      </c>
      <c r="U568" s="50">
        <v>-5.43</v>
      </c>
      <c r="W568" s="50">
        <v>-29.83</v>
      </c>
      <c r="X568" s="50">
        <v>-29.83</v>
      </c>
      <c r="Y568" s="50">
        <v>-1.08</v>
      </c>
      <c r="AA568" s="50">
        <v>-65.92</v>
      </c>
      <c r="AC568" s="50">
        <v>114330</v>
      </c>
      <c r="AE568" s="50" t="s">
        <v>4777</v>
      </c>
    </row>
    <row r="569" spans="1:31">
      <c r="A569" s="50" t="s">
        <v>4919</v>
      </c>
      <c r="B569" s="50" t="s">
        <v>611</v>
      </c>
      <c r="C569" s="50" t="s">
        <v>612</v>
      </c>
      <c r="D569" s="50" t="e">
        <f ca="1">Image("https://images-na.ssl-images-amazon.com/images/I/41a8JlvaRCL.jpg;https://images-na.ssl-images-amazon.com/images/I/51Nbatm1cOL.jpg;https://images-na.ssl-images-amazon.com/images/I/51oY0al4u8L.jpg;https://images-na.ssl-images-amazon.com/images/I/61M5aJiwNaL"&amp;".jpg;https://images-na.ssl-images-amazon.com/images/I/51VihGQa6WS.jpg;https://images-na.ssl-images-amazon.com/images/I/516+WtlIeSL.jpg;https://images-na.ssl-images-amazon.com/images/I/41NyxeyKZ0L.jpg")</f>
        <v>#NAME?</v>
      </c>
      <c r="E569" s="50" t="s">
        <v>20</v>
      </c>
      <c r="F569" s="50" t="s">
        <v>402</v>
      </c>
      <c r="G569" s="50">
        <v>5</v>
      </c>
      <c r="I569" s="50">
        <v>38.700000000000003</v>
      </c>
      <c r="S569" s="50" t="s">
        <v>1217</v>
      </c>
      <c r="U569" s="50">
        <v>-5.8</v>
      </c>
      <c r="W569" s="50">
        <v>4.1500000000000004</v>
      </c>
      <c r="X569" s="50">
        <v>4.1500000000000004</v>
      </c>
      <c r="Y569" s="50">
        <v>32.9</v>
      </c>
      <c r="AA569" s="50">
        <v>10.72</v>
      </c>
      <c r="AC569" s="50">
        <v>370770</v>
      </c>
      <c r="AE569" s="50" t="s">
        <v>4777</v>
      </c>
    </row>
    <row r="570" spans="1:31">
      <c r="A570" s="50" t="s">
        <v>4920</v>
      </c>
      <c r="B570" s="50" t="s">
        <v>94</v>
      </c>
      <c r="C570" s="50" t="s">
        <v>1451</v>
      </c>
      <c r="D570" s="50" t="e">
        <f ca="1">Image("https://images-na.ssl-images-amazon.com/images/I/41XxtP53SHL.jpg;https://images-na.ssl-images-amazon.com/images/I/41N4J-gvEOL.jpg;https://images-na.ssl-images-amazon.com/images/I/51NKQK93QwL.jpg;https://images-na.ssl-images-amazon.com/images/I/51ldLWl+xPL"&amp;".jpg;https://images-na.ssl-images-amazon.com/images/I/51-OBHwTsFL.jpg;https://images-na.ssl-images-amazon.com/images/I/51UHDnxz5gL.jpg;https://images-na.ssl-images-amazon.com/images/I/41EQ8YE35tL.jpg")</f>
        <v>#NAME?</v>
      </c>
      <c r="E570" s="50" t="s">
        <v>20</v>
      </c>
      <c r="F570" s="50" t="s">
        <v>96</v>
      </c>
      <c r="G570" s="50">
        <v>5</v>
      </c>
      <c r="I570" s="50">
        <v>104.22</v>
      </c>
      <c r="S570" s="50" t="s">
        <v>1217</v>
      </c>
      <c r="U570" s="50">
        <v>-15.64</v>
      </c>
      <c r="W570" s="50">
        <v>42.09</v>
      </c>
      <c r="X570" s="50">
        <v>42.09</v>
      </c>
      <c r="Y570" s="50">
        <v>88.58</v>
      </c>
      <c r="AA570" s="50">
        <v>40.39</v>
      </c>
      <c r="AC570" s="50">
        <v>34727</v>
      </c>
      <c r="AE570" s="50" t="s">
        <v>4777</v>
      </c>
    </row>
    <row r="571" spans="1:31">
      <c r="A571" s="50" t="s">
        <v>4921</v>
      </c>
      <c r="B571" s="50" t="s">
        <v>713</v>
      </c>
      <c r="C571" s="50" t="s">
        <v>714</v>
      </c>
      <c r="D571" s="50" t="e">
        <f ca="1">Image("https://images-na.ssl-images-amazon.com/images/I/41qHyyjPYkS.jpg;https://images-na.ssl-images-amazon.com/images/I/51fbrQbmxdS.jpg;https://images-na.ssl-images-amazon.com/images/I/51maaQMU4vS.jpg;https://images-na.ssl-images-amazon.com/images/I/61DlVjTgsGS"&amp;".jpg;https://images-na.ssl-images-amazon.com/images/I/61rnW-PAEQS.jpg;https://images-na.ssl-images-amazon.com/images/I/41UK0L2Yc4S.jpg")</f>
        <v>#NAME?</v>
      </c>
      <c r="E571" s="50" t="s">
        <v>20</v>
      </c>
      <c r="F571" s="50" t="s">
        <v>715</v>
      </c>
      <c r="G571" s="50">
        <v>5</v>
      </c>
      <c r="H571" s="50">
        <v>3</v>
      </c>
      <c r="I571" s="50">
        <v>62.6</v>
      </c>
      <c r="R571" s="50">
        <v>60</v>
      </c>
      <c r="S571" s="50" t="s">
        <v>1217</v>
      </c>
      <c r="T571" s="50">
        <v>-35.76</v>
      </c>
      <c r="U571" s="50">
        <v>-9.39</v>
      </c>
      <c r="W571" s="50">
        <v>-30.29</v>
      </c>
      <c r="X571" s="50">
        <v>-30.29</v>
      </c>
      <c r="Y571" s="50">
        <v>17.45</v>
      </c>
      <c r="AA571" s="50">
        <v>-48.39</v>
      </c>
      <c r="AC571" s="50">
        <v>370770</v>
      </c>
      <c r="AE571" s="50" t="s">
        <v>4777</v>
      </c>
    </row>
    <row r="572" spans="1:31">
      <c r="A572" s="50" t="s">
        <v>4922</v>
      </c>
      <c r="B572" s="50" t="s">
        <v>503</v>
      </c>
      <c r="C572" s="50" t="s">
        <v>504</v>
      </c>
      <c r="D572" s="50" t="e">
        <f ca="1">Image("https://images-na.ssl-images-amazon.com/images/I/316wB+2rSnL.jpg;https://images-na.ssl-images-amazon.com/images/I/31tQSWHh7wL.jpg;https://images-na.ssl-images-amazon.com/images/I/311qT4B5uJL.jpg;https://images-na.ssl-images-amazon.com/images/I/31kx3w+Gf1L"&amp;".jpg;https://images-na.ssl-images-amazon.com/images/I/516ZXiYv7NL.jpg;https://images-na.ssl-images-amazon.com/images/I/31Kps+HAoQL.jpg")</f>
        <v>#NAME?</v>
      </c>
      <c r="E572" s="50" t="s">
        <v>20</v>
      </c>
      <c r="F572" s="50" t="s">
        <v>141</v>
      </c>
      <c r="G572" s="50">
        <v>5</v>
      </c>
      <c r="H572" s="50">
        <v>1</v>
      </c>
      <c r="I572" s="50">
        <v>151.86000000000001</v>
      </c>
      <c r="R572" s="50">
        <v>20</v>
      </c>
      <c r="T572" s="50">
        <v>-28.76</v>
      </c>
      <c r="U572" s="50">
        <v>-55.12</v>
      </c>
      <c r="W572" s="50">
        <v>67.98</v>
      </c>
      <c r="X572" s="50">
        <v>67.98</v>
      </c>
      <c r="Y572" s="50">
        <v>67.98</v>
      </c>
      <c r="AA572" s="50">
        <v>44.76</v>
      </c>
      <c r="AC572" s="50">
        <v>40994</v>
      </c>
      <c r="AE572" s="50" t="s">
        <v>4777</v>
      </c>
    </row>
    <row r="573" spans="1:31">
      <c r="A573" s="50" t="s">
        <v>4923</v>
      </c>
      <c r="B573" s="50" t="s">
        <v>473</v>
      </c>
      <c r="C573" s="50" t="s">
        <v>4924</v>
      </c>
      <c r="D573" s="50" t="e">
        <f ca="1">Image("https://images-na.ssl-images-amazon.com/images/I/313vOEFnV6L.jpg;https://images-na.ssl-images-amazon.com/images/I/31e9E9Gum6L.jpg;https://images-na.ssl-images-amazon.com/images/I/21-wO-l67jL.jpg;https://images-na.ssl-images-amazon.com/images/I/31jBt72gVQL"&amp;".jpg;https://images-na.ssl-images-amazon.com/images/I/312B8YmA4sL.jpg;https://images-na.ssl-images-amazon.com/images/I/31KDLWdDnmL.jpg")</f>
        <v>#NAME?</v>
      </c>
      <c r="E573" s="50" t="s">
        <v>20</v>
      </c>
      <c r="F573" s="50" t="s">
        <v>389</v>
      </c>
      <c r="G573" s="50">
        <v>5</v>
      </c>
      <c r="I573" s="50">
        <v>105</v>
      </c>
      <c r="K573" s="50">
        <v>-1.32</v>
      </c>
      <c r="L573" s="50">
        <v>-1.32</v>
      </c>
      <c r="S573" s="50" t="s">
        <v>1217</v>
      </c>
      <c r="U573" s="50">
        <v>-56.22</v>
      </c>
      <c r="W573" s="50">
        <v>47.46</v>
      </c>
      <c r="X573" s="50">
        <v>47.46</v>
      </c>
      <c r="Y573" s="50">
        <v>47.46</v>
      </c>
      <c r="AA573" s="50">
        <v>45.2</v>
      </c>
      <c r="AC573" s="50">
        <v>124387</v>
      </c>
      <c r="AD573" s="50">
        <v>1.26</v>
      </c>
      <c r="AE573" s="50" t="s">
        <v>4777</v>
      </c>
    </row>
    <row r="574" spans="1:31">
      <c r="A574" s="50" t="s">
        <v>4925</v>
      </c>
      <c r="B574" s="50" t="s">
        <v>406</v>
      </c>
      <c r="C574" s="50" t="s">
        <v>407</v>
      </c>
      <c r="D574" s="50" t="e">
        <f ca="1">Image("https://images-na.ssl-images-amazon.com/images/I/514HBBTdugL.jpg;https://images-na.ssl-images-amazon.com/images/I/61vSG4tVZpL.jpg;https://images-na.ssl-images-amazon.com/images/I/51rxRIzFmML.jpg;https://images-na.ssl-images-amazon.com/images/I/516PvsukVlL"&amp;".jpg;https://images-na.ssl-images-amazon.com/images/I/51b0zpqV5yL.jpg")</f>
        <v>#NAME?</v>
      </c>
      <c r="E574" s="50" t="s">
        <v>16</v>
      </c>
      <c r="F574" s="50" t="s">
        <v>408</v>
      </c>
      <c r="G574" s="50">
        <v>4</v>
      </c>
      <c r="I574" s="50">
        <v>133.72</v>
      </c>
      <c r="S574" s="50" t="s">
        <v>1217</v>
      </c>
      <c r="U574" s="50">
        <v>-20.059999999999999</v>
      </c>
      <c r="W574" s="50">
        <v>79.94</v>
      </c>
      <c r="X574" s="50">
        <v>79.94</v>
      </c>
      <c r="Y574" s="50">
        <v>113.66</v>
      </c>
      <c r="AA574" s="50">
        <v>59.78</v>
      </c>
      <c r="AC574" s="50">
        <v>1994509</v>
      </c>
      <c r="AE574" s="50" t="s">
        <v>4777</v>
      </c>
    </row>
    <row r="575" spans="1:31">
      <c r="A575" s="50" t="s">
        <v>4926</v>
      </c>
      <c r="B575" s="50" t="s">
        <v>64</v>
      </c>
      <c r="C575" s="50" t="s">
        <v>1836</v>
      </c>
      <c r="D575" s="50" t="e">
        <f ca="1">Image("https://images-na.ssl-images-amazon.com/images/I/41AOEKiwIhL.jpg;https://images-na.ssl-images-amazon.com/images/I/31exv-sLHFS.jpg;https://images-na.ssl-images-amazon.com/images/I/31wvL5ZhC-S.jpg;https://images-na.ssl-images-amazon.com/images/I/31Q5U5NIiXS"&amp;".jpg;https://images-na.ssl-images-amazon.com/images/I/31RGHfa+tWS.jpg;https://images-na.ssl-images-amazon.com/images/I/51zXI6J2ljS.jpg")</f>
        <v>#NAME?</v>
      </c>
      <c r="E575" s="50" t="s">
        <v>16</v>
      </c>
      <c r="F575" s="50" t="s">
        <v>66</v>
      </c>
      <c r="G575" s="50">
        <v>4</v>
      </c>
      <c r="I575" s="50">
        <v>81.56</v>
      </c>
      <c r="S575" s="50" t="s">
        <v>1217</v>
      </c>
      <c r="U575" s="50">
        <v>-12.24</v>
      </c>
      <c r="W575" s="50">
        <v>25.36</v>
      </c>
      <c r="X575" s="50">
        <v>25.36</v>
      </c>
      <c r="Y575" s="50">
        <v>69.319999999999993</v>
      </c>
      <c r="AA575" s="50">
        <v>31.09</v>
      </c>
      <c r="AC575" s="50">
        <v>143853</v>
      </c>
      <c r="AE575" s="50" t="s">
        <v>4777</v>
      </c>
    </row>
    <row r="576" spans="1:31">
      <c r="A576" s="50" t="s">
        <v>4643</v>
      </c>
      <c r="B576" s="50" t="s">
        <v>40</v>
      </c>
      <c r="C576" s="50" t="s">
        <v>1358</v>
      </c>
      <c r="D576" s="50" t="e">
        <f ca="1">Image("https://images-na.ssl-images-amazon.com/images/I/418XkK501gL.jpg;https://images-na.ssl-images-amazon.com/images/I/31F3m78sHOL.jpg;https://images-na.ssl-images-amazon.com/images/I/41hyQHOM+6L.jpg;https://images-na.ssl-images-amazon.com/images/I/31Fzjoqa-mL"&amp;".jpg")</f>
        <v>#NAME?</v>
      </c>
      <c r="E576" s="50" t="s">
        <v>16</v>
      </c>
      <c r="F576" s="50" t="s">
        <v>42</v>
      </c>
      <c r="G576" s="50">
        <v>4</v>
      </c>
      <c r="I576" s="50">
        <v>125.72</v>
      </c>
      <c r="S576" s="50" t="s">
        <v>1217</v>
      </c>
      <c r="U576" s="50">
        <v>-18.850000000000001</v>
      </c>
      <c r="W576" s="50">
        <v>83.15</v>
      </c>
      <c r="X576" s="50">
        <v>83.15</v>
      </c>
      <c r="Y576" s="50">
        <v>106.87</v>
      </c>
      <c r="AA576" s="50">
        <v>66.14</v>
      </c>
      <c r="AC576" s="50">
        <v>41693</v>
      </c>
      <c r="AE576" s="50" t="s">
        <v>4777</v>
      </c>
    </row>
    <row r="577" spans="1:31">
      <c r="A577" s="50" t="s">
        <v>4927</v>
      </c>
      <c r="B577" s="50" t="s">
        <v>28</v>
      </c>
      <c r="C577" s="50" t="s">
        <v>1637</v>
      </c>
      <c r="D577" s="50" t="e">
        <f ca="1">Image("https://images-na.ssl-images-amazon.com/images/I/414t+kaygYL.jpg;https://images-na.ssl-images-amazon.com/images/I/41a3E3q1+NL.jpg;https://images-na.ssl-images-amazon.com/images/I/41I4eWokYLL.jpg;https://images-na.ssl-images-amazon.com/images/I/41UFL7QUoCL"&amp;".jpg;https://images-na.ssl-images-amazon.com/images/I/41EwXDv1d2L.jpg;https://images-na.ssl-images-amazon.com/images/I/4107BtP3uCL.jpg;https://images-na.ssl-images-amazon.com/images/I/51I4fuQktAL.jpg")</f>
        <v>#NAME?</v>
      </c>
      <c r="E577" s="50" t="s">
        <v>16</v>
      </c>
      <c r="F577" s="50" t="s">
        <v>30</v>
      </c>
      <c r="G577" s="50">
        <v>4</v>
      </c>
      <c r="I577" s="50">
        <v>53.48</v>
      </c>
      <c r="S577" s="50" t="s">
        <v>1217</v>
      </c>
      <c r="U577" s="50">
        <v>-8.02</v>
      </c>
      <c r="W577" s="50">
        <v>21.98</v>
      </c>
      <c r="X577" s="50">
        <v>21.98</v>
      </c>
      <c r="Y577" s="50">
        <v>45.46</v>
      </c>
      <c r="AA577" s="50">
        <v>41.1</v>
      </c>
      <c r="AC577" s="50">
        <v>127726</v>
      </c>
      <c r="AE577" s="50" t="s">
        <v>4777</v>
      </c>
    </row>
    <row r="578" spans="1:31">
      <c r="A578" s="50" t="s">
        <v>4928</v>
      </c>
      <c r="B578" s="50" t="s">
        <v>689</v>
      </c>
      <c r="C578" s="50" t="s">
        <v>690</v>
      </c>
      <c r="D578" s="50" t="e">
        <f ca="1">Image("https://images-na.ssl-images-amazon.com/images/I/41AlgCi0-oL.jpg;https://images-na.ssl-images-amazon.com/images/I/51NeJOaQ6pL.jpg;https://images-na.ssl-images-amazon.com/images/I/31Jv67s3zEL.jpg;https://images-na.ssl-images-amazon.com/images/I/51W209x18EL"&amp;".jpg")</f>
        <v>#NAME?</v>
      </c>
      <c r="E578" s="50" t="s">
        <v>16</v>
      </c>
      <c r="F578" s="50" t="s">
        <v>691</v>
      </c>
      <c r="G578" s="50">
        <v>4</v>
      </c>
      <c r="H578" s="50">
        <v>1</v>
      </c>
      <c r="I578" s="50">
        <v>35.479999999999997</v>
      </c>
      <c r="R578" s="50">
        <v>25</v>
      </c>
      <c r="S578" s="50" t="s">
        <v>1217</v>
      </c>
      <c r="T578" s="50">
        <v>-7.7</v>
      </c>
      <c r="U578" s="50">
        <v>-5.32</v>
      </c>
      <c r="W578" s="50">
        <v>-1.02</v>
      </c>
      <c r="X578" s="50">
        <v>-1.02</v>
      </c>
      <c r="Y578" s="50">
        <v>22.46</v>
      </c>
      <c r="AA578" s="50">
        <v>-2.87</v>
      </c>
      <c r="AE578" s="50" t="s">
        <v>4777</v>
      </c>
    </row>
    <row r="579" spans="1:31">
      <c r="A579" s="50" t="s">
        <v>4929</v>
      </c>
      <c r="B579" s="50" t="s">
        <v>124</v>
      </c>
      <c r="C579" s="50" t="s">
        <v>1969</v>
      </c>
      <c r="D579" s="50" t="e">
        <f ca="1">Image("https://images-na.ssl-images-amazon.com/images/I/41WXH4eXCPL.jpg;https://images-na.ssl-images-amazon.com/images/I/41hiBGIN59L.jpg;https://images-na.ssl-images-amazon.com/images/I/41pLcIqYpFL.jpg;https://images-na.ssl-images-amazon.com/images/I/41xohT54HIL"&amp;".jpg;https://images-na.ssl-images-amazon.com/images/I/518nEUk7pCL.jpg;https://images-na.ssl-images-amazon.com/images/I/41AaYUClzHL.jpg")</f>
        <v>#NAME?</v>
      </c>
      <c r="E579" s="50" t="s">
        <v>16</v>
      </c>
      <c r="F579" s="50" t="s">
        <v>126</v>
      </c>
      <c r="G579" s="50">
        <v>4</v>
      </c>
      <c r="I579" s="50">
        <v>31</v>
      </c>
      <c r="S579" s="50" t="s">
        <v>1217</v>
      </c>
      <c r="U579" s="50">
        <v>-4.6399999999999997</v>
      </c>
      <c r="W579" s="50">
        <v>3.36</v>
      </c>
      <c r="X579" s="50">
        <v>3.36</v>
      </c>
      <c r="Y579" s="50">
        <v>26.36</v>
      </c>
      <c r="AA579" s="50">
        <v>10.84</v>
      </c>
      <c r="AC579" s="50">
        <v>62242</v>
      </c>
      <c r="AE579" s="50" t="s">
        <v>4777</v>
      </c>
    </row>
    <row r="580" spans="1:31">
      <c r="A580" s="50" t="s">
        <v>4930</v>
      </c>
      <c r="B580" s="50" t="s">
        <v>637</v>
      </c>
      <c r="C580" s="50" t="s">
        <v>638</v>
      </c>
      <c r="D580" s="50" t="e">
        <f ca="1">Image("https://images-na.ssl-images-amazon.com/images/I/41tDpRcfY8L.jpg;https://images-na.ssl-images-amazon.com/images/I/41WNgtrwHYL.jpg;https://images-na.ssl-images-amazon.com/images/I/31Q4jldFuFL.jpg;https://images-na.ssl-images-amazon.com/images/I/41yqwsPgCAL"&amp;".jpg")</f>
        <v>#NAME?</v>
      </c>
      <c r="E580" s="50" t="s">
        <v>16</v>
      </c>
      <c r="F580" s="50" t="s">
        <v>639</v>
      </c>
      <c r="G580" s="50">
        <v>4</v>
      </c>
      <c r="H580" s="50">
        <v>1</v>
      </c>
      <c r="I580" s="50">
        <v>42.73</v>
      </c>
      <c r="R580" s="50">
        <v>25</v>
      </c>
      <c r="S580" s="50" t="s">
        <v>1217</v>
      </c>
      <c r="T580" s="50">
        <v>-8.7899999999999991</v>
      </c>
      <c r="U580" s="50">
        <v>-6.41</v>
      </c>
      <c r="W580" s="50">
        <v>-2.2000000000000002</v>
      </c>
      <c r="X580" s="50">
        <v>-2.2000000000000002</v>
      </c>
      <c r="Y580" s="50">
        <v>27.53</v>
      </c>
      <c r="AA580" s="50">
        <v>-5.15</v>
      </c>
      <c r="AC580" s="50">
        <v>369718</v>
      </c>
      <c r="AE580" s="50" t="s">
        <v>4777</v>
      </c>
    </row>
    <row r="581" spans="1:31">
      <c r="A581" s="50" t="s">
        <v>4931</v>
      </c>
      <c r="B581" s="50" t="s">
        <v>569</v>
      </c>
      <c r="C581" s="50" t="s">
        <v>570</v>
      </c>
      <c r="D581" s="50" t="e">
        <f ca="1">Image("https://images-na.ssl-images-amazon.com/images/I/41ZVaXJ1UQL.jpg;https://images-na.ssl-images-amazon.com/images/I/416WTLax7RL.jpg;https://images-na.ssl-images-amazon.com/images/I/31otxfAdYcL.jpg;https://images-na.ssl-images-amazon.com/images/I/41yqwsPgCAL"&amp;".jpg")</f>
        <v>#NAME?</v>
      </c>
      <c r="E581" s="50" t="s">
        <v>16</v>
      </c>
      <c r="F581" s="50" t="s">
        <v>571</v>
      </c>
      <c r="G581" s="50">
        <v>4</v>
      </c>
      <c r="I581" s="50">
        <v>49.24</v>
      </c>
      <c r="S581" s="50" t="s">
        <v>1217</v>
      </c>
      <c r="U581" s="50">
        <v>-7.38</v>
      </c>
      <c r="W581" s="50">
        <v>18.62</v>
      </c>
      <c r="X581" s="50">
        <v>18.62</v>
      </c>
      <c r="Y581" s="50">
        <v>41.86</v>
      </c>
      <c r="AA581" s="50">
        <v>37.81</v>
      </c>
      <c r="AC581" s="50">
        <v>369718</v>
      </c>
      <c r="AE581" s="50" t="s">
        <v>4777</v>
      </c>
    </row>
    <row r="582" spans="1:31">
      <c r="A582" s="50" t="s">
        <v>4672</v>
      </c>
      <c r="B582" s="50" t="s">
        <v>518</v>
      </c>
      <c r="C582" s="50" t="s">
        <v>1405</v>
      </c>
      <c r="D582" s="50" t="e">
        <f ca="1">Image("https://images-na.ssl-images-amazon.com/images/I/416kCWZQWdL.jpg;https://images-na.ssl-images-amazon.com/images/I/41QoXUsC0zL.jpg;https://images-na.ssl-images-amazon.com/images/I/41yXDWQT51L.jpg;https://images-na.ssl-images-amazon.com/images/I/41CNkbEvNuL"&amp;".jpg;https://images-na.ssl-images-amazon.com/images/I/513k6zCY5TL.jpg;https://images-na.ssl-images-amazon.com/images/I/51yvcbscM8L.jpg;https://images-na.ssl-images-amazon.com/images/I/51OGdAJV8cL.jpg")</f>
        <v>#NAME?</v>
      </c>
      <c r="E582" s="50" t="s">
        <v>20</v>
      </c>
      <c r="F582" s="50" t="s">
        <v>520</v>
      </c>
      <c r="G582" s="50">
        <v>4</v>
      </c>
      <c r="I582" s="50">
        <v>59</v>
      </c>
      <c r="S582" s="50" t="s">
        <v>1217</v>
      </c>
      <c r="U582" s="50">
        <v>-8.84</v>
      </c>
      <c r="W582" s="50">
        <v>27.16</v>
      </c>
      <c r="X582" s="50">
        <v>27.16</v>
      </c>
      <c r="Y582" s="50">
        <v>50.16</v>
      </c>
      <c r="AA582" s="50">
        <v>46.03</v>
      </c>
      <c r="AC582" s="50">
        <v>510839</v>
      </c>
      <c r="AE582" s="50" t="s">
        <v>4777</v>
      </c>
    </row>
    <row r="583" spans="1:31">
      <c r="A583" s="50" t="s">
        <v>4542</v>
      </c>
      <c r="B583" s="50" t="s">
        <v>1109</v>
      </c>
      <c r="C583" s="50" t="s">
        <v>4932</v>
      </c>
      <c r="D583" s="50" t="e">
        <f ca="1">Image("https://images-na.ssl-images-amazon.com/images/I/410OBUcY9QL.jpg;https://images-na.ssl-images-amazon.com/images/I/41NK6UwOFEL.jpg;https://images-na.ssl-images-amazon.com/images/I/41eOENRJklL.jpg;https://images-na.ssl-images-amazon.com/images/I/51JEErS2TpL"&amp;".jpg;https://images-na.ssl-images-amazon.com/images/I/51TL2r1thUL.jpg;https://images-na.ssl-images-amazon.com/images/I/51Y2cisnTuL.jpg;https://images-na.ssl-images-amazon.com/images/I/51ve0fJM3uL.jpg")</f>
        <v>#NAME?</v>
      </c>
      <c r="E583" s="50" t="s">
        <v>20</v>
      </c>
      <c r="F583" s="50" t="s">
        <v>1111</v>
      </c>
      <c r="G583" s="50">
        <v>4</v>
      </c>
      <c r="I583" s="50">
        <v>39.6</v>
      </c>
      <c r="S583" s="50" t="s">
        <v>1217</v>
      </c>
      <c r="U583" s="50">
        <v>-23.91</v>
      </c>
      <c r="W583" s="50">
        <v>15.69</v>
      </c>
      <c r="X583" s="50">
        <v>15.69</v>
      </c>
      <c r="Y583" s="50">
        <v>15.69</v>
      </c>
      <c r="AA583" s="50">
        <v>39.619999999999997</v>
      </c>
      <c r="AC583" s="50">
        <v>275369</v>
      </c>
      <c r="AE583" s="50" t="s">
        <v>4777</v>
      </c>
    </row>
    <row r="584" spans="1:31">
      <c r="A584" s="50" t="s">
        <v>4933</v>
      </c>
      <c r="B584" s="50" t="s">
        <v>387</v>
      </c>
      <c r="C584" s="50" t="s">
        <v>4934</v>
      </c>
      <c r="D584" s="50" t="e">
        <f ca="1">Image("https://images-na.ssl-images-amazon.com/images/I/51wY1nPAduL.jpg;https://images-na.ssl-images-amazon.com/images/I/41gJEkWPxgL.jpg;https://images-na.ssl-images-amazon.com/images/I/516ZXiYv7NL.jpg;https://images-na.ssl-images-amazon.com/images/I/41RgtBH3nCS"&amp;".jpg;https://images-na.ssl-images-amazon.com/images/I/51DRrRncviL.jpg;https://images-na.ssl-images-amazon.com/images/I/31Kps+HAoQL.jpg")</f>
        <v>#NAME?</v>
      </c>
      <c r="E584" s="50" t="s">
        <v>20</v>
      </c>
      <c r="F584" s="50" t="s">
        <v>389</v>
      </c>
      <c r="G584" s="50">
        <v>4</v>
      </c>
      <c r="I584" s="50">
        <v>84</v>
      </c>
      <c r="S584" s="50" t="s">
        <v>1217</v>
      </c>
      <c r="U584" s="50">
        <v>-45.37</v>
      </c>
      <c r="W584" s="50">
        <v>38.630000000000003</v>
      </c>
      <c r="X584" s="50">
        <v>38.630000000000003</v>
      </c>
      <c r="Y584" s="50">
        <v>38.630000000000003</v>
      </c>
      <c r="AA584" s="50">
        <v>45.99</v>
      </c>
      <c r="AC584" s="50">
        <v>124387</v>
      </c>
      <c r="AE584" s="50" t="s">
        <v>4777</v>
      </c>
    </row>
    <row r="585" spans="1:31">
      <c r="A585" s="50" t="s">
        <v>4261</v>
      </c>
      <c r="B585" s="50" t="s">
        <v>22</v>
      </c>
      <c r="C585" s="50" t="s">
        <v>4372</v>
      </c>
      <c r="D585" s="50" t="e">
        <f ca="1">Image("https://images-na.ssl-images-amazon.com/images/I/51Ty4k4RvPL.jpg;https://images-na.ssl-images-amazon.com/images/I/51PrNjO7d-L.jpg;https://images-na.ssl-images-amazon.com/images/I/51sg8npK3+L.jpg;https://images-na.ssl-images-amazon.com/images/I/51b+Fcjt19L"&amp;".jpg;https://images-na.ssl-images-amazon.com/images/I/61m+NIwIFzL.jpg;https://images-na.ssl-images-amazon.com/images/I/317+gBlW+yL.jpg;https://images-na.ssl-images-amazon.com/images/I/51Ty4k4RvPL.jpg")</f>
        <v>#NAME?</v>
      </c>
      <c r="E585" s="50" t="s">
        <v>12</v>
      </c>
      <c r="F585" s="50" t="s">
        <v>24</v>
      </c>
      <c r="G585" s="50">
        <v>4</v>
      </c>
      <c r="H585" s="50">
        <v>1</v>
      </c>
      <c r="I585" s="50">
        <v>163.96</v>
      </c>
      <c r="K585" s="50">
        <v>-258.47000000000003</v>
      </c>
      <c r="O585" s="50">
        <v>-258.47000000000003</v>
      </c>
      <c r="R585" s="50">
        <v>25</v>
      </c>
      <c r="S585" s="50" t="s">
        <v>1217</v>
      </c>
      <c r="T585" s="50">
        <v>-36.07</v>
      </c>
      <c r="U585" s="50">
        <v>-24.6</v>
      </c>
      <c r="W585" s="50">
        <v>-199.14</v>
      </c>
      <c r="X585" s="50">
        <v>-199.14</v>
      </c>
      <c r="Y585" s="50">
        <v>-155.18</v>
      </c>
      <c r="AA585" s="50">
        <v>-121.46</v>
      </c>
      <c r="AC585" s="50">
        <v>1413</v>
      </c>
      <c r="AD585" s="50">
        <v>157.63999999999999</v>
      </c>
      <c r="AE585" s="50" t="s">
        <v>4777</v>
      </c>
    </row>
    <row r="586" spans="1:31">
      <c r="A586" s="50" t="s">
        <v>4935</v>
      </c>
      <c r="B586" s="50" t="s">
        <v>1142</v>
      </c>
      <c r="C586" s="50" t="s">
        <v>1143</v>
      </c>
      <c r="D586" s="50" t="e">
        <f ca="1">Image("https://images-na.ssl-images-amazon.com/images/I/51IGKmah+-L.jpg;https://images-na.ssl-images-amazon.com/images/I/514GeVhg0dL.jpg;https://images-na.ssl-images-amazon.com/images/I/51RMh22ArbL.jpg;https://images-na.ssl-images-amazon.com/images/I/41Y8hTzY4rL"&amp;".jpg;https://images-na.ssl-images-amazon.com/images/I/312Lq7p+kXL.jpg;https://images-na.ssl-images-amazon.com/images/I/51fmgbodi9L.jpg;https://images-na.ssl-images-amazon.com/images/I/51ZDQsER+cL.jpg")</f>
        <v>#NAME?</v>
      </c>
      <c r="E586" s="50" t="s">
        <v>20</v>
      </c>
      <c r="F586" s="50" t="s">
        <v>1144</v>
      </c>
      <c r="G586" s="50">
        <v>4</v>
      </c>
      <c r="I586" s="50">
        <v>38.4</v>
      </c>
      <c r="K586" s="50">
        <v>-81.13</v>
      </c>
      <c r="L586" s="50">
        <v>-81.13</v>
      </c>
      <c r="S586" s="50" t="s">
        <v>1217</v>
      </c>
      <c r="U586" s="50">
        <v>-53.91</v>
      </c>
      <c r="W586" s="50">
        <v>-96.64</v>
      </c>
      <c r="X586" s="50">
        <v>-96.64</v>
      </c>
      <c r="Y586" s="50">
        <v>-96.64</v>
      </c>
      <c r="AA586" s="50">
        <v>-251.67</v>
      </c>
      <c r="AC586" s="50">
        <v>647383</v>
      </c>
      <c r="AD586" s="50">
        <v>211.28</v>
      </c>
      <c r="AE586" s="50" t="s">
        <v>4777</v>
      </c>
    </row>
    <row r="587" spans="1:31">
      <c r="A587" s="50" t="s">
        <v>4936</v>
      </c>
      <c r="B587" s="50" t="s">
        <v>286</v>
      </c>
      <c r="C587" s="50" t="s">
        <v>4937</v>
      </c>
      <c r="D587" s="50" t="e">
        <f ca="1">Image("https://images-na.ssl-images-amazon.com/images/I/41wmGLrrYxL.jpg;https://images-na.ssl-images-amazon.com/images/I/41eeXLDwWJL.jpg;https://images-na.ssl-images-amazon.com/images/I/51Jlw0bmluL.jpg")</f>
        <v>#NAME?</v>
      </c>
      <c r="E587" s="50" t="s">
        <v>16</v>
      </c>
      <c r="F587" s="50" t="s">
        <v>288</v>
      </c>
      <c r="G587" s="50">
        <v>3</v>
      </c>
      <c r="I587" s="50">
        <v>54</v>
      </c>
      <c r="S587" s="50" t="s">
        <v>1217</v>
      </c>
      <c r="U587" s="50">
        <v>-26.16</v>
      </c>
      <c r="W587" s="50">
        <v>27.84</v>
      </c>
      <c r="X587" s="50">
        <v>27.84</v>
      </c>
      <c r="Y587" s="50">
        <v>27.84</v>
      </c>
      <c r="AA587" s="50">
        <v>51.56</v>
      </c>
      <c r="AE587" s="50" t="s">
        <v>4777</v>
      </c>
    </row>
    <row r="588" spans="1:31">
      <c r="A588" s="50" t="s">
        <v>4622</v>
      </c>
      <c r="B588" s="50" t="s">
        <v>251</v>
      </c>
      <c r="C588" s="50" t="s">
        <v>2076</v>
      </c>
      <c r="D588" s="50" t="e">
        <f ca="1">Image("https://images-na.ssl-images-amazon.com/images/I/31l35kFeWnL.jpg;https://images-na.ssl-images-amazon.com/images/I/41tkBtuxUDL.jpg;https://images-na.ssl-images-amazon.com/images/I/313Z3lDGZ7L.jpg;https://images-na.ssl-images-amazon.com/images/I/41rt6GUMjQL"&amp;".jpg;https://images-na.ssl-images-amazon.com/images/I/411-s0+b8oL.jpg;https://images-na.ssl-images-amazon.com/images/I/614CcAvYs3L.jpg;https://images-na.ssl-images-amazon.com/images/I/51aWtMiZE6L.jpg")</f>
        <v>#NAME?</v>
      </c>
      <c r="E588" s="50" t="s">
        <v>20</v>
      </c>
      <c r="F588" s="50" t="s">
        <v>253</v>
      </c>
      <c r="G588" s="50">
        <v>3</v>
      </c>
      <c r="H588" s="50">
        <v>1</v>
      </c>
      <c r="I588" s="50">
        <v>20.25</v>
      </c>
      <c r="R588" s="50">
        <v>33.33</v>
      </c>
      <c r="S588" s="50" t="s">
        <v>1217</v>
      </c>
      <c r="T588" s="50">
        <v>-5.67</v>
      </c>
      <c r="U588" s="50">
        <v>-4.05</v>
      </c>
      <c r="W588" s="50">
        <v>-6.72</v>
      </c>
      <c r="X588" s="50">
        <v>-6.72</v>
      </c>
      <c r="Y588" s="50">
        <v>10.53</v>
      </c>
      <c r="AA588" s="50">
        <v>-33.19</v>
      </c>
      <c r="AE588" s="50" t="s">
        <v>4777</v>
      </c>
    </row>
    <row r="589" spans="1:31">
      <c r="A589" s="50" t="s">
        <v>4938</v>
      </c>
      <c r="B589" s="50" t="s">
        <v>375</v>
      </c>
      <c r="C589" s="50" t="s">
        <v>4939</v>
      </c>
      <c r="D589" s="50" t="e">
        <f ca="1">Image("https://images-na.ssl-images-amazon.com/images/I/51hCIM-4GwL.jpg;https://images-na.ssl-images-amazon.com/images/I/51EnomcgZqL.jpg;https://images-na.ssl-images-amazon.com/images/I/51XqkGWkmnL.jpg;https://images-na.ssl-images-amazon.com/images/I/61hgD2dKeEL"&amp;".jpg;https://images-na.ssl-images-amazon.com/images/I/41t0qw1nB-L.jpg")</f>
        <v>#NAME?</v>
      </c>
      <c r="E589" s="50" t="s">
        <v>16</v>
      </c>
      <c r="F589" s="50" t="s">
        <v>377</v>
      </c>
      <c r="G589" s="50">
        <v>3</v>
      </c>
      <c r="I589" s="50">
        <v>76.87</v>
      </c>
      <c r="S589" s="50" t="s">
        <v>1217</v>
      </c>
      <c r="U589" s="50">
        <v>-80.709999999999994</v>
      </c>
      <c r="W589" s="50">
        <v>-3.84</v>
      </c>
      <c r="X589" s="50">
        <v>-3.84</v>
      </c>
      <c r="Y589" s="50">
        <v>-3.84</v>
      </c>
      <c r="AA589" s="50">
        <v>-5</v>
      </c>
      <c r="AC589" s="50">
        <v>48256</v>
      </c>
      <c r="AE589" s="50" t="s">
        <v>4777</v>
      </c>
    </row>
    <row r="590" spans="1:31">
      <c r="A590" s="50" t="s">
        <v>4940</v>
      </c>
      <c r="B590" s="50" t="s">
        <v>560</v>
      </c>
      <c r="C590" s="50" t="s">
        <v>1722</v>
      </c>
      <c r="D590" s="50" t="e">
        <f ca="1">Image("https://images-na.ssl-images-amazon.com/images/I/411kEgan53L.jpg;https://images-na.ssl-images-amazon.com/images/I/41w4ROC6D1L.jpg;https://images-na.ssl-images-amazon.com/images/I/313BUOgA2gL.jpg;https://images-na.ssl-images-amazon.com/images/I/51UZrtSSLfL"&amp;".jpg")</f>
        <v>#NAME?</v>
      </c>
      <c r="E590" s="50" t="s">
        <v>16</v>
      </c>
      <c r="F590" s="50" t="s">
        <v>562</v>
      </c>
      <c r="G590" s="50">
        <v>3</v>
      </c>
      <c r="I590" s="50">
        <v>29.25</v>
      </c>
      <c r="S590" s="50" t="s">
        <v>1217</v>
      </c>
      <c r="U590" s="50">
        <v>-4.38</v>
      </c>
      <c r="W590" s="50">
        <v>7.62</v>
      </c>
      <c r="X590" s="50">
        <v>7.62</v>
      </c>
      <c r="Y590" s="50">
        <v>24.87</v>
      </c>
      <c r="AA590" s="50">
        <v>26.05</v>
      </c>
      <c r="AC590" s="50">
        <v>282692</v>
      </c>
      <c r="AE590" s="50" t="s">
        <v>4777</v>
      </c>
    </row>
    <row r="591" spans="1:31">
      <c r="A591" s="50" t="s">
        <v>4710</v>
      </c>
      <c r="B591" s="50" t="s">
        <v>677</v>
      </c>
      <c r="C591" s="50" t="s">
        <v>678</v>
      </c>
      <c r="D591" s="50" t="e">
        <f ca="1">Image("https://images-na.ssl-images-amazon.com/images/I/414XRwFTRiL.jpg;https://images-na.ssl-images-amazon.com/images/I/519GqIzMNTL.jpg;https://images-na.ssl-images-amazon.com/images/I/315beR7OspL.jpg;https://images-na.ssl-images-amazon.com/images/I/51-FV7uMggL"&amp;".jpg")</f>
        <v>#NAME?</v>
      </c>
      <c r="E591" s="50" t="s">
        <v>16</v>
      </c>
      <c r="F591" s="50" t="s">
        <v>679</v>
      </c>
      <c r="G591" s="50">
        <v>3</v>
      </c>
      <c r="I591" s="50">
        <v>29.25</v>
      </c>
      <c r="S591" s="50" t="s">
        <v>1217</v>
      </c>
      <c r="U591" s="50">
        <v>-4.38</v>
      </c>
      <c r="W591" s="50">
        <v>7.62</v>
      </c>
      <c r="X591" s="50">
        <v>7.62</v>
      </c>
      <c r="Y591" s="50">
        <v>24.87</v>
      </c>
      <c r="AA591" s="50">
        <v>26.05</v>
      </c>
      <c r="AE591" s="50" t="s">
        <v>4777</v>
      </c>
    </row>
    <row r="592" spans="1:31">
      <c r="A592" s="50" t="s">
        <v>4941</v>
      </c>
      <c r="B592" s="50" t="s">
        <v>761</v>
      </c>
      <c r="C592" s="50" t="s">
        <v>762</v>
      </c>
      <c r="D592" s="50" t="e">
        <f ca="1">Image("https://images-na.ssl-images-amazon.com/images/I/41OGigczFcL.jpg;https://images-na.ssl-images-amazon.com/images/I/41AMqsC9s2L.jpg;https://images-na.ssl-images-amazon.com/images/I/21fPkluSDUL.jpg")</f>
        <v>#NAME?</v>
      </c>
      <c r="E592" s="50" t="s">
        <v>16</v>
      </c>
      <c r="F592" s="50" t="s">
        <v>763</v>
      </c>
      <c r="G592" s="50">
        <v>3</v>
      </c>
      <c r="I592" s="50">
        <v>17.28</v>
      </c>
      <c r="S592" s="50" t="s">
        <v>1217</v>
      </c>
      <c r="U592" s="50">
        <v>-2.58</v>
      </c>
      <c r="W592" s="50">
        <v>-2.5499999999999998</v>
      </c>
      <c r="X592" s="50">
        <v>-2.5499999999999998</v>
      </c>
      <c r="Y592" s="50">
        <v>14.7</v>
      </c>
      <c r="AA592" s="50">
        <v>-14.76</v>
      </c>
      <c r="AC592" s="50">
        <v>472349</v>
      </c>
      <c r="AE592" s="50" t="s">
        <v>4777</v>
      </c>
    </row>
    <row r="593" spans="1:31">
      <c r="A593" s="50" t="s">
        <v>4942</v>
      </c>
      <c r="B593" s="50" t="s">
        <v>730</v>
      </c>
      <c r="C593" s="50" t="s">
        <v>4943</v>
      </c>
      <c r="D593" s="50" t="e">
        <f ca="1">Image("https://images-na.ssl-images-amazon.com/images/I/414oFIY8HIL.jpg;https://images-na.ssl-images-amazon.com/images/I/41ZONmv61mL.jpg;https://images-na.ssl-images-amazon.com/images/I/41NDt9wbTeL.jpg;https://images-na.ssl-images-amazon.com/images/I/41vBgooeEQL"&amp;".jpg;https://images-na.ssl-images-amazon.com/images/I/51qpSUST8DL.jpg;https://images-na.ssl-images-amazon.com/images/I/610qSO4sDXL.jpg;https://images-na.ssl-images-amazon.com/images/I/613-dRRq42L.jpg")</f>
        <v>#NAME?</v>
      </c>
      <c r="E593" s="50" t="s">
        <v>20</v>
      </c>
      <c r="F593" s="50" t="s">
        <v>732</v>
      </c>
      <c r="G593" s="50">
        <v>3</v>
      </c>
      <c r="H593" s="50">
        <v>1</v>
      </c>
      <c r="I593" s="50">
        <v>39.5</v>
      </c>
      <c r="R593" s="50">
        <v>33.33</v>
      </c>
      <c r="S593" s="50" t="s">
        <v>1217</v>
      </c>
      <c r="T593" s="50">
        <v>-17.38</v>
      </c>
      <c r="U593" s="50">
        <v>-5.92</v>
      </c>
      <c r="W593" s="50">
        <v>4.7</v>
      </c>
      <c r="X593" s="50">
        <v>4.7</v>
      </c>
      <c r="Y593" s="50">
        <v>16.2</v>
      </c>
      <c r="AA593" s="50">
        <v>11.9</v>
      </c>
      <c r="AC593" s="50">
        <v>1189886</v>
      </c>
      <c r="AE593" s="50" t="s">
        <v>4777</v>
      </c>
    </row>
    <row r="594" spans="1:31">
      <c r="A594" s="50" t="s">
        <v>4944</v>
      </c>
      <c r="B594" s="50" t="s">
        <v>403</v>
      </c>
      <c r="C594" s="50" t="s">
        <v>1406</v>
      </c>
      <c r="D594" s="50" t="e">
        <f ca="1">Image("https://images-na.ssl-images-amazon.com/images/I/414TxdU8BLL.jpg;https://images-na.ssl-images-amazon.com/images/I/5123BYH92DL.jpg;https://images-na.ssl-images-amazon.com/images/I/41AhO2AeTHL.jpg;https://images-na.ssl-images-amazon.com/images/I/51+Eztjn3fL"&amp;".jpg;https://images-na.ssl-images-amazon.com/images/I/41k9Qg3r+7L.jpg;https://images-na.ssl-images-amazon.com/images/I/51mLy7k98hL.jpg;https://images-na.ssl-images-amazon.com/images/I/41JwYiT88IL.jpg")</f>
        <v>#NAME?</v>
      </c>
      <c r="E594" s="50" t="s">
        <v>20</v>
      </c>
      <c r="F594" s="50" t="s">
        <v>405</v>
      </c>
      <c r="G594" s="50">
        <v>3</v>
      </c>
      <c r="H594" s="50">
        <v>2</v>
      </c>
      <c r="I594" s="50">
        <v>53.22</v>
      </c>
      <c r="R594" s="50">
        <v>66.67</v>
      </c>
      <c r="S594" s="50" t="s">
        <v>1217</v>
      </c>
      <c r="T594" s="50">
        <v>-31.22</v>
      </c>
      <c r="U594" s="50">
        <v>-7.98</v>
      </c>
      <c r="W594" s="50">
        <v>-3.23</v>
      </c>
      <c r="X594" s="50">
        <v>-3.23</v>
      </c>
      <c r="Y594" s="50">
        <v>14.02</v>
      </c>
      <c r="AA594" s="50">
        <v>-6.07</v>
      </c>
      <c r="AC594" s="50">
        <v>404054</v>
      </c>
      <c r="AE594" s="50" t="s">
        <v>4777</v>
      </c>
    </row>
    <row r="595" spans="1:31">
      <c r="A595" s="50" t="s">
        <v>4621</v>
      </c>
      <c r="B595" s="50" t="s">
        <v>430</v>
      </c>
      <c r="C595" s="50" t="s">
        <v>2099</v>
      </c>
      <c r="D595" s="50" t="e">
        <f ca="1">Image("https://images-na.ssl-images-amazon.com/images/I/3170-0Ji0FS.jpg;https://images-na.ssl-images-amazon.com/images/I/41HdVCTs90S.jpg;https://images-na.ssl-images-amazon.com/images/I/41ZxLrrWpeS.jpg;https://images-na.ssl-images-amazon.com/images/I/41mi-vJRBSS"&amp;".jpg;https://images-na.ssl-images-amazon.com/images/I/51zfhJz3NRS.jpg;https://images-na.ssl-images-amazon.com/images/I/61EBR+7xgRS.jpg")</f>
        <v>#NAME?</v>
      </c>
      <c r="E595" s="50" t="s">
        <v>20</v>
      </c>
      <c r="F595" s="50" t="s">
        <v>432</v>
      </c>
      <c r="G595" s="50">
        <v>3</v>
      </c>
      <c r="I595" s="50">
        <v>21.75</v>
      </c>
      <c r="S595" s="50" t="s">
        <v>1217</v>
      </c>
      <c r="U595" s="50">
        <v>-1.74</v>
      </c>
      <c r="W595" s="50">
        <v>2.76</v>
      </c>
      <c r="X595" s="50">
        <v>2.76</v>
      </c>
      <c r="Y595" s="50">
        <v>20.010000000000002</v>
      </c>
      <c r="AA595" s="50">
        <v>12.69</v>
      </c>
      <c r="AE595" s="50" t="s">
        <v>4777</v>
      </c>
    </row>
    <row r="596" spans="1:31">
      <c r="A596" s="50" t="s">
        <v>4945</v>
      </c>
      <c r="B596" s="50" t="s">
        <v>602</v>
      </c>
      <c r="C596" s="50" t="s">
        <v>603</v>
      </c>
      <c r="D596" s="50" t="e">
        <f ca="1">Image("https://images-na.ssl-images-amazon.com/images/I/41+0-LMcD8L.jpg;https://images-na.ssl-images-amazon.com/images/I/51OGd+txk9L.jpg;https://images-na.ssl-images-amazon.com/images/I/51axDLN60fL.jpg;https://images-na.ssl-images-amazon.com/images/I/61g7p30MQnL"&amp;".jpg;https://images-na.ssl-images-amazon.com/images/I/51POKJAdS-S.jpg;https://images-na.ssl-images-amazon.com/images/I/414RIOuOmuL.jpg;https://images-na.ssl-images-amazon.com/images/I/41lb9mfUrcL.jpg")</f>
        <v>#NAME?</v>
      </c>
      <c r="E596" s="50" t="s">
        <v>20</v>
      </c>
      <c r="F596" s="50" t="s">
        <v>604</v>
      </c>
      <c r="G596" s="50">
        <v>3</v>
      </c>
      <c r="I596" s="50">
        <v>38.97</v>
      </c>
      <c r="S596" s="50" t="s">
        <v>1217</v>
      </c>
      <c r="U596" s="50">
        <v>-5.85</v>
      </c>
      <c r="W596" s="50">
        <v>0.15</v>
      </c>
      <c r="X596" s="50">
        <v>0.15</v>
      </c>
      <c r="Y596" s="50">
        <v>33.119999999999997</v>
      </c>
      <c r="AA596" s="50">
        <v>0.38</v>
      </c>
      <c r="AC596" s="50">
        <v>370770</v>
      </c>
      <c r="AE596" s="50" t="s">
        <v>4777</v>
      </c>
    </row>
    <row r="597" spans="1:31">
      <c r="A597" s="50" t="s">
        <v>4708</v>
      </c>
      <c r="B597" s="50" t="s">
        <v>100</v>
      </c>
      <c r="C597" s="50" t="s">
        <v>1462</v>
      </c>
      <c r="D597" s="50" t="e">
        <f ca="1">Image("https://images-na.ssl-images-amazon.com/images/I/31eXRUjBMbL.jpg;https://images-na.ssl-images-amazon.com/images/I/216MqaMqpcL.jpg;https://images-na.ssl-images-amazon.com/images/I/513qXfkwQHL.jpg;https://images-na.ssl-images-amazon.com/images/I/51oOWnpHliL"&amp;".jpg;https://images-na.ssl-images-amazon.com/images/I/51IOJ0m18nL.jpg;https://images-na.ssl-images-amazon.com/images/I/51o4+P8zXtL.jpg;https://images-na.ssl-images-amazon.com/images/I/51rSrc9q7RL.jpg;https://images-na.ssl-images-amazon.com/images/I/6184X-"&amp;"sipfL.jpg")</f>
        <v>#NAME?</v>
      </c>
      <c r="E597" s="50" t="s">
        <v>20</v>
      </c>
      <c r="F597" s="50" t="s">
        <v>102</v>
      </c>
      <c r="G597" s="50">
        <v>3</v>
      </c>
      <c r="I597" s="50">
        <v>50.25</v>
      </c>
      <c r="S597" s="50" t="s">
        <v>1217</v>
      </c>
      <c r="U597" s="50">
        <v>-7.53</v>
      </c>
      <c r="W597" s="50">
        <v>25.47</v>
      </c>
      <c r="X597" s="50">
        <v>25.47</v>
      </c>
      <c r="Y597" s="50">
        <v>42.72</v>
      </c>
      <c r="AA597" s="50">
        <v>50.69</v>
      </c>
      <c r="AC597" s="50">
        <v>34727</v>
      </c>
      <c r="AE597" s="50" t="s">
        <v>4777</v>
      </c>
    </row>
    <row r="598" spans="1:31">
      <c r="A598" s="50" t="s">
        <v>4946</v>
      </c>
      <c r="B598" s="50" t="s">
        <v>716</v>
      </c>
      <c r="C598" s="50" t="s">
        <v>717</v>
      </c>
      <c r="D598" s="50" t="e">
        <f ca="1">Image("https://images-na.ssl-images-amazon.com/images/I/512rtEHMFyL.jpg;https://images-na.ssl-images-amazon.com/images/I/41UpUxS0LFL.jpg;https://images-na.ssl-images-amazon.com/images/I/41U8qrsQhJL.jpg;https://images-na.ssl-images-amazon.com/images/I/516ZXiYv7NL"&amp;".jpg;https://images-na.ssl-images-amazon.com/images/I/51G+M1QKoEL.jpg;https://images-na.ssl-images-amazon.com/images/I/31Kps+HAoQL.jpg")</f>
        <v>#NAME?</v>
      </c>
      <c r="E598" s="50" t="s">
        <v>20</v>
      </c>
      <c r="F598" s="50" t="s">
        <v>389</v>
      </c>
      <c r="G598" s="50">
        <v>3</v>
      </c>
      <c r="H598" s="50">
        <v>1</v>
      </c>
      <c r="I598" s="50">
        <v>66</v>
      </c>
      <c r="R598" s="50">
        <v>33.33</v>
      </c>
      <c r="S598" s="50">
        <v>100</v>
      </c>
      <c r="T598" s="50">
        <v>-19.36</v>
      </c>
      <c r="U598" s="50">
        <v>-29.25</v>
      </c>
      <c r="W598" s="50">
        <v>17.39</v>
      </c>
      <c r="X598" s="50">
        <v>17.39</v>
      </c>
      <c r="Y598" s="50">
        <v>17.39</v>
      </c>
      <c r="AA598" s="50">
        <v>26.35</v>
      </c>
      <c r="AC598" s="50">
        <v>124387</v>
      </c>
      <c r="AE598" s="50" t="s">
        <v>4777</v>
      </c>
    </row>
    <row r="599" spans="1:31">
      <c r="A599" s="50" t="s">
        <v>4947</v>
      </c>
      <c r="B599" s="50" t="s">
        <v>456</v>
      </c>
      <c r="C599" s="50" t="s">
        <v>457</v>
      </c>
      <c r="D599" s="50" t="e">
        <f ca="1">Image("https://images-na.ssl-images-amazon.com/images/I/513NqFzVMPL.jpg;https://images-na.ssl-images-amazon.com/images/I/513NqFzVMPL.jpg;https://images-na.ssl-images-amazon.com/images/I/51tkxdsHfXL.jpg;https://images-na.ssl-images-amazon.com/images/I/51N1DfHF48L"&amp;".jpg;https://images-na.ssl-images-amazon.com/images/I/51xwCjsyQYL.jpg;https://images-na.ssl-images-amazon.com/images/I/51KZ9sJi7JL.jpg;https://images-na.ssl-images-amazon.com/images/I/51ZCKWVdtaL.jpg")</f>
        <v>#NAME?</v>
      </c>
      <c r="E599" s="50" t="s">
        <v>16</v>
      </c>
      <c r="F599" s="50" t="s">
        <v>458</v>
      </c>
      <c r="G599" s="50">
        <v>2</v>
      </c>
      <c r="I599" s="50">
        <v>122.08</v>
      </c>
      <c r="S599" s="50" t="s">
        <v>1217</v>
      </c>
      <c r="U599" s="50">
        <v>-33.43</v>
      </c>
      <c r="W599" s="50">
        <v>88.65</v>
      </c>
      <c r="X599" s="50">
        <v>88.65</v>
      </c>
      <c r="Y599" s="50">
        <v>88.65</v>
      </c>
      <c r="AA599" s="50">
        <v>72.62</v>
      </c>
      <c r="AC599" s="50">
        <v>1692742</v>
      </c>
      <c r="AE599" s="50" t="s">
        <v>4777</v>
      </c>
    </row>
    <row r="600" spans="1:31">
      <c r="A600" s="50" t="s">
        <v>4948</v>
      </c>
      <c r="B600" s="50" t="s">
        <v>115</v>
      </c>
      <c r="C600" s="50" t="s">
        <v>4949</v>
      </c>
      <c r="D600" s="50" t="e">
        <f ca="1">Image("https://images-na.ssl-images-amazon.com/images/I/413ck9lsOKL.jpg;https://images-na.ssl-images-amazon.com/images/I/51UscLhaobL.jpg;https://images-na.ssl-images-amazon.com/images/I/419iX+USdLL.jpg;https://images-na.ssl-images-amazon.com/images/I/41dskjfBfCL"&amp;".jpg;https://images-na.ssl-images-amazon.com/images/I/41aiVR-WqFL.jpg;https://images-na.ssl-images-amazon.com/images/I/417VtmlIFML.jpg;https://images-na.ssl-images-amazon.com/images/I/41BHpUibkjL.jpg;https://images-na.ssl-images-amazon.com/images/I/61tPVZ"&amp;"EHwGL.jpg")</f>
        <v>#NAME?</v>
      </c>
      <c r="E600" s="50" t="s">
        <v>20</v>
      </c>
      <c r="F600" s="50" t="s">
        <v>117</v>
      </c>
      <c r="G600" s="50">
        <v>2</v>
      </c>
      <c r="I600" s="50">
        <v>17.739999999999998</v>
      </c>
      <c r="S600" s="50" t="s">
        <v>1217</v>
      </c>
      <c r="U600" s="50">
        <v>-1.42</v>
      </c>
      <c r="W600" s="50">
        <v>4.58</v>
      </c>
      <c r="X600" s="50">
        <v>4.58</v>
      </c>
      <c r="Y600" s="50">
        <v>16.32</v>
      </c>
      <c r="AA600" s="50">
        <v>25.82</v>
      </c>
      <c r="AC600" s="50">
        <v>100087</v>
      </c>
      <c r="AE600" s="50" t="s">
        <v>4777</v>
      </c>
    </row>
    <row r="601" spans="1:31">
      <c r="A601" s="50" t="s">
        <v>4837</v>
      </c>
      <c r="B601" s="50" t="s">
        <v>97</v>
      </c>
      <c r="C601" s="50" t="s">
        <v>4950</v>
      </c>
      <c r="D601" s="50" t="e">
        <f ca="1">Image("https://images-na.ssl-images-amazon.com/images/I/41efs2pFS2S.jpg;https://images-na.ssl-images-amazon.com/images/I/51U+Th7kKwS.jpg;https://images-na.ssl-images-amazon.com/images/I/51CMEnVrYcS.jpg;https://images-na.ssl-images-amazon.com/images/I/41qquD7NrcS"&amp;".jpg;https://images-na.ssl-images-amazon.com/images/I/41YjHQa3JgS.jpg;https://images-na.ssl-images-amazon.com/images/I/51cuTOz+a-S.jpg;https://images-na.ssl-images-amazon.com/images/I/61damUmO69S.jpg")</f>
        <v>#NAME?</v>
      </c>
      <c r="E601" s="50" t="s">
        <v>16</v>
      </c>
      <c r="F601" s="50" t="s">
        <v>4951</v>
      </c>
      <c r="G601" s="50">
        <v>2</v>
      </c>
      <c r="I601" s="50">
        <v>83.98</v>
      </c>
      <c r="S601" s="50" t="s">
        <v>1217</v>
      </c>
      <c r="U601" s="50">
        <v>-12.6</v>
      </c>
      <c r="W601" s="50">
        <v>49.4</v>
      </c>
      <c r="X601" s="50">
        <v>49.4</v>
      </c>
      <c r="Y601" s="50">
        <v>71.38</v>
      </c>
      <c r="AA601" s="50">
        <v>58.82</v>
      </c>
      <c r="AC601" s="50">
        <v>320926</v>
      </c>
      <c r="AE601" s="50" t="s">
        <v>4777</v>
      </c>
    </row>
    <row r="602" spans="1:31">
      <c r="A602" s="50" t="s">
        <v>4952</v>
      </c>
      <c r="B602" s="50" t="s">
        <v>67</v>
      </c>
      <c r="C602" s="50" t="s">
        <v>2156</v>
      </c>
      <c r="D602" s="50" t="e">
        <f ca="1">Image("https://images-na.ssl-images-amazon.com/images/I/51QqFxw8lHL.jpg;https://images-na.ssl-images-amazon.com/images/I/61A8tYoCoIL.jpg;https://images-na.ssl-images-amazon.com/images/I/51Zu6TkvbkL.jpg;https://images-na.ssl-images-amazon.com/images/I/51yI9L0VtZL"&amp;".jpg;https://images-na.ssl-images-amazon.com/images/I/51eK6dJ-9GL.jpg;https://images-na.ssl-images-amazon.com/images/I/516BOvXkzGL.jpg;https://images-na.ssl-images-amazon.com/images/I/51pUGIu1tVL.jpg;https://images-na.ssl-images-amazon.com/images/I/51RZ5g"&amp;"-rczL.jpg;https://images-na.ssl-images-amazon.com/images/I/51mRitk-o7L.jpg")</f>
        <v>#NAME?</v>
      </c>
      <c r="E602" s="50" t="s">
        <v>16</v>
      </c>
      <c r="F602" s="50" t="s">
        <v>4387</v>
      </c>
      <c r="G602" s="50">
        <v>2</v>
      </c>
      <c r="I602" s="50">
        <v>81.98</v>
      </c>
      <c r="S602" s="50" t="s">
        <v>1217</v>
      </c>
      <c r="U602" s="50">
        <v>-12.3</v>
      </c>
      <c r="W602" s="50">
        <v>47.7</v>
      </c>
      <c r="X602" s="50">
        <v>47.7</v>
      </c>
      <c r="Y602" s="50">
        <v>69.680000000000007</v>
      </c>
      <c r="AA602" s="50">
        <v>58.18</v>
      </c>
      <c r="AC602" s="50">
        <v>338039</v>
      </c>
      <c r="AE602" s="50" t="s">
        <v>4777</v>
      </c>
    </row>
    <row r="603" spans="1:31">
      <c r="A603" s="50" t="s">
        <v>4953</v>
      </c>
      <c r="B603" s="50" t="s">
        <v>221</v>
      </c>
      <c r="C603" s="50" t="s">
        <v>1365</v>
      </c>
      <c r="D603" s="50" t="e">
        <f ca="1">Image("https://images-na.ssl-images-amazon.com/images/I/51GCGmrmyrL.jpg;https://images-na.ssl-images-amazon.com/images/I/61DIzNMPGpL.jpg;https://images-na.ssl-images-amazon.com/images/I/51Rh7IvxPvL.jpg;https://images-na.ssl-images-amazon.com/images/I/714pzWV0t2L"&amp;".jpg;https://images-na.ssl-images-amazon.com/images/I/41t0qw1nB-L.jpg")</f>
        <v>#NAME?</v>
      </c>
      <c r="E603" s="50" t="s">
        <v>16</v>
      </c>
      <c r="F603" s="50" t="s">
        <v>223</v>
      </c>
      <c r="G603" s="50">
        <v>2</v>
      </c>
      <c r="H603" s="50">
        <v>2</v>
      </c>
      <c r="I603" s="50">
        <v>62</v>
      </c>
      <c r="R603" s="50">
        <v>100</v>
      </c>
      <c r="S603" s="50" t="s">
        <v>1217</v>
      </c>
      <c r="T603" s="50">
        <v>-54.56</v>
      </c>
      <c r="U603" s="50">
        <v>-9.3000000000000007</v>
      </c>
      <c r="W603" s="50">
        <v>-25.86</v>
      </c>
      <c r="X603" s="50">
        <v>-25.86</v>
      </c>
      <c r="Y603" s="50">
        <v>-1.86</v>
      </c>
      <c r="AA603" s="50">
        <v>-41.71</v>
      </c>
      <c r="AC603" s="50">
        <v>30884</v>
      </c>
      <c r="AE603" s="50" t="s">
        <v>4777</v>
      </c>
    </row>
    <row r="604" spans="1:31">
      <c r="A604" s="50" t="s">
        <v>4954</v>
      </c>
      <c r="B604" s="50" t="s">
        <v>628</v>
      </c>
      <c r="C604" s="50" t="s">
        <v>629</v>
      </c>
      <c r="D604" s="50" t="e">
        <f ca="1">Image("https://images-na.ssl-images-amazon.com/images/I/51fP+WcbfiL.jpg;https://images-na.ssl-images-amazon.com/images/I/61HXG6n9jxL.jpg;https://images-na.ssl-images-amazon.com/images/I/518rk0UCJLL.jpg;https://images-na.ssl-images-amazon.com/images/I/614oHeWcHDL"&amp;".jpg;https://images-na.ssl-images-amazon.com/images/I/518Qz8oOWyL.jpg")</f>
        <v>#NAME?</v>
      </c>
      <c r="E604" s="50" t="s">
        <v>16</v>
      </c>
      <c r="F604" s="50" t="s">
        <v>630</v>
      </c>
      <c r="G604" s="50">
        <v>2</v>
      </c>
      <c r="I604" s="50">
        <v>35.979999999999997</v>
      </c>
      <c r="S604" s="50" t="s">
        <v>1217</v>
      </c>
      <c r="U604" s="50">
        <v>-5.4</v>
      </c>
      <c r="W604" s="50">
        <v>8.6</v>
      </c>
      <c r="X604" s="50">
        <v>8.6</v>
      </c>
      <c r="Y604" s="50">
        <v>30.58</v>
      </c>
      <c r="AA604" s="50">
        <v>23.9</v>
      </c>
      <c r="AC604" s="50">
        <v>1214809</v>
      </c>
      <c r="AE604" s="50" t="s">
        <v>4777</v>
      </c>
    </row>
    <row r="605" spans="1:31">
      <c r="A605" s="50" t="s">
        <v>4710</v>
      </c>
      <c r="B605" s="50" t="s">
        <v>677</v>
      </c>
      <c r="C605" s="50" t="s">
        <v>1733</v>
      </c>
      <c r="D605" s="50" t="e">
        <f ca="1">Image("https://images-na.ssl-images-amazon.com/images/I/414XRwFTRiL.jpg;https://images-na.ssl-images-amazon.com/images/I/519GqIzMNTL.jpg;https://images-na.ssl-images-amazon.com/images/I/315beR7OspL.jpg;https://images-na.ssl-images-amazon.com/images/I/51-FV7uMggL"&amp;".jpg")</f>
        <v>#NAME?</v>
      </c>
      <c r="E605" s="50" t="s">
        <v>16</v>
      </c>
      <c r="F605" s="50" t="s">
        <v>679</v>
      </c>
      <c r="G605" s="50">
        <v>2</v>
      </c>
      <c r="H605" s="50">
        <v>2</v>
      </c>
      <c r="I605" s="50">
        <v>19.98</v>
      </c>
      <c r="R605" s="50">
        <v>100</v>
      </c>
      <c r="S605" s="50" t="s">
        <v>1217</v>
      </c>
      <c r="T605" s="50">
        <v>-17.579999999999998</v>
      </c>
      <c r="U605" s="50">
        <v>-3</v>
      </c>
      <c r="W605" s="50">
        <v>-12.58</v>
      </c>
      <c r="X605" s="50">
        <v>-12.58</v>
      </c>
      <c r="Y605" s="50">
        <v>-0.6</v>
      </c>
      <c r="AA605" s="50">
        <v>-62.96</v>
      </c>
      <c r="AE605" s="50" t="s">
        <v>4777</v>
      </c>
    </row>
    <row r="606" spans="1:31">
      <c r="A606" s="50" t="s">
        <v>4427</v>
      </c>
      <c r="B606" s="50" t="s">
        <v>121</v>
      </c>
      <c r="C606" s="50" t="s">
        <v>1387</v>
      </c>
      <c r="D606" s="50" t="e">
        <f ca="1">Image("https://images-na.ssl-images-amazon.com/images/I/51hR1oa-eeL.jpg;https://images-na.ssl-images-amazon.com/images/I/51mV7gfc+wL.jpg;https://images-na.ssl-images-amazon.com/images/I/518tk2oalpL.jpg;https://images-na.ssl-images-amazon.com/images/I/411sLFpTzpL"&amp;".jpg;https://images-na.ssl-images-amazon.com/images/I/417MCp82FgL.jpg;https://images-na.ssl-images-amazon.com/images/I/51ZoF6mOtyL.jpg")</f>
        <v>#NAME?</v>
      </c>
      <c r="E606" s="50" t="s">
        <v>16</v>
      </c>
      <c r="F606" s="50" t="s">
        <v>123</v>
      </c>
      <c r="G606" s="50">
        <v>2</v>
      </c>
      <c r="I606" s="50">
        <v>47.77</v>
      </c>
      <c r="S606" s="50" t="s">
        <v>1217</v>
      </c>
      <c r="U606" s="50">
        <v>-7.17</v>
      </c>
      <c r="W606" s="50">
        <v>23.62</v>
      </c>
      <c r="X606" s="50">
        <v>23.62</v>
      </c>
      <c r="Y606" s="50">
        <v>40.6</v>
      </c>
      <c r="AA606" s="50">
        <v>49.45</v>
      </c>
      <c r="AC606" s="50">
        <v>432149</v>
      </c>
      <c r="AE606" s="50" t="s">
        <v>4777</v>
      </c>
    </row>
    <row r="607" spans="1:31">
      <c r="A607" s="50" t="s">
        <v>4462</v>
      </c>
      <c r="B607" s="50" t="s">
        <v>49</v>
      </c>
      <c r="C607" s="50" t="s">
        <v>1240</v>
      </c>
      <c r="D607" s="50" t="e">
        <f ca="1">Image("https://images-na.ssl-images-amazon.com/images/I/51x4M5NGCjL.jpg;https://images-na.ssl-images-amazon.com/images/I/412S7MP0UUL.jpg;https://images-na.ssl-images-amazon.com/images/I/51QJdx9Qz6L.jpg;https://images-na.ssl-images-amazon.com/images/I/5187UFB8gmL"&amp;".jpg;https://images-na.ssl-images-amazon.com/images/I/41Vad5eroaL.jpg;https://images-na.ssl-images-amazon.com/images/I/51w-zadXJSL.jpg;https://images-na.ssl-images-amazon.com/images/I/41SHvwo5IsL.jpg")</f>
        <v>#NAME?</v>
      </c>
      <c r="E607" s="50" t="s">
        <v>20</v>
      </c>
      <c r="F607" s="50" t="s">
        <v>51</v>
      </c>
      <c r="G607" s="50">
        <v>2</v>
      </c>
      <c r="I607" s="50">
        <v>61.5</v>
      </c>
      <c r="S607" s="50" t="s">
        <v>1217</v>
      </c>
      <c r="U607" s="50">
        <v>-9.2200000000000006</v>
      </c>
      <c r="W607" s="50">
        <v>40.78</v>
      </c>
      <c r="X607" s="50">
        <v>40.78</v>
      </c>
      <c r="Y607" s="50">
        <v>52.28</v>
      </c>
      <c r="AA607" s="50">
        <v>66.31</v>
      </c>
      <c r="AC607" s="50">
        <v>256782</v>
      </c>
      <c r="AE607" s="50" t="s">
        <v>4777</v>
      </c>
    </row>
    <row r="608" spans="1:31">
      <c r="A608" s="50" t="s">
        <v>4955</v>
      </c>
      <c r="B608" s="50" t="s">
        <v>58</v>
      </c>
      <c r="C608" s="50" t="s">
        <v>1251</v>
      </c>
      <c r="D608" s="50" t="e">
        <f ca="1">Image("https://images-na.ssl-images-amazon.com/images/I/51291o7fzdL.jpg;https://images-na.ssl-images-amazon.com/images/I/51NDwofsY9L.jpg;https://images-na.ssl-images-amazon.com/images/I/41TM8PrZnJL.jpg;https://images-na.ssl-images-amazon.com/images/I/413TjTXnyIL"&amp;".jpg;https://images-na.ssl-images-amazon.com/images/I/51qBa1U+56L.jpg;https://images-na.ssl-images-amazon.com/images/I/51BfznTgQ3L.jpg;https://images-na.ssl-images-amazon.com/images/I/51lHkguOGLL.jpg")</f>
        <v>#NAME?</v>
      </c>
      <c r="E608" s="50" t="s">
        <v>20</v>
      </c>
      <c r="F608" s="50" t="s">
        <v>60</v>
      </c>
      <c r="G608" s="50">
        <v>2</v>
      </c>
      <c r="I608" s="50">
        <v>60.49</v>
      </c>
      <c r="S608" s="50" t="s">
        <v>1217</v>
      </c>
      <c r="U608" s="50">
        <v>-9.07</v>
      </c>
      <c r="W608" s="50">
        <v>39.92</v>
      </c>
      <c r="X608" s="50">
        <v>39.92</v>
      </c>
      <c r="Y608" s="50">
        <v>51.42</v>
      </c>
      <c r="AA608" s="50">
        <v>65.989999999999995</v>
      </c>
      <c r="AC608" s="50">
        <v>69706</v>
      </c>
      <c r="AE608" s="50" t="s">
        <v>4777</v>
      </c>
    </row>
    <row r="609" spans="1:31">
      <c r="A609" s="50" t="s">
        <v>4956</v>
      </c>
      <c r="B609" s="50" t="s">
        <v>686</v>
      </c>
      <c r="C609" s="50" t="s">
        <v>1245</v>
      </c>
      <c r="D609" s="50" t="e">
        <f ca="1">Image("https://images-na.ssl-images-amazon.com/images/I/31znvpyyj2S.jpg;https://images-na.ssl-images-amazon.com/images/I/21NBTn07TTS.jpg;https://images-na.ssl-images-amazon.com/images/I/31vEiv96NbS.jpg;https://images-na.ssl-images-amazon.com/images/I/31rm24UTz7L"&amp;".jpg;https://images-na.ssl-images-amazon.com/images/I/51J2f5j689L.jpg;https://images-na.ssl-images-amazon.com/images/I/41wQ3D6OO0L.jpg;https://images-na.ssl-images-amazon.com/images/I/51aSzSKJNvL.jpg")</f>
        <v>#NAME?</v>
      </c>
      <c r="E609" s="50" t="s">
        <v>20</v>
      </c>
      <c r="F609" s="50" t="s">
        <v>688</v>
      </c>
      <c r="G609" s="50">
        <v>2</v>
      </c>
      <c r="I609" s="50">
        <v>17.98</v>
      </c>
      <c r="S609" s="50" t="s">
        <v>1217</v>
      </c>
      <c r="U609" s="50">
        <v>-2.7</v>
      </c>
      <c r="W609" s="50">
        <v>3.3</v>
      </c>
      <c r="X609" s="50">
        <v>3.3</v>
      </c>
      <c r="Y609" s="50">
        <v>15.28</v>
      </c>
      <c r="AA609" s="50">
        <v>18.350000000000001</v>
      </c>
      <c r="AC609" s="50">
        <v>1829134</v>
      </c>
      <c r="AE609" s="50" t="s">
        <v>4777</v>
      </c>
    </row>
    <row r="610" spans="1:31">
      <c r="A610" s="50" t="s">
        <v>4957</v>
      </c>
      <c r="B610" s="50" t="s">
        <v>755</v>
      </c>
      <c r="C610" s="50" t="s">
        <v>756</v>
      </c>
      <c r="D610" s="50" t="e">
        <f ca="1">Image("https://images-na.ssl-images-amazon.com/images/I/31H6fRXC1yS.jpg;https://images-na.ssl-images-amazon.com/images/I/31+c0cj+sLS.jpg;https://images-na.ssl-images-amazon.com/images/I/31NowTgXBnS.jpg;https://images-na.ssl-images-amazon.com/images/I/318MebIaTWL"&amp;".jpg;https://images-na.ssl-images-amazon.com/images/I/41QP3I2IafL.jpg;https://images-na.ssl-images-amazon.com/images/I/41H-eHcctuL.jpg;https://images-na.ssl-images-amazon.com/images/I/51UltZP4XSL.jpg")</f>
        <v>#NAME?</v>
      </c>
      <c r="E610" s="50" t="s">
        <v>20</v>
      </c>
      <c r="F610" s="50" t="s">
        <v>757</v>
      </c>
      <c r="G610" s="50">
        <v>2</v>
      </c>
      <c r="I610" s="50">
        <v>17.98</v>
      </c>
      <c r="S610" s="50" t="s">
        <v>1217</v>
      </c>
      <c r="U610" s="50">
        <v>-2.7</v>
      </c>
      <c r="W610" s="50">
        <v>3.3</v>
      </c>
      <c r="X610" s="50">
        <v>3.3</v>
      </c>
      <c r="Y610" s="50">
        <v>15.28</v>
      </c>
      <c r="AA610" s="50">
        <v>18.350000000000001</v>
      </c>
      <c r="AC610" s="50">
        <v>1829134</v>
      </c>
      <c r="AE610" s="50" t="s">
        <v>4777</v>
      </c>
    </row>
    <row r="611" spans="1:31">
      <c r="A611" s="50" t="s">
        <v>4958</v>
      </c>
      <c r="B611" s="50" t="s">
        <v>1065</v>
      </c>
      <c r="C611" s="50" t="s">
        <v>1066</v>
      </c>
      <c r="D611" s="50" t="e">
        <f ca="1">Image("https://images-na.ssl-images-amazon.com/images/I/31oA880RAtL.jpg;https://images-na.ssl-images-amazon.com/images/I/31hE6RyAZbL.jpg;https://images-na.ssl-images-amazon.com/images/I/21VMA9CGR1L.jpg;https://images-na.ssl-images-amazon.com/images/I/312EBoe7j4L"&amp;".jpg;https://images-na.ssl-images-amazon.com/images/I/516ZXiYv7NL.jpg;https://images-na.ssl-images-amazon.com/images/I/31ji2QCbKdL.jpg;https://images-na.ssl-images-amazon.com/images/I/41H+AJi9hcL.jpg")</f>
        <v>#NAME?</v>
      </c>
      <c r="E611" s="50" t="s">
        <v>20</v>
      </c>
      <c r="F611" s="50" t="s">
        <v>141</v>
      </c>
      <c r="G611" s="50">
        <v>2</v>
      </c>
      <c r="H611" s="50">
        <v>2</v>
      </c>
      <c r="I611" s="50">
        <v>46</v>
      </c>
      <c r="R611" s="50">
        <v>100</v>
      </c>
      <c r="T611" s="50">
        <v>-40.479999999999997</v>
      </c>
      <c r="U611" s="50">
        <v>-19.41</v>
      </c>
      <c r="W611" s="50">
        <v>-13.89</v>
      </c>
      <c r="X611" s="50">
        <v>-13.89</v>
      </c>
      <c r="Y611" s="50">
        <v>-13.89</v>
      </c>
      <c r="AA611" s="50">
        <v>-30.2</v>
      </c>
      <c r="AC611" s="50">
        <v>192042</v>
      </c>
      <c r="AE611" s="50" t="s">
        <v>4777</v>
      </c>
    </row>
    <row r="612" spans="1:31">
      <c r="A612" s="50" t="s">
        <v>4959</v>
      </c>
      <c r="B612" s="50" t="s">
        <v>800</v>
      </c>
      <c r="C612" s="50" t="s">
        <v>801</v>
      </c>
      <c r="D612" s="50" t="e">
        <f ca="1">Image("https://images-na.ssl-images-amazon.com/images/I/41l+0d9tt3L.jpg;https://images-na.ssl-images-amazon.com/images/I/41shRjrREpL.jpg;https://images-na.ssl-images-amazon.com/images/I/41fwxyX1hCL.jpg;https://images-na.ssl-images-amazon.com/images/I/41+HxQkIdhL"&amp;".jpg;https://images-na.ssl-images-amazon.com/images/I/51UHUwwcKAL.jpg;https://images-na.ssl-images-amazon.com/images/I/51-8L3zYDrL.jpg")</f>
        <v>#NAME?</v>
      </c>
      <c r="E612" s="50" t="s">
        <v>20</v>
      </c>
      <c r="F612" s="50" t="s">
        <v>802</v>
      </c>
      <c r="G612" s="50">
        <v>2</v>
      </c>
      <c r="I612" s="50">
        <v>44.91</v>
      </c>
      <c r="K612" s="50">
        <v>-0.75</v>
      </c>
      <c r="L612" s="50">
        <v>-0.75</v>
      </c>
      <c r="S612" s="50" t="s">
        <v>1217</v>
      </c>
      <c r="U612" s="50">
        <v>-33.14</v>
      </c>
      <c r="W612" s="50">
        <v>11.02</v>
      </c>
      <c r="X612" s="50">
        <v>11.02</v>
      </c>
      <c r="Y612" s="50">
        <v>11.02</v>
      </c>
      <c r="AA612" s="50">
        <v>24.54</v>
      </c>
      <c r="AC612" s="50">
        <v>6453359</v>
      </c>
      <c r="AD612" s="50">
        <v>1.67</v>
      </c>
      <c r="AE612" s="50" t="s">
        <v>4777</v>
      </c>
    </row>
    <row r="613" spans="1:31">
      <c r="A613" s="50" t="s">
        <v>4960</v>
      </c>
      <c r="B613" s="50" t="s">
        <v>862</v>
      </c>
      <c r="C613" s="50" t="s">
        <v>863</v>
      </c>
      <c r="D613" s="50" t="e">
        <f ca="1">Image("https://images-na.ssl-images-amazon.com/images/I/41oZ4icodwL.jpg;https://images-na.ssl-images-amazon.com/images/I/41nAED5yAkL.jpg;https://images-na.ssl-images-amazon.com/images/I/41mcED6oqoL.jpg;https://images-na.ssl-images-amazon.com/images/I/31x+cejq7oL"&amp;".jpg;https://images-na.ssl-images-amazon.com/images/I/31IkNiqlN3L.jpg")</f>
        <v>#NAME?</v>
      </c>
      <c r="E613" s="50" t="s">
        <v>16</v>
      </c>
      <c r="F613" s="50" t="s">
        <v>864</v>
      </c>
      <c r="G613" s="50">
        <v>1</v>
      </c>
      <c r="I613" s="50">
        <v>7.25</v>
      </c>
      <c r="S613" s="50" t="s">
        <v>1217</v>
      </c>
      <c r="U613" s="50">
        <v>-1.0900000000000001</v>
      </c>
      <c r="W613" s="50">
        <v>0.41</v>
      </c>
      <c r="X613" s="50">
        <v>0.41</v>
      </c>
      <c r="Y613" s="50">
        <v>6.16</v>
      </c>
      <c r="AA613" s="50">
        <v>5.66</v>
      </c>
      <c r="AE613" s="50" t="s">
        <v>4777</v>
      </c>
    </row>
    <row r="614" spans="1:31">
      <c r="A614" s="50" t="s">
        <v>4390</v>
      </c>
      <c r="B614" s="50" t="s">
        <v>61</v>
      </c>
      <c r="C614" s="50" t="s">
        <v>1379</v>
      </c>
      <c r="D614" s="50" t="e">
        <f ca="1">Image("https://images-na.ssl-images-amazon.com/images/I/61-vY+vY6-L.jpg;https://images-na.ssl-images-amazon.com/images/I/61ZwFXFkBeL.jpg;https://images-na.ssl-images-amazon.com/images/I/51Pe8vz+BJL.jpg;https://images-na.ssl-images-amazon.com/images/I/51zKGvKninL"&amp;".jpg;https://images-na.ssl-images-amazon.com/images/I/51UHY7APveL.jpg")</f>
        <v>#NAME?</v>
      </c>
      <c r="E614" s="50" t="s">
        <v>16</v>
      </c>
      <c r="F614" s="50" t="s">
        <v>63</v>
      </c>
      <c r="G614" s="50">
        <v>1</v>
      </c>
      <c r="I614" s="50">
        <v>18.739999999999998</v>
      </c>
      <c r="K614" s="50">
        <v>-0.03</v>
      </c>
      <c r="L614" s="50">
        <v>-0.03</v>
      </c>
      <c r="S614" s="50" t="s">
        <v>1217</v>
      </c>
      <c r="U614" s="50">
        <v>-2.81</v>
      </c>
      <c r="W614" s="50">
        <v>10.15</v>
      </c>
      <c r="X614" s="50">
        <v>10.15</v>
      </c>
      <c r="Y614" s="50">
        <v>15.9</v>
      </c>
      <c r="AA614" s="50">
        <v>54.16</v>
      </c>
      <c r="AC614" s="50">
        <v>263352</v>
      </c>
      <c r="AD614" s="50">
        <v>0.16</v>
      </c>
      <c r="AE614" s="50" t="s">
        <v>4777</v>
      </c>
    </row>
    <row r="615" spans="1:31">
      <c r="A615" s="50" t="s">
        <v>4961</v>
      </c>
      <c r="B615" s="50" t="s">
        <v>79</v>
      </c>
      <c r="C615" s="50" t="s">
        <v>1715</v>
      </c>
      <c r="D615" s="50" t="e">
        <f ca="1">Image("https://images-na.ssl-images-amazon.com/images/I/41H7i2SOcVL.jpg;https://images-na.ssl-images-amazon.com/images/I/41Ao5HzmU1L.jpg;https://images-na.ssl-images-amazon.com/images/I/41RBTL+FAML.jpg;https://images-na.ssl-images-amazon.com/images/I/41H7i2SOcVL"&amp;".jpg")</f>
        <v>#NAME?</v>
      </c>
      <c r="E615" s="50" t="s">
        <v>16</v>
      </c>
      <c r="F615" s="50" t="s">
        <v>81</v>
      </c>
      <c r="G615" s="50">
        <v>1</v>
      </c>
      <c r="I615" s="50">
        <v>12.35</v>
      </c>
      <c r="S615" s="50" t="s">
        <v>1217</v>
      </c>
      <c r="U615" s="50">
        <v>-1.85</v>
      </c>
      <c r="W615" s="50">
        <v>4.75</v>
      </c>
      <c r="X615" s="50">
        <v>4.75</v>
      </c>
      <c r="Y615" s="50">
        <v>10.5</v>
      </c>
      <c r="AA615" s="50">
        <v>38.46</v>
      </c>
      <c r="AC615" s="50">
        <v>156074</v>
      </c>
      <c r="AE615" s="50" t="s">
        <v>4777</v>
      </c>
    </row>
    <row r="616" spans="1:31">
      <c r="A616" s="50" t="s">
        <v>4962</v>
      </c>
      <c r="B616" s="50" t="s">
        <v>640</v>
      </c>
      <c r="C616" s="50" t="s">
        <v>641</v>
      </c>
      <c r="D616" s="50" t="e">
        <f ca="1">Image("https://images-na.ssl-images-amazon.com/images/I/51N7jGabEyL.jpg;https://images-na.ssl-images-amazon.com/images/I/511+IqlWHWL.jpg;https://images-na.ssl-images-amazon.com/images/I/511vMNpmQeL.jpg;https://images-na.ssl-images-amazon.com/images/I/519rL0Ypn8L"&amp;".jpg;https://images-na.ssl-images-amazon.com/images/I/519xmepqbGL.jpg")</f>
        <v>#NAME?</v>
      </c>
      <c r="E616" s="50" t="s">
        <v>16</v>
      </c>
      <c r="F616" s="50" t="s">
        <v>642</v>
      </c>
      <c r="G616" s="50">
        <v>1</v>
      </c>
      <c r="I616" s="50">
        <v>31.99</v>
      </c>
      <c r="S616" s="50" t="s">
        <v>1217</v>
      </c>
      <c r="U616" s="50">
        <v>-4.8</v>
      </c>
      <c r="W616" s="50">
        <v>21.2</v>
      </c>
      <c r="X616" s="50">
        <v>21.2</v>
      </c>
      <c r="Y616" s="50">
        <v>27.19</v>
      </c>
      <c r="AA616" s="50">
        <v>66.27</v>
      </c>
      <c r="AC616" s="50">
        <v>2197391</v>
      </c>
      <c r="AE616" s="50" t="s">
        <v>4777</v>
      </c>
    </row>
    <row r="617" spans="1:31">
      <c r="A617" s="50" t="s">
        <v>4963</v>
      </c>
      <c r="B617" s="50" t="s">
        <v>608</v>
      </c>
      <c r="C617" s="50" t="s">
        <v>609</v>
      </c>
      <c r="D617" s="50" t="e">
        <f ca="1">Image("https://images-na.ssl-images-amazon.com/images/I/51m10-X-XmL.jpg;https://images-na.ssl-images-amazon.com/images/I/51j3r5GpWOL.jpg;https://images-na.ssl-images-amazon.com/images/I/51jfQEC7edL.jpg;https://images-na.ssl-images-amazon.com/images/I/611ixP6mocL"&amp;".jpg;https://images-na.ssl-images-amazon.com/images/I/41t0qw1nB-L.jpg")</f>
        <v>#NAME?</v>
      </c>
      <c r="E617" s="50" t="s">
        <v>16</v>
      </c>
      <c r="F617" s="50" t="s">
        <v>610</v>
      </c>
      <c r="G617" s="50">
        <v>1</v>
      </c>
      <c r="I617" s="50">
        <v>38.75</v>
      </c>
      <c r="S617" s="50" t="s">
        <v>1217</v>
      </c>
      <c r="U617" s="50">
        <v>-5.81</v>
      </c>
      <c r="W617" s="50">
        <v>27.19</v>
      </c>
      <c r="X617" s="50">
        <v>27.19</v>
      </c>
      <c r="Y617" s="50">
        <v>32.94</v>
      </c>
      <c r="AA617" s="50">
        <v>70.17</v>
      </c>
      <c r="AC617" s="50">
        <v>126356</v>
      </c>
      <c r="AE617" s="50" t="s">
        <v>4777</v>
      </c>
    </row>
    <row r="618" spans="1:31">
      <c r="A618" s="50" t="s">
        <v>4964</v>
      </c>
      <c r="B618" s="50" t="s">
        <v>337</v>
      </c>
      <c r="C618" s="50" t="s">
        <v>1766</v>
      </c>
      <c r="D618" s="50" t="e">
        <f ca="1">Image("https://images-na.ssl-images-amazon.com/images/I/41ZmkL51wSL.jpg;https://images-na.ssl-images-amazon.com/images/I/418X7RSxP6L.jpg;https://images-na.ssl-images-amazon.com/images/I/31DQPBMF9EL.jpg")</f>
        <v>#NAME?</v>
      </c>
      <c r="E618" s="50" t="s">
        <v>16</v>
      </c>
      <c r="F618" s="50" t="s">
        <v>339</v>
      </c>
      <c r="G618" s="50">
        <v>1</v>
      </c>
      <c r="H618" s="50">
        <v>1</v>
      </c>
      <c r="I618" s="50">
        <v>13.99</v>
      </c>
      <c r="R618" s="50">
        <v>100</v>
      </c>
      <c r="S618" s="50" t="s">
        <v>1217</v>
      </c>
      <c r="T618" s="50">
        <v>-6.82</v>
      </c>
      <c r="U618" s="50">
        <v>-2.1</v>
      </c>
      <c r="W618" s="50">
        <v>-0.92</v>
      </c>
      <c r="X618" s="50">
        <v>-0.92</v>
      </c>
      <c r="Y618" s="50">
        <v>5.07</v>
      </c>
      <c r="AA618" s="50">
        <v>-6.58</v>
      </c>
      <c r="AC618" s="50">
        <v>195591</v>
      </c>
      <c r="AE618" s="50" t="s">
        <v>4777</v>
      </c>
    </row>
    <row r="619" spans="1:31">
      <c r="A619" s="50" t="s">
        <v>4965</v>
      </c>
      <c r="B619" s="50" t="s">
        <v>151</v>
      </c>
      <c r="C619" s="50" t="s">
        <v>1833</v>
      </c>
      <c r="D619" s="50" t="e">
        <f ca="1">Image("https://images-na.ssl-images-amazon.com/images/I/416XiYEDXBL.jpg;https://images-na.ssl-images-amazon.com/images/I/41jESC25lUL.jpg;https://images-na.ssl-images-amazon.com/images/I/41CE38l2ZEL.jpg;https://images-na.ssl-images-amazon.com/images/I/41A77LWHqvL"&amp;".jpg;https://images-na.ssl-images-amazon.com/images/I/51P+Os+9qXL.jpg;https://images-na.ssl-images-amazon.com/images/I/51tVNVw8qSL.jpg;https://images-na.ssl-images-amazon.com/images/I/51QQtkNC4fL.jpg")</f>
        <v>#NAME?</v>
      </c>
      <c r="E619" s="50" t="s">
        <v>16</v>
      </c>
      <c r="F619" s="50" t="s">
        <v>153</v>
      </c>
      <c r="G619" s="50">
        <v>1</v>
      </c>
      <c r="I619" s="50">
        <v>31.2</v>
      </c>
      <c r="S619" s="50" t="s">
        <v>1217</v>
      </c>
      <c r="U619" s="50">
        <v>-4.68</v>
      </c>
      <c r="W619" s="50">
        <v>14.52</v>
      </c>
      <c r="X619" s="50">
        <v>14.52</v>
      </c>
      <c r="Y619" s="50">
        <v>26.52</v>
      </c>
      <c r="AA619" s="50">
        <v>46.54</v>
      </c>
      <c r="AC619" s="50">
        <v>62242</v>
      </c>
      <c r="AE619" s="50" t="s">
        <v>4777</v>
      </c>
    </row>
    <row r="620" spans="1:31">
      <c r="A620" s="50" t="s">
        <v>4966</v>
      </c>
      <c r="B620" s="50" t="s">
        <v>1128</v>
      </c>
      <c r="C620" s="50" t="s">
        <v>4967</v>
      </c>
      <c r="D620" s="50" t="e">
        <f ca="1">Image("https://images-na.ssl-images-amazon.com/images/I/51f2Q7Le+kL.jpg;https://images-na.ssl-images-amazon.com/images/I/516RHvBUo2L.jpg;https://images-na.ssl-images-amazon.com/images/I/411zTd0YqSL.jpg;https://images-na.ssl-images-amazon.com/images/I/41Fs8hSUqUL"&amp;".jpg;https://images-na.ssl-images-amazon.com/images/I/41ssZ0uTeDL.jpg;https://images-na.ssl-images-amazon.com/images/I/51NsRxyEzqL.jpg")</f>
        <v>#NAME?</v>
      </c>
      <c r="E620" s="50" t="s">
        <v>16</v>
      </c>
      <c r="F620" s="50" t="s">
        <v>360</v>
      </c>
      <c r="G620" s="50">
        <v>1</v>
      </c>
      <c r="I620" s="50">
        <v>34.49</v>
      </c>
      <c r="S620" s="50" t="s">
        <v>1217</v>
      </c>
      <c r="U620" s="50">
        <v>-5.17</v>
      </c>
      <c r="W620" s="50">
        <v>18.329999999999998</v>
      </c>
      <c r="X620" s="50">
        <v>18.329999999999998</v>
      </c>
      <c r="Y620" s="50">
        <v>29.32</v>
      </c>
      <c r="AA620" s="50">
        <v>53.15</v>
      </c>
      <c r="AC620" s="50">
        <v>50380</v>
      </c>
      <c r="AE620" s="50" t="s">
        <v>4777</v>
      </c>
    </row>
    <row r="621" spans="1:31">
      <c r="A621" s="50" t="s">
        <v>4968</v>
      </c>
      <c r="B621" s="50" t="s">
        <v>209</v>
      </c>
      <c r="C621" s="50" t="s">
        <v>1400</v>
      </c>
      <c r="D621" s="50" t="e">
        <f ca="1">Image("https://images-na.ssl-images-amazon.com/images/I/41+JHU14crL.jpg;https://images-na.ssl-images-amazon.com/images/I/41xoTJ4+dVL.jpg;https://images-na.ssl-images-amazon.com/images/I/41V+CYYfpnL.jpg;https://images-na.ssl-images-amazon.com/images/I/41azsv55EGL"&amp;".jpg;https://images-na.ssl-images-amazon.com/images/I/51QqJuzAkNL.jpg;https://images-na.ssl-images-amazon.com/images/I/513HYvwThzL.jpg;https://images-na.ssl-images-amazon.com/images/I/51AcoKF2QDL.jpg")</f>
        <v>#NAME?</v>
      </c>
      <c r="E621" s="50" t="s">
        <v>20</v>
      </c>
      <c r="F621" s="50" t="s">
        <v>211</v>
      </c>
      <c r="G621" s="50">
        <v>1</v>
      </c>
      <c r="H621" s="50">
        <v>1</v>
      </c>
      <c r="I621" s="50">
        <v>16.75</v>
      </c>
      <c r="R621" s="50">
        <v>100</v>
      </c>
      <c r="S621" s="50" t="s">
        <v>1217</v>
      </c>
      <c r="T621" s="50">
        <v>-14.74</v>
      </c>
      <c r="U621" s="50">
        <v>-2.5099999999999998</v>
      </c>
      <c r="W621" s="50">
        <v>-6.25</v>
      </c>
      <c r="X621" s="50">
        <v>-6.25</v>
      </c>
      <c r="Y621" s="50">
        <v>-0.5</v>
      </c>
      <c r="AA621" s="50">
        <v>-37.31</v>
      </c>
      <c r="AC621" s="50">
        <v>275369</v>
      </c>
      <c r="AE621" s="50" t="s">
        <v>4777</v>
      </c>
    </row>
    <row r="622" spans="1:31">
      <c r="A622" s="50" t="s">
        <v>4969</v>
      </c>
      <c r="B622" s="50" t="s">
        <v>842</v>
      </c>
      <c r="C622" s="50" t="s">
        <v>843</v>
      </c>
      <c r="D622" s="50" t="e">
        <f ca="1">Image("https://images-na.ssl-images-amazon.com/images/I/51wnwmFd0EL.jpg;https://images-na.ssl-images-amazon.com/images/I/61hXdYfE5FL.jpg;https://images-na.ssl-images-amazon.com/images/I/51-WHtOVutL.jpg;https://images-na.ssl-images-amazon.com/images/I/51VZlj5rB9L"&amp;".jpg")</f>
        <v>#NAME?</v>
      </c>
      <c r="E622" s="50" t="s">
        <v>16</v>
      </c>
      <c r="F622" s="50" t="s">
        <v>844</v>
      </c>
      <c r="G622" s="50">
        <v>1</v>
      </c>
      <c r="I622" s="50">
        <v>9.75</v>
      </c>
      <c r="S622" s="50" t="s">
        <v>1217</v>
      </c>
      <c r="U622" s="50">
        <v>-1.46</v>
      </c>
      <c r="W622" s="50">
        <v>2.54</v>
      </c>
      <c r="X622" s="50">
        <v>2.54</v>
      </c>
      <c r="Y622" s="50">
        <v>8.2899999999999991</v>
      </c>
      <c r="AA622" s="50">
        <v>26.05</v>
      </c>
      <c r="AC622" s="50">
        <v>1041499</v>
      </c>
      <c r="AE622" s="50" t="s">
        <v>4777</v>
      </c>
    </row>
    <row r="623" spans="1:31">
      <c r="A623" s="50" t="s">
        <v>4970</v>
      </c>
      <c r="B623" s="50" t="s">
        <v>43</v>
      </c>
      <c r="C623" s="50" t="s">
        <v>4971</v>
      </c>
      <c r="D623" s="50" t="e">
        <f ca="1">Image("https://images-na.ssl-images-amazon.com/images/I/41qjLr9szXL.jpg;https://images-na.ssl-images-amazon.com/images/I/51NDwofsY9L.jpg;https://images-na.ssl-images-amazon.com/images/I/41TM8PrZnJL.jpg;https://images-na.ssl-images-amazon.com/images/I/413TjTXnyIL"&amp;".jpg;https://images-na.ssl-images-amazon.com/images/I/51ktGsjRZ6L.jpg;https://images-na.ssl-images-amazon.com/images/I/51loRx1BqCL.jpg;https://images-na.ssl-images-amazon.com/images/I/51pnsOsQ-PL.jpg;https://images-na.ssl-images-amazon.com/images/I/51Bfzn"&amp;"TgQ3L.jpg;https://images-na.ssl-images-amazon.com/images/I/51qBa1U+56L.jpg")</f>
        <v>#NAME?</v>
      </c>
      <c r="E623" s="50" t="s">
        <v>20</v>
      </c>
      <c r="F623" s="50" t="s">
        <v>45</v>
      </c>
      <c r="G623" s="50">
        <v>1</v>
      </c>
      <c r="I623" s="50">
        <v>24.74</v>
      </c>
      <c r="S623" s="50" t="s">
        <v>1217</v>
      </c>
      <c r="U623" s="50">
        <v>-3.71</v>
      </c>
      <c r="W623" s="50">
        <v>15.28</v>
      </c>
      <c r="X623" s="50">
        <v>15.28</v>
      </c>
      <c r="Y623" s="50">
        <v>21.03</v>
      </c>
      <c r="AA623" s="50">
        <v>61.76</v>
      </c>
      <c r="AC623" s="50">
        <v>69706</v>
      </c>
      <c r="AE623" s="50" t="s">
        <v>4777</v>
      </c>
    </row>
    <row r="624" spans="1:31">
      <c r="A624" s="50" t="s">
        <v>4576</v>
      </c>
      <c r="B624" s="50" t="s">
        <v>109</v>
      </c>
      <c r="C624" s="50" t="s">
        <v>4972</v>
      </c>
      <c r="D624" s="50" t="e">
        <f ca="1">Image("https://images-na.ssl-images-amazon.com/images/I/51S+beLeB+L.jpg;https://images-na.ssl-images-amazon.com/images/I/51bP+QEm33L.jpg;https://images-na.ssl-images-amazon.com/images/I/51UX+C7CfWL.jpg;https://images-na.ssl-images-amazon.com/images/I/515y3Qli5rL"&amp;".jpg;https://images-na.ssl-images-amazon.com/images/I/51dKPuaBCrL.jpg;https://images-na.ssl-images-amazon.com/images/I/51q2V4XUXSL.jpg;https://images-na.ssl-images-amazon.com/images/I/41WuHjltXmL.jpg")</f>
        <v>#NAME?</v>
      </c>
      <c r="E624" s="50" t="s">
        <v>20</v>
      </c>
      <c r="F624" s="50" t="s">
        <v>111</v>
      </c>
      <c r="G624" s="50">
        <v>1</v>
      </c>
      <c r="I624" s="50">
        <v>25.74</v>
      </c>
      <c r="S624" s="50" t="s">
        <v>1217</v>
      </c>
      <c r="U624" s="50">
        <v>-3.86</v>
      </c>
      <c r="W624" s="50">
        <v>16.13</v>
      </c>
      <c r="X624" s="50">
        <v>16.13</v>
      </c>
      <c r="Y624" s="50">
        <v>21.88</v>
      </c>
      <c r="AA624" s="50">
        <v>62.67</v>
      </c>
      <c r="AC624" s="50">
        <v>355945</v>
      </c>
      <c r="AE624" s="50" t="s">
        <v>4777</v>
      </c>
    </row>
    <row r="625" spans="1:31">
      <c r="A625" s="50" t="s">
        <v>4973</v>
      </c>
      <c r="B625" s="50" t="s">
        <v>683</v>
      </c>
      <c r="C625" s="50" t="s">
        <v>4974</v>
      </c>
      <c r="D625" s="50" t="e">
        <f ca="1">Image("https://images-na.ssl-images-amazon.com/images/I/41g5hSV5obL.jpg;https://images-na.ssl-images-amazon.com/images/I/41S3Uk+V6CL.jpg;https://images-na.ssl-images-amazon.com/images/I/41mxMhcrSzL.jpg;https://images-na.ssl-images-amazon.com/images/I/41MYsi+mkKL"&amp;".jpg;https://images-na.ssl-images-amazon.com/images/I/51ODzstM74L.jpg;https://images-na.ssl-images-amazon.com/images/I/61ukAHs5khL.jpg;https://images-na.ssl-images-amazon.com/images/I/51VDQjeIXBL.jpg;https://images-na.ssl-images-amazon.com/images/I/41PbUY"&amp;"P9KYL.jpg")</f>
        <v>#NAME?</v>
      </c>
      <c r="E625" s="50" t="s">
        <v>20</v>
      </c>
      <c r="F625" s="50" t="s">
        <v>685</v>
      </c>
      <c r="G625" s="50">
        <v>1</v>
      </c>
      <c r="I625" s="50">
        <v>12</v>
      </c>
      <c r="S625" s="50" t="s">
        <v>1217</v>
      </c>
      <c r="U625" s="50">
        <v>-42.52</v>
      </c>
      <c r="W625" s="50">
        <v>-30.52</v>
      </c>
      <c r="X625" s="50">
        <v>-30.52</v>
      </c>
      <c r="Y625" s="50">
        <v>-30.52</v>
      </c>
      <c r="AA625" s="50">
        <v>-254.33</v>
      </c>
      <c r="AC625" s="50">
        <v>404054</v>
      </c>
      <c r="AE625" s="50" t="s">
        <v>4777</v>
      </c>
    </row>
    <row r="626" spans="1:31">
      <c r="A626" s="50" t="s">
        <v>4541</v>
      </c>
      <c r="B626" s="50" t="s">
        <v>461</v>
      </c>
      <c r="C626" s="50" t="s">
        <v>1485</v>
      </c>
      <c r="D626" s="50" t="e">
        <f ca="1">Image("https://images-na.ssl-images-amazon.com/images/I/4195PiargeL.jpg;https://images-na.ssl-images-amazon.com/images/I/415YChq2O9L.jpg;https://images-na.ssl-images-amazon.com/images/I/41gyHfWTMiL.jpg;https://images-na.ssl-images-amazon.com/images/I/51+ewYN7mAL"&amp;".jpg;https://images-na.ssl-images-amazon.com/images/I/411Ob8x4WAL.jpg;https://images-na.ssl-images-amazon.com/images/I/51cgHjR5VVL.jpg;https://images-na.ssl-images-amazon.com/images/I/51vlwkKMgCL.jpg")</f>
        <v>#NAME?</v>
      </c>
      <c r="E626" s="50" t="s">
        <v>20</v>
      </c>
      <c r="F626" s="50" t="s">
        <v>463</v>
      </c>
      <c r="G626" s="50">
        <v>1</v>
      </c>
      <c r="I626" s="50">
        <v>14.75</v>
      </c>
      <c r="S626" s="50" t="s">
        <v>1217</v>
      </c>
      <c r="U626" s="50">
        <v>-2.21</v>
      </c>
      <c r="W626" s="50">
        <v>6.79</v>
      </c>
      <c r="X626" s="50">
        <v>6.79</v>
      </c>
      <c r="Y626" s="50">
        <v>12.54</v>
      </c>
      <c r="AA626" s="50">
        <v>46.03</v>
      </c>
      <c r="AC626" s="50">
        <v>275369</v>
      </c>
      <c r="AE626" s="50" t="s">
        <v>4777</v>
      </c>
    </row>
    <row r="627" spans="1:31">
      <c r="A627" s="50" t="s">
        <v>4416</v>
      </c>
      <c r="B627" s="50" t="s">
        <v>188</v>
      </c>
      <c r="C627" s="50" t="s">
        <v>1398</v>
      </c>
      <c r="D627" s="50" t="e">
        <f ca="1">Image("https://images-na.ssl-images-amazon.com/images/I/41i09UI3y5S.jpg;https://images-na.ssl-images-amazon.com/images/I/41xd5xp0bvS.jpg;https://images-na.ssl-images-amazon.com/images/I/418EFTN0CQS.jpg;https://images-na.ssl-images-amazon.com/images/I/31BF-CUEs1S"&amp;".jpg;https://images-na.ssl-images-amazon.com/images/I/41Qg1EFhOZS.jpg;https://images-na.ssl-images-amazon.com/images/I/61fhgSwXFJL.jpg;https://images-na.ssl-images-amazon.com/images/I/51XqxoUuIrL.jpg")</f>
        <v>#NAME?</v>
      </c>
      <c r="E627" s="50" t="s">
        <v>20</v>
      </c>
      <c r="F627" s="50" t="s">
        <v>190</v>
      </c>
      <c r="G627" s="50">
        <v>1</v>
      </c>
      <c r="I627" s="50">
        <v>22.99</v>
      </c>
      <c r="S627" s="50" t="s">
        <v>1217</v>
      </c>
      <c r="U627" s="50">
        <v>-3.45</v>
      </c>
      <c r="W627" s="50">
        <v>8.5500000000000007</v>
      </c>
      <c r="X627" s="50">
        <v>8.5500000000000007</v>
      </c>
      <c r="Y627" s="50">
        <v>19.54</v>
      </c>
      <c r="AA627" s="50">
        <v>37.19</v>
      </c>
      <c r="AC627" s="50">
        <v>34727</v>
      </c>
      <c r="AE627" s="50" t="s">
        <v>4777</v>
      </c>
    </row>
    <row r="628" spans="1:31">
      <c r="A628" s="50" t="s">
        <v>4975</v>
      </c>
      <c r="B628" s="50" t="s">
        <v>1177</v>
      </c>
      <c r="C628" s="50" t="s">
        <v>1274</v>
      </c>
      <c r="D628" s="50" t="e">
        <f ca="1">Image("https://images-na.ssl-images-amazon.com/images/I/418KqpfRhML.jpg;https://images-na.ssl-images-amazon.com/images/I/41b6HMl130L.jpg;https://images-na.ssl-images-amazon.com/images/I/41KW8hFrpHS.jpg;https://images-na.ssl-images-amazon.com/images/I/41r4qdBIS0L"&amp;".jpg;https://images-na.ssl-images-amazon.com/images/I/51AOa6oTe4L.jpg;https://images-na.ssl-images-amazon.com/images/I/41rYE9Xu+ML.jpg")</f>
        <v>#NAME?</v>
      </c>
      <c r="E628" s="50" t="s">
        <v>20</v>
      </c>
      <c r="F628" s="50" t="s">
        <v>4976</v>
      </c>
      <c r="G628" s="50">
        <v>1</v>
      </c>
      <c r="I628" s="50">
        <v>27.99</v>
      </c>
      <c r="S628" s="50" t="s">
        <v>1217</v>
      </c>
      <c r="U628" s="50">
        <v>-8.86</v>
      </c>
      <c r="W628" s="50">
        <v>13.14</v>
      </c>
      <c r="X628" s="50">
        <v>13.14</v>
      </c>
      <c r="Y628" s="50">
        <v>19.13</v>
      </c>
      <c r="AA628" s="50">
        <v>46.95</v>
      </c>
      <c r="AC628" s="50">
        <v>298291</v>
      </c>
      <c r="AE628" s="50" t="s">
        <v>4777</v>
      </c>
    </row>
    <row r="629" spans="1:31">
      <c r="A629" s="50" t="s">
        <v>4977</v>
      </c>
      <c r="B629" s="50" t="s">
        <v>857</v>
      </c>
      <c r="C629" s="50" t="s">
        <v>1853</v>
      </c>
      <c r="D629" s="50" t="e">
        <f ca="1">Image("https://images-na.ssl-images-amazon.com/images/I/512YEeXfq3L.jpg;https://images-na.ssl-images-amazon.com/images/I/510fN+0J3zL.jpg;https://images-na.ssl-images-amazon.com/images/I/51lIlFamgTL.jpg;https://images-na.ssl-images-amazon.com/images/I/614XwNvMVzL"&amp;".jpg;https://images-na.ssl-images-amazon.com/images/I/51rCXwp9Z6S.jpg;https://images-na.ssl-images-amazon.com/images/I/51A0IYlEKpL.jpg;https://images-na.ssl-images-amazon.com/images/I/61+clyMAOCL.jpg")</f>
        <v>#NAME?</v>
      </c>
      <c r="E629" s="50" t="s">
        <v>20</v>
      </c>
      <c r="F629" s="50" t="s">
        <v>4978</v>
      </c>
      <c r="G629" s="50">
        <v>1</v>
      </c>
      <c r="I629" s="50">
        <v>17</v>
      </c>
      <c r="S629" s="50" t="s">
        <v>1217</v>
      </c>
      <c r="U629" s="50">
        <v>-2.5499999999999998</v>
      </c>
      <c r="W629" s="50">
        <v>2.4500000000000002</v>
      </c>
      <c r="X629" s="50">
        <v>2.4500000000000002</v>
      </c>
      <c r="Y629" s="50">
        <v>14.45</v>
      </c>
      <c r="AA629" s="50">
        <v>14.41</v>
      </c>
      <c r="AC629" s="50">
        <v>370770</v>
      </c>
      <c r="AE629" s="50" t="s">
        <v>4777</v>
      </c>
    </row>
    <row r="630" spans="1:31">
      <c r="A630" s="50" t="s">
        <v>4979</v>
      </c>
      <c r="B630" s="50" t="s">
        <v>776</v>
      </c>
      <c r="C630" s="50" t="s">
        <v>1860</v>
      </c>
      <c r="D630" s="50" t="e">
        <f ca="1">Image("https://images-na.ssl-images-amazon.com/images/I/41rflXBihjS.jpg;https://images-na.ssl-images-amazon.com/images/I/51tFPjgsJRS.jpg;https://images-na.ssl-images-amazon.com/images/I/41jwG+O8a1S.jpg;https://images-na.ssl-images-amazon.com/images/I/613x0IQtbMS"&amp;".jpg;https://images-na.ssl-images-amazon.com/images/I/51tjR4HxCWS.jpg;https://images-na.ssl-images-amazon.com/images/I/41L7o5LjhBS.jpg")</f>
        <v>#NAME?</v>
      </c>
      <c r="E630" s="50" t="s">
        <v>20</v>
      </c>
      <c r="F630" s="50" t="s">
        <v>778</v>
      </c>
      <c r="G630" s="50">
        <v>1</v>
      </c>
      <c r="I630" s="50">
        <v>7.75</v>
      </c>
      <c r="S630" s="50" t="s">
        <v>1217</v>
      </c>
      <c r="U630" s="50">
        <v>-1.1599999999999999</v>
      </c>
      <c r="W630" s="50">
        <v>0.84</v>
      </c>
      <c r="X630" s="50">
        <v>0.84</v>
      </c>
      <c r="Y630" s="50">
        <v>6.59</v>
      </c>
      <c r="AA630" s="50">
        <v>10.84</v>
      </c>
      <c r="AC630" s="50">
        <v>370770</v>
      </c>
      <c r="AE630" s="50" t="s">
        <v>4777</v>
      </c>
    </row>
    <row r="631" spans="1:31">
      <c r="A631" s="50" t="s">
        <v>4980</v>
      </c>
      <c r="B631" s="50" t="s">
        <v>827</v>
      </c>
      <c r="C631" s="50" t="s">
        <v>4981</v>
      </c>
      <c r="D631" s="50" t="e">
        <f ca="1">Image("https://images-na.ssl-images-amazon.com/images/I/41RCIvZdnWL.jpg;https://images-na.ssl-images-amazon.com/images/I/51ZKFcIOXNL.jpg;https://images-na.ssl-images-amazon.com/images/I/51NEP4pEOZL.jpg;https://images-na.ssl-images-amazon.com/images/I/51BewhNWlRL"&amp;".jpg;https://images-na.ssl-images-amazon.com/images/I/51zUYX+O7uS.jpg;https://images-na.ssl-images-amazon.com/images/I/51aA9WSp2cL.jpg;https://images-na.ssl-images-amazon.com/images/I/41BfUFRiKkL.jpg")</f>
        <v>#NAME?</v>
      </c>
      <c r="E631" s="50" t="s">
        <v>20</v>
      </c>
      <c r="F631" s="50" t="s">
        <v>4982</v>
      </c>
      <c r="G631" s="50">
        <v>1</v>
      </c>
      <c r="I631" s="50">
        <v>7.75</v>
      </c>
      <c r="S631" s="50" t="s">
        <v>1217</v>
      </c>
      <c r="U631" s="50">
        <v>-1.1599999999999999</v>
      </c>
      <c r="W631" s="50">
        <v>0.84</v>
      </c>
      <c r="X631" s="50">
        <v>0.84</v>
      </c>
      <c r="Y631" s="50">
        <v>6.59</v>
      </c>
      <c r="AA631" s="50">
        <v>10.84</v>
      </c>
      <c r="AC631" s="50">
        <v>370770</v>
      </c>
      <c r="AE631" s="50" t="s">
        <v>4777</v>
      </c>
    </row>
    <row r="632" spans="1:31">
      <c r="A632" s="50" t="s">
        <v>4710</v>
      </c>
      <c r="B632" s="50" t="s">
        <v>203</v>
      </c>
      <c r="C632" s="50" t="s">
        <v>1894</v>
      </c>
      <c r="D632" s="50" t="e">
        <f ca="1">Image("https://images-na.ssl-images-amazon.com/images/I/41V7GUEZ4rL.jpg;https://images-na.ssl-images-amazon.com/images/I/41SM6fAxGLL.jpg;https://images-na.ssl-images-amazon.com/images/I/51Yxjdxj-RL.jpg;https://images-na.ssl-images-amazon.com/images/I/41jrAX77PLL"&amp;".jpg;https://images-na.ssl-images-amazon.com/images/I/611omcHeAvL.jpg;https://images-na.ssl-images-amazon.com/images/I/61bSvDpeNBL.jpg;https://images-na.ssl-images-amazon.com/images/I/51bdrOTZBZL.jpg")</f>
        <v>#NAME?</v>
      </c>
      <c r="E632" s="50" t="s">
        <v>20</v>
      </c>
      <c r="F632" s="50" t="s">
        <v>205</v>
      </c>
      <c r="G632" s="50">
        <v>1</v>
      </c>
      <c r="H632" s="50">
        <v>1</v>
      </c>
      <c r="I632" s="50">
        <v>9.75</v>
      </c>
      <c r="R632" s="50">
        <v>100</v>
      </c>
      <c r="S632" s="50" t="s">
        <v>1217</v>
      </c>
      <c r="T632" s="50">
        <v>-8.58</v>
      </c>
      <c r="U632" s="50">
        <v>-1.46</v>
      </c>
      <c r="W632" s="50">
        <v>-6.04</v>
      </c>
      <c r="X632" s="50">
        <v>-6.04</v>
      </c>
      <c r="Y632" s="50">
        <v>-0.28999999999999998</v>
      </c>
      <c r="AA632" s="50">
        <v>-61.95</v>
      </c>
      <c r="AE632" s="50" t="s">
        <v>4777</v>
      </c>
    </row>
    <row r="633" spans="1:31">
      <c r="A633" s="50" t="s">
        <v>4983</v>
      </c>
      <c r="B633" s="50" t="s">
        <v>788</v>
      </c>
      <c r="C633" s="50" t="s">
        <v>1241</v>
      </c>
      <c r="D633" s="50" t="e">
        <f ca="1">Image("https://images-na.ssl-images-amazon.com/images/I/31mGDKPHIfS.jpg;https://images-na.ssl-images-amazon.com/images/I/31uxFG6CS8S.jpg;https://images-na.ssl-images-amazon.com/images/I/31vbEU3mK8S.jpg;https://images-na.ssl-images-amazon.com/images/I/31JaoXjUaNL"&amp;".jpg;https://images-na.ssl-images-amazon.com/images/I/51PNvaIQo9L.jpg;https://images-na.ssl-images-amazon.com/images/I/41HxjDellqL.jpg;https://images-na.ssl-images-amazon.com/images/I/51Ng8sD5qwL.jpg")</f>
        <v>#NAME?</v>
      </c>
      <c r="E633" s="50" t="s">
        <v>20</v>
      </c>
      <c r="F633" s="50" t="s">
        <v>790</v>
      </c>
      <c r="G633" s="50">
        <v>1</v>
      </c>
      <c r="I633" s="50">
        <v>8.99</v>
      </c>
      <c r="S633" s="50" t="s">
        <v>1217</v>
      </c>
      <c r="U633" s="50">
        <v>-1.35</v>
      </c>
      <c r="W633" s="50">
        <v>1.65</v>
      </c>
      <c r="X633" s="50">
        <v>1.65</v>
      </c>
      <c r="Y633" s="50">
        <v>7.64</v>
      </c>
      <c r="AA633" s="50">
        <v>18.350000000000001</v>
      </c>
      <c r="AC633" s="50">
        <v>1829134</v>
      </c>
      <c r="AE633" s="50" t="s">
        <v>4777</v>
      </c>
    </row>
    <row r="634" spans="1:31">
      <c r="A634" s="50" t="s">
        <v>4621</v>
      </c>
      <c r="B634" s="50" t="s">
        <v>1007</v>
      </c>
      <c r="C634" s="50" t="s">
        <v>1901</v>
      </c>
      <c r="D634" s="50" t="e">
        <f ca="1">Image("https://images-na.ssl-images-amazon.com/images/I/41HsJSbzuKL.jpg;https://images-na.ssl-images-amazon.com/images/I/51ho0c3n4OL.jpg;https://images-na.ssl-images-amazon.com/images/I/417JJEBWlvL.jpg;https://images-na.ssl-images-amazon.com/images/I/61y7Zjy8dxL"&amp;".jpg;https://images-na.ssl-images-amazon.com/images/I/51ca9W-SocS.jpg;https://images-na.ssl-images-amazon.com/images/I/61KGPXoU7DL.jpg")</f>
        <v>#NAME?</v>
      </c>
      <c r="E634" s="50" t="s">
        <v>20</v>
      </c>
      <c r="F634" s="50" t="s">
        <v>1009</v>
      </c>
      <c r="G634" s="50">
        <v>1</v>
      </c>
      <c r="H634" s="50">
        <v>1</v>
      </c>
      <c r="I634" s="50">
        <v>7.75</v>
      </c>
      <c r="R634" s="50">
        <v>100</v>
      </c>
      <c r="S634" s="50" t="s">
        <v>1217</v>
      </c>
      <c r="T634" s="50">
        <v>-6.82</v>
      </c>
      <c r="U634" s="50">
        <v>-1.1599999999999999</v>
      </c>
      <c r="W634" s="50">
        <v>-5.98</v>
      </c>
      <c r="X634" s="50">
        <v>-5.98</v>
      </c>
      <c r="Y634" s="50">
        <v>-0.23</v>
      </c>
      <c r="AA634" s="50">
        <v>-77.16</v>
      </c>
      <c r="AE634" s="50" t="s">
        <v>4777</v>
      </c>
    </row>
    <row r="635" spans="1:31">
      <c r="A635" s="50" t="s">
        <v>4984</v>
      </c>
      <c r="B635" s="50" t="s">
        <v>1001</v>
      </c>
      <c r="C635" s="50" t="s">
        <v>4985</v>
      </c>
      <c r="D635" s="50" t="e">
        <f ca="1">Image("https://images-na.ssl-images-amazon.com/images/I/41iV5oFBPZS.jpg;https://images-na.ssl-images-amazon.com/images/I/61IUloso2US.jpg;https://images-na.ssl-images-amazon.com/images/I/41imtaig3AS.jpg;https://images-na.ssl-images-amazon.com/images/I/51AFBVxKxSS"&amp;".jpg;https://images-na.ssl-images-amazon.com/images/I/511H5osZZMS.jpg;https://images-na.ssl-images-amazon.com/images/I/51C5vn2s4aS.jpg")</f>
        <v>#NAME?</v>
      </c>
      <c r="E635" s="50" t="s">
        <v>20</v>
      </c>
      <c r="F635" s="50" t="s">
        <v>1003</v>
      </c>
      <c r="G635" s="50">
        <v>1</v>
      </c>
      <c r="H635" s="50">
        <v>1</v>
      </c>
      <c r="I635" s="50">
        <v>7.74</v>
      </c>
      <c r="R635" s="50">
        <v>100</v>
      </c>
      <c r="S635" s="50" t="s">
        <v>1217</v>
      </c>
      <c r="T635" s="50">
        <v>-6.81</v>
      </c>
      <c r="U635" s="50">
        <v>-1.1599999999999999</v>
      </c>
      <c r="W635" s="50">
        <v>-5.98</v>
      </c>
      <c r="X635" s="50">
        <v>-5.98</v>
      </c>
      <c r="Y635" s="50">
        <v>-0.23</v>
      </c>
      <c r="AA635" s="50">
        <v>-77.260000000000005</v>
      </c>
      <c r="AE635" s="50" t="s">
        <v>4777</v>
      </c>
    </row>
    <row r="636" spans="1:31">
      <c r="A636" s="50" t="s">
        <v>4986</v>
      </c>
      <c r="B636" s="50" t="s">
        <v>1031</v>
      </c>
      <c r="C636" s="50" t="s">
        <v>4987</v>
      </c>
      <c r="D636" s="50" t="e">
        <f ca="1">Image("https://images-na.ssl-images-amazon.com/images/I/41W0Nxqi0TL.jpg;https://images-na.ssl-images-amazon.com/images/I/61d8tpWsRlL.jpg;https://images-na.ssl-images-amazon.com/images/I/41U1hRwVO-L.jpg;https://images-na.ssl-images-amazon.com/images/I/614efB4sdmL"&amp;".jpg;https://images-na.ssl-images-amazon.com/images/I/51h6D2Bd2bS.jpg;https://images-na.ssl-images-amazon.com/images/I/51t4wYXOIdL.jpg")</f>
        <v>#NAME?</v>
      </c>
      <c r="E636" s="50" t="s">
        <v>20</v>
      </c>
      <c r="F636" s="50" t="s">
        <v>1033</v>
      </c>
      <c r="G636" s="50">
        <v>1</v>
      </c>
      <c r="I636" s="50">
        <v>7.75</v>
      </c>
      <c r="S636" s="50" t="s">
        <v>1217</v>
      </c>
      <c r="U636" s="50">
        <v>-1.1599999999999999</v>
      </c>
      <c r="W636" s="50">
        <v>0.84</v>
      </c>
      <c r="X636" s="50">
        <v>0.84</v>
      </c>
      <c r="Y636" s="50">
        <v>6.59</v>
      </c>
      <c r="AA636" s="50">
        <v>10.84</v>
      </c>
      <c r="AC636" s="50">
        <v>370770</v>
      </c>
      <c r="AE636" s="50" t="s">
        <v>4777</v>
      </c>
    </row>
    <row r="637" spans="1:31">
      <c r="A637" s="50" t="s">
        <v>4988</v>
      </c>
      <c r="B637" s="50" t="s">
        <v>749</v>
      </c>
      <c r="C637" s="50" t="s">
        <v>1648</v>
      </c>
      <c r="D637" s="50" t="e">
        <f ca="1">Image("https://images-na.ssl-images-amazon.com/images/I/31jeeSfq5CL.jpg;https://images-na.ssl-images-amazon.com/images/I/21IaHHNkhEL.jpg;https://images-na.ssl-images-amazon.com/images/I/31RgXkMJk3L.jpg;https://images-na.ssl-images-amazon.com/images/I/51cia6K+mhL"&amp;".jpg;https://images-na.ssl-images-amazon.com/images/I/51kew2nJz2L.jpg;https://images-na.ssl-images-amazon.com/images/I/514qDsH-8FL.jpg")</f>
        <v>#NAME?</v>
      </c>
      <c r="E637" s="50" t="s">
        <v>20</v>
      </c>
      <c r="F637" s="50" t="s">
        <v>751</v>
      </c>
      <c r="G637" s="50">
        <v>1</v>
      </c>
      <c r="I637" s="50">
        <v>18.989999999999998</v>
      </c>
      <c r="S637" s="50" t="s">
        <v>1217</v>
      </c>
      <c r="U637" s="50">
        <v>-2.85</v>
      </c>
      <c r="W637" s="50">
        <v>5.15</v>
      </c>
      <c r="X637" s="50">
        <v>5.15</v>
      </c>
      <c r="Y637" s="50">
        <v>16.14</v>
      </c>
      <c r="AA637" s="50">
        <v>27.12</v>
      </c>
      <c r="AC637" s="50">
        <v>34727</v>
      </c>
      <c r="AE637" s="50" t="s">
        <v>4777</v>
      </c>
    </row>
    <row r="638" spans="1:31">
      <c r="A638" s="50" t="s">
        <v>4621</v>
      </c>
      <c r="B638" s="50" t="s">
        <v>566</v>
      </c>
      <c r="C638" s="50" t="s">
        <v>4989</v>
      </c>
      <c r="D638" s="50" t="e">
        <f ca="1">Image("https://images-na.ssl-images-amazon.com/images/I/31KCPTP+qNL.jpg;https://images-na.ssl-images-amazon.com/images/I/319VuiJ2nvL.jpg;https://images-na.ssl-images-amazon.com/images/I/31VDfo7Uj5L.jpg;https://images-na.ssl-images-amazon.com/images/I/41JIPc31d6L"&amp;".jpg;https://images-na.ssl-images-amazon.com/images/I/41YDRczuiGL.jpg;https://images-na.ssl-images-amazon.com/images/I/51TAiw2MGTL.jpg;https://images-na.ssl-images-amazon.com/images/I/41cLO3ZWQoL.jpg")</f>
        <v>#NAME?</v>
      </c>
      <c r="E638" s="50" t="s">
        <v>20</v>
      </c>
      <c r="F638" s="50" t="s">
        <v>568</v>
      </c>
      <c r="G638" s="50">
        <v>1</v>
      </c>
      <c r="I638" s="50">
        <v>7.75</v>
      </c>
      <c r="S638" s="50" t="s">
        <v>1217</v>
      </c>
      <c r="U638" s="50">
        <v>-0.62</v>
      </c>
      <c r="W638" s="50">
        <v>1.38</v>
      </c>
      <c r="X638" s="50">
        <v>1.38</v>
      </c>
      <c r="Y638" s="50">
        <v>7.13</v>
      </c>
      <c r="AA638" s="50">
        <v>17.809999999999999</v>
      </c>
      <c r="AE638" s="50" t="s">
        <v>4777</v>
      </c>
    </row>
    <row r="639" spans="1:31">
      <c r="A639" s="50" t="s">
        <v>4990</v>
      </c>
      <c r="B639" s="50" t="s">
        <v>859</v>
      </c>
      <c r="C639" s="50" t="s">
        <v>860</v>
      </c>
      <c r="D639" s="50" t="e">
        <f ca="1">Image("https://images-na.ssl-images-amazon.com/images/I/51hfNa+Ic9S.jpg")</f>
        <v>#NAME?</v>
      </c>
      <c r="E639" s="50" t="s">
        <v>20</v>
      </c>
      <c r="F639" s="50" t="s">
        <v>861</v>
      </c>
      <c r="G639" s="50">
        <v>1</v>
      </c>
      <c r="I639" s="50">
        <v>7.75</v>
      </c>
      <c r="S639" s="50" t="s">
        <v>1217</v>
      </c>
      <c r="U639" s="50">
        <v>-1.1599999999999999</v>
      </c>
      <c r="W639" s="50">
        <v>0.84</v>
      </c>
      <c r="X639" s="50">
        <v>0.84</v>
      </c>
      <c r="Y639" s="50">
        <v>6.59</v>
      </c>
      <c r="AA639" s="50">
        <v>10.84</v>
      </c>
      <c r="AC639" s="50">
        <v>715915</v>
      </c>
      <c r="AE639" s="50" t="s">
        <v>4777</v>
      </c>
    </row>
    <row r="640" spans="1:31">
      <c r="A640" s="50" t="s">
        <v>4991</v>
      </c>
      <c r="B640" s="50" t="s">
        <v>758</v>
      </c>
      <c r="C640" s="50" t="s">
        <v>1478</v>
      </c>
      <c r="D640" s="50" t="e">
        <f ca="1">Image("https://images-na.ssl-images-amazon.com/images/I/31GuWJMspUL.jpg;https://images-na.ssl-images-amazon.com/images/I/21efXFWKlLL.jpg;https://images-na.ssl-images-amazon.com/images/I/41-HQQqk7-L.jpg;https://images-na.ssl-images-amazon.com/images/I/4167yk-nngL"&amp;".jpg;https://images-na.ssl-images-amazon.com/images/I/31W6+ULtJ3L.jpg;https://images-na.ssl-images-amazon.com/images/I/41QvZ-ZFPxL.jpg")</f>
        <v>#NAME?</v>
      </c>
      <c r="E640" s="50" t="s">
        <v>20</v>
      </c>
      <c r="F640" s="50" t="s">
        <v>760</v>
      </c>
      <c r="G640" s="50">
        <v>1</v>
      </c>
      <c r="H640" s="50">
        <v>1</v>
      </c>
      <c r="I640" s="50">
        <v>5.76</v>
      </c>
      <c r="R640" s="50">
        <v>100</v>
      </c>
      <c r="S640" s="50" t="s">
        <v>1217</v>
      </c>
      <c r="T640" s="50">
        <v>-5.07</v>
      </c>
      <c r="U640" s="50">
        <v>-0.86</v>
      </c>
      <c r="W640" s="50">
        <v>-5.92</v>
      </c>
      <c r="X640" s="50">
        <v>-5.92</v>
      </c>
      <c r="Y640" s="50">
        <v>-0.17</v>
      </c>
      <c r="AA640" s="50">
        <v>-102.78</v>
      </c>
      <c r="AE640" s="50" t="s">
        <v>4777</v>
      </c>
    </row>
    <row r="641" spans="1:31">
      <c r="A641" s="50" t="s">
        <v>4992</v>
      </c>
      <c r="B641" s="50" t="s">
        <v>656</v>
      </c>
      <c r="C641" s="50" t="s">
        <v>657</v>
      </c>
      <c r="D641" s="50" t="e">
        <f ca="1">Image("https://images-na.ssl-images-amazon.com/images/I/313vOEFnV6L.jpg;https://images-na.ssl-images-amazon.com/images/I/31UNjQO2TXL.jpg;https://images-na.ssl-images-amazon.com/images/I/31e9E9Gum6L.jpg;https://images-na.ssl-images-amazon.com/images/I/31kx3w+Gf1L"&amp;".jpg;https://images-na.ssl-images-amazon.com/images/I/516ZXiYv7NL.jpg;https://images-na.ssl-images-amazon.com/images/I/31Kps+HAoQL.jpg")</f>
        <v>#NAME?</v>
      </c>
      <c r="E641" s="50" t="s">
        <v>20</v>
      </c>
      <c r="F641" s="50" t="s">
        <v>658</v>
      </c>
      <c r="G641" s="50">
        <v>1</v>
      </c>
      <c r="I641" s="50">
        <v>38.79</v>
      </c>
      <c r="S641" s="50" t="s">
        <v>1217</v>
      </c>
      <c r="U641" s="50">
        <v>-13.28</v>
      </c>
      <c r="W641" s="50">
        <v>25.51</v>
      </c>
      <c r="X641" s="50">
        <v>25.51</v>
      </c>
      <c r="Y641" s="50">
        <v>25.51</v>
      </c>
      <c r="AA641" s="50">
        <v>65.760000000000005</v>
      </c>
      <c r="AC641" s="50">
        <v>27802</v>
      </c>
      <c r="AE641" s="50" t="s">
        <v>4777</v>
      </c>
    </row>
    <row r="642" spans="1:31">
      <c r="A642" s="50" t="s">
        <v>4993</v>
      </c>
      <c r="B642" s="50" t="s">
        <v>743</v>
      </c>
      <c r="C642" s="50" t="s">
        <v>744</v>
      </c>
      <c r="D642" s="50" t="e">
        <f ca="1">Image("https://images-na.ssl-images-amazon.com/images/I/512rtEHMFyL.jpg;https://images-na.ssl-images-amazon.com/images/I/41UpUxS0LFL.jpg;https://images-na.ssl-images-amazon.com/images/I/41U8qrsQhJL.jpg;https://images-na.ssl-images-amazon.com/images/I/516ZXiYv7NL"&amp;".jpg;https://images-na.ssl-images-amazon.com/images/I/51G+M1QKoEL.jpg;https://images-na.ssl-images-amazon.com/images/I/31Kps+HAoQL.jpg")</f>
        <v>#NAME?</v>
      </c>
      <c r="E642" s="50" t="s">
        <v>20</v>
      </c>
      <c r="F642" s="50" t="s">
        <v>745</v>
      </c>
      <c r="G642" s="50">
        <v>1</v>
      </c>
      <c r="I642" s="50">
        <v>24</v>
      </c>
      <c r="S642" s="50" t="s">
        <v>1217</v>
      </c>
      <c r="U642" s="50">
        <v>-8.43</v>
      </c>
      <c r="W642" s="50">
        <v>15.57</v>
      </c>
      <c r="X642" s="50">
        <v>15.57</v>
      </c>
      <c r="Y642" s="50">
        <v>15.57</v>
      </c>
      <c r="AA642" s="50">
        <v>64.88</v>
      </c>
      <c r="AC642" s="50">
        <v>193036</v>
      </c>
      <c r="AE642" s="50" t="s">
        <v>4777</v>
      </c>
    </row>
    <row r="643" spans="1:31">
      <c r="A643" s="50" t="s">
        <v>4994</v>
      </c>
      <c r="B643" s="50" t="s">
        <v>435</v>
      </c>
      <c r="C643" s="50" t="s">
        <v>4995</v>
      </c>
      <c r="D643" s="50" t="e">
        <f ca="1">Image("https://images-na.ssl-images-amazon.com/images/I/31DinjBV3hL.jpg;https://images-na.ssl-images-amazon.com/images/I/510-GPn9R9L.jpg;https://images-na.ssl-images-amazon.com/images/I/51UYRjk1KVL.jpg;https://images-na.ssl-images-amazon.com/images/I/51ADoc7xe4L"&amp;".jpg;https://images-na.ssl-images-amazon.com/images/I/411YVmiyj0L.jpg;https://images-na.ssl-images-amazon.com/images/I/51juEXUqQ6L.jpg")</f>
        <v>#NAME?</v>
      </c>
      <c r="E643" s="50" t="s">
        <v>20</v>
      </c>
      <c r="F643" s="50" t="s">
        <v>4996</v>
      </c>
      <c r="G643" s="50">
        <v>1</v>
      </c>
      <c r="I643" s="50">
        <v>35.99</v>
      </c>
      <c r="S643" s="50" t="s">
        <v>1217</v>
      </c>
      <c r="U643" s="50">
        <v>-11.72</v>
      </c>
      <c r="W643" s="50">
        <v>24.27</v>
      </c>
      <c r="X643" s="50">
        <v>24.27</v>
      </c>
      <c r="Y643" s="50">
        <v>24.27</v>
      </c>
      <c r="AA643" s="50">
        <v>67.44</v>
      </c>
      <c r="AC643" s="50">
        <v>1657628</v>
      </c>
      <c r="AE643" s="50" t="s">
        <v>4777</v>
      </c>
    </row>
    <row r="644" spans="1:31">
      <c r="A644" s="50" t="s">
        <v>4997</v>
      </c>
      <c r="B644" s="50" t="s">
        <v>905</v>
      </c>
      <c r="C644" s="50" t="s">
        <v>906</v>
      </c>
      <c r="D644" s="50" t="e">
        <f ca="1">Image("https://images-na.ssl-images-amazon.com/images/I/41XBF0scsTL.jpg;https://images-na.ssl-images-amazon.com/images/I/51znhX8CnvL.jpg;https://images-na.ssl-images-amazon.com/images/I/51eKbA18gQL.jpg;https://images-na.ssl-images-amazon.com/images/I/51nRLQ4Sw6L"&amp;".jpg;https://images-na.ssl-images-amazon.com/images/I/51+x9h819pL.jpg")</f>
        <v>#NAME?</v>
      </c>
      <c r="E644" s="50" t="s">
        <v>20</v>
      </c>
      <c r="F644" s="50" t="s">
        <v>907</v>
      </c>
      <c r="G644" s="50">
        <v>1</v>
      </c>
      <c r="I644" s="50">
        <v>6.99</v>
      </c>
      <c r="S644" s="50" t="s">
        <v>1217</v>
      </c>
      <c r="U644" s="50">
        <v>-3.57</v>
      </c>
      <c r="W644" s="50">
        <v>3.42</v>
      </c>
      <c r="X644" s="50">
        <v>3.42</v>
      </c>
      <c r="Y644" s="50">
        <v>3.42</v>
      </c>
      <c r="AA644" s="50">
        <v>48.93</v>
      </c>
      <c r="AE644" s="50" t="s">
        <v>4777</v>
      </c>
    </row>
    <row r="645" spans="1:31">
      <c r="A645" s="50" t="s">
        <v>4998</v>
      </c>
      <c r="B645" s="50" t="s">
        <v>151</v>
      </c>
      <c r="C645" s="50" t="s">
        <v>4999</v>
      </c>
      <c r="D645" s="50" t="e">
        <f ca="1">Image("https://images-na.ssl-images-amazon.com/images/I/416XiYEDXBL.jpg;https://images-na.ssl-images-amazon.com/images/I/41jESC25lUL.jpg;https://images-na.ssl-images-amazon.com/images/I/41CE38l2ZEL.jpg;https://images-na.ssl-images-amazon.com/images/I/41A77LWHqvL"&amp;".jpg;https://images-na.ssl-images-amazon.com/images/I/51P+Os+9qXL.jpg;https://images-na.ssl-images-amazon.com/images/I/51tVNVw8qSL.jpg;https://images-na.ssl-images-amazon.com/images/I/51QQtkNC4fL.jpg")</f>
        <v>#NAME?</v>
      </c>
      <c r="E645" s="50" t="s">
        <v>16</v>
      </c>
      <c r="F645" s="50" t="s">
        <v>153</v>
      </c>
      <c r="S645" s="50" t="s">
        <v>1217</v>
      </c>
      <c r="U645" s="50">
        <v>-50.73</v>
      </c>
      <c r="W645" s="50">
        <v>-50.73</v>
      </c>
      <c r="X645" s="50">
        <v>-50.73</v>
      </c>
      <c r="Y645" s="50">
        <v>-50.73</v>
      </c>
      <c r="AC645" s="50">
        <v>62242</v>
      </c>
      <c r="AE645" s="50" t="s">
        <v>4777</v>
      </c>
    </row>
    <row r="646" spans="1:31">
      <c r="A646" s="50" t="s">
        <v>5000</v>
      </c>
      <c r="B646" s="50" t="s">
        <v>358</v>
      </c>
      <c r="C646" s="50" t="s">
        <v>1354</v>
      </c>
      <c r="D646" s="50" t="e">
        <f ca="1">Image("https://images-na.ssl-images-amazon.com/images/I/51aXb1Hwp7L.jpg;https://images-na.ssl-images-amazon.com/images/I/515xt-CqgAL.jpg;https://images-na.ssl-images-amazon.com/images/I/51k8zNqpANL.jpg;https://images-na.ssl-images-amazon.com/images/I/41hNYhOiX4L"&amp;".jpg;https://images-na.ssl-images-amazon.com/images/I/41ssZ0uTeDL.jpg;https://images-na.ssl-images-amazon.com/images/I/615z2hWIeUL.jpg")</f>
        <v>#NAME?</v>
      </c>
      <c r="E646" s="50" t="s">
        <v>16</v>
      </c>
      <c r="F646" s="50" t="s">
        <v>5001</v>
      </c>
      <c r="H646" s="50">
        <v>1</v>
      </c>
      <c r="R646" s="50" t="s">
        <v>4357</v>
      </c>
      <c r="S646" s="50" t="s">
        <v>1217</v>
      </c>
      <c r="T646" s="50">
        <v>-39.380000000000003</v>
      </c>
      <c r="W646" s="50">
        <v>-39.380000000000003</v>
      </c>
      <c r="X646" s="50">
        <v>-39.380000000000003</v>
      </c>
      <c r="Y646" s="50">
        <v>-39.380000000000003</v>
      </c>
      <c r="AC646" s="50">
        <v>50380</v>
      </c>
      <c r="AE646" s="50" t="s">
        <v>4777</v>
      </c>
    </row>
    <row r="647" spans="1:31">
      <c r="A647" s="50" t="s">
        <v>5002</v>
      </c>
      <c r="B647" s="50" t="s">
        <v>1171</v>
      </c>
      <c r="C647" s="50" t="s">
        <v>5003</v>
      </c>
      <c r="D647" s="50" t="e">
        <f ca="1">Image("https://images-na.ssl-images-amazon.com/images/I/41AbtKwDu0L.jpg;https://images-na.ssl-images-amazon.com/images/I/41GunUFjBSL.jpg;https://images-na.ssl-images-amazon.com/images/I/415STP9-fnL.jpg;https://images-na.ssl-images-amazon.com/images/I/41BaHpI1TOL"&amp;".jpg;https://images-na.ssl-images-amazon.com/images/I/4130HCY+5YL.jpg;https://images-na.ssl-images-amazon.com/images/I/61fqwgEVD3L.jpg;https://images-na.ssl-images-amazon.com/images/I/51kCsw3jfFL.jpg")</f>
        <v>#NAME?</v>
      </c>
      <c r="E647" s="50" t="s">
        <v>20</v>
      </c>
      <c r="F647" s="50" t="s">
        <v>5004</v>
      </c>
      <c r="S647" s="50" t="s">
        <v>1217</v>
      </c>
      <c r="U647" s="50">
        <v>-110.27</v>
      </c>
      <c r="W647" s="50">
        <v>-110.27</v>
      </c>
      <c r="X647" s="50">
        <v>-110.27</v>
      </c>
      <c r="Y647" s="50">
        <v>-110.27</v>
      </c>
      <c r="AC647" s="50">
        <v>34727</v>
      </c>
      <c r="AE647" s="50" t="s">
        <v>4777</v>
      </c>
    </row>
    <row r="648" spans="1:31">
      <c r="A648" s="50" t="s">
        <v>5005</v>
      </c>
      <c r="B648" s="50" t="s">
        <v>578</v>
      </c>
      <c r="C648" s="50" t="s">
        <v>5006</v>
      </c>
      <c r="D648" s="50" t="e">
        <f ca="1">Image("https://images-na.ssl-images-amazon.com/images/I/41NI7O+XdLL.jpg;https://images-na.ssl-images-amazon.com/images/I/41cmYfhJpzL.jpg;https://images-na.ssl-images-amazon.com/images/I/41WnOXaDm3L.jpg;https://images-na.ssl-images-amazon.com/images/I/318b8VdLmrL"&amp;".jpg;https://images-na.ssl-images-amazon.com/images/I/31L0mZ5N2iL.jpg;https://images-na.ssl-images-amazon.com/images/I/51p22NM6GaL.jpg;https://images-na.ssl-images-amazon.com/images/I/61xaxM5bkZL.jpg;https://images-na.ssl-images-amazon.com/images/I/418vJz"&amp;"t74mL.jpg")</f>
        <v>#NAME?</v>
      </c>
      <c r="E648" s="50" t="s">
        <v>20</v>
      </c>
      <c r="F648" s="50" t="s">
        <v>580</v>
      </c>
      <c r="S648" s="50" t="s">
        <v>1217</v>
      </c>
      <c r="U648" s="50">
        <v>-101.74</v>
      </c>
      <c r="W648" s="50">
        <v>-101.74</v>
      </c>
      <c r="X648" s="50">
        <v>-101.74</v>
      </c>
      <c r="Y648" s="50">
        <v>-101.74</v>
      </c>
      <c r="AC648" s="50">
        <v>34727</v>
      </c>
      <c r="AE648" s="50" t="s">
        <v>4777</v>
      </c>
    </row>
    <row r="649" spans="1:31">
      <c r="A649" s="50" t="s">
        <v>4397</v>
      </c>
      <c r="B649" s="50" t="s">
        <v>133</v>
      </c>
      <c r="C649" s="50" t="s">
        <v>1445</v>
      </c>
      <c r="D649" s="50" t="e">
        <f ca="1">Image("https://images-na.ssl-images-amazon.com/images/I/51nHGj1X3wL.jpg;https://images-na.ssl-images-amazon.com/images/I/41eH2MC-bxL.jpg;https://images-na.ssl-images-amazon.com/images/I/41BbOMETspL.jpg;https://images-na.ssl-images-amazon.com/images/I/41uoF6ucv5L"&amp;".jpg;https://images-na.ssl-images-amazon.com/images/I/51mvhruf2OL.jpg;https://images-na.ssl-images-amazon.com/images/I/61uCEYPxRvL.jpg;https://images-na.ssl-images-amazon.com/images/I/41ykDXxBy9L.jpg")</f>
        <v>#NAME?</v>
      </c>
      <c r="E649" s="50" t="s">
        <v>20</v>
      </c>
      <c r="F649" s="50" t="s">
        <v>5007</v>
      </c>
      <c r="S649" s="50" t="s">
        <v>1217</v>
      </c>
      <c r="U649" s="50">
        <v>-1.36</v>
      </c>
      <c r="W649" s="50">
        <v>-1.36</v>
      </c>
      <c r="X649" s="50">
        <v>-1.36</v>
      </c>
      <c r="Y649" s="50">
        <v>-1.36</v>
      </c>
      <c r="AC649" s="50">
        <v>404054</v>
      </c>
      <c r="AE649" s="50" t="s">
        <v>4777</v>
      </c>
    </row>
    <row r="650" spans="1:31">
      <c r="A650" s="50" t="s">
        <v>4444</v>
      </c>
      <c r="B650" s="50" t="s">
        <v>277</v>
      </c>
      <c r="C650" s="50" t="s">
        <v>1402</v>
      </c>
      <c r="D650" s="50" t="e">
        <f ca="1">Image("https://images-na.ssl-images-amazon.com/images/I/41aKdLZnWxL.jpg;https://images-na.ssl-images-amazon.com/images/I/41b6HMl130L.jpg;https://images-na.ssl-images-amazon.com/images/I/41KW8hFrpHS.jpg;https://images-na.ssl-images-amazon.com/images/I/41r4qdBIS0L"&amp;".jpg;https://images-na.ssl-images-amazon.com/images/I/41zpqNN3hAL.jpg;https://images-na.ssl-images-amazon.com/images/I/51AOa6oTe4L.jpg;https://images-na.ssl-images-amazon.com/images/I/41rYE9Xu+ML.jpg")</f>
        <v>#NAME?</v>
      </c>
      <c r="E650" s="50" t="s">
        <v>20</v>
      </c>
      <c r="F650" s="50" t="s">
        <v>279</v>
      </c>
      <c r="S650" s="50" t="s">
        <v>1217</v>
      </c>
      <c r="U650" s="50">
        <v>-3.29</v>
      </c>
      <c r="W650" s="50">
        <v>-3.29</v>
      </c>
      <c r="X650" s="50">
        <v>-3.29</v>
      </c>
      <c r="Y650" s="50">
        <v>-3.29</v>
      </c>
      <c r="AC650" s="50">
        <v>298291</v>
      </c>
      <c r="AE650" s="50" t="s">
        <v>4777</v>
      </c>
    </row>
    <row r="651" spans="1:31">
      <c r="A651" s="50" t="s">
        <v>4425</v>
      </c>
      <c r="B651" s="50" t="s">
        <v>1148</v>
      </c>
      <c r="C651" s="50" t="s">
        <v>1375</v>
      </c>
      <c r="D651" s="50" t="e">
        <f ca="1">Image("https://images-na.ssl-images-amazon.com/images/I/41aKdLZnWxL.jpg;https://images-na.ssl-images-amazon.com/images/I/41b6HMl130L.jpg;https://images-na.ssl-images-amazon.com/images/I/41KW8hFrpHS.jpg;https://images-na.ssl-images-amazon.com/images/I/41r4qdBIS0L"&amp;".jpg;https://images-na.ssl-images-amazon.com/images/I/41zpqNN3hAL.jpg;https://images-na.ssl-images-amazon.com/images/I/51AOa6oTe4L.jpg;https://images-na.ssl-images-amazon.com/images/I/41rYE9Xu+ML.jpg")</f>
        <v>#NAME?</v>
      </c>
      <c r="E651" s="50" t="s">
        <v>20</v>
      </c>
      <c r="F651" s="50" t="s">
        <v>4692</v>
      </c>
      <c r="S651" s="50" t="s">
        <v>1217</v>
      </c>
      <c r="U651" s="50">
        <v>-3.34</v>
      </c>
      <c r="W651" s="50">
        <v>-3.34</v>
      </c>
      <c r="X651" s="50">
        <v>-3.34</v>
      </c>
      <c r="Y651" s="50">
        <v>-3.34</v>
      </c>
      <c r="AC651" s="50">
        <v>298291</v>
      </c>
      <c r="AE651" s="50" t="s">
        <v>4777</v>
      </c>
    </row>
    <row r="652" spans="1:31">
      <c r="A652" s="50" t="s">
        <v>4589</v>
      </c>
      <c r="B652" s="50" t="s">
        <v>227</v>
      </c>
      <c r="C652" s="50" t="s">
        <v>1954</v>
      </c>
      <c r="D652" s="50" t="e">
        <f ca="1">Image("https://images-na.ssl-images-amazon.com/images/I/41OVDNB8ZxL.jpg;https://images-na.ssl-images-amazon.com/images/I/51sf89CzEJL.jpg;https://images-na.ssl-images-amazon.com/images/I/41q2DLqpG9L.jpg;https://images-na.ssl-images-amazon.com/images/I/51qeaNwt+9L"&amp;".jpg;https://images-na.ssl-images-amazon.com/images/I/41lPflk+OgL.jpg;https://images-na.ssl-images-amazon.com/images/I/61geB7jq8YL.jpg;https://images-na.ssl-images-amazon.com/images/I/51l-NtkusjL.jpg")</f>
        <v>#NAME?</v>
      </c>
      <c r="E652" s="50" t="s">
        <v>20</v>
      </c>
      <c r="F652" s="50" t="s">
        <v>229</v>
      </c>
      <c r="H652" s="50">
        <v>1</v>
      </c>
      <c r="R652" s="50" t="s">
        <v>4357</v>
      </c>
      <c r="S652" s="50" t="s">
        <v>1217</v>
      </c>
      <c r="T652" s="50">
        <v>-7.7</v>
      </c>
      <c r="W652" s="50">
        <v>-7.7</v>
      </c>
      <c r="X652" s="50">
        <v>-7.7</v>
      </c>
      <c r="Y652" s="50">
        <v>-7.7</v>
      </c>
      <c r="AC652" s="50">
        <v>427838</v>
      </c>
      <c r="AE652" s="50" t="s">
        <v>4777</v>
      </c>
    </row>
    <row r="653" spans="1:31">
      <c r="A653" s="50" t="s">
        <v>4991</v>
      </c>
      <c r="B653" s="50" t="s">
        <v>914</v>
      </c>
      <c r="C653" s="50" t="s">
        <v>1258</v>
      </c>
      <c r="D653" s="50" t="e">
        <f ca="1">Image("https://images-na.ssl-images-amazon.com/images/I/41mWjqynNEL.jpg;https://images-na.ssl-images-amazon.com/images/I/41kdayazkWL.jpg;https://images-na.ssl-images-amazon.com/images/I/312RFDx8QSL.jpg;https://images-na.ssl-images-amazon.com/images/I/41Hyc7rE-7L"&amp;".jpg;https://images-na.ssl-images-amazon.com/images/I/51pn-s+NNaL.jpg;https://images-na.ssl-images-amazon.com/images/I/41j1MWgFLgL.jpg;https://images-na.ssl-images-amazon.com/images/I/51ZoC3BwZGL.jpg")</f>
        <v>#NAME?</v>
      </c>
      <c r="E653" s="50" t="s">
        <v>20</v>
      </c>
      <c r="F653" s="50" t="s">
        <v>916</v>
      </c>
      <c r="H653" s="50">
        <v>1</v>
      </c>
      <c r="R653" s="50" t="s">
        <v>4357</v>
      </c>
      <c r="S653" s="50" t="s">
        <v>1217</v>
      </c>
      <c r="T653" s="50">
        <v>-5.07</v>
      </c>
      <c r="W653" s="50">
        <v>-5.07</v>
      </c>
      <c r="X653" s="50">
        <v>-5.07</v>
      </c>
      <c r="Y653" s="50">
        <v>-5.07</v>
      </c>
      <c r="AE653" s="50" t="s">
        <v>4777</v>
      </c>
    </row>
    <row r="654" spans="1:31">
      <c r="A654" s="50" t="s">
        <v>5008</v>
      </c>
      <c r="B654" s="50" t="s">
        <v>310</v>
      </c>
      <c r="C654" s="50" t="s">
        <v>1621</v>
      </c>
      <c r="D654" s="50" t="e">
        <f ca="1">Image("https://images-na.ssl-images-amazon.com/images/I/41EUSaD5ClS.jpg;https://images-na.ssl-images-amazon.com/images/I/41HOiRHbEuS.jpg;https://images-na.ssl-images-amazon.com/images/I/41tzeQpwtBS.jpg;https://images-na.ssl-images-amazon.com/images/I/412HTsGnTpS"&amp;".jpg;https://images-na.ssl-images-amazon.com/images/I/51dIs+7iP6S.jpg;https://images-na.ssl-images-amazon.com/images/I/4156M7lZ6bS.jpg")</f>
        <v>#NAME?</v>
      </c>
      <c r="E654" s="50" t="s">
        <v>20</v>
      </c>
      <c r="F654" s="50" t="s">
        <v>312</v>
      </c>
      <c r="H654" s="50">
        <v>1</v>
      </c>
      <c r="R654" s="50" t="s">
        <v>4357</v>
      </c>
      <c r="S654" s="50" t="s">
        <v>1217</v>
      </c>
      <c r="T654" s="50">
        <v>-8.58</v>
      </c>
      <c r="W654" s="50">
        <v>-8.58</v>
      </c>
      <c r="X654" s="50">
        <v>-8.58</v>
      </c>
      <c r="Y654" s="50">
        <v>-8.58</v>
      </c>
      <c r="AC654" s="50">
        <v>1172418</v>
      </c>
      <c r="AE654" s="50" t="s">
        <v>4777</v>
      </c>
    </row>
    <row r="655" spans="1:31">
      <c r="A655" s="50" t="s">
        <v>5009</v>
      </c>
      <c r="B655" s="50" t="s">
        <v>696</v>
      </c>
      <c r="C655" s="50" t="s">
        <v>5010</v>
      </c>
      <c r="D655" s="50" t="e">
        <f ca="1">Image("https://images-na.ssl-images-amazon.com/images/I/51NuxobzU0L.jpg;https://images-na.ssl-images-amazon.com/images/I/41sfcPJwMBL.jpg;https://images-na.ssl-images-amazon.com/images/I/516ZXiYv7NL.jpg;https://images-na.ssl-images-amazon.com/images/I/41XNfZ1Y9DL"&amp;".jpg;https://images-na.ssl-images-amazon.com/images/I/51Wo7-EA20L.jpg;https://images-na.ssl-images-amazon.com/images/I/31Kps+HAoQL.jpg")</f>
        <v>#NAME?</v>
      </c>
      <c r="E655" s="50" t="s">
        <v>20</v>
      </c>
      <c r="F655" s="50" t="s">
        <v>389</v>
      </c>
      <c r="S655" s="50" t="s">
        <v>1217</v>
      </c>
      <c r="U655" s="50">
        <v>-0.11</v>
      </c>
      <c r="W655" s="50">
        <v>-0.11</v>
      </c>
      <c r="X655" s="50">
        <v>-0.11</v>
      </c>
      <c r="Y655" s="50">
        <v>-0.11</v>
      </c>
      <c r="AC655" s="50">
        <v>116526</v>
      </c>
      <c r="AE655" s="50" t="s">
        <v>4777</v>
      </c>
    </row>
    <row r="656" spans="1:31">
      <c r="A656" s="50" t="s">
        <v>5011</v>
      </c>
      <c r="B656" s="50" t="s">
        <v>986</v>
      </c>
      <c r="C656" s="50" t="s">
        <v>987</v>
      </c>
      <c r="D656" s="50" t="e">
        <f ca="1">Image("https://images-na.ssl-images-amazon.com/images/I/31oA880RAtL.jpg;https://images-na.ssl-images-amazon.com/images/I/31QjJp6ez6L.jpg;https://images-na.ssl-images-amazon.com/images/I/31U9mH+oXyL.jpg;https://images-na.ssl-images-amazon.com/images/I/516ZXiYv7NL"&amp;".jpg;https://images-na.ssl-images-amazon.com/images/I/312EBoe7j4L.jpg;https://images-na.ssl-images-amazon.com/images/I/11Pl0+xUu9L.jpg")</f>
        <v>#NAME?</v>
      </c>
      <c r="E656" s="50" t="s">
        <v>20</v>
      </c>
      <c r="F656" s="50" t="s">
        <v>988</v>
      </c>
      <c r="S656" s="50" t="s">
        <v>1217</v>
      </c>
      <c r="U656" s="50">
        <v>-2.71</v>
      </c>
      <c r="W656" s="50">
        <v>-2.71</v>
      </c>
      <c r="X656" s="50">
        <v>-2.71</v>
      </c>
      <c r="Y656" s="50">
        <v>-2.71</v>
      </c>
      <c r="AC656" s="50">
        <v>27802</v>
      </c>
      <c r="AE656" s="50" t="s">
        <v>4777</v>
      </c>
    </row>
    <row r="657" spans="1:31">
      <c r="A657" s="50" t="s">
        <v>5012</v>
      </c>
      <c r="B657" s="50" t="s">
        <v>652</v>
      </c>
      <c r="C657" s="50" t="s">
        <v>5013</v>
      </c>
      <c r="D657" s="50" t="e">
        <f ca="1">Image("https://images-na.ssl-images-amazon.com/images/I/31OV9OeFbYL.jpg;https://images-na.ssl-images-amazon.com/images/I/31EycRGcidL.jpg;https://images-na.ssl-images-amazon.com/images/I/31xiOx-ZP5L.jpg;https://images-na.ssl-images-amazon.com/images/I/31jhLVdr6oL"&amp;".jpg;https://images-na.ssl-images-amazon.com/images/I/516ZXiYv7NL.jpg;https://images-na.ssl-images-amazon.com/images/I/31hsIqA6e9L.jpg;https://images-na.ssl-images-amazon.com/images/I/41lS00XKigL.jpg")</f>
        <v>#NAME?</v>
      </c>
      <c r="E657" s="50" t="s">
        <v>654</v>
      </c>
      <c r="F657" s="50" t="s">
        <v>655</v>
      </c>
      <c r="S657" s="50" t="s">
        <v>1217</v>
      </c>
      <c r="U657" s="50">
        <v>-0.06</v>
      </c>
      <c r="W657" s="50">
        <v>-0.06</v>
      </c>
      <c r="X657" s="50">
        <v>-0.06</v>
      </c>
      <c r="Y657" s="50">
        <v>-0.06</v>
      </c>
      <c r="AC657" s="50">
        <v>193557</v>
      </c>
      <c r="AE657" s="50" t="s">
        <v>4777</v>
      </c>
    </row>
    <row r="658" spans="1:31">
      <c r="A658" s="50" t="s">
        <v>5014</v>
      </c>
      <c r="B658" s="50" t="s">
        <v>488</v>
      </c>
      <c r="C658" s="50" t="s">
        <v>5015</v>
      </c>
      <c r="D658" s="50" t="e">
        <f ca="1">Image("https://images-na.ssl-images-amazon.com/images/I/31d+++76HYL.jpg;https://images-na.ssl-images-amazon.com/images/I/21msLb3LRUL.jpg;https://images-na.ssl-images-amazon.com/images/I/21w6j3xmjML.jpg;https://images-na.ssl-images-amazon.com/images/I/516ZXiYv7NL"&amp;".jpg;https://images-na.ssl-images-amazon.com/images/I/21E-+BmFo5L.jpg;https://images-na.ssl-images-amazon.com/images/I/31Kps+HAoQL.jpg")</f>
        <v>#NAME?</v>
      </c>
      <c r="E658" s="50" t="s">
        <v>20</v>
      </c>
      <c r="F658" s="50" t="s">
        <v>490</v>
      </c>
      <c r="S658" s="50" t="s">
        <v>1217</v>
      </c>
      <c r="U658" s="50">
        <v>-0.03</v>
      </c>
      <c r="W658" s="50">
        <v>-0.03</v>
      </c>
      <c r="X658" s="50">
        <v>-0.03</v>
      </c>
      <c r="Y658" s="50">
        <v>-0.03</v>
      </c>
      <c r="AC658" s="50">
        <v>29908</v>
      </c>
      <c r="AE658" s="50" t="s">
        <v>4777</v>
      </c>
    </row>
    <row r="659" spans="1:31">
      <c r="A659" s="50" t="s">
        <v>5016</v>
      </c>
      <c r="B659" s="50" t="s">
        <v>983</v>
      </c>
      <c r="C659" s="50" t="s">
        <v>984</v>
      </c>
      <c r="D659" s="50" t="e">
        <f ca="1">Image("https://images-na.ssl-images-amazon.com/images/I/31JBeLoo0SL.jpg;https://images-na.ssl-images-amazon.com/images/I/210zShZcYjL.jpg;https://images-na.ssl-images-amazon.com/images/I/41LDBVedazL.jpg;https://images-na.ssl-images-amazon.com/images/I/21PH100fTaL"&amp;".jpg;https://images-na.ssl-images-amazon.com/images/I/516ZXiYv7NL.jpg")</f>
        <v>#NAME?</v>
      </c>
      <c r="E659" s="50" t="s">
        <v>20</v>
      </c>
      <c r="F659" s="50" t="s">
        <v>985</v>
      </c>
      <c r="S659" s="50" t="s">
        <v>1217</v>
      </c>
      <c r="U659" s="50">
        <v>-2.7</v>
      </c>
      <c r="W659" s="50">
        <v>-2.7</v>
      </c>
      <c r="X659" s="50">
        <v>-2.7</v>
      </c>
      <c r="Y659" s="50">
        <v>-2.7</v>
      </c>
      <c r="AC659" s="50">
        <v>174154</v>
      </c>
      <c r="AE659" s="50" t="s">
        <v>4777</v>
      </c>
    </row>
    <row r="660" spans="1:31">
      <c r="A660" s="50" t="s">
        <v>5017</v>
      </c>
      <c r="B660" s="50" t="s">
        <v>1115</v>
      </c>
      <c r="C660" s="50" t="s">
        <v>1116</v>
      </c>
      <c r="D660" s="50" t="s">
        <v>1024</v>
      </c>
      <c r="E660" s="50" t="s">
        <v>1024</v>
      </c>
      <c r="F660" s="50" t="s">
        <v>1024</v>
      </c>
      <c r="K660" s="50">
        <v>-0.61</v>
      </c>
      <c r="L660" s="50">
        <v>-0.61</v>
      </c>
      <c r="S660" s="50" t="s">
        <v>1217</v>
      </c>
      <c r="U660" s="50">
        <v>-31.58</v>
      </c>
      <c r="W660" s="50">
        <v>-32.19</v>
      </c>
      <c r="X660" s="50">
        <v>-32.19</v>
      </c>
      <c r="Y660" s="50">
        <v>-32.19</v>
      </c>
      <c r="AE660" s="50" t="s">
        <v>4777</v>
      </c>
    </row>
    <row r="661" spans="1:31">
      <c r="A661" s="50" t="s">
        <v>5018</v>
      </c>
      <c r="B661" s="50" t="s">
        <v>934</v>
      </c>
      <c r="C661" s="50" t="s">
        <v>935</v>
      </c>
      <c r="D661" s="50" t="e">
        <f ca="1">Image("https://images-na.ssl-images-amazon.com/images/I/41ZG78KqdUL.jpg;https://images-na.ssl-images-amazon.com/images/I/51-YHe-Iy8L.jpg;https://images-na.ssl-images-amazon.com/images/I/51vMfooWBIL.jpg;https://images-na.ssl-images-amazon.com/images/I/514tZoIfl+L"&amp;".jpg;https://images-na.ssl-images-amazon.com/images/I/61ENzt5OWyL.jpg;https://images-na.ssl-images-amazon.com/images/I/51x7XeyTq6L.jpg")</f>
        <v>#NAME?</v>
      </c>
      <c r="E661" s="50" t="s">
        <v>936</v>
      </c>
      <c r="F661" s="50" t="s">
        <v>937</v>
      </c>
      <c r="S661" s="50" t="s">
        <v>1217</v>
      </c>
      <c r="U661" s="50">
        <v>-0.16</v>
      </c>
      <c r="W661" s="50">
        <v>-0.16</v>
      </c>
      <c r="X661" s="50">
        <v>-0.16</v>
      </c>
      <c r="Y661" s="50">
        <v>-0.16</v>
      </c>
      <c r="AE661" s="50" t="s">
        <v>4777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DASHBOARD</vt:lpstr>
      <vt:lpstr>Brand</vt:lpstr>
      <vt:lpstr>Sheet4</vt:lpstr>
      <vt:lpstr>Sheet5</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Manish Bisht</cp:lastModifiedBy>
  <dcterms:created xsi:type="dcterms:W3CDTF">2023-03-23T14:24:31Z</dcterms:created>
  <dcterms:modified xsi:type="dcterms:W3CDTF">2023-03-25T16:45:49Z</dcterms:modified>
</cp:coreProperties>
</file>