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Hirdesh Kumar Yadav\Downloads\Hirdesh Excel\"/>
    </mc:Choice>
  </mc:AlternateContent>
  <xr:revisionPtr revIDLastSave="0" documentId="8_{97CDBD0A-F6C5-4E5D-9C0E-B4D3C453D5B4}" xr6:coauthVersionLast="47" xr6:coauthVersionMax="47" xr10:uidLastSave="{00000000-0000-0000-0000-000000000000}"/>
  <bookViews>
    <workbookView xWindow="-110" yWindow="-110" windowWidth="19420" windowHeight="10300" xr2:uid="{8B51E15A-A4ED-4987-AD62-00E0FD7B820F}"/>
  </bookViews>
  <sheets>
    <sheet name="Dashboard" sheetId="1" r:id="rId1"/>
    <sheet name="Customers" sheetId="2" r:id="rId2"/>
    <sheet name="Products" sheetId="4" r:id="rId3"/>
    <sheet name="Vendors" sheetId="3" r:id="rId4"/>
    <sheet name="New_Entry" sheetId="5" r:id="rId5"/>
    <sheet name="Purchase" sheetId="6" r:id="rId6"/>
    <sheet name="Sales" sheetId="7" r:id="rId7"/>
    <sheet name="Inventory" sheetId="8" r:id="rId8"/>
    <sheet name="Pivots" sheetId="9" r:id="rId9"/>
  </sheets>
  <definedNames>
    <definedName name="CID">customersdata[Cust_ID]</definedName>
    <definedName name="HSNCode">productsdata[HSN Code]</definedName>
  </definedNames>
  <calcPr calcId="191029"/>
  <pivotCaches>
    <pivotCache cacheId="161" r:id="rId10"/>
    <pivotCache cacheId="164" r:id="rId11"/>
    <pivotCache cacheId="167" r:id="rId12"/>
    <pivotCache cacheId="171" r:id="rId13"/>
    <pivotCache cacheId="175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7" l="1"/>
  <c r="E23" i="7"/>
  <c r="G22" i="7"/>
  <c r="G23" i="7"/>
  <c r="K22" i="7"/>
  <c r="K23" i="7"/>
  <c r="L22" i="7"/>
  <c r="L23" i="7"/>
  <c r="F20" i="6"/>
  <c r="E17" i="8"/>
  <c r="D17" i="8"/>
  <c r="F17" i="8"/>
  <c r="F7" i="8"/>
  <c r="F16" i="8"/>
  <c r="F18" i="8"/>
  <c r="F20" i="8"/>
  <c r="D11" i="8"/>
  <c r="D12" i="8"/>
  <c r="D13" i="8"/>
  <c r="D14" i="8"/>
  <c r="D15" i="8"/>
  <c r="D16" i="8"/>
  <c r="D18" i="8"/>
  <c r="D20" i="8"/>
  <c r="E9" i="8"/>
  <c r="E10" i="8"/>
  <c r="E11" i="8"/>
  <c r="E12" i="8"/>
  <c r="E13" i="8"/>
  <c r="E14" i="8"/>
  <c r="E15" i="8"/>
  <c r="E16" i="8"/>
  <c r="E18" i="8"/>
  <c r="E20" i="8"/>
  <c r="E20" i="7"/>
  <c r="E21" i="7"/>
  <c r="G20" i="7"/>
  <c r="G21" i="7"/>
  <c r="K20" i="7"/>
  <c r="L20" i="7" s="1"/>
  <c r="K21" i="7"/>
  <c r="L21" i="7" s="1"/>
  <c r="E18" i="7"/>
  <c r="E19" i="7"/>
  <c r="G18" i="7"/>
  <c r="G19" i="7"/>
  <c r="K18" i="7"/>
  <c r="L18" i="7" s="1"/>
  <c r="K19" i="7"/>
  <c r="L19" i="7" s="1"/>
  <c r="E19" i="6"/>
  <c r="E20" i="6"/>
  <c r="F19" i="6"/>
  <c r="I19" i="6"/>
  <c r="J19" i="6" s="1"/>
  <c r="I20" i="6"/>
  <c r="J20" i="6" s="1"/>
  <c r="E18" i="6"/>
  <c r="F18" i="6"/>
  <c r="I18" i="6"/>
  <c r="J18" i="6" s="1"/>
  <c r="D7" i="8"/>
  <c r="E7" i="8"/>
  <c r="D8" i="8"/>
  <c r="E8" i="8"/>
  <c r="F8" i="8"/>
  <c r="D9" i="8"/>
  <c r="F9" i="8"/>
  <c r="D10" i="8"/>
  <c r="F10" i="8"/>
  <c r="F11" i="8"/>
  <c r="F12" i="8"/>
  <c r="F13" i="8"/>
  <c r="F14" i="8"/>
  <c r="F15" i="8"/>
  <c r="E6" i="8"/>
  <c r="F6" i="8"/>
  <c r="D6" i="8"/>
  <c r="K6" i="7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G6" i="7"/>
  <c r="G7" i="7"/>
  <c r="G8" i="7"/>
  <c r="G9" i="7"/>
  <c r="G10" i="7"/>
  <c r="G11" i="7"/>
  <c r="G12" i="7"/>
  <c r="G13" i="7"/>
  <c r="G14" i="7"/>
  <c r="G15" i="7"/>
  <c r="G16" i="7"/>
  <c r="G17" i="7"/>
  <c r="E6" i="7"/>
  <c r="E7" i="7"/>
  <c r="E8" i="7"/>
  <c r="E9" i="7"/>
  <c r="E10" i="7"/>
  <c r="E11" i="7"/>
  <c r="E12" i="7"/>
  <c r="E13" i="7"/>
  <c r="E14" i="7"/>
  <c r="E15" i="7"/>
  <c r="E16" i="7"/>
  <c r="E17" i="7"/>
  <c r="I7" i="6"/>
  <c r="J7" i="6" s="1"/>
  <c r="I8" i="6"/>
  <c r="J8" i="6" s="1"/>
  <c r="I9" i="6"/>
  <c r="J9" i="6" s="1"/>
  <c r="I10" i="6"/>
  <c r="J10" i="6"/>
  <c r="I11" i="6"/>
  <c r="J11" i="6"/>
  <c r="I12" i="6"/>
  <c r="J12" i="6" s="1"/>
  <c r="I13" i="6"/>
  <c r="J13" i="6" s="1"/>
  <c r="I14" i="6"/>
  <c r="J14" i="6" s="1"/>
  <c r="E15" i="6"/>
  <c r="E16" i="6"/>
  <c r="E17" i="6"/>
  <c r="F15" i="6"/>
  <c r="F16" i="6"/>
  <c r="F17" i="6"/>
  <c r="I15" i="6"/>
  <c r="J15" i="6" s="1"/>
  <c r="I16" i="6"/>
  <c r="J16" i="6" s="1"/>
  <c r="I17" i="6"/>
  <c r="J17" i="6" s="1"/>
  <c r="F6" i="6"/>
  <c r="F7" i="6"/>
  <c r="F8" i="6"/>
  <c r="F9" i="6"/>
  <c r="F10" i="6"/>
  <c r="F11" i="6"/>
  <c r="F12" i="6"/>
  <c r="F13" i="6"/>
  <c r="F14" i="6"/>
  <c r="I6" i="6"/>
  <c r="J6" i="6" s="1"/>
  <c r="E6" i="6"/>
  <c r="E7" i="6"/>
  <c r="E8" i="6"/>
  <c r="E9" i="6"/>
  <c r="E10" i="6"/>
  <c r="E11" i="6"/>
  <c r="E12" i="6"/>
  <c r="E13" i="6"/>
  <c r="E14" i="6"/>
  <c r="C12" i="9"/>
  <c r="C9" i="9"/>
  <c r="C6" i="9"/>
  <c r="C3" i="9"/>
  <c r="C15" i="9"/>
  <c r="C18" i="9" l="1"/>
  <c r="H15" i="8"/>
  <c r="G17" i="8"/>
  <c r="H19" i="8"/>
  <c r="G18" i="8"/>
  <c r="G16" i="8"/>
  <c r="H12" i="8"/>
  <c r="H16" i="8"/>
  <c r="H20" i="8"/>
  <c r="H18" i="8"/>
  <c r="H17" i="8"/>
  <c r="I17" i="8" s="1"/>
  <c r="I22" i="7" s="1"/>
  <c r="G20" i="8"/>
  <c r="G19" i="8"/>
  <c r="H10" i="8"/>
  <c r="H8" i="8"/>
  <c r="H13" i="8"/>
  <c r="H6" i="8"/>
  <c r="I6" i="8" s="1"/>
  <c r="H9" i="8"/>
  <c r="H7" i="8"/>
  <c r="H11" i="8"/>
  <c r="H14" i="8"/>
  <c r="G6" i="8"/>
  <c r="G15" i="8"/>
  <c r="I15" i="8" s="1"/>
  <c r="K15" i="8" s="1"/>
  <c r="G9" i="8"/>
  <c r="G11" i="8"/>
  <c r="G10" i="8"/>
  <c r="G14" i="8"/>
  <c r="G8" i="8"/>
  <c r="G13" i="8"/>
  <c r="G7" i="8"/>
  <c r="G12" i="8"/>
  <c r="I18" i="8" l="1"/>
  <c r="K18" i="8" s="1"/>
  <c r="I20" i="8"/>
  <c r="J20" i="8" s="1"/>
  <c r="I19" i="8"/>
  <c r="J19" i="8" s="1"/>
  <c r="I16" i="8"/>
  <c r="J16" i="8" s="1"/>
  <c r="J17" i="8"/>
  <c r="K17" i="8"/>
  <c r="J18" i="8"/>
  <c r="I10" i="8"/>
  <c r="I18" i="7" s="1"/>
  <c r="I8" i="8"/>
  <c r="J8" i="8" s="1"/>
  <c r="I21" i="7"/>
  <c r="I12" i="8"/>
  <c r="I11" i="7" s="1"/>
  <c r="I13" i="8"/>
  <c r="I19" i="7" s="1"/>
  <c r="I9" i="8"/>
  <c r="I7" i="8"/>
  <c r="K7" i="8" s="1"/>
  <c r="I11" i="8"/>
  <c r="K11" i="8" s="1"/>
  <c r="I14" i="8"/>
  <c r="K14" i="8" s="1"/>
  <c r="J12" i="8"/>
  <c r="J6" i="8"/>
  <c r="K6" i="8"/>
  <c r="I12" i="7"/>
  <c r="J15" i="8"/>
  <c r="I13" i="7"/>
  <c r="J14" i="8"/>
  <c r="I10" i="7"/>
  <c r="I16" i="7"/>
  <c r="K9" i="8" l="1"/>
  <c r="I23" i="7"/>
  <c r="K20" i="8"/>
  <c r="K19" i="8"/>
  <c r="K16" i="8"/>
  <c r="I20" i="7"/>
  <c r="K8" i="8"/>
  <c r="J10" i="8"/>
  <c r="I6" i="7"/>
  <c r="I17" i="7"/>
  <c r="K10" i="8"/>
  <c r="I15" i="7"/>
  <c r="K12" i="8"/>
  <c r="J11" i="8"/>
  <c r="J7" i="8"/>
  <c r="I14" i="7"/>
  <c r="J9" i="8"/>
  <c r="K13" i="8"/>
  <c r="J13" i="8"/>
  <c r="I7" i="7"/>
  <c r="I8" i="7"/>
  <c r="I9" i="7"/>
  <c r="L19" i="1" l="1" a="1"/>
  <c r="L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<sst xmlns="http://schemas.openxmlformats.org/spreadsheetml/2006/main" count="221" uniqueCount="107">
  <si>
    <t>Cust_ID</t>
  </si>
  <si>
    <t>Name</t>
  </si>
  <si>
    <t>Email</t>
  </si>
  <si>
    <t>Address</t>
  </si>
  <si>
    <t>Ram Sales</t>
  </si>
  <si>
    <t>Atul Ltd.</t>
  </si>
  <si>
    <t>MK Tech.</t>
  </si>
  <si>
    <t>99Store</t>
  </si>
  <si>
    <t>Rajesh</t>
  </si>
  <si>
    <t>Amit</t>
  </si>
  <si>
    <t>jain Tel.</t>
  </si>
  <si>
    <t>ram@gmail.com</t>
  </si>
  <si>
    <t>atul@gmail.com</t>
  </si>
  <si>
    <t>mk@gmail.com</t>
  </si>
  <si>
    <t>99store@gmail.com</t>
  </si>
  <si>
    <t>rajesh@gmail.com</t>
  </si>
  <si>
    <t>amit@gmail.com</t>
  </si>
  <si>
    <t>jain@gmail.com</t>
  </si>
  <si>
    <t xml:space="preserve">Delhi, India </t>
  </si>
  <si>
    <t>Patna, Bihar, India</t>
  </si>
  <si>
    <t>Agra, U.P, India</t>
  </si>
  <si>
    <t>Gorakhpur, U.P, India</t>
  </si>
  <si>
    <t>New Delhi, India</t>
  </si>
  <si>
    <t>Gurgaon, Sec-15, India</t>
  </si>
  <si>
    <t>Phagwara, Punjab, India</t>
  </si>
  <si>
    <t>HSN Code</t>
  </si>
  <si>
    <t>Product Name</t>
  </si>
  <si>
    <t>Cost</t>
  </si>
  <si>
    <t>Selling Price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</si>
  <si>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</si>
  <si>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</si>
  <si>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</si>
  <si>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</si>
  <si>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</si>
  <si>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</si>
  <si>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</si>
  <si>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</si>
  <si>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</si>
  <si>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</si>
  <si>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Smart Watch</t>
  </si>
  <si>
    <t>Laptop HP XYZ</t>
  </si>
  <si>
    <t>Wireless Print</t>
  </si>
  <si>
    <t>Desktop</t>
  </si>
  <si>
    <t>Mouse</t>
  </si>
  <si>
    <t>Rgb Keyboard</t>
  </si>
  <si>
    <t>Camera</t>
  </si>
  <si>
    <t>Headphones</t>
  </si>
  <si>
    <t>Speakers</t>
  </si>
  <si>
    <t>Tablets</t>
  </si>
  <si>
    <t>Purchase Entry</t>
  </si>
  <si>
    <t>Sales Entry</t>
  </si>
  <si>
    <t>Vendor Name</t>
  </si>
  <si>
    <t>Phone No.</t>
  </si>
  <si>
    <t>Vendors Name</t>
  </si>
  <si>
    <t>Date</t>
  </si>
  <si>
    <t>Units</t>
  </si>
  <si>
    <t>Amount</t>
  </si>
  <si>
    <t>Cust_Name</t>
  </si>
  <si>
    <t>Stocks(Units)</t>
  </si>
  <si>
    <t>Price</t>
  </si>
  <si>
    <t>HSNCode</t>
  </si>
  <si>
    <t>P Units</t>
  </si>
  <si>
    <t>S Units</t>
  </si>
  <si>
    <t>Stock</t>
  </si>
  <si>
    <t>Stock Amt</t>
  </si>
  <si>
    <t>Tech99</t>
  </si>
  <si>
    <t>GG Traders</t>
  </si>
  <si>
    <t>Compac</t>
  </si>
  <si>
    <t>9812xxxxxx</t>
  </si>
  <si>
    <t>9813xxxxxx</t>
  </si>
  <si>
    <t>9814xxxxxx</t>
  </si>
  <si>
    <t>Gurgaon, Sec-15</t>
  </si>
  <si>
    <t>Faridabad, 121101</t>
  </si>
  <si>
    <t>New Delhi, 110012</t>
  </si>
  <si>
    <t>Faridabad, 121102</t>
  </si>
  <si>
    <t>Faridabad, 121103</t>
  </si>
  <si>
    <t>Gurgaon, Sec-16</t>
  </si>
  <si>
    <t>Gurgaon, Sec-17</t>
  </si>
  <si>
    <t>Gurgaon, Sec-18</t>
  </si>
  <si>
    <t>New Delhi, 110013</t>
  </si>
  <si>
    <t>New Delhi, 110014</t>
  </si>
  <si>
    <t>Count of Name</t>
  </si>
  <si>
    <t>Customers</t>
  </si>
  <si>
    <t>Count of Product Name</t>
  </si>
  <si>
    <t>Products</t>
  </si>
  <si>
    <t>Sum of Amount</t>
  </si>
  <si>
    <t>Purchase Amt</t>
  </si>
  <si>
    <t>Sale Amt</t>
  </si>
  <si>
    <t>Sum of Stock Amt</t>
  </si>
  <si>
    <t>Profit/Loss</t>
  </si>
  <si>
    <t>Row Labels</t>
  </si>
  <si>
    <t>Grand Total</t>
  </si>
  <si>
    <t>Sum of S Units</t>
  </si>
  <si>
    <t>Notifications</t>
  </si>
  <si>
    <t>Sum of Stock</t>
  </si>
  <si>
    <t>Notification !</t>
  </si>
  <si>
    <t>N1011</t>
  </si>
  <si>
    <t>Hirdesh</t>
  </si>
  <si>
    <t>hirdesh@gmail.com</t>
  </si>
  <si>
    <t>Eksarva, U.P, India</t>
  </si>
  <si>
    <t>Oppo Mobile</t>
  </si>
  <si>
    <t>HR Pvt. Ltd</t>
  </si>
  <si>
    <t>9815xxxxxx</t>
  </si>
  <si>
    <t>U.P, 273164</t>
  </si>
  <si>
    <t>N1012</t>
  </si>
  <si>
    <t>Realme</t>
  </si>
  <si>
    <t>U.P, 273165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</si>
</sst>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2" borderId="1" xfId="0" applyFill="1" applyBorder="1"/>
    <xf numFmtId="14" fontId="0" fillId="2" borderId="0" xfId="0" applyNumberFormat="1" applyFill="1"/>
    <xf numFmtId="0" fontId="3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3" fillId="4" borderId="0" xfId="0" applyFont="1" applyFill="1"/>
    <xf numFmtId="0" fontId="0" fillId="2" borderId="0" xfId="0" applyNumberFormat="1" applyFill="1"/>
    <xf numFmtId="0" fontId="4" fillId="3" borderId="0" xfId="0" applyFont="1" applyFill="1"/>
    <xf numFmtId="0" fontId="0" fillId="0" borderId="0" xfId="0" applyNumberFormat="1"/>
    <xf numFmtId="0" fontId="4" fillId="2" borderId="0" xfId="0" applyFon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48">
    <dxf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EE86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System.xlsx]Pivots!PivotTable6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Pivots!$F$3:$F$8</c:f>
              <c:strCache>
                <c:ptCount val="5"/>
                <c:pt idx="0">
                  <c:v>Desktop</c:v>
                </c:pt>
                <c:pt idx="1">
                  <c:v>Realme</c:v>
                </c:pt>
                <c:pt idx="2">
                  <c:v>Smart Watch</c:v>
                </c:pt>
                <c:pt idx="3">
                  <c:v>Mouse</c:v>
                </c:pt>
                <c:pt idx="4">
                  <c:v>Headphones</c:v>
                </c:pt>
              </c:strCache>
            </c:strRef>
          </c:cat>
          <c:val>
            <c:numRef>
              <c:f>Pivots!$G$3:$G$8</c:f>
              <c:numCache>
                <c:formatCode>General</c:formatCode>
                <c:ptCount val="5"/>
                <c:pt idx="0">
                  <c:v>65</c:v>
                </c:pt>
                <c:pt idx="1">
                  <c:v>45</c:v>
                </c:pt>
                <c:pt idx="2">
                  <c:v>19</c:v>
                </c:pt>
                <c:pt idx="3">
                  <c:v>19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A2-4B40-9DAF-4DFC83F725D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900367"/>
        <c:axId val="3896527"/>
      </c:barChart>
      <c:catAx>
        <c:axId val="3900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6527"/>
        <c:crosses val="autoZero"/>
        <c:auto val="1"/>
        <c:lblAlgn val="ctr"/>
        <c:lblOffset val="100"/>
        <c:noMultiLvlLbl val="0"/>
      </c:catAx>
      <c:valAx>
        <c:axId val="38965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System.xlsx]Pivots!PivotTable7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Pivots!$G$10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Pivots!$F$11:$F$16</c:f>
              <c:strCache>
                <c:ptCount val="5"/>
                <c:pt idx="0">
                  <c:v>Hirdesh</c:v>
                </c:pt>
                <c:pt idx="1">
                  <c:v>Rajesh</c:v>
                </c:pt>
                <c:pt idx="2">
                  <c:v>Atul Ltd.</c:v>
                </c:pt>
                <c:pt idx="3">
                  <c:v>jain Tel.</c:v>
                </c:pt>
                <c:pt idx="4">
                  <c:v>MK Tech.</c:v>
                </c:pt>
              </c:strCache>
            </c:strRef>
          </c:cat>
          <c:val>
            <c:numRef>
              <c:f>Pivots!$G$11:$G$16</c:f>
              <c:numCache>
                <c:formatCode>General</c:formatCode>
                <c:ptCount val="5"/>
                <c:pt idx="0">
                  <c:v>2711965</c:v>
                </c:pt>
                <c:pt idx="1">
                  <c:v>958180</c:v>
                </c:pt>
                <c:pt idx="2">
                  <c:v>312000</c:v>
                </c:pt>
                <c:pt idx="3">
                  <c:v>255352.8</c:v>
                </c:pt>
                <c:pt idx="4">
                  <c:v>126960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E3-45F6-987C-73783C9497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818511"/>
        <c:axId val="3817551"/>
      </c:barChart>
      <c:catAx>
        <c:axId val="3818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551"/>
        <c:crosses val="autoZero"/>
        <c:auto val="1"/>
        <c:lblAlgn val="ctr"/>
        <c:lblOffset val="100"/>
        <c:noMultiLvlLbl val="0"/>
      </c:catAx>
      <c:valAx>
        <c:axId val="38175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System.xlsx]Pivots!PivotTable8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Pivots!$B$20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Pivots!$A$21:$A$31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</c:v>
                </c:pt>
              </c:strCache>
            </c:strRef>
          </c:cat>
          <c:val>
            <c:numRef>
              <c:f>Pivots!$B$21:$B$31</c:f>
              <c:numCache>
                <c:formatCode>General</c:formatCode>
                <c:ptCount val="10"/>
                <c:pt idx="0">
                  <c:v>1</c:v>
                </c:pt>
                <c:pt idx="1">
                  <c:v>25</c:v>
                </c:pt>
                <c:pt idx="2">
                  <c:v>2</c:v>
                </c:pt>
                <c:pt idx="3">
                  <c:v>47</c:v>
                </c:pt>
                <c:pt idx="4">
                  <c:v>1</c:v>
                </c:pt>
                <c:pt idx="5">
                  <c:v>30</c:v>
                </c:pt>
                <c:pt idx="6">
                  <c:v>31</c:v>
                </c:pt>
                <c:pt idx="7">
                  <c:v>26</c:v>
                </c:pt>
                <c:pt idx="8">
                  <c:v>21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C4-4FBB-BB07-92D7AAF0A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948921791"/>
        <c:axId val="948922271"/>
        <c:axId val="0"/>
      </c:bar3DChart>
      <c:catAx>
        <c:axId val="94892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22271"/>
        <c:crosses val="autoZero"/>
        <c:auto val="1"/>
        <c:lblAlgn val="ctr"/>
        <c:lblOffset val="100"/>
        <c:noMultiLvlLbl val="0"/>
      </c:catAx>
      <c:valAx>
        <c:axId val="94892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217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26" Type="http://schemas.openxmlformats.org/officeDocument/2006/relationships/chart" Target="../charts/chart1.xml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28" Type="http://schemas.openxmlformats.org/officeDocument/2006/relationships/chart" Target="../charts/chart3.xml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Relationship Id="rId27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Sales!A1"/><Relationship Id="rId13" Type="http://schemas.openxmlformats.org/officeDocument/2006/relationships/image" Target="../media/image6.png"/><Relationship Id="rId18" Type="http://schemas.openxmlformats.org/officeDocument/2006/relationships/image" Target="../media/image11.svg"/><Relationship Id="rId3" Type="http://schemas.openxmlformats.org/officeDocument/2006/relationships/hyperlink" Target="#Products!A1"/><Relationship Id="rId21" Type="http://schemas.openxmlformats.org/officeDocument/2006/relationships/image" Target="../media/image14.png"/><Relationship Id="rId7" Type="http://schemas.openxmlformats.org/officeDocument/2006/relationships/hyperlink" Target="#Purchase!A1"/><Relationship Id="rId12" Type="http://schemas.openxmlformats.org/officeDocument/2006/relationships/image" Target="../media/image5.svg"/><Relationship Id="rId17" Type="http://schemas.openxmlformats.org/officeDocument/2006/relationships/image" Target="../media/image10.png"/><Relationship Id="rId25" Type="http://schemas.openxmlformats.org/officeDocument/2006/relationships/image" Target="../media/image18.png"/><Relationship Id="rId2" Type="http://schemas.openxmlformats.org/officeDocument/2006/relationships/hyperlink" Target="#Customers!A1"/><Relationship Id="rId16" Type="http://schemas.openxmlformats.org/officeDocument/2006/relationships/image" Target="../media/image9.svg"/><Relationship Id="rId20" Type="http://schemas.openxmlformats.org/officeDocument/2006/relationships/image" Target="../media/image13.svg"/><Relationship Id="rId1" Type="http://schemas.openxmlformats.org/officeDocument/2006/relationships/hyperlink" Target="#Dashboard!A1"/><Relationship Id="rId6" Type="http://schemas.openxmlformats.org/officeDocument/2006/relationships/hyperlink" Target="#New_Entry!A1"/><Relationship Id="rId11" Type="http://schemas.openxmlformats.org/officeDocument/2006/relationships/image" Target="../media/image4.png"/><Relationship Id="rId24" Type="http://schemas.openxmlformats.org/officeDocument/2006/relationships/image" Target="../media/image17.svg"/><Relationship Id="rId5" Type="http://schemas.openxmlformats.org/officeDocument/2006/relationships/hyperlink" Target="#Vendors!A1"/><Relationship Id="rId15" Type="http://schemas.openxmlformats.org/officeDocument/2006/relationships/image" Target="../media/image8.png"/><Relationship Id="rId23" Type="http://schemas.openxmlformats.org/officeDocument/2006/relationships/image" Target="../media/image16.png"/><Relationship Id="rId10" Type="http://schemas.openxmlformats.org/officeDocument/2006/relationships/image" Target="../media/image3.svg"/><Relationship Id="rId19" Type="http://schemas.openxmlformats.org/officeDocument/2006/relationships/image" Target="../media/image12.png"/><Relationship Id="rId4" Type="http://schemas.openxmlformats.org/officeDocument/2006/relationships/hyperlink" Target="#Inventory!A1"/><Relationship Id="rId9" Type="http://schemas.openxmlformats.org/officeDocument/2006/relationships/image" Target="../media/image2.png"/><Relationship Id="rId14" Type="http://schemas.openxmlformats.org/officeDocument/2006/relationships/image" Target="../media/image7.svg"/><Relationship Id="rId22" Type="http://schemas.openxmlformats.org/officeDocument/2006/relationships/image" Target="../media/image1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8A01EE-D95D-8F63-E73D-B2F4CE09B29A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A4B39-7B75-48B5-90EF-9CD40EA6DD66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D3F535-F4FF-4D11-A2FD-C6F24478CBB7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A56D73-7097-45EC-957F-11AF210E83EF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C502A4-3939-4174-8E39-1C16735894DB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D5B990A-1DBB-4EB8-8D14-32DD29F32A61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D64B1C7-5656-4BC4-A241-0CBD87A011CB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C9D5633-4386-4DB6-BE97-9321A2313734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0358AAC-6927-49B4-95AF-18054C0C56AD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2</xdr:col>
      <xdr:colOff>152400</xdr:colOff>
      <xdr:row>1</xdr:row>
      <xdr:rowOff>25400</xdr:rowOff>
    </xdr:from>
    <xdr:to>
      <xdr:col>18</xdr:col>
      <xdr:colOff>19050</xdr:colOff>
      <xdr:row>3</xdr:row>
      <xdr:rowOff>82550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883C98A-72AD-E502-EE32-F7B0C7FA7BBA}"/>
            </a:ext>
          </a:extLst>
        </xdr:cNvPr>
        <xdr:cNvSpPr/>
      </xdr:nvSpPr>
      <xdr:spPr>
        <a:xfrm>
          <a:off x="1879600" y="209550"/>
          <a:ext cx="892175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Inventory</a:t>
          </a:r>
          <a:r>
            <a:rPr lang="en-IN" sz="2000" b="1" baseline="0">
              <a:solidFill>
                <a:schemeClr val="tx1"/>
              </a:solidFill>
            </a:rPr>
            <a:t> Management System</a:t>
          </a:r>
          <a:endParaRPr lang="en-IN" sz="20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F1C65BA9-A2AE-8AB0-CCF5-853A1FF22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14" name="Graphic 13" descr="Clipboard Checked with solid fill">
          <a:extLst>
            <a:ext uri="{FF2B5EF4-FFF2-40B4-BE49-F238E27FC236}">
              <a16:creationId xmlns:a16="http://schemas.microsoft.com/office/drawing/2014/main" id="{75A04B7F-34E1-2DC7-09B3-9D880A1CA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16" name="Graphic 15" descr="For Sale outline">
          <a:extLst>
            <a:ext uri="{FF2B5EF4-FFF2-40B4-BE49-F238E27FC236}">
              <a16:creationId xmlns:a16="http://schemas.microsoft.com/office/drawing/2014/main" id="{64068991-7E31-9333-FBE1-11F31C3B0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18" name="Graphic 17" descr="Continuous Improvement with solid fill">
          <a:extLst>
            <a:ext uri="{FF2B5EF4-FFF2-40B4-BE49-F238E27FC236}">
              <a16:creationId xmlns:a16="http://schemas.microsoft.com/office/drawing/2014/main" id="{8A0081EB-C1E7-004C-D878-7955C3A06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21" name="Graphic 20" descr="Crops outline">
          <a:extLst>
            <a:ext uri="{FF2B5EF4-FFF2-40B4-BE49-F238E27FC236}">
              <a16:creationId xmlns:a16="http://schemas.microsoft.com/office/drawing/2014/main" id="{0F70B2FE-A64E-7AB0-96A9-63367C41E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25" name="Graphic 24" descr="Kiosk with solid fill">
          <a:extLst>
            <a:ext uri="{FF2B5EF4-FFF2-40B4-BE49-F238E27FC236}">
              <a16:creationId xmlns:a16="http://schemas.microsoft.com/office/drawing/2014/main" id="{858E67E7-0B13-E48B-A106-BD502C7CE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27" name="Graphic 26" descr="Target Audience with solid fill">
          <a:extLst>
            <a:ext uri="{FF2B5EF4-FFF2-40B4-BE49-F238E27FC236}">
              <a16:creationId xmlns:a16="http://schemas.microsoft.com/office/drawing/2014/main" id="{58BED26E-BE9E-1009-A671-192E44F50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29" name="Graphic 28" descr="Gauge with solid fill">
          <a:extLst>
            <a:ext uri="{FF2B5EF4-FFF2-40B4-BE49-F238E27FC236}">
              <a16:creationId xmlns:a16="http://schemas.microsoft.com/office/drawing/2014/main" id="{F733B7C0-CC51-69EF-44F2-751B65275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13</xdr:row>
      <xdr:rowOff>50801</xdr:rowOff>
    </xdr:from>
    <xdr:to>
      <xdr:col>1</xdr:col>
      <xdr:colOff>383200</xdr:colOff>
      <xdr:row>14</xdr:row>
      <xdr:rowOff>46651</xdr:rowOff>
    </xdr:to>
    <xdr:pic>
      <xdr:nvPicPr>
        <xdr:cNvPr id="30" name="Picture 29" descr="Ticket with solid fill">
          <a:extLst>
            <a:ext uri="{FF2B5EF4-FFF2-40B4-BE49-F238E27FC236}">
              <a16:creationId xmlns:a16="http://schemas.microsoft.com/office/drawing/2014/main" id="{2752C825-6B41-F1AE-5AEF-9404F502B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2600" y="2444751"/>
          <a:ext cx="180000" cy="180000"/>
        </a:xfrm>
        <a:prstGeom prst="rect">
          <a:avLst/>
        </a:prstGeom>
      </xdr:spPr>
    </xdr:pic>
    <xdr:clientData/>
  </xdr:twoCellAnchor>
  <xdr:twoCellAnchor>
    <xdr:from>
      <xdr:col>3</xdr:col>
      <xdr:colOff>506</xdr:colOff>
      <xdr:row>3</xdr:row>
      <xdr:rowOff>139700</xdr:rowOff>
    </xdr:from>
    <xdr:to>
      <xdr:col>18</xdr:col>
      <xdr:colOff>12700</xdr:colOff>
      <xdr:row>6</xdr:row>
      <xdr:rowOff>107950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48598FB8-F1C7-6876-6B34-6B0A68DD374E}"/>
            </a:ext>
          </a:extLst>
        </xdr:cNvPr>
        <xdr:cNvGrpSpPr/>
      </xdr:nvGrpSpPr>
      <xdr:grpSpPr>
        <a:xfrm>
          <a:off x="1886456" y="692150"/>
          <a:ext cx="8908544" cy="520700"/>
          <a:chOff x="1886456" y="762000"/>
          <a:chExt cx="8908544" cy="520700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349353F0-1AF9-6EC2-3F3E-72453E964725}"/>
              </a:ext>
            </a:extLst>
          </xdr:cNvPr>
          <xdr:cNvSpPr/>
        </xdr:nvSpPr>
        <xdr:spPr>
          <a:xfrm>
            <a:off x="1892300" y="774700"/>
            <a:ext cx="1371600" cy="508000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chemeClr val="tx1"/>
                </a:solidFill>
              </a:rPr>
              <a:t>  Customers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35F8FA12-D2D2-354C-92BD-F4D214618920}"/>
              </a:ext>
            </a:extLst>
          </xdr:cNvPr>
          <xdr:cNvSpPr/>
        </xdr:nvSpPr>
        <xdr:spPr>
          <a:xfrm>
            <a:off x="1886456" y="774700"/>
            <a:ext cx="94703" cy="50800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842128B9-8307-5CCE-302E-A73AF48ADB7B}"/>
              </a:ext>
            </a:extLst>
          </xdr:cNvPr>
          <xdr:cNvSpPr/>
        </xdr:nvSpPr>
        <xdr:spPr>
          <a:xfrm>
            <a:off x="3384550" y="774700"/>
            <a:ext cx="1384300" cy="508000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chemeClr val="tx1"/>
                </a:solidFill>
              </a:rPr>
              <a:t>  Products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52599EC3-6EB1-999C-DBF2-8F9EB5B87DB4}"/>
              </a:ext>
            </a:extLst>
          </xdr:cNvPr>
          <xdr:cNvSpPr/>
        </xdr:nvSpPr>
        <xdr:spPr>
          <a:xfrm>
            <a:off x="3384549" y="774700"/>
            <a:ext cx="95717" cy="508000"/>
          </a:xfrm>
          <a:prstGeom prst="rect">
            <a:avLst/>
          </a:prstGeom>
          <a:solidFill>
            <a:schemeClr val="accent2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A25515B7-844A-2E78-8A2B-4EA837A88D4F}"/>
              </a:ext>
            </a:extLst>
          </xdr:cNvPr>
          <xdr:cNvSpPr/>
        </xdr:nvSpPr>
        <xdr:spPr>
          <a:xfrm>
            <a:off x="4889500" y="768350"/>
            <a:ext cx="1384300" cy="508000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 Purchase Amt.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0814318-933A-02B9-FB10-A29C7601A057}"/>
              </a:ext>
            </a:extLst>
          </xdr:cNvPr>
          <xdr:cNvSpPr/>
        </xdr:nvSpPr>
        <xdr:spPr>
          <a:xfrm>
            <a:off x="4889499" y="768350"/>
            <a:ext cx="95717" cy="508000"/>
          </a:xfrm>
          <a:prstGeom prst="rect">
            <a:avLst/>
          </a:prstGeom>
          <a:solidFill>
            <a:srgbClr val="EE86DF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79F5A494-635C-C327-CE60-E587CC593F20}"/>
              </a:ext>
            </a:extLst>
          </xdr:cNvPr>
          <xdr:cNvSpPr/>
        </xdr:nvSpPr>
        <xdr:spPr>
          <a:xfrm>
            <a:off x="6400800" y="768350"/>
            <a:ext cx="1377950" cy="508000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 Sales Amt.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26DE8A5F-14D1-72AE-0DA5-953C0050D07F}"/>
              </a:ext>
            </a:extLst>
          </xdr:cNvPr>
          <xdr:cNvSpPr/>
        </xdr:nvSpPr>
        <xdr:spPr>
          <a:xfrm>
            <a:off x="6400800" y="768350"/>
            <a:ext cx="96224" cy="5080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49BA0682-45D5-48B9-0C6C-57DCA01838C0}"/>
              </a:ext>
            </a:extLst>
          </xdr:cNvPr>
          <xdr:cNvSpPr/>
        </xdr:nvSpPr>
        <xdr:spPr>
          <a:xfrm>
            <a:off x="7905750" y="768350"/>
            <a:ext cx="1377950" cy="508000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 Stock</a:t>
            </a:r>
            <a:r>
              <a:rPr lang="en-IN" sz="14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Amt.</a:t>
            </a:r>
            <a:endParaRPr lang="en-IN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8588C7C7-08A3-9BA5-6015-68C5532984AB}"/>
              </a:ext>
            </a:extLst>
          </xdr:cNvPr>
          <xdr:cNvSpPr/>
        </xdr:nvSpPr>
        <xdr:spPr>
          <a:xfrm>
            <a:off x="7905750" y="768350"/>
            <a:ext cx="96224" cy="508000"/>
          </a:xfrm>
          <a:prstGeom prst="rect">
            <a:avLst/>
          </a:prstGeom>
          <a:solidFill>
            <a:srgbClr val="FFC000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6194F97D-592C-37F2-3727-FF44D9552D48}"/>
              </a:ext>
            </a:extLst>
          </xdr:cNvPr>
          <xdr:cNvSpPr/>
        </xdr:nvSpPr>
        <xdr:spPr>
          <a:xfrm>
            <a:off x="9410700" y="762000"/>
            <a:ext cx="1384300" cy="508000"/>
          </a:xfrm>
          <a:prstGeom prst="rect">
            <a:avLst/>
          </a:prstGeom>
          <a:solidFill>
            <a:schemeClr val="bg1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 Profit/Loss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D814708A-DFBB-B3CB-5F26-8E36AB65F9E2}"/>
              </a:ext>
            </a:extLst>
          </xdr:cNvPr>
          <xdr:cNvSpPr/>
        </xdr:nvSpPr>
        <xdr:spPr>
          <a:xfrm>
            <a:off x="9410700" y="762000"/>
            <a:ext cx="96224" cy="508000"/>
          </a:xfrm>
          <a:prstGeom prst="rect">
            <a:avLst/>
          </a:prstGeom>
          <a:solidFill>
            <a:schemeClr val="accent4"/>
          </a:solidFill>
          <a:ln w="317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Pivots!C3">
        <xdr:nvSpPr>
          <xdr:cNvPr id="37" name="Rectangle 36">
            <a:extLst>
              <a:ext uri="{FF2B5EF4-FFF2-40B4-BE49-F238E27FC236}">
                <a16:creationId xmlns:a16="http://schemas.microsoft.com/office/drawing/2014/main" id="{654373C3-1696-39F8-5884-6DB8BB537DBF}"/>
              </a:ext>
            </a:extLst>
          </xdr:cNvPr>
          <xdr:cNvSpPr/>
        </xdr:nvSpPr>
        <xdr:spPr>
          <a:xfrm>
            <a:off x="2076450" y="1035050"/>
            <a:ext cx="1066800" cy="2095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88CF8B86-8CA2-4A4B-A10C-C809361693F8}" type="TxLink">
              <a:rPr lang="en-US" sz="1100" b="1" i="0" u="none" strike="noStrike">
                <a:solidFill>
                  <a:srgbClr val="000000"/>
                </a:solidFill>
                <a:latin typeface="Aptos Narrow"/>
              </a:rPr>
              <a:pPr algn="l"/>
              <a:t>8</a:t>
            </a:fld>
            <a:endParaRPr lang="en-IN" sz="1100" b="1"/>
          </a:p>
        </xdr:txBody>
      </xdr:sp>
      <xdr:sp macro="" textlink="Pivots!C6">
        <xdr:nvSpPr>
          <xdr:cNvPr id="40" name="Rectangle 39">
            <a:extLst>
              <a:ext uri="{FF2B5EF4-FFF2-40B4-BE49-F238E27FC236}">
                <a16:creationId xmlns:a16="http://schemas.microsoft.com/office/drawing/2014/main" id="{AC4FF793-09E1-3B37-9558-0EF7E2D73CCA}"/>
              </a:ext>
            </a:extLst>
          </xdr:cNvPr>
          <xdr:cNvSpPr/>
        </xdr:nvSpPr>
        <xdr:spPr>
          <a:xfrm>
            <a:off x="3575050" y="1035050"/>
            <a:ext cx="1066800" cy="2095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454DD863-1917-4ECF-94D3-9CA5AE51258A}" type="TxLink">
              <a:rPr lang="en-US" sz="1100" b="1" i="0" u="none" strike="noStrike">
                <a:solidFill>
                  <a:srgbClr val="000000"/>
                </a:solidFill>
                <a:latin typeface="Aptos Narrow"/>
              </a:rPr>
              <a:pPr algn="l"/>
              <a:t>12</a:t>
            </a:fld>
            <a:endParaRPr lang="en-IN" sz="1100" b="1"/>
          </a:p>
        </xdr:txBody>
      </xdr:sp>
      <xdr:sp macro="" textlink="Pivots!C9">
        <xdr:nvSpPr>
          <xdr:cNvPr id="43" name="Rectangle 42">
            <a:extLst>
              <a:ext uri="{FF2B5EF4-FFF2-40B4-BE49-F238E27FC236}">
                <a16:creationId xmlns:a16="http://schemas.microsoft.com/office/drawing/2014/main" id="{C3FF1B55-FA3B-AB82-6327-4D2D42B637CD}"/>
              </a:ext>
            </a:extLst>
          </xdr:cNvPr>
          <xdr:cNvSpPr/>
        </xdr:nvSpPr>
        <xdr:spPr>
          <a:xfrm>
            <a:off x="5092700" y="1035050"/>
            <a:ext cx="1060450" cy="2032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A1C57747-19BC-43C8-94A9-8065F183FF3A}" type="TxLink">
              <a:rPr lang="en-US" sz="1100" b="1" i="0" u="none" strike="noStrike">
                <a:solidFill>
                  <a:srgbClr val="000000"/>
                </a:solidFill>
                <a:latin typeface="Aptos Narrow"/>
              </a:rPr>
              <a:pPr algn="l"/>
              <a:t>₹ 79,11,690.00</a:t>
            </a:fld>
            <a:endParaRPr lang="en-IN" sz="1100" b="1"/>
          </a:p>
        </xdr:txBody>
      </xdr:sp>
      <xdr:sp macro="" textlink="Pivots!C12">
        <xdr:nvSpPr>
          <xdr:cNvPr id="46" name="Rectangle 45">
            <a:extLst>
              <a:ext uri="{FF2B5EF4-FFF2-40B4-BE49-F238E27FC236}">
                <a16:creationId xmlns:a16="http://schemas.microsoft.com/office/drawing/2014/main" id="{C47903D4-E017-134E-9D8D-502F5E765549}"/>
              </a:ext>
            </a:extLst>
          </xdr:cNvPr>
          <xdr:cNvSpPr/>
        </xdr:nvSpPr>
        <xdr:spPr>
          <a:xfrm>
            <a:off x="6597650" y="996950"/>
            <a:ext cx="1066800" cy="2413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1B356D28-9C2F-4B7B-B280-4EF40E1176D7}" type="TxLink">
              <a:rPr lang="en-US" sz="1100" b="1" i="0" u="none" strike="noStrike">
                <a:solidFill>
                  <a:srgbClr val="000000"/>
                </a:solidFill>
                <a:latin typeface="Aptos Narrow"/>
              </a:rPr>
              <a:pPr algn="l"/>
              <a:t>₹ 44,03,923.40</a:t>
            </a:fld>
            <a:endParaRPr lang="en-IN" sz="1100" b="1"/>
          </a:p>
        </xdr:txBody>
      </xdr:sp>
      <xdr:sp macro="" textlink="Pivots!C15">
        <xdr:nvSpPr>
          <xdr:cNvPr id="47" name="Rectangle 46">
            <a:extLst>
              <a:ext uri="{FF2B5EF4-FFF2-40B4-BE49-F238E27FC236}">
                <a16:creationId xmlns:a16="http://schemas.microsoft.com/office/drawing/2014/main" id="{E7E337F3-BC6C-69F9-744D-4CE776ADAF3F}"/>
              </a:ext>
            </a:extLst>
          </xdr:cNvPr>
          <xdr:cNvSpPr/>
        </xdr:nvSpPr>
        <xdr:spPr>
          <a:xfrm>
            <a:off x="8096250" y="1035050"/>
            <a:ext cx="1073150" cy="2032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0021D51B-0F79-452E-A81B-8D7CEBB8F589}" type="TxLink">
              <a:rPr lang="en-US" sz="1100" b="1" i="0" u="none" strike="noStrike">
                <a:solidFill>
                  <a:srgbClr val="000000"/>
                </a:solidFill>
                <a:latin typeface="Aptos Narrow"/>
              </a:rPr>
              <a:pPr algn="l"/>
              <a:t>₹ 41,76,763.00</a:t>
            </a:fld>
            <a:endParaRPr lang="en-IN" sz="1100" b="1"/>
          </a:p>
        </xdr:txBody>
      </xdr:sp>
      <xdr:sp macro="" textlink="Pivots!C18">
        <xdr:nvSpPr>
          <xdr:cNvPr id="50" name="Rectangle 49">
            <a:extLst>
              <a:ext uri="{FF2B5EF4-FFF2-40B4-BE49-F238E27FC236}">
                <a16:creationId xmlns:a16="http://schemas.microsoft.com/office/drawing/2014/main" id="{43184C01-F2E9-ED6A-FD82-CC2580B2B40C}"/>
              </a:ext>
            </a:extLst>
          </xdr:cNvPr>
          <xdr:cNvSpPr/>
        </xdr:nvSpPr>
        <xdr:spPr>
          <a:xfrm>
            <a:off x="9601200" y="1035050"/>
            <a:ext cx="1073150" cy="196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fld id="{76607286-5994-4C75-80EC-B8B93CB895C3}" type="TxLink">
              <a:rPr lang="en-US" sz="1100" b="1" i="0" u="none" strike="noStrike">
                <a:solidFill>
                  <a:srgbClr val="000000"/>
                </a:solidFill>
                <a:latin typeface="Aptos Narrow"/>
              </a:rPr>
              <a:pPr algn="l"/>
              <a:t>₹ 6,68,996.40</a:t>
            </a:fld>
            <a:endParaRPr lang="en-IN" sz="1100" b="1"/>
          </a:p>
        </xdr:txBody>
      </xdr:sp>
    </xdr:grpSp>
    <xdr:clientData/>
  </xdr:twoCellAnchor>
  <xdr:twoCellAnchor>
    <xdr:from>
      <xdr:col>10</xdr:col>
      <xdr:colOff>463550</xdr:colOff>
      <xdr:row>7</xdr:row>
      <xdr:rowOff>19050</xdr:rowOff>
    </xdr:from>
    <xdr:to>
      <xdr:col>18</xdr:col>
      <xdr:colOff>0</xdr:colOff>
      <xdr:row>16</xdr:row>
      <xdr:rowOff>44450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C179600D-EDB7-B019-102F-530F4E9AEBDB}"/>
            </a:ext>
          </a:extLst>
        </xdr:cNvPr>
        <xdr:cNvGrpSpPr/>
      </xdr:nvGrpSpPr>
      <xdr:grpSpPr>
        <a:xfrm>
          <a:off x="6616700" y="1308100"/>
          <a:ext cx="4165600" cy="1682750"/>
          <a:chOff x="6762750" y="1308100"/>
          <a:chExt cx="4019550" cy="168275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0BE99D2E-CBED-4B76-B790-2812E35F2D78}"/>
              </a:ext>
            </a:extLst>
          </xdr:cNvPr>
          <xdr:cNvGraphicFramePr>
            <a:graphicFrameLocks/>
          </xdr:cNvGraphicFramePr>
        </xdr:nvGraphicFramePr>
        <xdr:xfrm>
          <a:off x="8820150" y="1308100"/>
          <a:ext cx="1962150" cy="16700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6"/>
          </a:graphicData>
        </a:graphic>
      </xdr:graphicFrame>
      <xdr:graphicFrame macro="">
        <xdr:nvGraphicFramePr>
          <xdr:cNvPr id="34" name="Chart 33">
            <a:extLst>
              <a:ext uri="{FF2B5EF4-FFF2-40B4-BE49-F238E27FC236}">
                <a16:creationId xmlns:a16="http://schemas.microsoft.com/office/drawing/2014/main" id="{3FA5A679-12AB-400B-A8B8-A59A4A958AAD}"/>
              </a:ext>
            </a:extLst>
          </xdr:cNvPr>
          <xdr:cNvGraphicFramePr>
            <a:graphicFrameLocks/>
          </xdr:cNvGraphicFramePr>
        </xdr:nvGraphicFramePr>
        <xdr:xfrm>
          <a:off x="6762750" y="1308100"/>
          <a:ext cx="2038350" cy="168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7"/>
          </a:graphicData>
        </a:graphic>
      </xdr:graphicFrame>
    </xdr:grpSp>
    <xdr:clientData/>
  </xdr:twoCellAnchor>
  <xdr:twoCellAnchor>
    <xdr:from>
      <xdr:col>3</xdr:col>
      <xdr:colOff>6350</xdr:colOff>
      <xdr:row>7</xdr:row>
      <xdr:rowOff>6350</xdr:rowOff>
    </xdr:from>
    <xdr:to>
      <xdr:col>10</xdr:col>
      <xdr:colOff>387350</xdr:colOff>
      <xdr:row>23</xdr:row>
      <xdr:rowOff>177800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EC5B57B2-BA83-4EB1-9814-AC84F7C07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43844ED-3C64-43FA-ABDF-E9BA8BDFC6CE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B97266-22A1-44A2-9C37-AE39CFC821A7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FEAE71-1EEB-47A1-898D-A2144EC6DFE7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A7F2E8-D6D4-42F7-B706-C75BA5F3D695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B561D3-F632-4039-8D73-48CF42D9D400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8A9A414-5924-4555-BEB2-6C73E86F6BE7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426CB8-BB25-4A92-82B0-3DB562415133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EFFF8C2-3662-488F-9EE0-B986DE3F369F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7CD63D4-5180-4FF2-BDB5-1656A94AA469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3</xdr:col>
      <xdr:colOff>6350</xdr:colOff>
      <xdr:row>1</xdr:row>
      <xdr:rowOff>25400</xdr:rowOff>
    </xdr:from>
    <xdr:to>
      <xdr:col>17</xdr:col>
      <xdr:colOff>82550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574AFDB-EC92-447F-B443-833F9F80A4ED}"/>
            </a:ext>
          </a:extLst>
        </xdr:cNvPr>
        <xdr:cNvSpPr/>
      </xdr:nvSpPr>
      <xdr:spPr>
        <a:xfrm>
          <a:off x="1860550" y="209550"/>
          <a:ext cx="1010285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69" name="Graphic 68" descr="Search Inventory with solid fill">
          <a:extLst>
            <a:ext uri="{FF2B5EF4-FFF2-40B4-BE49-F238E27FC236}">
              <a16:creationId xmlns:a16="http://schemas.microsoft.com/office/drawing/2014/main" id="{9F7B1355-FFAD-4608-B8BA-E9E52DBAA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70" name="Graphic 69" descr="Clipboard Checked with solid fill">
          <a:extLst>
            <a:ext uri="{FF2B5EF4-FFF2-40B4-BE49-F238E27FC236}">
              <a16:creationId xmlns:a16="http://schemas.microsoft.com/office/drawing/2014/main" id="{692C25D6-7EB8-46B3-AB9E-13BF77B06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71" name="Graphic 70" descr="For Sale outline">
          <a:extLst>
            <a:ext uri="{FF2B5EF4-FFF2-40B4-BE49-F238E27FC236}">
              <a16:creationId xmlns:a16="http://schemas.microsoft.com/office/drawing/2014/main" id="{B2206CE2-D88D-4743-86BB-9333B0C6C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72" name="Graphic 71" descr="Continuous Improvement with solid fill">
          <a:extLst>
            <a:ext uri="{FF2B5EF4-FFF2-40B4-BE49-F238E27FC236}">
              <a16:creationId xmlns:a16="http://schemas.microsoft.com/office/drawing/2014/main" id="{C6F4BB14-79DF-46AD-9ED1-3BE691C4B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73" name="Graphic 72" descr="Crops outline">
          <a:extLst>
            <a:ext uri="{FF2B5EF4-FFF2-40B4-BE49-F238E27FC236}">
              <a16:creationId xmlns:a16="http://schemas.microsoft.com/office/drawing/2014/main" id="{5A498E9D-AFFA-4009-A4B9-3A9DFF8BE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74" name="Graphic 73" descr="Kiosk with solid fill">
          <a:extLst>
            <a:ext uri="{FF2B5EF4-FFF2-40B4-BE49-F238E27FC236}">
              <a16:creationId xmlns:a16="http://schemas.microsoft.com/office/drawing/2014/main" id="{5B68785A-FC7F-4903-8660-93D48CD32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75" name="Graphic 74" descr="Target Audience with solid fill">
          <a:extLst>
            <a:ext uri="{FF2B5EF4-FFF2-40B4-BE49-F238E27FC236}">
              <a16:creationId xmlns:a16="http://schemas.microsoft.com/office/drawing/2014/main" id="{AB4A78A0-08A3-41D6-8C90-166FA69E3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76" name="Graphic 75" descr="Gauge with solid fill">
          <a:extLst>
            <a:ext uri="{FF2B5EF4-FFF2-40B4-BE49-F238E27FC236}">
              <a16:creationId xmlns:a16="http://schemas.microsoft.com/office/drawing/2014/main" id="{08B23155-4DFD-41AD-BAB0-D2D12EEF6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13</xdr:row>
      <xdr:rowOff>50801</xdr:rowOff>
    </xdr:from>
    <xdr:to>
      <xdr:col>1</xdr:col>
      <xdr:colOff>376850</xdr:colOff>
      <xdr:row>14</xdr:row>
      <xdr:rowOff>46651</xdr:rowOff>
    </xdr:to>
    <xdr:pic>
      <xdr:nvPicPr>
        <xdr:cNvPr id="77" name="Picture 76" descr="Ticket with solid fill">
          <a:extLst>
            <a:ext uri="{FF2B5EF4-FFF2-40B4-BE49-F238E27FC236}">
              <a16:creationId xmlns:a16="http://schemas.microsoft.com/office/drawing/2014/main" id="{B9893D9C-E50E-4B24-AD97-9B4B1639E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0" y="2444751"/>
          <a:ext cx="180000" cy="1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3026F30-3E58-4CAB-B973-AD1BF99BAF4F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EC22A-A882-4C09-8492-31A0B3702F0E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D760D0-77FD-4C9B-BA82-EDC8167E3E7B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89C99C-BD70-4045-9E52-78B50156F291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6624D27-A7B1-454F-B79A-0CA4ADF6D80E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EDF7511-FB7C-4418-B8D6-766F81C46E5B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F65A3AD-A7E8-44A1-AFB5-31FA37A05CE7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656A539-A7FE-4F2C-BA47-60E2A54561EE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17E0740-8B77-4E18-9071-469D094B4506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3</xdr:col>
      <xdr:colOff>0</xdr:colOff>
      <xdr:row>1</xdr:row>
      <xdr:rowOff>25400</xdr:rowOff>
    </xdr:from>
    <xdr:to>
      <xdr:col>16</xdr:col>
      <xdr:colOff>260350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BAD0E5C-784A-4CC9-963B-63670C348487}"/>
            </a:ext>
          </a:extLst>
        </xdr:cNvPr>
        <xdr:cNvSpPr/>
      </xdr:nvSpPr>
      <xdr:spPr>
        <a:xfrm>
          <a:off x="1866900" y="209550"/>
          <a:ext cx="908050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31" name="Graphic 30" descr="Search Inventory with solid fill">
          <a:extLst>
            <a:ext uri="{FF2B5EF4-FFF2-40B4-BE49-F238E27FC236}">
              <a16:creationId xmlns:a16="http://schemas.microsoft.com/office/drawing/2014/main" id="{80B7BC8A-3CE6-44BB-A0DC-33C19E889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32" name="Graphic 31" descr="Clipboard Checked with solid fill">
          <a:extLst>
            <a:ext uri="{FF2B5EF4-FFF2-40B4-BE49-F238E27FC236}">
              <a16:creationId xmlns:a16="http://schemas.microsoft.com/office/drawing/2014/main" id="{9EC364A2-06C8-4A6D-A018-38782694E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33" name="Graphic 32" descr="For Sale outline">
          <a:extLst>
            <a:ext uri="{FF2B5EF4-FFF2-40B4-BE49-F238E27FC236}">
              <a16:creationId xmlns:a16="http://schemas.microsoft.com/office/drawing/2014/main" id="{D29831E7-327B-450B-AE05-24B62FE2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34" name="Graphic 33" descr="Continuous Improvement with solid fill">
          <a:extLst>
            <a:ext uri="{FF2B5EF4-FFF2-40B4-BE49-F238E27FC236}">
              <a16:creationId xmlns:a16="http://schemas.microsoft.com/office/drawing/2014/main" id="{AF147948-F7D1-4A2E-AFA9-A3B87B0D5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35" name="Graphic 34" descr="Crops outline">
          <a:extLst>
            <a:ext uri="{FF2B5EF4-FFF2-40B4-BE49-F238E27FC236}">
              <a16:creationId xmlns:a16="http://schemas.microsoft.com/office/drawing/2014/main" id="{943577F2-10DD-4293-A42B-49617AE9E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36" name="Graphic 35" descr="Kiosk with solid fill">
          <a:extLst>
            <a:ext uri="{FF2B5EF4-FFF2-40B4-BE49-F238E27FC236}">
              <a16:creationId xmlns:a16="http://schemas.microsoft.com/office/drawing/2014/main" id="{66630BBF-38B0-4C59-B914-BA20E7B5A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37" name="Graphic 36" descr="Target Audience with solid fill">
          <a:extLst>
            <a:ext uri="{FF2B5EF4-FFF2-40B4-BE49-F238E27FC236}">
              <a16:creationId xmlns:a16="http://schemas.microsoft.com/office/drawing/2014/main" id="{440D6C10-3F60-4C09-881D-0C3CCA74F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38" name="Graphic 37" descr="Gauge with solid fill">
          <a:extLst>
            <a:ext uri="{FF2B5EF4-FFF2-40B4-BE49-F238E27FC236}">
              <a16:creationId xmlns:a16="http://schemas.microsoft.com/office/drawing/2014/main" id="{E5961DD5-3CE2-4E8B-ADFD-ABB296BF8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13</xdr:row>
      <xdr:rowOff>57151</xdr:rowOff>
    </xdr:from>
    <xdr:to>
      <xdr:col>1</xdr:col>
      <xdr:colOff>376850</xdr:colOff>
      <xdr:row>14</xdr:row>
      <xdr:rowOff>53001</xdr:rowOff>
    </xdr:to>
    <xdr:pic>
      <xdr:nvPicPr>
        <xdr:cNvPr id="39" name="Picture 38" descr="Ticket with solid fill">
          <a:extLst>
            <a:ext uri="{FF2B5EF4-FFF2-40B4-BE49-F238E27FC236}">
              <a16:creationId xmlns:a16="http://schemas.microsoft.com/office/drawing/2014/main" id="{13F57A08-953D-4DFF-A743-05762F39A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0" y="2451101"/>
          <a:ext cx="180000" cy="1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CBE066A-F6A8-4C3B-ADFB-879E65AF10A1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A2A704-10F4-4D33-802F-687A201F1127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D77A61-30D1-4F28-A5C1-76AB1690EE6D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5D6EE8-2B6B-438D-A67F-63FD15A67AF8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93A4BD-0148-4776-81E2-359F4DFE2E83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C5C0E66-3322-452E-95CA-E111AA3413AA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2EDD27E-D493-4DA7-B87E-1695EF50122D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71544CD-5EF0-404C-B2C9-14E43B127832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151C664-A8DA-4F72-BF2D-EDCEC8A219F1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2</xdr:col>
      <xdr:colOff>139700</xdr:colOff>
      <xdr:row>1</xdr:row>
      <xdr:rowOff>25400</xdr:rowOff>
    </xdr:from>
    <xdr:to>
      <xdr:col>14</xdr:col>
      <xdr:colOff>552450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1DC02B3-FE26-4475-AFC4-17A9F7126403}"/>
            </a:ext>
          </a:extLst>
        </xdr:cNvPr>
        <xdr:cNvSpPr/>
      </xdr:nvSpPr>
      <xdr:spPr>
        <a:xfrm>
          <a:off x="1866900" y="209550"/>
          <a:ext cx="908050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31" name="Graphic 30" descr="Search Inventory with solid fill">
          <a:extLst>
            <a:ext uri="{FF2B5EF4-FFF2-40B4-BE49-F238E27FC236}">
              <a16:creationId xmlns:a16="http://schemas.microsoft.com/office/drawing/2014/main" id="{3726E25D-5148-4726-9F7D-D3BFDC21A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32" name="Graphic 31" descr="Clipboard Checked with solid fill">
          <a:extLst>
            <a:ext uri="{FF2B5EF4-FFF2-40B4-BE49-F238E27FC236}">
              <a16:creationId xmlns:a16="http://schemas.microsoft.com/office/drawing/2014/main" id="{0E6B3ACF-56C8-4A28-9EC8-96DBCEF79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33" name="Graphic 32" descr="For Sale outline">
          <a:extLst>
            <a:ext uri="{FF2B5EF4-FFF2-40B4-BE49-F238E27FC236}">
              <a16:creationId xmlns:a16="http://schemas.microsoft.com/office/drawing/2014/main" id="{72CCC860-EB9A-4664-A499-4A9F9C0F2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34" name="Graphic 33" descr="Continuous Improvement with solid fill">
          <a:extLst>
            <a:ext uri="{FF2B5EF4-FFF2-40B4-BE49-F238E27FC236}">
              <a16:creationId xmlns:a16="http://schemas.microsoft.com/office/drawing/2014/main" id="{C5057112-BA42-4025-8022-DB277C37C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35" name="Graphic 34" descr="Crops outline">
          <a:extLst>
            <a:ext uri="{FF2B5EF4-FFF2-40B4-BE49-F238E27FC236}">
              <a16:creationId xmlns:a16="http://schemas.microsoft.com/office/drawing/2014/main" id="{E17B5DF5-D752-4990-B1DB-544419A65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36" name="Graphic 35" descr="Kiosk with solid fill">
          <a:extLst>
            <a:ext uri="{FF2B5EF4-FFF2-40B4-BE49-F238E27FC236}">
              <a16:creationId xmlns:a16="http://schemas.microsoft.com/office/drawing/2014/main" id="{CA4584D1-1F19-473D-8D12-267EB7EFD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37" name="Graphic 36" descr="Target Audience with solid fill">
          <a:extLst>
            <a:ext uri="{FF2B5EF4-FFF2-40B4-BE49-F238E27FC236}">
              <a16:creationId xmlns:a16="http://schemas.microsoft.com/office/drawing/2014/main" id="{84FD0000-8E60-4536-BD80-15EA08DC7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38" name="Graphic 37" descr="Gauge with solid fill">
          <a:extLst>
            <a:ext uri="{FF2B5EF4-FFF2-40B4-BE49-F238E27FC236}">
              <a16:creationId xmlns:a16="http://schemas.microsoft.com/office/drawing/2014/main" id="{503DB0C4-5381-4B0C-AAE7-F9D52E7AF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13</xdr:row>
      <xdr:rowOff>63501</xdr:rowOff>
    </xdr:from>
    <xdr:to>
      <xdr:col>1</xdr:col>
      <xdr:colOff>357800</xdr:colOff>
      <xdr:row>14</xdr:row>
      <xdr:rowOff>59351</xdr:rowOff>
    </xdr:to>
    <xdr:pic>
      <xdr:nvPicPr>
        <xdr:cNvPr id="39" name="Picture 38" descr="Ticket with solid fill">
          <a:extLst>
            <a:ext uri="{FF2B5EF4-FFF2-40B4-BE49-F238E27FC236}">
              <a16:creationId xmlns:a16="http://schemas.microsoft.com/office/drawing/2014/main" id="{DF7BE56E-EEF8-4C9A-B43B-02F9B6525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7200" y="2457451"/>
          <a:ext cx="180000" cy="18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00F0E3-6B23-41B0-9801-CA17B67C834D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F85A18-A573-4E0A-BE08-E7559FA62738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09301F-F2C6-4AD7-8142-46ED6CFC0CF4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BB7524-8896-4167-80F5-4378339FA46F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D49779A-4097-4F88-822E-C03B565C7078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88C023-D0E4-4E7A-8AB1-7B9E3DC17549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F243C38-CFEA-410A-8E23-37BC97E955C6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New E</a:t>
          </a:r>
          <a:r>
            <a:rPr lang="en-IN" sz="1100" b="1" baseline="0">
              <a:solidFill>
                <a:schemeClr val="tx1"/>
              </a:solidFill>
            </a:rPr>
            <a:t>ntry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C2470AE-6C05-4477-9B52-60E5335F65D6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542D5F-C6B0-4E26-8F8C-B9E307EE4E72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3</xdr:col>
      <xdr:colOff>0</xdr:colOff>
      <xdr:row>1</xdr:row>
      <xdr:rowOff>25400</xdr:rowOff>
    </xdr:from>
    <xdr:to>
      <xdr:col>17</xdr:col>
      <xdr:colOff>247650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C189B9A-589E-422A-AB23-7EBD3B8B5C97}"/>
            </a:ext>
          </a:extLst>
        </xdr:cNvPr>
        <xdr:cNvSpPr/>
      </xdr:nvSpPr>
      <xdr:spPr>
        <a:xfrm>
          <a:off x="1866900" y="209550"/>
          <a:ext cx="908050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New Entry</a:t>
          </a: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631947DF-3677-403F-A54D-4B22F1684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13" name="Graphic 12" descr="Clipboard Checked with solid fill">
          <a:extLst>
            <a:ext uri="{FF2B5EF4-FFF2-40B4-BE49-F238E27FC236}">
              <a16:creationId xmlns:a16="http://schemas.microsoft.com/office/drawing/2014/main" id="{BCD6C5AC-BABB-45C6-9BE5-225BD75A1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14" name="Graphic 13" descr="For Sale outline">
          <a:extLst>
            <a:ext uri="{FF2B5EF4-FFF2-40B4-BE49-F238E27FC236}">
              <a16:creationId xmlns:a16="http://schemas.microsoft.com/office/drawing/2014/main" id="{E4E9D949-2B6E-44D6-8C1F-2973F5A83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15" name="Graphic 14" descr="Continuous Improvement with solid fill">
          <a:extLst>
            <a:ext uri="{FF2B5EF4-FFF2-40B4-BE49-F238E27FC236}">
              <a16:creationId xmlns:a16="http://schemas.microsoft.com/office/drawing/2014/main" id="{32A1BC29-CA4C-498E-B5D2-C3ABD33E1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16" name="Graphic 15" descr="Crops outline">
          <a:extLst>
            <a:ext uri="{FF2B5EF4-FFF2-40B4-BE49-F238E27FC236}">
              <a16:creationId xmlns:a16="http://schemas.microsoft.com/office/drawing/2014/main" id="{9BB8CA8C-942A-41F1-8952-F9A5BC443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17" name="Graphic 16" descr="Kiosk with solid fill">
          <a:extLst>
            <a:ext uri="{FF2B5EF4-FFF2-40B4-BE49-F238E27FC236}">
              <a16:creationId xmlns:a16="http://schemas.microsoft.com/office/drawing/2014/main" id="{F612F098-034A-4302-A1E2-C985CE980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18" name="Graphic 17" descr="Target Audience with solid fill">
          <a:extLst>
            <a:ext uri="{FF2B5EF4-FFF2-40B4-BE49-F238E27FC236}">
              <a16:creationId xmlns:a16="http://schemas.microsoft.com/office/drawing/2014/main" id="{21CE47B9-BEE6-4C7A-9800-8A4AFE745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19" name="Graphic 18" descr="Gauge with solid fill">
          <a:extLst>
            <a:ext uri="{FF2B5EF4-FFF2-40B4-BE49-F238E27FC236}">
              <a16:creationId xmlns:a16="http://schemas.microsoft.com/office/drawing/2014/main" id="{2A855707-6162-4487-BA97-0E41287D6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57151</xdr:rowOff>
    </xdr:from>
    <xdr:to>
      <xdr:col>1</xdr:col>
      <xdr:colOff>370500</xdr:colOff>
      <xdr:row>14</xdr:row>
      <xdr:rowOff>53001</xdr:rowOff>
    </xdr:to>
    <xdr:pic>
      <xdr:nvPicPr>
        <xdr:cNvPr id="20" name="Picture 19" descr="Ticket with solid fill">
          <a:extLst>
            <a:ext uri="{FF2B5EF4-FFF2-40B4-BE49-F238E27FC236}">
              <a16:creationId xmlns:a16="http://schemas.microsoft.com/office/drawing/2014/main" id="{993F60A8-0841-4957-AC6A-8AA51CF3E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900" y="2451101"/>
          <a:ext cx="180000" cy="18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D91615-9002-4E17-9860-2E2C6F37C84A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C8995-253F-401F-8E4D-8C1CED78DA09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62B7BE-ADD4-4D60-B556-F56AEA372759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4195C4-79E9-4A3A-AE54-715B5F4562C4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C4ED38-566F-423C-A6C3-5C11BA08040A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7AF0916-673E-4E95-982A-1ED2E29AC0AE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E4D5ED5-9E3C-4734-B5D4-A3A1419BA123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68C584F-A519-4F86-A174-6C06C511FD27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7DE159-99AE-402D-BC5A-C0D4EDE803D3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3</xdr:col>
      <xdr:colOff>0</xdr:colOff>
      <xdr:row>1</xdr:row>
      <xdr:rowOff>25400</xdr:rowOff>
    </xdr:from>
    <xdr:to>
      <xdr:col>15</xdr:col>
      <xdr:colOff>571500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8EA2A08-7C31-44F5-8447-27E4599006F0}"/>
            </a:ext>
          </a:extLst>
        </xdr:cNvPr>
        <xdr:cNvSpPr/>
      </xdr:nvSpPr>
      <xdr:spPr>
        <a:xfrm>
          <a:off x="1866900" y="209550"/>
          <a:ext cx="908050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683F12EA-91B1-441D-8308-8E3795426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13" name="Graphic 12" descr="Clipboard Checked with solid fill">
          <a:extLst>
            <a:ext uri="{FF2B5EF4-FFF2-40B4-BE49-F238E27FC236}">
              <a16:creationId xmlns:a16="http://schemas.microsoft.com/office/drawing/2014/main" id="{BA0B4BD6-48C6-49E5-A438-7FB4741E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14" name="Graphic 13" descr="For Sale outline">
          <a:extLst>
            <a:ext uri="{FF2B5EF4-FFF2-40B4-BE49-F238E27FC236}">
              <a16:creationId xmlns:a16="http://schemas.microsoft.com/office/drawing/2014/main" id="{6BF49925-ED46-46C6-98CF-77FBD05C2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15" name="Graphic 14" descr="Continuous Improvement with solid fill">
          <a:extLst>
            <a:ext uri="{FF2B5EF4-FFF2-40B4-BE49-F238E27FC236}">
              <a16:creationId xmlns:a16="http://schemas.microsoft.com/office/drawing/2014/main" id="{C103F69D-3DB1-4228-8F10-B0ABD10F5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16" name="Graphic 15" descr="Crops outline">
          <a:extLst>
            <a:ext uri="{FF2B5EF4-FFF2-40B4-BE49-F238E27FC236}">
              <a16:creationId xmlns:a16="http://schemas.microsoft.com/office/drawing/2014/main" id="{D5965991-5D69-4C7C-9EAB-D9F47BD0C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17" name="Graphic 16" descr="Kiosk with solid fill">
          <a:extLst>
            <a:ext uri="{FF2B5EF4-FFF2-40B4-BE49-F238E27FC236}">
              <a16:creationId xmlns:a16="http://schemas.microsoft.com/office/drawing/2014/main" id="{EA8E5FF0-5FDA-4B48-B9A8-223E7B543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18" name="Graphic 17" descr="Target Audience with solid fill">
          <a:extLst>
            <a:ext uri="{FF2B5EF4-FFF2-40B4-BE49-F238E27FC236}">
              <a16:creationId xmlns:a16="http://schemas.microsoft.com/office/drawing/2014/main" id="{D124E053-0F26-4DD1-9204-53216112E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19" name="Graphic 18" descr="Gauge with solid fill">
          <a:extLst>
            <a:ext uri="{FF2B5EF4-FFF2-40B4-BE49-F238E27FC236}">
              <a16:creationId xmlns:a16="http://schemas.microsoft.com/office/drawing/2014/main" id="{723D0A53-11EC-4102-93AD-576444954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57151</xdr:rowOff>
    </xdr:from>
    <xdr:to>
      <xdr:col>1</xdr:col>
      <xdr:colOff>370500</xdr:colOff>
      <xdr:row>14</xdr:row>
      <xdr:rowOff>53001</xdr:rowOff>
    </xdr:to>
    <xdr:pic>
      <xdr:nvPicPr>
        <xdr:cNvPr id="20" name="Picture 19" descr="Ticket with solid fill">
          <a:extLst>
            <a:ext uri="{FF2B5EF4-FFF2-40B4-BE49-F238E27FC236}">
              <a16:creationId xmlns:a16="http://schemas.microsoft.com/office/drawing/2014/main" id="{0ACDBD71-7FA0-4B90-88AB-67C223E57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900" y="2451101"/>
          <a:ext cx="180000" cy="18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C909BEB-A34E-45E7-92D4-94FD618CB5E6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E6F72-B8CB-4FC6-8872-DF30CEE0983F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D379B49-0C0C-435A-AC2F-F473D6FE1B44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5FD2BF-5AF8-4111-BF53-987AE32DB231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75C52E-10F5-4C74-86DC-6476D679F925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77C1121-58D4-4AB5-A594-A59B15C34201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BCF1C90-CCFB-454D-A49B-2D0382792039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436D611-027F-4283-9EB0-08C3B10D096E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FC5706D-C4A4-4397-ABD8-6E5D0651E837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2</xdr:col>
      <xdr:colOff>139700</xdr:colOff>
      <xdr:row>1</xdr:row>
      <xdr:rowOff>25400</xdr:rowOff>
    </xdr:from>
    <xdr:to>
      <xdr:col>15</xdr:col>
      <xdr:colOff>349250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C942B69-9F22-4827-9860-3FF49944693A}"/>
            </a:ext>
          </a:extLst>
        </xdr:cNvPr>
        <xdr:cNvSpPr/>
      </xdr:nvSpPr>
      <xdr:spPr>
        <a:xfrm>
          <a:off x="1866900" y="209550"/>
          <a:ext cx="908050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oneCell">
    <xdr:from>
      <xdr:col>1</xdr:col>
      <xdr:colOff>463550</xdr:colOff>
      <xdr:row>1</xdr:row>
      <xdr:rowOff>19050</xdr:rowOff>
    </xdr:from>
    <xdr:to>
      <xdr:col>1</xdr:col>
      <xdr:colOff>1041400</xdr:colOff>
      <xdr:row>4</xdr:row>
      <xdr:rowOff>44450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D0200B60-BABB-4B97-B618-6113C9A09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295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</xdr:row>
      <xdr:rowOff>114300</xdr:rowOff>
    </xdr:from>
    <xdr:to>
      <xdr:col>1</xdr:col>
      <xdr:colOff>351450</xdr:colOff>
      <xdr:row>18</xdr:row>
      <xdr:rowOff>110150</xdr:rowOff>
    </xdr:to>
    <xdr:pic>
      <xdr:nvPicPr>
        <xdr:cNvPr id="13" name="Graphic 12" descr="Clipboard Checked with solid fill">
          <a:extLst>
            <a:ext uri="{FF2B5EF4-FFF2-40B4-BE49-F238E27FC236}">
              <a16:creationId xmlns:a16="http://schemas.microsoft.com/office/drawing/2014/main" id="{C42F7C31-9628-4178-A3EF-BA4BD9E13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0850" y="3244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198561</xdr:colOff>
      <xdr:row>7</xdr:row>
      <xdr:rowOff>43761</xdr:rowOff>
    </xdr:from>
    <xdr:to>
      <xdr:col>1</xdr:col>
      <xdr:colOff>378561</xdr:colOff>
      <xdr:row>8</xdr:row>
      <xdr:rowOff>39611</xdr:rowOff>
    </xdr:to>
    <xdr:pic>
      <xdr:nvPicPr>
        <xdr:cNvPr id="14" name="Graphic 13" descr="For Sale outline">
          <a:extLst>
            <a:ext uri="{FF2B5EF4-FFF2-40B4-BE49-F238E27FC236}">
              <a16:creationId xmlns:a16="http://schemas.microsoft.com/office/drawing/2014/main" id="{3EFEB29D-C989-4D2C-BB75-6CD05EE56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77961" y="13328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10</xdr:row>
      <xdr:rowOff>33300</xdr:rowOff>
    </xdr:from>
    <xdr:to>
      <xdr:col>1</xdr:col>
      <xdr:colOff>357800</xdr:colOff>
      <xdr:row>11</xdr:row>
      <xdr:rowOff>29150</xdr:rowOff>
    </xdr:to>
    <xdr:pic>
      <xdr:nvPicPr>
        <xdr:cNvPr id="15" name="Graphic 14" descr="Continuous Improvement with solid fill">
          <a:extLst>
            <a:ext uri="{FF2B5EF4-FFF2-40B4-BE49-F238E27FC236}">
              <a16:creationId xmlns:a16="http://schemas.microsoft.com/office/drawing/2014/main" id="{1263E4A6-C7CD-484E-9FDD-CF25B5FA7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57200" y="18748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196850</xdr:colOff>
      <xdr:row>16</xdr:row>
      <xdr:rowOff>24550</xdr:rowOff>
    </xdr:from>
    <xdr:to>
      <xdr:col>1</xdr:col>
      <xdr:colOff>376850</xdr:colOff>
      <xdr:row>17</xdr:row>
      <xdr:rowOff>20400</xdr:rowOff>
    </xdr:to>
    <xdr:pic>
      <xdr:nvPicPr>
        <xdr:cNvPr id="16" name="Graphic 15" descr="Crops outline">
          <a:extLst>
            <a:ext uri="{FF2B5EF4-FFF2-40B4-BE49-F238E27FC236}">
              <a16:creationId xmlns:a16="http://schemas.microsoft.com/office/drawing/2014/main" id="{533F2BEC-03E6-4173-83E6-9E342816B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76250" y="29709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11</xdr:row>
      <xdr:rowOff>153100</xdr:rowOff>
    </xdr:from>
    <xdr:to>
      <xdr:col>1</xdr:col>
      <xdr:colOff>364150</xdr:colOff>
      <xdr:row>12</xdr:row>
      <xdr:rowOff>148950</xdr:rowOff>
    </xdr:to>
    <xdr:pic>
      <xdr:nvPicPr>
        <xdr:cNvPr id="17" name="Graphic 16" descr="Kiosk with solid fill">
          <a:extLst>
            <a:ext uri="{FF2B5EF4-FFF2-40B4-BE49-F238E27FC236}">
              <a16:creationId xmlns:a16="http://schemas.microsoft.com/office/drawing/2014/main" id="{5DC5D636-49A0-41AF-8429-6846DD605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3550" y="21787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</xdr:row>
      <xdr:rowOff>144350</xdr:rowOff>
    </xdr:from>
    <xdr:to>
      <xdr:col>1</xdr:col>
      <xdr:colOff>351450</xdr:colOff>
      <xdr:row>9</xdr:row>
      <xdr:rowOff>140200</xdr:rowOff>
    </xdr:to>
    <xdr:pic>
      <xdr:nvPicPr>
        <xdr:cNvPr id="18" name="Graphic 17" descr="Target Audience with solid fill">
          <a:extLst>
            <a:ext uri="{FF2B5EF4-FFF2-40B4-BE49-F238E27FC236}">
              <a16:creationId xmlns:a16="http://schemas.microsoft.com/office/drawing/2014/main" id="{14816004-BF42-4E58-9150-053E9CD42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0850" y="16175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97500</xdr:rowOff>
    </xdr:from>
    <xdr:to>
      <xdr:col>1</xdr:col>
      <xdr:colOff>383200</xdr:colOff>
      <xdr:row>15</xdr:row>
      <xdr:rowOff>93350</xdr:rowOff>
    </xdr:to>
    <xdr:pic>
      <xdr:nvPicPr>
        <xdr:cNvPr id="19" name="Graphic 18" descr="Gauge with solid fill">
          <a:extLst>
            <a:ext uri="{FF2B5EF4-FFF2-40B4-BE49-F238E27FC236}">
              <a16:creationId xmlns:a16="http://schemas.microsoft.com/office/drawing/2014/main" id="{62B13CCE-2C2A-4972-BB23-4EED65DDE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75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63501</xdr:rowOff>
    </xdr:from>
    <xdr:to>
      <xdr:col>1</xdr:col>
      <xdr:colOff>370500</xdr:colOff>
      <xdr:row>14</xdr:row>
      <xdr:rowOff>59351</xdr:rowOff>
    </xdr:to>
    <xdr:pic>
      <xdr:nvPicPr>
        <xdr:cNvPr id="20" name="Picture 19" descr="Ticket with solid fill">
          <a:extLst>
            <a:ext uri="{FF2B5EF4-FFF2-40B4-BE49-F238E27FC236}">
              <a16:creationId xmlns:a16="http://schemas.microsoft.com/office/drawing/2014/main" id="{C3610066-8544-4287-99E3-9AEBB8132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900" y="2457451"/>
          <a:ext cx="180000" cy="18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4</xdr:row>
      <xdr:rowOff>12700</xdr:rowOff>
    </xdr:from>
    <xdr:to>
      <xdr:col>1</xdr:col>
      <xdr:colOff>1441450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0ABDDAF-E8D7-4E70-91D6-CBD879492E87}"/>
            </a:ext>
          </a:extLst>
        </xdr:cNvPr>
        <xdr:cNvSpPr/>
      </xdr:nvSpPr>
      <xdr:spPr>
        <a:xfrm>
          <a:off x="273050" y="749300"/>
          <a:ext cx="1447800" cy="488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Inventory Management</a:t>
          </a:r>
          <a:r>
            <a:rPr lang="en-IN" sz="1100" b="1" baseline="0">
              <a:solidFill>
                <a:schemeClr val="tx1"/>
              </a:solidFill>
            </a:rPr>
            <a:t> System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425450</xdr:colOff>
      <xdr:row>7</xdr:row>
      <xdr:rowOff>57150</xdr:rowOff>
    </xdr:from>
    <xdr:to>
      <xdr:col>2</xdr:col>
      <xdr:colOff>63500</xdr:colOff>
      <xdr:row>8</xdr:row>
      <xdr:rowOff>158750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C2662-6DDB-4946-AB28-5E87DD3BBD52}"/>
            </a:ext>
          </a:extLst>
        </xdr:cNvPr>
        <xdr:cNvSpPr/>
      </xdr:nvSpPr>
      <xdr:spPr>
        <a:xfrm>
          <a:off x="704850" y="1346200"/>
          <a:ext cx="1085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425450</xdr:colOff>
      <xdr:row>8</xdr:row>
      <xdr:rowOff>152400</xdr:rowOff>
    </xdr:from>
    <xdr:to>
      <xdr:col>2</xdr:col>
      <xdr:colOff>6350</xdr:colOff>
      <xdr:row>10</xdr:row>
      <xdr:rowOff>44450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887B97-864B-4088-97F5-EEAEB464B1E2}"/>
            </a:ext>
          </a:extLst>
        </xdr:cNvPr>
        <xdr:cNvSpPr/>
      </xdr:nvSpPr>
      <xdr:spPr>
        <a:xfrm>
          <a:off x="704850" y="1625600"/>
          <a:ext cx="10287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425450</xdr:colOff>
      <xdr:row>10</xdr:row>
      <xdr:rowOff>38100</xdr:rowOff>
    </xdr:from>
    <xdr:to>
      <xdr:col>1</xdr:col>
      <xdr:colOff>1428750</xdr:colOff>
      <xdr:row>11</xdr:row>
      <xdr:rowOff>127000</xdr:rowOff>
    </xdr:to>
    <xdr:sp macro="" textlink="">
      <xdr:nvSpPr>
        <xdr:cNvPr id="5" name="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B76ADF-E180-4515-8A94-2FC79E7911F2}"/>
            </a:ext>
          </a:extLst>
        </xdr:cNvPr>
        <xdr:cNvSpPr/>
      </xdr:nvSpPr>
      <xdr:spPr>
        <a:xfrm>
          <a:off x="704850" y="1879600"/>
          <a:ext cx="10033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1</xdr:col>
      <xdr:colOff>425450</xdr:colOff>
      <xdr:row>17</xdr:row>
      <xdr:rowOff>107950</xdr:rowOff>
    </xdr:from>
    <xdr:to>
      <xdr:col>2</xdr:col>
      <xdr:colOff>19050</xdr:colOff>
      <xdr:row>19</xdr:row>
      <xdr:rowOff>25400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F41923-08F2-41A4-8940-00F774CB327C}"/>
            </a:ext>
          </a:extLst>
        </xdr:cNvPr>
        <xdr:cNvSpPr/>
      </xdr:nvSpPr>
      <xdr:spPr>
        <a:xfrm>
          <a:off x="704850" y="3238500"/>
          <a:ext cx="10414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>
    <xdr:from>
      <xdr:col>1</xdr:col>
      <xdr:colOff>425450</xdr:colOff>
      <xdr:row>11</xdr:row>
      <xdr:rowOff>120650</xdr:rowOff>
    </xdr:from>
    <xdr:to>
      <xdr:col>2</xdr:col>
      <xdr:colOff>19050</xdr:colOff>
      <xdr:row>13</xdr:row>
      <xdr:rowOff>19050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04EBE8C-4974-4871-B91D-F59890F755E1}"/>
            </a:ext>
          </a:extLst>
        </xdr:cNvPr>
        <xdr:cNvSpPr/>
      </xdr:nvSpPr>
      <xdr:spPr>
        <a:xfrm>
          <a:off x="704850" y="2146300"/>
          <a:ext cx="10414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>
    <xdr:from>
      <xdr:col>1</xdr:col>
      <xdr:colOff>425450</xdr:colOff>
      <xdr:row>13</xdr:row>
      <xdr:rowOff>12700</xdr:rowOff>
    </xdr:from>
    <xdr:to>
      <xdr:col>2</xdr:col>
      <xdr:colOff>57150</xdr:colOff>
      <xdr:row>14</xdr:row>
      <xdr:rowOff>88900</xdr:rowOff>
    </xdr:to>
    <xdr:sp macro="" textlink="">
      <xdr:nvSpPr>
        <xdr:cNvPr id="8" name="Rectangle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442071F-0CEC-43BE-8608-FF289B6A133F}"/>
            </a:ext>
          </a:extLst>
        </xdr:cNvPr>
        <xdr:cNvSpPr/>
      </xdr:nvSpPr>
      <xdr:spPr>
        <a:xfrm>
          <a:off x="704850" y="2406650"/>
          <a:ext cx="1079500" cy="2603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New E</a:t>
          </a:r>
          <a:r>
            <a:rPr lang="en-IN" sz="1100" b="0" baseline="0">
              <a:solidFill>
                <a:schemeClr val="tx1">
                  <a:lumMod val="50000"/>
                  <a:lumOff val="50000"/>
                </a:schemeClr>
              </a:solidFill>
            </a:rPr>
            <a:t>ntry</a:t>
          </a:r>
          <a:endParaRPr lang="en-IN" sz="1100" b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425450</xdr:colOff>
      <xdr:row>14</xdr:row>
      <xdr:rowOff>82550</xdr:rowOff>
    </xdr:from>
    <xdr:to>
      <xdr:col>2</xdr:col>
      <xdr:colOff>31750</xdr:colOff>
      <xdr:row>16</xdr:row>
      <xdr:rowOff>12700</xdr:rowOff>
    </xdr:to>
    <xdr:sp macro="" textlink="">
      <xdr:nvSpPr>
        <xdr:cNvPr id="9" name="Rectangle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C606626-03F3-4D3E-BA0E-4A9C5D9D7F08}"/>
            </a:ext>
          </a:extLst>
        </xdr:cNvPr>
        <xdr:cNvSpPr/>
      </xdr:nvSpPr>
      <xdr:spPr>
        <a:xfrm>
          <a:off x="704850" y="2660650"/>
          <a:ext cx="1054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>
    <xdr:from>
      <xdr:col>1</xdr:col>
      <xdr:colOff>425450</xdr:colOff>
      <xdr:row>16</xdr:row>
      <xdr:rowOff>6350</xdr:rowOff>
    </xdr:from>
    <xdr:to>
      <xdr:col>1</xdr:col>
      <xdr:colOff>1409700</xdr:colOff>
      <xdr:row>17</xdr:row>
      <xdr:rowOff>114300</xdr:rowOff>
    </xdr:to>
    <xdr:sp macro="" textlink="">
      <xdr:nvSpPr>
        <xdr:cNvPr id="10" name="Rectangle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3049CCD-C209-4EAD-B97D-B113EE6DBF9C}"/>
            </a:ext>
          </a:extLst>
        </xdr:cNvPr>
        <xdr:cNvSpPr/>
      </xdr:nvSpPr>
      <xdr:spPr>
        <a:xfrm>
          <a:off x="704850" y="2952750"/>
          <a:ext cx="98425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2</xdr:col>
      <xdr:colOff>139700</xdr:colOff>
      <xdr:row>1</xdr:row>
      <xdr:rowOff>25400</xdr:rowOff>
    </xdr:from>
    <xdr:to>
      <xdr:col>13</xdr:col>
      <xdr:colOff>165100</xdr:colOff>
      <xdr:row>3</xdr:row>
      <xdr:rowOff>82550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6E66B26-FAAF-4915-AD3B-B3AC317FF227}"/>
            </a:ext>
          </a:extLst>
        </xdr:cNvPr>
        <xdr:cNvSpPr/>
      </xdr:nvSpPr>
      <xdr:spPr>
        <a:xfrm>
          <a:off x="1866900" y="209550"/>
          <a:ext cx="9080500" cy="4254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000" b="1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oneCell">
    <xdr:from>
      <xdr:col>1</xdr:col>
      <xdr:colOff>469900</xdr:colOff>
      <xdr:row>1</xdr:row>
      <xdr:rowOff>19050</xdr:rowOff>
    </xdr:from>
    <xdr:to>
      <xdr:col>1</xdr:col>
      <xdr:colOff>1047750</xdr:colOff>
      <xdr:row>4</xdr:row>
      <xdr:rowOff>44450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5DE97C83-3206-4872-A363-BBF6454CD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49300" y="203200"/>
          <a:ext cx="577850" cy="577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17</xdr:row>
      <xdr:rowOff>139700</xdr:rowOff>
    </xdr:from>
    <xdr:to>
      <xdr:col>1</xdr:col>
      <xdr:colOff>357800</xdr:colOff>
      <xdr:row>18</xdr:row>
      <xdr:rowOff>135550</xdr:rowOff>
    </xdr:to>
    <xdr:pic>
      <xdr:nvPicPr>
        <xdr:cNvPr id="13" name="Graphic 12" descr="Clipboard Checked with solid fill">
          <a:extLst>
            <a:ext uri="{FF2B5EF4-FFF2-40B4-BE49-F238E27FC236}">
              <a16:creationId xmlns:a16="http://schemas.microsoft.com/office/drawing/2014/main" id="{1C414469-8FB4-4E3B-86B9-79126B92C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57200" y="32702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204911</xdr:colOff>
      <xdr:row>7</xdr:row>
      <xdr:rowOff>56461</xdr:rowOff>
    </xdr:from>
    <xdr:to>
      <xdr:col>1</xdr:col>
      <xdr:colOff>384911</xdr:colOff>
      <xdr:row>8</xdr:row>
      <xdr:rowOff>52311</xdr:rowOff>
    </xdr:to>
    <xdr:pic>
      <xdr:nvPicPr>
        <xdr:cNvPr id="14" name="Graphic 13" descr="For Sale outline">
          <a:extLst>
            <a:ext uri="{FF2B5EF4-FFF2-40B4-BE49-F238E27FC236}">
              <a16:creationId xmlns:a16="http://schemas.microsoft.com/office/drawing/2014/main" id="{7864E444-3FBF-40B3-B25A-EF12A08D0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84311" y="134551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10</xdr:row>
      <xdr:rowOff>37607</xdr:rowOff>
    </xdr:from>
    <xdr:to>
      <xdr:col>1</xdr:col>
      <xdr:colOff>364150</xdr:colOff>
      <xdr:row>11</xdr:row>
      <xdr:rowOff>33457</xdr:rowOff>
    </xdr:to>
    <xdr:pic>
      <xdr:nvPicPr>
        <xdr:cNvPr id="15" name="Graphic 14" descr="Continuous Improvement with solid fill">
          <a:extLst>
            <a:ext uri="{FF2B5EF4-FFF2-40B4-BE49-F238E27FC236}">
              <a16:creationId xmlns:a16="http://schemas.microsoft.com/office/drawing/2014/main" id="{BE88AFA3-B5CD-4D9E-9F08-529DC643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63550" y="1879107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16</xdr:row>
      <xdr:rowOff>25299</xdr:rowOff>
    </xdr:from>
    <xdr:to>
      <xdr:col>1</xdr:col>
      <xdr:colOff>383200</xdr:colOff>
      <xdr:row>17</xdr:row>
      <xdr:rowOff>21149</xdr:rowOff>
    </xdr:to>
    <xdr:pic>
      <xdr:nvPicPr>
        <xdr:cNvPr id="16" name="Graphic 15" descr="Crops outline">
          <a:extLst>
            <a:ext uri="{FF2B5EF4-FFF2-40B4-BE49-F238E27FC236}">
              <a16:creationId xmlns:a16="http://schemas.microsoft.com/office/drawing/2014/main" id="{418716A9-627E-41AB-BFE9-7D5F18AB3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482600" y="297169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11</xdr:row>
      <xdr:rowOff>164705</xdr:rowOff>
    </xdr:from>
    <xdr:to>
      <xdr:col>1</xdr:col>
      <xdr:colOff>370500</xdr:colOff>
      <xdr:row>12</xdr:row>
      <xdr:rowOff>160555</xdr:rowOff>
    </xdr:to>
    <xdr:pic>
      <xdr:nvPicPr>
        <xdr:cNvPr id="17" name="Graphic 16" descr="Kiosk with solid fill">
          <a:extLst>
            <a:ext uri="{FF2B5EF4-FFF2-40B4-BE49-F238E27FC236}">
              <a16:creationId xmlns:a16="http://schemas.microsoft.com/office/drawing/2014/main" id="{A3D406FB-EB18-4D00-BCAE-C780C5213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69900" y="2190355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8</xdr:row>
      <xdr:rowOff>145459</xdr:rowOff>
    </xdr:from>
    <xdr:to>
      <xdr:col>1</xdr:col>
      <xdr:colOff>357800</xdr:colOff>
      <xdr:row>9</xdr:row>
      <xdr:rowOff>141309</xdr:rowOff>
    </xdr:to>
    <xdr:pic>
      <xdr:nvPicPr>
        <xdr:cNvPr id="18" name="Graphic 17" descr="Target Audience with solid fill">
          <a:extLst>
            <a:ext uri="{FF2B5EF4-FFF2-40B4-BE49-F238E27FC236}">
              <a16:creationId xmlns:a16="http://schemas.microsoft.com/office/drawing/2014/main" id="{92D68EB9-B792-468E-9322-06CBE8A7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57200" y="1618659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203200</xdr:colOff>
      <xdr:row>14</xdr:row>
      <xdr:rowOff>82351</xdr:rowOff>
    </xdr:from>
    <xdr:to>
      <xdr:col>1</xdr:col>
      <xdr:colOff>383200</xdr:colOff>
      <xdr:row>15</xdr:row>
      <xdr:rowOff>78201</xdr:rowOff>
    </xdr:to>
    <xdr:pic>
      <xdr:nvPicPr>
        <xdr:cNvPr id="19" name="Graphic 18" descr="Gauge with solid fill">
          <a:extLst>
            <a:ext uri="{FF2B5EF4-FFF2-40B4-BE49-F238E27FC236}">
              <a16:creationId xmlns:a16="http://schemas.microsoft.com/office/drawing/2014/main" id="{4D74DE72-E9ED-4CD6-BE43-2A7A065C8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482600" y="266045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13</xdr:row>
      <xdr:rowOff>44153</xdr:rowOff>
    </xdr:from>
    <xdr:to>
      <xdr:col>1</xdr:col>
      <xdr:colOff>364150</xdr:colOff>
      <xdr:row>14</xdr:row>
      <xdr:rowOff>40003</xdr:rowOff>
    </xdr:to>
    <xdr:pic>
      <xdr:nvPicPr>
        <xdr:cNvPr id="20" name="Picture 19" descr="Ticket with solid fill">
          <a:extLst>
            <a:ext uri="{FF2B5EF4-FFF2-40B4-BE49-F238E27FC236}">
              <a16:creationId xmlns:a16="http://schemas.microsoft.com/office/drawing/2014/main" id="{CD2ED9C9-04C1-4C0B-B147-F997F8D86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3550" y="2438103"/>
          <a:ext cx="180000" cy="1800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rdesh Kumar Yadav" refreshedDate="45899.972390625" createdVersion="8" refreshedVersion="8" minRefreshableVersion="3" recordCount="10" xr:uid="{3045D3D4-7E89-48DC-B92C-7F3BDC507C91}">
  <cacheSource type="worksheet">
    <worksheetSource name="customersdata"/>
  </cacheSource>
  <cacheFields count="4">
    <cacheField name="Cust_ID" numFmtId="0">
      <sharedItems containsString="0" containsBlank="1" containsNumber="1" containsInteger="1" minValue="100" maxValue="107"/>
    </cacheField>
    <cacheField name="Name" numFmtId="0">
      <sharedItems containsBlank="1"/>
    </cacheField>
    <cacheField name="Email" numFmtId="0">
      <sharedItems containsBlank="1"/>
    </cacheField>
    <cacheField name="Addres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rdesh Kumar Yadav" refreshedDate="45899.972390740739" createdVersion="8" refreshedVersion="8" minRefreshableVersion="3" recordCount="12" xr:uid="{7A2652B6-B157-48F5-84C4-C4CFE33CF143}">
  <cacheSource type="worksheet">
    <worksheetSource name="productsdata"/>
  </cacheSource>
  <cacheFields count="4">
    <cacheField name="HSN Code" numFmtId="0">
      <sharedItems/>
    </cacheField>
    <cacheField name="Product Name" numFmtId="0">
      <sharedItems/>
    </cacheField>
    <cacheField name="Cost" numFmtId="0">
      <sharedItems containsSemiMixedTypes="0" containsString="0" containsNumber="1" containsInteger="1" minValue="200" maxValue="52000"/>
    </cacheField>
    <cacheField name="Selling Price" numFmtId="0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rdesh Kumar Yadav" refreshedDate="45899.972390856485" createdVersion="8" refreshedVersion="8" minRefreshableVersion="3" recordCount="15" xr:uid="{7FC02DD8-E6D3-4F9B-98FC-D6F458090675}">
  <cacheSource type="worksheet">
    <worksheetSource name="Table3"/>
  </cacheSource>
  <cacheFields count="7">
    <cacheField name="HSN Code" numFmtId="0">
      <sharedItems/>
    </cacheField>
    <cacheField name="Product Name" numFmtId="0">
      <sharedItems/>
    </cacheField>
    <cacheField name="Vendor Name" numFmtId="0">
      <sharedItems/>
    </cacheField>
    <cacheField name="Date" numFmtId="14">
      <sharedItems containsSemiMixedTypes="0" containsNonDate="0" containsDate="1" containsString="0" minDate="2024-01-01T00:00:00" maxDate="2024-04-14T00:00:00"/>
    </cacheField>
    <cacheField name="Units" numFmtId="0">
      <sharedItems containsSemiMixedTypes="0" containsString="0" containsNumber="1" containsInteger="1" minValue="10" maxValue="100"/>
    </cacheField>
    <cacheField name="Cost" numFmtId="0">
      <sharedItems containsSemiMixedTypes="0" containsString="0" containsNumber="1" containsInteger="1" minValue="200" maxValue="52000"/>
    </cacheField>
    <cacheField name="Amount" numFmtId="0">
      <sharedItems containsSemiMixedTypes="0" containsString="0" containsNumber="1" containsInteger="1" minValue="2000" maxValue="172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rdesh Kumar Yadav" refreshedDate="45899.972390972223" createdVersion="8" refreshedVersion="8" minRefreshableVersion="3" recordCount="18" xr:uid="{B2D5D69F-94DD-4AB2-983D-6A92091E2701}">
  <cacheSource type="worksheet">
    <worksheetSource name="salesdata"/>
  </cacheSource>
  <cacheFields count="9">
    <cacheField name="Cust_ID" numFmtId="0">
      <sharedItems containsSemiMixedTypes="0" containsString="0" containsNumber="1" containsInteger="1" minValue="100" maxValue="107"/>
    </cacheField>
    <cacheField name="Cust_Name" numFmtId="0">
      <sharedItems count="8">
        <s v="Amit"/>
        <s v="MK Tech."/>
        <s v="99Store"/>
        <s v="Ram Sales"/>
        <s v="jain Tel."/>
        <s v="Rajesh"/>
        <s v="Atul Ltd."/>
        <s v="Hirdesh"/>
      </sharedItems>
    </cacheField>
    <cacheField name="HSN Code" numFmtId="0">
      <sharedItems/>
    </cacheField>
    <cacheField name="Product Name" numFmtId="0">
      <sharedItems/>
    </cacheField>
    <cacheField name="Date" numFmtId="14">
      <sharedItems containsSemiMixedTypes="0" containsNonDate="0" containsDate="1" containsString="0" minDate="2014-02-10T00:00:00" maxDate="2024-05-14T00:00:00"/>
    </cacheField>
    <cacheField name="Stocks(Units)" numFmtId="0">
      <sharedItems containsSemiMixedTypes="0" containsString="0" containsNumber="1" containsInteger="1" minValue="1" maxValue="47"/>
    </cacheField>
    <cacheField name="Units" numFmtId="0">
      <sharedItems containsSemiMixedTypes="0" containsString="0" containsNumber="1" containsInteger="1" minValue="3" maxValue="60"/>
    </cacheField>
    <cacheField name="Price" numFmtId="0">
      <sharedItems containsSemiMixedTypes="0" containsString="0" containsNumber="1" minValue="240" maxValue="62400"/>
    </cacheField>
    <cacheField name="Amount" numFmtId="0">
      <sharedItems containsSemiMixedTypes="0" containsString="0" containsNumber="1" minValue="960" maxValue="151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rdesh Kumar Yadav" refreshedDate="45899.972391203701" createdVersion="8" refreshedVersion="8" minRefreshableVersion="3" recordCount="15" xr:uid="{449E87B6-E03C-4D95-9F11-BE0CB14B7943}">
  <cacheSource type="worksheet">
    <worksheetSource name="Table6"/>
  </cacheSource>
  <cacheFields count="8">
    <cacheField name="HSNCode" numFmtId="0">
      <sharedItems containsBlank="1"/>
    </cacheField>
    <cacheField name="Product Name" numFmtId="0">
      <sharedItems containsBlank="1" count="14">
        <s v="Smart Watch"/>
        <s v="Laptop HP XYZ"/>
        <s v="Wireless Print"/>
        <s v="Desktop"/>
        <s v="Mouse"/>
        <s v="Rgb Keyboard"/>
        <s v="Camera"/>
        <s v="Headphones"/>
        <s v="Speakers"/>
        <s v="Tablets"/>
        <s v="Oppo Mobile"/>
        <s v="Realme"/>
        <s v=""/>
        <m/>
      </sharedItems>
    </cacheField>
    <cacheField name="Cost" numFmtId="0">
      <sharedItems containsBlank="1"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100"/>
    </cacheField>
    <cacheField name="Stock Amt" numFmtId="0">
      <sharedItems containsMixedTypes="1" containsNumber="1" containsInteger="1" minValue="0" maxValue="16215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0"/>
    <s v="Ram Sales"/>
    <s v="ram@gmail.com"/>
    <s v="Delhi, India "/>
  </r>
  <r>
    <n v="101"/>
    <s v="Atul Ltd."/>
    <s v="atul@gmail.com"/>
    <s v="Patna, Bihar, India"/>
  </r>
  <r>
    <n v="102"/>
    <s v="MK Tech."/>
    <s v="mk@gmail.com"/>
    <s v="Agra, U.P, India"/>
  </r>
  <r>
    <n v="103"/>
    <s v="99Store"/>
    <s v="99store@gmail.com"/>
    <s v="Gorakhpur, U.P, India"/>
  </r>
  <r>
    <n v="104"/>
    <s v="Rajesh"/>
    <s v="rajesh@gmail.com"/>
    <s v="New Delhi, India"/>
  </r>
  <r>
    <n v="105"/>
    <s v="Amit"/>
    <s v="amit@gmail.com"/>
    <s v="Gurgaon, Sec-15, India"/>
  </r>
  <r>
    <n v="106"/>
    <s v="jain Tel."/>
    <s v="jain@gmail.com"/>
    <s v="Phagwara, Punjab, India"/>
  </r>
  <r>
    <n v="107"/>
    <s v="Hirdesh"/>
    <s v="hirdesh@gmail.com"/>
    <s v="Eksarva, U.P, India"/>
  </r>
  <r>
    <m/>
    <m/>
    <m/>
    <m/>
  </r>
  <r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N1001"/>
    <s v="Smart Watch"/>
    <n v="980"/>
    <n v="1176"/>
  </r>
  <r>
    <s v="N1002"/>
    <s v="Laptop HP XYZ"/>
    <n v="34500"/>
    <n v="41400"/>
  </r>
  <r>
    <s v="N1003"/>
    <s v="Wireless Print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  <r>
    <s v="N1011"/>
    <s v="Oppo Mobile"/>
    <n v="26999"/>
    <n v="29999"/>
  </r>
  <r>
    <s v="N1012"/>
    <s v="Realme"/>
    <n v="30999"/>
    <n v="35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N1007"/>
    <s v="Camera"/>
    <s v="GG Traders"/>
    <d v="2024-01-01T00:00:00"/>
    <n v="10"/>
    <n v="52000"/>
    <n v="520000"/>
  </r>
  <r>
    <s v="N1009"/>
    <s v="Speakers"/>
    <s v="Compac"/>
    <d v="2024-01-02T00:00:00"/>
    <n v="10"/>
    <n v="670"/>
    <n v="6700"/>
  </r>
  <r>
    <s v="N1004"/>
    <s v="Desktop"/>
    <s v="GG Traders"/>
    <d v="2024-02-01T00:00:00"/>
    <n v="50"/>
    <n v="21000"/>
    <n v="1050000"/>
  </r>
  <r>
    <s v="N1001"/>
    <s v="Smart Watch"/>
    <s v="Tech99"/>
    <d v="2024-02-01T00:00:00"/>
    <n v="50"/>
    <n v="980"/>
    <n v="49000"/>
  </r>
  <r>
    <s v="N1002"/>
    <s v="Laptop HP XYZ"/>
    <s v="Tech99"/>
    <d v="2024-02-01T00:00:00"/>
    <n v="50"/>
    <n v="34500"/>
    <n v="1725000"/>
  </r>
  <r>
    <s v="N1003"/>
    <s v="Wireless Print"/>
    <s v="Tech99"/>
    <d v="2024-02-01T00:00:00"/>
    <n v="100"/>
    <n v="4600"/>
    <n v="460000"/>
  </r>
  <r>
    <s v="N1005"/>
    <s v="Mouse"/>
    <s v="GG Traders"/>
    <d v="2024-02-01T00:00:00"/>
    <n v="10"/>
    <n v="200"/>
    <n v="2000"/>
  </r>
  <r>
    <s v="N1009"/>
    <s v="Speakers"/>
    <s v="Compac"/>
    <d v="2024-02-02T00:00:00"/>
    <n v="20"/>
    <n v="670"/>
    <n v="13400"/>
  </r>
  <r>
    <s v="N1008"/>
    <s v="Headphones"/>
    <s v="Compac"/>
    <d v="2024-02-03T00:00:00"/>
    <n v="20"/>
    <n v="799"/>
    <n v="15980"/>
  </r>
  <r>
    <s v="N1010"/>
    <s v="Tablets"/>
    <s v="Compac"/>
    <d v="2024-02-04T00:00:00"/>
    <n v="25"/>
    <n v="23500"/>
    <n v="587500"/>
  </r>
  <r>
    <s v="N1006"/>
    <s v="Rgb Keyboard"/>
    <s v="GG Traders"/>
    <d v="2024-02-05T00:00:00"/>
    <n v="30"/>
    <n v="340"/>
    <n v="10200"/>
  </r>
  <r>
    <s v="N1004"/>
    <s v="Desktop"/>
    <s v="GG Traders"/>
    <d v="2024-02-06T00:00:00"/>
    <n v="40"/>
    <n v="21000"/>
    <n v="840000"/>
  </r>
  <r>
    <s v="N1005"/>
    <s v="Mouse"/>
    <s v="GG Traders"/>
    <d v="2024-02-08T00:00:00"/>
    <n v="10"/>
    <n v="200"/>
    <n v="2000"/>
  </r>
  <r>
    <s v="N1011"/>
    <s v="Oppo Mobile"/>
    <s v="HR Pvt. Ltd"/>
    <d v="2024-03-10T00:00:00"/>
    <n v="40"/>
    <n v="26999"/>
    <n v="1079960"/>
  </r>
  <r>
    <s v="N1012"/>
    <s v="Realme"/>
    <s v="HR Pvt. Ltd"/>
    <d v="2024-04-13T00:00:00"/>
    <n v="50"/>
    <n v="30999"/>
    <n v="154995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105"/>
    <x v="0"/>
    <s v="N1005"/>
    <s v="Mouse"/>
    <d v="2024-01-01T00:00:00"/>
    <n v="1"/>
    <n v="10"/>
    <n v="240"/>
    <n v="2400"/>
  </r>
  <r>
    <n v="102"/>
    <x v="1"/>
    <s v="N1004"/>
    <s v="Desktop"/>
    <d v="2024-01-01T00:00:00"/>
    <n v="25"/>
    <n v="5"/>
    <n v="25200"/>
    <n v="126000"/>
  </r>
  <r>
    <n v="103"/>
    <x v="2"/>
    <s v="N1008"/>
    <s v="Headphones"/>
    <d v="2024-01-01T00:00:00"/>
    <n v="2"/>
    <n v="5"/>
    <n v="958.8"/>
    <n v="4794"/>
  </r>
  <r>
    <n v="100"/>
    <x v="3"/>
    <s v="N1008"/>
    <s v="Headphones"/>
    <d v="2024-02-01T00:00:00"/>
    <n v="2"/>
    <n v="7"/>
    <n v="958.8"/>
    <n v="6711.5999999999995"/>
  </r>
  <r>
    <n v="105"/>
    <x v="0"/>
    <s v="N1001"/>
    <s v="Smart Watch"/>
    <d v="2024-02-02T00:00:00"/>
    <n v="31"/>
    <n v="10"/>
    <n v="1176"/>
    <n v="11760"/>
  </r>
  <r>
    <n v="106"/>
    <x v="4"/>
    <s v="N1007"/>
    <s v="Camera"/>
    <d v="2024-02-03T00:00:00"/>
    <n v="1"/>
    <n v="4"/>
    <n v="62400"/>
    <n v="249600"/>
  </r>
  <r>
    <n v="104"/>
    <x v="5"/>
    <s v="N1010"/>
    <s v="Tablets"/>
    <d v="2024-02-04T00:00:00"/>
    <n v="21"/>
    <n v="4"/>
    <n v="28200"/>
    <n v="112800"/>
  </r>
  <r>
    <n v="105"/>
    <x v="0"/>
    <s v="N1009"/>
    <s v="Speakers"/>
    <d v="2024-02-05T00:00:00"/>
    <n v="26"/>
    <n v="4"/>
    <n v="804"/>
    <n v="3216"/>
  </r>
  <r>
    <n v="104"/>
    <x v="5"/>
    <s v="N1002"/>
    <s v="Laptop HP XYZ"/>
    <d v="2024-02-06T00:00:00"/>
    <n v="47"/>
    <n v="3"/>
    <n v="41400"/>
    <n v="124200"/>
  </r>
  <r>
    <n v="104"/>
    <x v="5"/>
    <s v="N1005"/>
    <s v="Mouse"/>
    <d v="2024-02-07T00:00:00"/>
    <n v="1"/>
    <n v="5"/>
    <n v="240"/>
    <n v="1200"/>
  </r>
  <r>
    <n v="103"/>
    <x v="2"/>
    <s v="N1001"/>
    <s v="Smart Watch"/>
    <d v="2024-02-08T00:00:00"/>
    <n v="31"/>
    <n v="9"/>
    <n v="1176"/>
    <n v="10584"/>
  </r>
  <r>
    <n v="101"/>
    <x v="6"/>
    <s v="N1007"/>
    <s v="Camera"/>
    <d v="2024-02-09T00:00:00"/>
    <n v="1"/>
    <n v="5"/>
    <n v="62400"/>
    <n v="312000"/>
  </r>
  <r>
    <n v="102"/>
    <x v="1"/>
    <s v="N1005"/>
    <s v="Mouse"/>
    <d v="2024-02-10T00:00:00"/>
    <n v="1"/>
    <n v="4"/>
    <n v="240"/>
    <n v="960"/>
  </r>
  <r>
    <n v="106"/>
    <x v="4"/>
    <s v="N1008"/>
    <s v="Headphones"/>
    <d v="2014-02-10T00:00:00"/>
    <n v="2"/>
    <n v="6"/>
    <n v="958.8"/>
    <n v="5752.7999999999993"/>
  </r>
  <r>
    <n v="107"/>
    <x v="7"/>
    <s v="N1011"/>
    <s v="Oppo Mobile"/>
    <d v="2024-03-11T00:00:00"/>
    <n v="30"/>
    <n v="10"/>
    <n v="29999"/>
    <n v="299990"/>
  </r>
  <r>
    <n v="107"/>
    <x v="7"/>
    <s v="N1012"/>
    <s v="Realme"/>
    <d v="2024-04-12T00:00:00"/>
    <n v="5"/>
    <n v="25"/>
    <n v="35999"/>
    <n v="899975"/>
  </r>
  <r>
    <n v="104"/>
    <x v="5"/>
    <s v="N1012"/>
    <s v="Realme"/>
    <d v="2024-04-13T00:00:00"/>
    <n v="5"/>
    <n v="20"/>
    <n v="35999"/>
    <n v="719980"/>
  </r>
  <r>
    <n v="107"/>
    <x v="7"/>
    <s v="N1004"/>
    <s v="Desktop"/>
    <d v="2024-05-13T00:00:00"/>
    <n v="25"/>
    <n v="60"/>
    <n v="25200"/>
    <n v="15120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N1001"/>
    <x v="0"/>
    <n v="980"/>
    <n v="50"/>
    <n v="19"/>
    <n v="31"/>
    <n v="30380"/>
    <s v=""/>
  </r>
  <r>
    <s v="N1002"/>
    <x v="1"/>
    <n v="34500"/>
    <n v="50"/>
    <n v="3"/>
    <n v="47"/>
    <n v="1621500"/>
    <s v=""/>
  </r>
  <r>
    <s v="N1003"/>
    <x v="2"/>
    <n v="4600"/>
    <n v="100"/>
    <n v="0"/>
    <n v="100"/>
    <n v="460000"/>
    <s v=""/>
  </r>
  <r>
    <s v="N1004"/>
    <x v="3"/>
    <n v="21000"/>
    <n v="90"/>
    <n v="65"/>
    <n v="25"/>
    <n v="525000"/>
    <s v=""/>
  </r>
  <r>
    <s v="N1005"/>
    <x v="4"/>
    <n v="200"/>
    <n v="20"/>
    <n v="19"/>
    <n v="1"/>
    <n v="200"/>
    <s v="📞 Mouse Needs to re-order ! PH 9813xxxxxx"/>
  </r>
  <r>
    <s v="N1006"/>
    <x v="5"/>
    <n v="340"/>
    <n v="30"/>
    <n v="0"/>
    <n v="30"/>
    <n v="10200"/>
    <s v=""/>
  </r>
  <r>
    <s v="N1007"/>
    <x v="6"/>
    <n v="52000"/>
    <n v="10"/>
    <n v="9"/>
    <n v="1"/>
    <n v="52000"/>
    <s v="📞 Camera Needs to re-order ! PH 9813xxxxxx"/>
  </r>
  <r>
    <s v="N1008"/>
    <x v="7"/>
    <n v="799"/>
    <n v="20"/>
    <n v="18"/>
    <n v="2"/>
    <n v="1598"/>
    <s v="📞 Headphones Needs to re-order ! PH 9814xxxxxx"/>
  </r>
  <r>
    <s v="N1009"/>
    <x v="8"/>
    <n v="670"/>
    <n v="30"/>
    <n v="4"/>
    <n v="26"/>
    <n v="17420"/>
    <s v=""/>
  </r>
  <r>
    <s v="N1010"/>
    <x v="9"/>
    <n v="23500"/>
    <n v="25"/>
    <n v="4"/>
    <n v="21"/>
    <n v="493500"/>
    <s v=""/>
  </r>
  <r>
    <s v="N1011"/>
    <x v="10"/>
    <n v="26999"/>
    <n v="40"/>
    <n v="10"/>
    <n v="30"/>
    <n v="809970"/>
    <s v=""/>
  </r>
  <r>
    <s v="N1012"/>
    <x v="11"/>
    <n v="30999"/>
    <n v="50"/>
    <n v="45"/>
    <n v="5"/>
    <n v="154995"/>
    <s v=""/>
  </r>
  <r>
    <s v=""/>
    <x v="12"/>
    <s v=""/>
    <n v="0"/>
    <n v="0"/>
    <n v="0"/>
    <s v=""/>
    <s v=""/>
  </r>
  <r>
    <m/>
    <x v="13"/>
    <m/>
    <n v="0"/>
    <n v="0"/>
    <n v="0"/>
    <n v="0"/>
    <s v=""/>
  </r>
  <r>
    <s v=""/>
    <x v="12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7CA7F-0680-42C4-B048-1D8856EADF80}" name="PivotTable8" cacheId="1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20:B31" firstHeaderRow="1" firstDataRow="1" firstDataCol="1"/>
  <pivotFields count="8">
    <pivotField showAll="0"/>
    <pivotField axis="axisRow" showAll="0">
      <items count="15">
        <item h="1" x="12"/>
        <item x="6"/>
        <item x="3"/>
        <item x="7"/>
        <item x="1"/>
        <item x="4"/>
        <item x="5"/>
        <item x="0"/>
        <item x="8"/>
        <item x="9"/>
        <item x="2"/>
        <item h="1" x="10"/>
        <item h="1" x="11"/>
        <item h="1" x="1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tock" fld="5" baseField="0" baseItem="0"/>
  </dataFields>
  <chartFormats count="1"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00582-904F-4A66-A742-736CE2E929E1}" name="PivotTable1" cacheId="1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7F56D-F959-48FB-9A2F-92C7A05D3F18}" name="PivotTable5" cacheId="1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A15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4D77A-94EF-49E7-8C87-0A9BA903ED56}" name="PivotTable3" cacheId="1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31EED9-87D1-4669-82F6-6691749C3D3E}" name="PivotTable2" cacheId="1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8AEE7-14D6-40AB-96C8-9AAFAB0E64A9}" name="PivotTable4" cacheId="1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8E7BA-E400-4521-9A6F-0DB0D4F06535}" name="PivotTable7" cacheId="1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F10:G16" firstHeaderRow="1" firstDataRow="1" firstDataCol="1"/>
  <pivotFields count="9">
    <pivotField showAll="0"/>
    <pivotField axis="axisRow" showAll="0" measureFilter="1" sortType="descending">
      <items count="9">
        <item x="2"/>
        <item x="0"/>
        <item x="6"/>
        <item x="4"/>
        <item x="1"/>
        <item x="5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showAll="0"/>
    <pivotField dataField="1" showAll="0"/>
  </pivotFields>
  <rowFields count="1">
    <field x="1"/>
  </rowFields>
  <rowItems count="6">
    <i>
      <x v="7"/>
    </i>
    <i>
      <x v="5"/>
    </i>
    <i>
      <x v="2"/>
    </i>
    <i>
      <x v="3"/>
    </i>
    <i>
      <x v="4"/>
    </i>
    <i t="grand">
      <x/>
    </i>
  </rowItems>
  <colItems count="1">
    <i/>
  </colItems>
  <dataFields count="1">
    <dataField name="Sum of Amount" fld="8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B660B9-1918-4D63-88E2-65EB34C192A6}" name="PivotTable6" cacheId="1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F2:G8" firstHeaderRow="1" firstDataRow="1" firstDataCol="1"/>
  <pivotFields count="8">
    <pivotField showAll="0"/>
    <pivotField axis="axisRow" showAll="0" measureFilter="1" sortType="descending">
      <items count="15">
        <item x="12"/>
        <item x="6"/>
        <item x="3"/>
        <item x="7"/>
        <item x="1"/>
        <item x="4"/>
        <item x="5"/>
        <item x="0"/>
        <item x="8"/>
        <item x="9"/>
        <item x="2"/>
        <item x="10"/>
        <item x="11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2"/>
    </i>
    <i>
      <x v="12"/>
    </i>
    <i>
      <x v="7"/>
    </i>
    <i>
      <x v="5"/>
    </i>
    <i>
      <x v="3"/>
    </i>
    <i t="grand">
      <x/>
    </i>
  </rowItems>
  <colItems count="1">
    <i/>
  </colItems>
  <dataFields count="1">
    <dataField name="Sum of S Units" fld="4" baseField="0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D6801-6844-48A5-B9D7-3F16A998FCAA}" name="customersdata" displayName="customersdata" ref="D5:G15" totalsRowShown="0" headerRowDxfId="47">
  <autoFilter ref="D5:G15" xr:uid="{C4DD6801-6844-48A5-B9D7-3F16A998FCAA}"/>
  <tableColumns count="4">
    <tableColumn id="1" xr3:uid="{DC10CCF2-4C97-4F0E-86CD-04D1E4C8A5F1}" name="Cust_ID" dataDxfId="46"/>
    <tableColumn id="2" xr3:uid="{8D2FE266-5AE7-42E6-A184-BF1789045C92}" name="Name" dataDxfId="45"/>
    <tableColumn id="3" xr3:uid="{90EFAB65-DCDB-4B35-85BD-5BF33ACFD1EC}" name="Email" dataDxfId="44" dataCellStyle="Hyperlink"/>
    <tableColumn id="4" xr3:uid="{3A98742C-8503-4C9C-AE86-FFF84241977E}" name="Address" dataDxfId="4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DA33E-4E3A-4C4A-A359-70CD0C9329D6}" name="productsdata" displayName="productsdata" ref="D5:G17" totalsRowShown="0" headerRowDxfId="42" dataDxfId="41">
  <autoFilter ref="D5:G17" xr:uid="{962DA33E-4E3A-4C4A-A359-70CD0C9329D6}"/>
  <tableColumns count="4">
    <tableColumn id="1" xr3:uid="{D2D916FC-B9B6-4EBC-9F38-B6FB7119010D}" name="HSN Code" dataDxfId="40"/>
    <tableColumn id="2" xr3:uid="{DF459D6A-D8A2-4F81-93A0-C7C5A53D577F}" name="Product Name" dataDxfId="39"/>
    <tableColumn id="3" xr3:uid="{15775DEE-BF42-4CD7-8762-AC61A78E69E9}" name="Cost" dataDxfId="38"/>
    <tableColumn id="4" xr3:uid="{AC69D701-EC80-4EFA-886F-EDCC381073E5}" name="Selling Price" dataDxfId="3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7D1119-F730-4713-86F7-4C59371AB096}" name="Table4" displayName="Table4" ref="D5:H17" totalsRowShown="0" headerRowDxfId="36" dataDxfId="35">
  <autoFilter ref="D5:H17" xr:uid="{017D1119-F730-4713-86F7-4C59371AB096}"/>
  <tableColumns count="5">
    <tableColumn id="1" xr3:uid="{C0F81F00-E470-40BA-BF19-8F6A92E9A569}" name="HSN Code" dataDxfId="34"/>
    <tableColumn id="2" xr3:uid="{34B092BE-E4B3-493D-B871-40DAA0360020}" name="Product Name" dataDxfId="33"/>
    <tableColumn id="3" xr3:uid="{0E951304-65B2-42A5-A145-93EC30E7A78E}" name="Vendors Name" dataDxfId="32"/>
    <tableColumn id="4" xr3:uid="{B7FC6A49-4E91-49FB-9A6F-E0627CA902E5}" name="Phone No." dataDxfId="31"/>
    <tableColumn id="5" xr3:uid="{1EC7B2AD-8035-4B9B-99AE-C3ACB2446076}" name="Address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A32FF3-66FD-479C-A02B-5CD57E1A29C6}" name="Table3" displayName="Table3" ref="D5:J20" totalsRowShown="0" headerRowDxfId="29" dataDxfId="28">
  <autoFilter ref="D5:J20" xr:uid="{FEA32FF3-66FD-479C-A02B-5CD57E1A29C6}"/>
  <tableColumns count="7">
    <tableColumn id="1" xr3:uid="{EA38BB6C-BB06-4A43-9C9C-169087086859}" name="HSN Code" dataDxfId="27"/>
    <tableColumn id="2" xr3:uid="{F85F320C-5994-4776-88F2-55A1EB121E86}" name="Product Name" dataDxfId="26">
      <calculatedColumnFormula>IFERROR(VLOOKUP(Table3[[#This Row],[HSN Code]],productsdata[#All],2,0),"")</calculatedColumnFormula>
    </tableColumn>
    <tableColumn id="3" xr3:uid="{40AFD47B-F598-48D7-8028-1BB75F6FB4D2}" name="Vendor Name" dataDxfId="25">
      <calculatedColumnFormula>IFERROR(VLOOKUP(Table3[[#This Row],[HSN Code]],Table4[#All],3,0),"")</calculatedColumnFormula>
    </tableColumn>
    <tableColumn id="4" xr3:uid="{13C8E50D-0D1E-4E58-997F-6DC13E40A36B}" name="Date" dataDxfId="24"/>
    <tableColumn id="5" xr3:uid="{636DF478-5B7C-45FF-9F2D-7E077994DC81}" name="Units" dataDxfId="23"/>
    <tableColumn id="6" xr3:uid="{49DDF3BB-7C1F-4AB5-883E-A04BD019CF7E}" name="Cost" dataDxfId="22">
      <calculatedColumnFormula>IFERROR(VLOOKUP(Table3[[#This Row],[HSN Code]],productsdata[#All],3,0),"")</calculatedColumnFormula>
    </tableColumn>
    <tableColumn id="7" xr3:uid="{A4CB6D97-E33D-478E-8F9D-EA0F781CFCE5}" name="Amount" dataDxfId="21">
      <calculatedColumnFormula>IFERROR(Table3[[#This Row],[Units]]*Table3[[#This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1C2028-11E4-4BA1-AEC6-744E20FB8363}" name="salesdata" displayName="salesdata" ref="D5:L23" totalsRowShown="0" headerRowDxfId="20" dataDxfId="19">
  <autoFilter ref="D5:L23" xr:uid="{DE1C2028-11E4-4BA1-AEC6-744E20FB8363}"/>
  <tableColumns count="9">
    <tableColumn id="1" xr3:uid="{15C6E0C3-18FF-4CB8-A9AD-00687A8C7E85}" name="Cust_ID" dataDxfId="0"/>
    <tableColumn id="2" xr3:uid="{2849888B-F879-4CC4-B1D8-B9F557B7D8C9}" name="Cust_Name" dataDxfId="1">
      <calculatedColumnFormula>IFERROR(VLOOKUP(salesdata[[#This Row],[Cust_ID]],customersdata[#All],2,0),"")</calculatedColumnFormula>
    </tableColumn>
    <tableColumn id="3" xr3:uid="{72119BB6-F21E-4E86-81E0-F9F9C97EEFD3}" name="HSN Code" dataDxfId="18"/>
    <tableColumn id="4" xr3:uid="{7C2F278A-D571-4955-B2F6-0A24EF460989}" name="Product Name" dataDxfId="17">
      <calculatedColumnFormula>IFERROR(VLOOKUP(salesdata[[#This Row],[HSN Code]],productsdata[#All],2,0),"")</calculatedColumnFormula>
    </tableColumn>
    <tableColumn id="5" xr3:uid="{DDF17A84-FFC8-4557-A2B3-7C5F76C2F1F0}" name="Date" dataDxfId="16"/>
    <tableColumn id="6" xr3:uid="{E8BD4F7E-7DE8-48AA-8DE5-DD5ACAD028CB}" name="Stocks(Units)" dataDxfId="15">
      <calculatedColumnFormula>IFERROR(VLOOKUP(salesdata[[#This Row],[HSN Code]],Table6[#All],6,0),"")</calculatedColumnFormula>
    </tableColumn>
    <tableColumn id="7" xr3:uid="{1900FEC1-824E-4B81-A776-D1682EB708E1}" name="Units" dataDxfId="14"/>
    <tableColumn id="8" xr3:uid="{88267E4B-B2C0-4884-8580-62FEF53D7066}" name="Price" dataDxfId="13">
      <calculatedColumnFormula>IFERROR(VLOOKUP(salesdata[[#This Row],[HSN Code]],productsdata[#All],4,0),"")</calculatedColumnFormula>
    </tableColumn>
    <tableColumn id="9" xr3:uid="{DDB1ADCD-B296-4485-9DD2-A7A9702EF7CB}" name="Amount" dataDxfId="12">
      <calculatedColumnFormula>IFERROR(salesdata[[#This Row],[Price]]*salesdata[[#This Row],[Units]],"")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2FD40D-95F8-461A-B450-A833D790AC56}" name="Table6" displayName="Table6" ref="D5:K20" totalsRowShown="0" headerRowDxfId="11" dataDxfId="10">
  <autoFilter ref="D5:K20" xr:uid="{932FD40D-95F8-461A-B450-A833D790AC56}"/>
  <tableColumns count="8">
    <tableColumn id="1" xr3:uid="{F38ECE5B-880F-4385-8B13-8CA12CA5429F}" name="HSNCode" dataDxfId="9">
      <calculatedColumnFormula>IFERROR(productsdata[[#This Row],[HSN Code]],"")</calculatedColumnFormula>
    </tableColumn>
    <tableColumn id="2" xr3:uid="{4ACECBC2-19A9-475F-BD54-7367D9E87F54}" name="Product Name" dataDxfId="8">
      <calculatedColumnFormula>IFERROR(productsdata[[#This Row],[Product Name]],"")</calculatedColumnFormula>
    </tableColumn>
    <tableColumn id="3" xr3:uid="{5EFEB50F-BDD0-4B73-9863-61EBA0CB3CA8}" name="Cost" dataDxfId="7">
      <calculatedColumnFormula>IFERROR(productsdata[[#This Row],[Cost]],"")</calculatedColumnFormula>
    </tableColumn>
    <tableColumn id="4" xr3:uid="{B04F16BA-2529-4D14-8BEF-5ED1540DC4FB}" name="P Units" dataDxfId="6">
      <calculatedColumnFormula>SUMIF(Table3[Product Name],Table6[[#This Row],[Product Name]],Table3[Units])</calculatedColumnFormula>
    </tableColumn>
    <tableColumn id="5" xr3:uid="{5F24CAB0-BCB3-4613-A68E-2CD3CD521367}" name="S Units" dataDxfId="5">
      <calculatedColumnFormula>SUMIF(salesdata[Product Name],Table6[[#This Row],[Product Name]],salesdata[Units])</calculatedColumnFormula>
    </tableColumn>
    <tableColumn id="6" xr3:uid="{6474EDF5-01CD-411C-9283-EC2DB303DD8D}" name="Stock" dataDxfId="4">
      <calculatedColumnFormula>Table6[[#This Row],[P Units]]-Table6[[#This Row],[S Units]]</calculatedColumnFormula>
    </tableColumn>
    <tableColumn id="7" xr3:uid="{9CFAC6CA-4F46-4A98-91AF-79E56F3B74AE}" name="Stock Amt" dataDxfId="3">
      <calculatedColumnFormula>IFERROR(Table6[[#This Row],[Cost]]*Table6[[#This Row],[Stock]],"")</calculatedColumnFormula>
    </tableColumn>
    <tableColumn id="8" xr3:uid="{A8D32168-39F7-4E1F-BABA-ACDD69D8CD94}" name="Notifications" dataDxfId="2">
      <calculatedColumnFormula>IFERROR(IF(Table6[[#This Row],[Stock]]&lt;5,"📞 "&amp;Table6[[#This Row],[Product Name]]&amp;" Needs to re-order ! PH "&amp; VLOOKUP(Table6[[#This Row],[HSNCode]],Table4[#All],4,0),""),"")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irdesh@gmail.com" TargetMode="External"/><Relationship Id="rId3" Type="http://schemas.openxmlformats.org/officeDocument/2006/relationships/hyperlink" Target="mailto:mk@gmail.com" TargetMode="External"/><Relationship Id="rId7" Type="http://schemas.openxmlformats.org/officeDocument/2006/relationships/hyperlink" Target="mailto:jain@gmail.com" TargetMode="External"/><Relationship Id="rId2" Type="http://schemas.openxmlformats.org/officeDocument/2006/relationships/hyperlink" Target="mailto:atul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mit@gmail.com" TargetMode="External"/><Relationship Id="rId5" Type="http://schemas.openxmlformats.org/officeDocument/2006/relationships/hyperlink" Target="mailto:rajesh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99store@gmail.com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D7CF-DF02-4519-9087-3EE19C8EC195}">
  <dimension ref="B1:R33"/>
  <sheetViews>
    <sheetView tabSelected="1" workbookViewId="0">
      <pane xSplit="3" ySplit="24" topLeftCell="D25" activePane="bottomRight" state="frozen"/>
      <selection pane="topRight" activeCell="D1" sqref="D1"/>
      <selection pane="bottomLeft" activeCell="A25" sqref="A25"/>
      <selection pane="bottomRight"/>
    </sheetView>
  </sheetViews>
  <sheetFormatPr defaultRowHeight="14.5" x14ac:dyDescent="0.35"/>
  <cols>
    <col min="1" max="1" width="4" style="1" customWidth="1"/>
    <col min="2" max="2" width="20.7265625" style="2" customWidth="1"/>
    <col min="3" max="3" width="2.26953125" style="1" customWidth="1"/>
    <col min="4" max="16" width="8.7265625" style="1"/>
    <col min="17" max="17" width="7.6328125" style="1" customWidth="1"/>
    <col min="18" max="18" width="6.26953125" style="1" customWidth="1"/>
    <col min="19" max="16384" width="8.7265625" style="1"/>
  </cols>
  <sheetData>
    <row r="1" s="1" customFormat="1" x14ac:dyDescent="0.35"/>
    <row r="18" spans="2:18" x14ac:dyDescent="0.35">
      <c r="L18" s="12" t="s">
        <v>95</v>
      </c>
      <c r="M18" s="11"/>
      <c r="N18" s="11"/>
      <c r="O18" s="11"/>
      <c r="P18" s="11"/>
      <c r="Q18" s="11"/>
      <c r="R18" s="12"/>
    </row>
    <row r="19" spans="2:18" x14ac:dyDescent="0.35">
      <c r="L19" s="14" t="str" cm="1">
        <f t="array" ref="L19:L21">_xlfn._xlws.FILTER(Table6[Notifications],Table6[Notifications]&lt;&gt;"")</f>
        <v>📞 Mouse Needs to re-order ! PH 9813xxxxxx</v>
      </c>
      <c r="M19" s="2"/>
      <c r="N19" s="2"/>
      <c r="O19" s="2"/>
      <c r="P19" s="2"/>
      <c r="Q19" s="2"/>
      <c r="R19" s="14"/>
    </row>
    <row r="20" spans="2:18" x14ac:dyDescent="0.35">
      <c r="L20" s="14" t="str">
        <v>📞 Camera Needs to re-order ! PH 9813xxxxxx</v>
      </c>
      <c r="M20" s="2"/>
      <c r="N20" s="2"/>
      <c r="O20" s="2"/>
      <c r="P20" s="2"/>
      <c r="Q20" s="2"/>
      <c r="R20" s="14"/>
    </row>
    <row r="21" spans="2:18" x14ac:dyDescent="0.35">
      <c r="L21" s="14" t="str">
        <v>📞 Headphones Needs to re-order ! PH 9814xxxxxx</v>
      </c>
      <c r="M21" s="2"/>
      <c r="N21" s="2"/>
      <c r="O21" s="2"/>
      <c r="P21" s="2"/>
      <c r="Q21" s="2"/>
      <c r="R21" s="14"/>
    </row>
    <row r="22" spans="2:18" x14ac:dyDescent="0.35">
      <c r="L22" s="14"/>
      <c r="M22" s="2"/>
      <c r="N22" s="2"/>
      <c r="O22" s="2"/>
      <c r="P22" s="2"/>
      <c r="Q22" s="2"/>
      <c r="R22" s="14"/>
    </row>
    <row r="23" spans="2:18" x14ac:dyDescent="0.35">
      <c r="L23" s="14"/>
      <c r="M23" s="2"/>
      <c r="N23" s="2"/>
      <c r="O23" s="2"/>
      <c r="P23" s="2"/>
      <c r="Q23" s="2"/>
      <c r="R23" s="2"/>
    </row>
    <row r="24" spans="2:18" x14ac:dyDescent="0.35">
      <c r="L24" s="14"/>
      <c r="M24" s="2"/>
      <c r="N24" s="2"/>
      <c r="O24" s="2"/>
      <c r="P24" s="2"/>
      <c r="Q24" s="2"/>
      <c r="R24" s="2"/>
    </row>
    <row r="25" spans="2:18" x14ac:dyDescent="0.35">
      <c r="B25" s="1"/>
      <c r="L25" s="16"/>
    </row>
    <row r="26" spans="2:18" x14ac:dyDescent="0.35">
      <c r="B26" s="1"/>
      <c r="L26" s="16"/>
    </row>
    <row r="27" spans="2:18" x14ac:dyDescent="0.35">
      <c r="B27" s="1"/>
      <c r="L27" s="16"/>
    </row>
    <row r="28" spans="2:18" x14ac:dyDescent="0.35">
      <c r="B28" s="1"/>
      <c r="L28" s="16"/>
    </row>
    <row r="29" spans="2:18" x14ac:dyDescent="0.35">
      <c r="B29" s="1"/>
      <c r="L29" s="16"/>
    </row>
    <row r="30" spans="2:18" x14ac:dyDescent="0.35">
      <c r="B30" s="1"/>
      <c r="L30" s="16"/>
    </row>
    <row r="31" spans="2:18" x14ac:dyDescent="0.35">
      <c r="L31" s="16"/>
    </row>
    <row r="32" spans="2:18" x14ac:dyDescent="0.35">
      <c r="L32" s="16"/>
    </row>
    <row r="33" spans="12:12" x14ac:dyDescent="0.35">
      <c r="L33" s="16"/>
    </row>
  </sheetData>
  <pageMargins left="0.7" right="0.7" top="0.75" bottom="0.75" header="0.3" footer="0.3"/>
  <pageSetup paperSize="9" orientation="portrait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58DA-B0C2-4F10-B603-A873DC3417F4}">
  <dimension ref="B1:G15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4.5" x14ac:dyDescent="0.35"/>
  <cols>
    <col min="1" max="1" width="4" style="1" customWidth="1"/>
    <col min="2" max="2" width="20.7265625" style="2" customWidth="1"/>
    <col min="3" max="3" width="1.81640625" style="1" customWidth="1"/>
    <col min="4" max="4" width="9.6328125" style="1" bestFit="1" customWidth="1"/>
    <col min="5" max="5" width="9.1796875" style="1" bestFit="1" customWidth="1"/>
    <col min="6" max="6" width="17.26953125" style="1" bestFit="1" customWidth="1"/>
    <col min="7" max="7" width="20.1796875" style="1" customWidth="1"/>
    <col min="8" max="16384" width="8.7265625" style="1"/>
  </cols>
  <sheetData>
    <row r="1" spans="2:7" x14ac:dyDescent="0.35">
      <c r="B1" s="1"/>
    </row>
    <row r="5" spans="2:7" x14ac:dyDescent="0.35">
      <c r="D5" s="4" t="s">
        <v>0</v>
      </c>
      <c r="E5" s="1" t="s">
        <v>1</v>
      </c>
      <c r="F5" s="1" t="s">
        <v>2</v>
      </c>
      <c r="G5" s="1" t="s">
        <v>3</v>
      </c>
    </row>
    <row r="6" spans="2:7" x14ac:dyDescent="0.35">
      <c r="D6" s="4">
        <v>100</v>
      </c>
      <c r="E6" s="1" t="s">
        <v>4</v>
      </c>
      <c r="F6" s="3" t="s">
        <v>11</v>
      </c>
      <c r="G6" s="1" t="s">
        <v>18</v>
      </c>
    </row>
    <row r="7" spans="2:7" x14ac:dyDescent="0.35">
      <c r="D7" s="4">
        <v>101</v>
      </c>
      <c r="E7" s="1" t="s">
        <v>5</v>
      </c>
      <c r="F7" s="3" t="s">
        <v>12</v>
      </c>
      <c r="G7" s="1" t="s">
        <v>19</v>
      </c>
    </row>
    <row r="8" spans="2:7" x14ac:dyDescent="0.35">
      <c r="D8" s="4">
        <v>102</v>
      </c>
      <c r="E8" s="1" t="s">
        <v>6</v>
      </c>
      <c r="F8" s="3" t="s">
        <v>13</v>
      </c>
      <c r="G8" s="1" t="s">
        <v>20</v>
      </c>
    </row>
    <row r="9" spans="2:7" x14ac:dyDescent="0.35">
      <c r="D9" s="4">
        <v>103</v>
      </c>
      <c r="E9" s="1" t="s">
        <v>7</v>
      </c>
      <c r="F9" s="3" t="s">
        <v>14</v>
      </c>
      <c r="G9" s="1" t="s">
        <v>21</v>
      </c>
    </row>
    <row r="10" spans="2:7" x14ac:dyDescent="0.35">
      <c r="D10" s="4">
        <v>104</v>
      </c>
      <c r="E10" s="1" t="s">
        <v>8</v>
      </c>
      <c r="F10" s="3" t="s">
        <v>15</v>
      </c>
      <c r="G10" s="1" t="s">
        <v>22</v>
      </c>
    </row>
    <row r="11" spans="2:7" x14ac:dyDescent="0.35">
      <c r="D11" s="4">
        <v>105</v>
      </c>
      <c r="E11" s="1" t="s">
        <v>9</v>
      </c>
      <c r="F11" s="3" t="s">
        <v>16</v>
      </c>
      <c r="G11" s="1" t="s">
        <v>23</v>
      </c>
    </row>
    <row r="12" spans="2:7" x14ac:dyDescent="0.35">
      <c r="D12" s="4">
        <v>106</v>
      </c>
      <c r="E12" s="1" t="s">
        <v>10</v>
      </c>
      <c r="F12" s="3" t="s">
        <v>17</v>
      </c>
      <c r="G12" s="1" t="s">
        <v>24</v>
      </c>
    </row>
    <row r="13" spans="2:7" x14ac:dyDescent="0.35">
      <c r="D13" s="4">
        <v>107</v>
      </c>
      <c r="E13" s="1" t="s">
        <v>97</v>
      </c>
      <c r="F13" s="3" t="s">
        <v>98</v>
      </c>
      <c r="G13" s="1" t="s">
        <v>99</v>
      </c>
    </row>
    <row r="14" spans="2:7" x14ac:dyDescent="0.35">
      <c r="D14" s="4"/>
      <c r="F14" s="3"/>
    </row>
    <row r="15" spans="2:7" x14ac:dyDescent="0.35">
      <c r="D15" s="4"/>
      <c r="F15" s="3"/>
    </row>
  </sheetData>
  <hyperlinks>
    <hyperlink ref="F6" r:id="rId1" xr:uid="{9D89F029-7B5A-4BB4-82D8-1504889AAD9E}"/>
    <hyperlink ref="F7" r:id="rId2" xr:uid="{C735EF4D-C926-409A-ABF6-6ECC7B6ECFC4}"/>
    <hyperlink ref="F8" r:id="rId3" xr:uid="{E99134D8-ED24-404C-8A53-19BF267D89E6}"/>
    <hyperlink ref="F9" r:id="rId4" xr:uid="{81407E7E-E444-4F5D-915C-8CB36A041D11}"/>
    <hyperlink ref="F10" r:id="rId5" xr:uid="{5C297911-387E-4F48-8D31-B10113E44C56}"/>
    <hyperlink ref="F11" r:id="rId6" xr:uid="{17D90F0F-6DAD-4FB2-99FF-04A9C160650F}"/>
    <hyperlink ref="F12" r:id="rId7" xr:uid="{301F8CA9-E069-4C59-9741-8523D7191FAA}"/>
    <hyperlink ref="F13" r:id="rId8" xr:uid="{A01C71C1-8B59-4D18-95A1-28D9C8C0547C}"/>
  </hyperlinks>
  <pageMargins left="0.7" right="0.7" top="0.75" bottom="0.75" header="0.3" footer="0.3"/>
  <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A415-F036-4754-94B8-4C815D39214C}">
  <dimension ref="B1:G17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4.5" x14ac:dyDescent="0.35"/>
  <cols>
    <col min="1" max="1" width="4" style="1" customWidth="1"/>
    <col min="2" max="2" width="20.7265625" style="2" customWidth="1"/>
    <col min="3" max="3" width="2" style="1" customWidth="1"/>
    <col min="4" max="4" width="11.1796875" style="1" customWidth="1"/>
    <col min="5" max="5" width="14.6328125" style="1" customWidth="1"/>
    <col min="6" max="6" width="8.7265625" style="1"/>
    <col min="7" max="7" width="13.1796875" style="1" customWidth="1"/>
    <col min="8" max="16384" width="8.7265625" style="1"/>
  </cols>
  <sheetData>
    <row r="1" spans="2:7" x14ac:dyDescent="0.35">
      <c r="B1" s="1"/>
    </row>
    <row r="5" spans="2:7" x14ac:dyDescent="0.35">
      <c r="D5" s="1" t="s">
        <v>25</v>
      </c>
      <c r="E5" s="1" t="s">
        <v>26</v>
      </c>
      <c r="F5" s="1" t="s">
        <v>27</v>
      </c>
      <c r="G5" s="1" t="s">
        <v>28</v>
      </c>
    </row>
    <row r="6" spans="2:7" x14ac:dyDescent="0.35">
      <c r="D6" s="1" t="s">
        <v>29</v>
      </c>
      <c r="E6" s="1" t="s">
        <v>39</v>
      </c>
      <c r="F6" s="1">
        <v>980</v>
      </c>
      <c r="G6" s="1">
        <v>1176</v>
      </c>
    </row>
    <row r="7" spans="2:7" x14ac:dyDescent="0.35">
      <c r="D7" s="1" t="s">
        <v>30</v>
      </c>
      <c r="E7" s="1" t="s">
        <v>40</v>
      </c>
      <c r="F7" s="1">
        <v>34500</v>
      </c>
      <c r="G7" s="1">
        <v>41400</v>
      </c>
    </row>
    <row r="8" spans="2:7" x14ac:dyDescent="0.35">
      <c r="D8" s="1" t="s">
        <v>31</v>
      </c>
      <c r="E8" s="1" t="s">
        <v>41</v>
      </c>
      <c r="F8" s="1">
        <v>4600</v>
      </c>
      <c r="G8" s="1">
        <v>5520</v>
      </c>
    </row>
    <row r="9" spans="2:7" x14ac:dyDescent="0.35">
      <c r="D9" s="1" t="s">
        <v>32</v>
      </c>
      <c r="E9" s="1" t="s">
        <v>42</v>
      </c>
      <c r="F9" s="1">
        <v>21000</v>
      </c>
      <c r="G9" s="1">
        <v>25200</v>
      </c>
    </row>
    <row r="10" spans="2:7" x14ac:dyDescent="0.35">
      <c r="D10" s="1" t="s">
        <v>33</v>
      </c>
      <c r="E10" s="1" t="s">
        <v>43</v>
      </c>
      <c r="F10" s="1">
        <v>200</v>
      </c>
      <c r="G10" s="1">
        <v>240</v>
      </c>
    </row>
    <row r="11" spans="2:7" x14ac:dyDescent="0.35">
      <c r="D11" s="1" t="s">
        <v>34</v>
      </c>
      <c r="E11" s="1" t="s">
        <v>44</v>
      </c>
      <c r="F11" s="1">
        <v>340</v>
      </c>
      <c r="G11" s="1">
        <v>408</v>
      </c>
    </row>
    <row r="12" spans="2:7" x14ac:dyDescent="0.35">
      <c r="D12" s="1" t="s">
        <v>35</v>
      </c>
      <c r="E12" s="1" t="s">
        <v>45</v>
      </c>
      <c r="F12" s="1">
        <v>52000</v>
      </c>
      <c r="G12" s="1">
        <v>62400</v>
      </c>
    </row>
    <row r="13" spans="2:7" x14ac:dyDescent="0.35">
      <c r="D13" s="1" t="s">
        <v>36</v>
      </c>
      <c r="E13" s="1" t="s">
        <v>46</v>
      </c>
      <c r="F13" s="1">
        <v>799</v>
      </c>
      <c r="G13" s="1">
        <v>958.8</v>
      </c>
    </row>
    <row r="14" spans="2:7" x14ac:dyDescent="0.35">
      <c r="D14" s="1" t="s">
        <v>37</v>
      </c>
      <c r="E14" s="1" t="s">
        <v>47</v>
      </c>
      <c r="F14" s="1">
        <v>670</v>
      </c>
      <c r="G14" s="1">
        <v>804</v>
      </c>
    </row>
    <row r="15" spans="2:7" x14ac:dyDescent="0.35">
      <c r="D15" s="1" t="s">
        <v>38</v>
      </c>
      <c r="E15" s="1" t="s">
        <v>48</v>
      </c>
      <c r="F15" s="1">
        <v>23500</v>
      </c>
      <c r="G15" s="1">
        <v>28200</v>
      </c>
    </row>
    <row r="16" spans="2:7" x14ac:dyDescent="0.35">
      <c r="D16" s="1" t="s">
        <v>96</v>
      </c>
      <c r="E16" s="1" t="s">
        <v>100</v>
      </c>
      <c r="F16" s="1">
        <v>26999</v>
      </c>
      <c r="G16" s="1">
        <v>29999</v>
      </c>
    </row>
    <row r="17" spans="4:7" x14ac:dyDescent="0.35">
      <c r="D17" s="1" t="s">
        <v>104</v>
      </c>
      <c r="E17" s="1" t="s">
        <v>105</v>
      </c>
      <c r="F17" s="1">
        <v>30999</v>
      </c>
      <c r="G17" s="1">
        <v>35999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E2CE-EC7C-4777-A44B-AAC87BDF0F8D}">
  <dimension ref="B1:H17"/>
  <sheetViews>
    <sheetView zoomScaleNormal="100" workbookViewId="0"/>
  </sheetViews>
  <sheetFormatPr defaultRowHeight="14.5" x14ac:dyDescent="0.35"/>
  <cols>
    <col min="1" max="1" width="4" style="1" customWidth="1"/>
    <col min="2" max="2" width="20.7265625" style="2" customWidth="1"/>
    <col min="3" max="3" width="2.08984375" style="1" customWidth="1"/>
    <col min="4" max="4" width="11.1796875" style="1" customWidth="1"/>
    <col min="5" max="5" width="14.6328125" style="1" customWidth="1"/>
    <col min="6" max="6" width="14.90625" style="1" customWidth="1"/>
    <col min="7" max="7" width="11.26953125" style="1" customWidth="1"/>
    <col min="8" max="8" width="15.90625" style="1" bestFit="1" customWidth="1"/>
    <col min="9" max="9" width="10.453125" style="1" customWidth="1"/>
    <col min="10" max="16384" width="8.7265625" style="1"/>
  </cols>
  <sheetData>
    <row r="1" spans="2:8" x14ac:dyDescent="0.35">
      <c r="B1" s="1"/>
    </row>
    <row r="5" spans="2:8" x14ac:dyDescent="0.35">
      <c r="D5" s="1" t="s">
        <v>25</v>
      </c>
      <c r="E5" s="1" t="s">
        <v>26</v>
      </c>
      <c r="F5" s="1" t="s">
        <v>53</v>
      </c>
      <c r="G5" s="1" t="s">
        <v>52</v>
      </c>
      <c r="H5" s="1" t="s">
        <v>3</v>
      </c>
    </row>
    <row r="6" spans="2:8" x14ac:dyDescent="0.35">
      <c r="D6" s="1" t="s">
        <v>29</v>
      </c>
      <c r="E6" s="1" t="s">
        <v>39</v>
      </c>
      <c r="F6" s="1" t="s">
        <v>65</v>
      </c>
      <c r="G6" s="1" t="s">
        <v>68</v>
      </c>
      <c r="H6" s="1" t="s">
        <v>72</v>
      </c>
    </row>
    <row r="7" spans="2:8" x14ac:dyDescent="0.35">
      <c r="D7" s="1" t="s">
        <v>30</v>
      </c>
      <c r="E7" s="1" t="s">
        <v>40</v>
      </c>
      <c r="F7" s="1" t="s">
        <v>65</v>
      </c>
      <c r="G7" s="1" t="s">
        <v>68</v>
      </c>
      <c r="H7" s="1" t="s">
        <v>74</v>
      </c>
    </row>
    <row r="8" spans="2:8" x14ac:dyDescent="0.35">
      <c r="D8" s="1" t="s">
        <v>31</v>
      </c>
      <c r="E8" s="1" t="s">
        <v>41</v>
      </c>
      <c r="F8" s="1" t="s">
        <v>65</v>
      </c>
      <c r="G8" s="1" t="s">
        <v>68</v>
      </c>
      <c r="H8" s="1" t="s">
        <v>75</v>
      </c>
    </row>
    <row r="9" spans="2:8" x14ac:dyDescent="0.35">
      <c r="D9" s="1" t="s">
        <v>32</v>
      </c>
      <c r="E9" s="1" t="s">
        <v>42</v>
      </c>
      <c r="F9" s="1" t="s">
        <v>66</v>
      </c>
      <c r="G9" s="1" t="s">
        <v>69</v>
      </c>
      <c r="H9" s="1" t="s">
        <v>71</v>
      </c>
    </row>
    <row r="10" spans="2:8" x14ac:dyDescent="0.35">
      <c r="D10" s="1" t="s">
        <v>33</v>
      </c>
      <c r="E10" s="1" t="s">
        <v>43</v>
      </c>
      <c r="F10" s="1" t="s">
        <v>66</v>
      </c>
      <c r="G10" s="1" t="s">
        <v>69</v>
      </c>
      <c r="H10" s="1" t="s">
        <v>76</v>
      </c>
    </row>
    <row r="11" spans="2:8" x14ac:dyDescent="0.35">
      <c r="D11" s="1" t="s">
        <v>34</v>
      </c>
      <c r="E11" s="1" t="s">
        <v>44</v>
      </c>
      <c r="F11" s="1" t="s">
        <v>66</v>
      </c>
      <c r="G11" s="1" t="s">
        <v>69</v>
      </c>
      <c r="H11" s="1" t="s">
        <v>77</v>
      </c>
    </row>
    <row r="12" spans="2:8" x14ac:dyDescent="0.35">
      <c r="D12" s="1" t="s">
        <v>35</v>
      </c>
      <c r="E12" s="1" t="s">
        <v>45</v>
      </c>
      <c r="F12" s="1" t="s">
        <v>66</v>
      </c>
      <c r="G12" s="1" t="s">
        <v>69</v>
      </c>
      <c r="H12" s="1" t="s">
        <v>78</v>
      </c>
    </row>
    <row r="13" spans="2:8" x14ac:dyDescent="0.35">
      <c r="D13" s="1" t="s">
        <v>36</v>
      </c>
      <c r="E13" s="1" t="s">
        <v>46</v>
      </c>
      <c r="F13" s="1" t="s">
        <v>67</v>
      </c>
      <c r="G13" s="1" t="s">
        <v>70</v>
      </c>
      <c r="H13" s="1" t="s">
        <v>73</v>
      </c>
    </row>
    <row r="14" spans="2:8" x14ac:dyDescent="0.35">
      <c r="D14" s="1" t="s">
        <v>37</v>
      </c>
      <c r="E14" s="1" t="s">
        <v>47</v>
      </c>
      <c r="F14" s="1" t="s">
        <v>67</v>
      </c>
      <c r="G14" s="1" t="s">
        <v>70</v>
      </c>
      <c r="H14" s="1" t="s">
        <v>79</v>
      </c>
    </row>
    <row r="15" spans="2:8" x14ac:dyDescent="0.35">
      <c r="D15" s="1" t="s">
        <v>38</v>
      </c>
      <c r="E15" s="5" t="s">
        <v>48</v>
      </c>
      <c r="F15" s="1" t="s">
        <v>67</v>
      </c>
      <c r="G15" s="1" t="s">
        <v>70</v>
      </c>
      <c r="H15" s="1" t="s">
        <v>80</v>
      </c>
    </row>
    <row r="16" spans="2:8" x14ac:dyDescent="0.35">
      <c r="D16" s="1" t="s">
        <v>96</v>
      </c>
      <c r="E16" s="17" t="s">
        <v>100</v>
      </c>
      <c r="F16" s="1" t="s">
        <v>101</v>
      </c>
      <c r="G16" s="1" t="s">
        <v>102</v>
      </c>
      <c r="H16" s="1" t="s">
        <v>103</v>
      </c>
    </row>
    <row r="17" spans="4:8" x14ac:dyDescent="0.35">
      <c r="D17" s="1" t="s">
        <v>104</v>
      </c>
      <c r="E17" s="17" t="s">
        <v>105</v>
      </c>
      <c r="F17" s="1" t="s">
        <v>101</v>
      </c>
      <c r="G17" s="1" t="s">
        <v>102</v>
      </c>
      <c r="H17" s="1" t="s">
        <v>106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6606-66A5-4957-ABDF-CF37ECF68566}">
  <dimension ref="B1:E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9" sqref="E9"/>
    </sheetView>
  </sheetViews>
  <sheetFormatPr defaultRowHeight="14.5" x14ac:dyDescent="0.35"/>
  <cols>
    <col min="1" max="1" width="4" style="1" customWidth="1"/>
    <col min="2" max="2" width="20.7265625" style="2" customWidth="1"/>
    <col min="3" max="3" width="2" style="1" customWidth="1"/>
    <col min="4" max="4" width="8.7265625" style="1"/>
    <col min="5" max="5" width="13" style="1" bestFit="1" customWidth="1"/>
    <col min="6" max="16384" width="8.7265625" style="1"/>
  </cols>
  <sheetData>
    <row r="1" spans="5:5" s="1" customFormat="1" x14ac:dyDescent="0.35"/>
    <row r="6" spans="5:5" x14ac:dyDescent="0.35">
      <c r="E6" s="3" t="s">
        <v>49</v>
      </c>
    </row>
    <row r="9" spans="5:5" x14ac:dyDescent="0.35">
      <c r="E9" s="3" t="s">
        <v>50</v>
      </c>
    </row>
  </sheetData>
  <hyperlinks>
    <hyperlink ref="E6" location="Purchase!A1" display="Purchase Entry" xr:uid="{F12ED438-ECF0-4CCD-8DC1-1654224602A3}"/>
    <hyperlink ref="E9" location="Sales!A1" display="Sales Entry" xr:uid="{7834E633-10C9-4D00-9C66-A9D5A5BFF78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A4BB-6C1E-4344-9040-0B3FA11CE50B}">
  <dimension ref="B1:J20"/>
  <sheetViews>
    <sheetView workbookViewId="0">
      <pane xSplit="3" ySplit="5" topLeftCell="D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" style="1" customWidth="1"/>
    <col min="2" max="2" width="20.7265625" style="2" customWidth="1"/>
    <col min="3" max="3" width="2" style="1" customWidth="1"/>
    <col min="4" max="4" width="11.1796875" style="1" customWidth="1"/>
    <col min="5" max="5" width="15.90625" style="1" customWidth="1"/>
    <col min="6" max="6" width="14" style="1" customWidth="1"/>
    <col min="7" max="7" width="10.08984375" style="1" bestFit="1" customWidth="1"/>
    <col min="8" max="8" width="8.90625" style="1" customWidth="1"/>
    <col min="9" max="9" width="8.7265625" style="1"/>
    <col min="10" max="10" width="9.36328125" style="1" customWidth="1"/>
    <col min="11" max="16384" width="8.7265625" style="1"/>
  </cols>
  <sheetData>
    <row r="1" spans="2:10" x14ac:dyDescent="0.35">
      <c r="B1" s="1"/>
    </row>
    <row r="5" spans="2:10" x14ac:dyDescent="0.35">
      <c r="D5" s="1" t="s">
        <v>25</v>
      </c>
      <c r="E5" s="1" t="s">
        <v>26</v>
      </c>
      <c r="F5" s="1" t="s">
        <v>51</v>
      </c>
      <c r="G5" s="1" t="s">
        <v>54</v>
      </c>
      <c r="H5" s="1" t="s">
        <v>55</v>
      </c>
      <c r="I5" s="1" t="s">
        <v>27</v>
      </c>
      <c r="J5" s="1" t="s">
        <v>56</v>
      </c>
    </row>
    <row r="6" spans="2:10" x14ac:dyDescent="0.35">
      <c r="D6" s="1" t="s">
        <v>35</v>
      </c>
      <c r="E6" s="1" t="str">
        <f>IFERROR(VLOOKUP(Table3[[#This Row],[HSN Code]],productsdata[#All],2,0),"")</f>
        <v>Camera</v>
      </c>
      <c r="F6" s="1" t="str">
        <f>IFERROR(VLOOKUP(Table3[[#This Row],[HSN Code]],Table4[#All],3,0),"")</f>
        <v>GG Traders</v>
      </c>
      <c r="G6" s="6">
        <v>45292</v>
      </c>
      <c r="H6" s="1">
        <v>10</v>
      </c>
      <c r="I6" s="1">
        <f>IFERROR(VLOOKUP(Table3[[#This Row],[HSN Code]],productsdata[#All],3,0),"")</f>
        <v>52000</v>
      </c>
      <c r="J6" s="1">
        <f>IFERROR(Table3[[#This Row],[Units]]*Table3[[#This Row],[Cost]],"")</f>
        <v>520000</v>
      </c>
    </row>
    <row r="7" spans="2:10" x14ac:dyDescent="0.35">
      <c r="D7" s="1" t="s">
        <v>37</v>
      </c>
      <c r="E7" s="1" t="str">
        <f>IFERROR(VLOOKUP(Table3[[#This Row],[HSN Code]],productsdata[#All],2,0),"")</f>
        <v>Speakers</v>
      </c>
      <c r="F7" s="1" t="str">
        <f>IFERROR(VLOOKUP(Table3[[#This Row],[HSN Code]],Table4[#All],3,0),"")</f>
        <v>Compac</v>
      </c>
      <c r="G7" s="6">
        <v>45293</v>
      </c>
      <c r="H7" s="1">
        <v>10</v>
      </c>
      <c r="I7" s="1">
        <f>IFERROR(VLOOKUP(Table3[[#This Row],[HSN Code]],productsdata[#All],3,0),"")</f>
        <v>670</v>
      </c>
      <c r="J7" s="1">
        <f>IFERROR(Table3[[#This Row],[Units]]*Table3[[#This Row],[Cost]],"")</f>
        <v>6700</v>
      </c>
    </row>
    <row r="8" spans="2:10" x14ac:dyDescent="0.35">
      <c r="D8" s="1" t="s">
        <v>32</v>
      </c>
      <c r="E8" s="1" t="str">
        <f>IFERROR(VLOOKUP(Table3[[#This Row],[HSN Code]],productsdata[#All],2,0),"")</f>
        <v>Desktop</v>
      </c>
      <c r="F8" s="1" t="str">
        <f>IFERROR(VLOOKUP(Table3[[#This Row],[HSN Code]],Table4[#All],3,0),"")</f>
        <v>GG Traders</v>
      </c>
      <c r="G8" s="6">
        <v>45323</v>
      </c>
      <c r="H8" s="1">
        <v>50</v>
      </c>
      <c r="I8" s="1">
        <f>IFERROR(VLOOKUP(Table3[[#This Row],[HSN Code]],productsdata[#All],3,0),"")</f>
        <v>21000</v>
      </c>
      <c r="J8" s="1">
        <f>IFERROR(Table3[[#This Row],[Units]]*Table3[[#This Row],[Cost]],"")</f>
        <v>1050000</v>
      </c>
    </row>
    <row r="9" spans="2:10" x14ac:dyDescent="0.35">
      <c r="D9" s="1" t="s">
        <v>29</v>
      </c>
      <c r="E9" s="1" t="str">
        <f>IFERROR(VLOOKUP(Table3[[#This Row],[HSN Code]],productsdata[#All],2,0),"")</f>
        <v>Smart Watch</v>
      </c>
      <c r="F9" s="1" t="str">
        <f>IFERROR(VLOOKUP(Table3[[#This Row],[HSN Code]],Table4[#All],3,0),"")</f>
        <v>Tech99</v>
      </c>
      <c r="G9" s="6">
        <v>45323</v>
      </c>
      <c r="H9" s="1">
        <v>50</v>
      </c>
      <c r="I9" s="1">
        <f>IFERROR(VLOOKUP(Table3[[#This Row],[HSN Code]],productsdata[#All],3,0),"")</f>
        <v>980</v>
      </c>
      <c r="J9" s="1">
        <f>IFERROR(Table3[[#This Row],[Units]]*Table3[[#This Row],[Cost]],"")</f>
        <v>49000</v>
      </c>
    </row>
    <row r="10" spans="2:10" x14ac:dyDescent="0.35">
      <c r="D10" s="1" t="s">
        <v>30</v>
      </c>
      <c r="E10" s="1" t="str">
        <f>IFERROR(VLOOKUP(Table3[[#This Row],[HSN Code]],productsdata[#All],2,0),"")</f>
        <v>Laptop HP XYZ</v>
      </c>
      <c r="F10" s="1" t="str">
        <f>IFERROR(VLOOKUP(Table3[[#This Row],[HSN Code]],Table4[#All],3,0),"")</f>
        <v>Tech99</v>
      </c>
      <c r="G10" s="6">
        <v>45323</v>
      </c>
      <c r="H10" s="1">
        <v>50</v>
      </c>
      <c r="I10" s="1">
        <f>IFERROR(VLOOKUP(Table3[[#This Row],[HSN Code]],productsdata[#All],3,0),"")</f>
        <v>34500</v>
      </c>
      <c r="J10" s="1">
        <f>IFERROR(Table3[[#This Row],[Units]]*Table3[[#This Row],[Cost]],"")</f>
        <v>1725000</v>
      </c>
    </row>
    <row r="11" spans="2:10" x14ac:dyDescent="0.35">
      <c r="D11" s="1" t="s">
        <v>31</v>
      </c>
      <c r="E11" s="1" t="str">
        <f>IFERROR(VLOOKUP(Table3[[#This Row],[HSN Code]],productsdata[#All],2,0),"")</f>
        <v>Wireless Print</v>
      </c>
      <c r="F11" s="1" t="str">
        <f>IFERROR(VLOOKUP(Table3[[#This Row],[HSN Code]],Table4[#All],3,0),"")</f>
        <v>Tech99</v>
      </c>
      <c r="G11" s="6">
        <v>45323</v>
      </c>
      <c r="H11" s="1">
        <v>100</v>
      </c>
      <c r="I11" s="1">
        <f>IFERROR(VLOOKUP(Table3[[#This Row],[HSN Code]],productsdata[#All],3,0),"")</f>
        <v>4600</v>
      </c>
      <c r="J11" s="1">
        <f>IFERROR(Table3[[#This Row],[Units]]*Table3[[#This Row],[Cost]],"")</f>
        <v>460000</v>
      </c>
    </row>
    <row r="12" spans="2:10" x14ac:dyDescent="0.35">
      <c r="D12" s="1" t="s">
        <v>33</v>
      </c>
      <c r="E12" s="1" t="str">
        <f>IFERROR(VLOOKUP(Table3[[#This Row],[HSN Code]],productsdata[#All],2,0),"")</f>
        <v>Mouse</v>
      </c>
      <c r="F12" s="1" t="str">
        <f>IFERROR(VLOOKUP(Table3[[#This Row],[HSN Code]],Table4[#All],3,0),"")</f>
        <v>GG Traders</v>
      </c>
      <c r="G12" s="6">
        <v>45323</v>
      </c>
      <c r="H12" s="1">
        <v>10</v>
      </c>
      <c r="I12" s="1">
        <f>IFERROR(VLOOKUP(Table3[[#This Row],[HSN Code]],productsdata[#All],3,0),"")</f>
        <v>200</v>
      </c>
      <c r="J12" s="1">
        <f>IFERROR(Table3[[#This Row],[Units]]*Table3[[#This Row],[Cost]],"")</f>
        <v>2000</v>
      </c>
    </row>
    <row r="13" spans="2:10" x14ac:dyDescent="0.35">
      <c r="D13" s="1" t="s">
        <v>37</v>
      </c>
      <c r="E13" s="1" t="str">
        <f>IFERROR(VLOOKUP(Table3[[#This Row],[HSN Code]],productsdata[#All],2,0),"")</f>
        <v>Speakers</v>
      </c>
      <c r="F13" s="1" t="str">
        <f>IFERROR(VLOOKUP(Table3[[#This Row],[HSN Code]],Table4[#All],3,0),"")</f>
        <v>Compac</v>
      </c>
      <c r="G13" s="6">
        <v>45324</v>
      </c>
      <c r="H13" s="1">
        <v>20</v>
      </c>
      <c r="I13" s="1">
        <f>IFERROR(VLOOKUP(Table3[[#This Row],[HSN Code]],productsdata[#All],3,0),"")</f>
        <v>670</v>
      </c>
      <c r="J13" s="1">
        <f>IFERROR(Table3[[#This Row],[Units]]*Table3[[#This Row],[Cost]],"")</f>
        <v>13400</v>
      </c>
    </row>
    <row r="14" spans="2:10" x14ac:dyDescent="0.35">
      <c r="D14" s="1" t="s">
        <v>36</v>
      </c>
      <c r="E14" s="1" t="str">
        <f>IFERROR(VLOOKUP(Table3[[#This Row],[HSN Code]],productsdata[#All],2,0),"")</f>
        <v>Headphones</v>
      </c>
      <c r="F14" s="1" t="str">
        <f>IFERROR(VLOOKUP(Table3[[#This Row],[HSN Code]],Table4[#All],3,0),"")</f>
        <v>Compac</v>
      </c>
      <c r="G14" s="6">
        <v>45325</v>
      </c>
      <c r="H14" s="1">
        <v>20</v>
      </c>
      <c r="I14" s="1">
        <f>IFERROR(VLOOKUP(Table3[[#This Row],[HSN Code]],productsdata[#All],3,0),"")</f>
        <v>799</v>
      </c>
      <c r="J14" s="1">
        <f>IFERROR(Table3[[#This Row],[Units]]*Table3[[#This Row],[Cost]],"")</f>
        <v>15980</v>
      </c>
    </row>
    <row r="15" spans="2:10" x14ac:dyDescent="0.35">
      <c r="D15" s="1" t="s">
        <v>38</v>
      </c>
      <c r="E15" s="1" t="str">
        <f>IFERROR(VLOOKUP(Table3[[#This Row],[HSN Code]],productsdata[#All],2,0),"")</f>
        <v>Tablets</v>
      </c>
      <c r="F15" s="1" t="str">
        <f>IFERROR(VLOOKUP(Table3[[#This Row],[HSN Code]],Table4[#All],3,0),"")</f>
        <v>Compac</v>
      </c>
      <c r="G15" s="6">
        <v>45326</v>
      </c>
      <c r="H15" s="1">
        <v>25</v>
      </c>
      <c r="I15" s="1">
        <f>IFERROR(VLOOKUP(Table3[[#This Row],[HSN Code]],productsdata[#All],3,0),"")</f>
        <v>23500</v>
      </c>
      <c r="J15" s="1">
        <f>IFERROR(Table3[[#This Row],[Units]]*Table3[[#This Row],[Cost]],"")</f>
        <v>587500</v>
      </c>
    </row>
    <row r="16" spans="2:10" x14ac:dyDescent="0.35">
      <c r="D16" s="1" t="s">
        <v>34</v>
      </c>
      <c r="E16" s="1" t="str">
        <f>IFERROR(VLOOKUP(Table3[[#This Row],[HSN Code]],productsdata[#All],2,0),"")</f>
        <v>Rgb Keyboard</v>
      </c>
      <c r="F16" s="1" t="str">
        <f>IFERROR(VLOOKUP(Table3[[#This Row],[HSN Code]],Table4[#All],3,0),"")</f>
        <v>GG Traders</v>
      </c>
      <c r="G16" s="6">
        <v>45327</v>
      </c>
      <c r="H16" s="1">
        <v>30</v>
      </c>
      <c r="I16" s="1">
        <f>IFERROR(VLOOKUP(Table3[[#This Row],[HSN Code]],productsdata[#All],3,0),"")</f>
        <v>340</v>
      </c>
      <c r="J16" s="1">
        <f>IFERROR(Table3[[#This Row],[Units]]*Table3[[#This Row],[Cost]],"")</f>
        <v>10200</v>
      </c>
    </row>
    <row r="17" spans="4:10" x14ac:dyDescent="0.35">
      <c r="D17" s="1" t="s">
        <v>32</v>
      </c>
      <c r="E17" s="1" t="str">
        <f>IFERROR(VLOOKUP(Table3[[#This Row],[HSN Code]],productsdata[#All],2,0),"")</f>
        <v>Desktop</v>
      </c>
      <c r="F17" s="1" t="str">
        <f>IFERROR(VLOOKUP(Table3[[#This Row],[HSN Code]],Table4[#All],3,0),"")</f>
        <v>GG Traders</v>
      </c>
      <c r="G17" s="6">
        <v>45328</v>
      </c>
      <c r="H17" s="1">
        <v>40</v>
      </c>
      <c r="I17" s="1">
        <f>IFERROR(VLOOKUP(Table3[[#This Row],[HSN Code]],productsdata[#All],3,0),"")</f>
        <v>21000</v>
      </c>
      <c r="J17" s="1">
        <f>IFERROR(Table3[[#This Row],[Units]]*Table3[[#This Row],[Cost]],"")</f>
        <v>840000</v>
      </c>
    </row>
    <row r="18" spans="4:10" x14ac:dyDescent="0.35">
      <c r="D18" s="1" t="s">
        <v>33</v>
      </c>
      <c r="E18" s="1" t="str">
        <f>IFERROR(VLOOKUP(Table3[[#This Row],[HSN Code]],productsdata[#All],2,0),"")</f>
        <v>Mouse</v>
      </c>
      <c r="F18" s="1" t="str">
        <f>IFERROR(VLOOKUP(Table3[[#This Row],[HSN Code]],Table4[#All],3,0),"")</f>
        <v>GG Traders</v>
      </c>
      <c r="G18" s="6">
        <v>45330</v>
      </c>
      <c r="H18" s="1">
        <v>10</v>
      </c>
      <c r="I18" s="1">
        <f>IFERROR(VLOOKUP(Table3[[#This Row],[HSN Code]],productsdata[#All],3,0),"")</f>
        <v>200</v>
      </c>
      <c r="J18" s="1">
        <f>IFERROR(Table3[[#This Row],[Units]]*Table3[[#This Row],[Cost]],"")</f>
        <v>2000</v>
      </c>
    </row>
    <row r="19" spans="4:10" x14ac:dyDescent="0.35">
      <c r="D19" s="1" t="s">
        <v>96</v>
      </c>
      <c r="E19" s="13" t="str">
        <f>IFERROR(VLOOKUP(Table3[[#This Row],[HSN Code]],productsdata[#All],2,0),"")</f>
        <v>Oppo Mobile</v>
      </c>
      <c r="F19" s="13" t="str">
        <f>IFERROR(VLOOKUP(Table3[[#This Row],[HSN Code]],Table4[#All],3,0),"")</f>
        <v>HR Pvt. Ltd</v>
      </c>
      <c r="G19" s="6">
        <v>45361</v>
      </c>
      <c r="H19" s="1">
        <v>40</v>
      </c>
      <c r="I19" s="13">
        <f>IFERROR(VLOOKUP(Table3[[#This Row],[HSN Code]],productsdata[#All],3,0),"")</f>
        <v>26999</v>
      </c>
      <c r="J19" s="13">
        <f>IFERROR(Table3[[#This Row],[Units]]*Table3[[#This Row],[Cost]],"")</f>
        <v>1079960</v>
      </c>
    </row>
    <row r="20" spans="4:10" x14ac:dyDescent="0.35">
      <c r="D20" s="1" t="s">
        <v>104</v>
      </c>
      <c r="E20" s="13" t="str">
        <f>IFERROR(VLOOKUP(Table3[[#This Row],[HSN Code]],productsdata[#All],2,0),"")</f>
        <v>Realme</v>
      </c>
      <c r="F20" s="13" t="str">
        <f>IFERROR(VLOOKUP(Table3[[#This Row],[HSN Code]],Table4[#All],3,0),"")</f>
        <v>HR Pvt. Ltd</v>
      </c>
      <c r="G20" s="6">
        <v>45395</v>
      </c>
      <c r="H20" s="1">
        <v>50</v>
      </c>
      <c r="I20" s="13">
        <f>IFERROR(VLOOKUP(Table3[[#This Row],[HSN Code]],productsdata[#All],3,0),"")</f>
        <v>30999</v>
      </c>
      <c r="J20" s="13">
        <f>IFERROR(Table3[[#This Row],[Units]]*Table3[[#This Row],[Cost]],"")</f>
        <v>1549950</v>
      </c>
    </row>
  </sheetData>
  <dataValidations count="1">
    <dataValidation type="list" allowBlank="1" showInputMessage="1" showErrorMessage="1" sqref="D6:D20" xr:uid="{91F04BB1-6455-4D39-8C5F-BADBBBAEC6C2}">
      <formula1>HSNCode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1B2B-A63F-48EB-839F-A161548E1D40}">
  <dimension ref="B1:L25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4.5" x14ac:dyDescent="0.35"/>
  <cols>
    <col min="1" max="1" width="4" style="1" customWidth="1"/>
    <col min="2" max="2" width="20.7265625" style="2" customWidth="1"/>
    <col min="3" max="3" width="2.08984375" style="1" customWidth="1"/>
    <col min="4" max="4" width="9.36328125" style="1" customWidth="1"/>
    <col min="5" max="5" width="12.453125" style="1" customWidth="1"/>
    <col min="6" max="6" width="11.1796875" style="1" customWidth="1"/>
    <col min="7" max="7" width="14.6328125" style="1" customWidth="1"/>
    <col min="8" max="8" width="10.08984375" style="1" bestFit="1" customWidth="1"/>
    <col min="9" max="9" width="14.1796875" style="1" customWidth="1"/>
    <col min="10" max="11" width="8.7265625" style="1"/>
    <col min="12" max="12" width="9.36328125" style="1" customWidth="1"/>
    <col min="13" max="16384" width="8.7265625" style="1"/>
  </cols>
  <sheetData>
    <row r="1" spans="2:12" x14ac:dyDescent="0.35">
      <c r="B1" s="1"/>
    </row>
    <row r="5" spans="2:12" x14ac:dyDescent="0.35">
      <c r="D5" s="1" t="s">
        <v>0</v>
      </c>
      <c r="E5" s="1" t="s">
        <v>57</v>
      </c>
      <c r="F5" s="1" t="s">
        <v>25</v>
      </c>
      <c r="G5" s="1" t="s">
        <v>26</v>
      </c>
      <c r="H5" s="1" t="s">
        <v>54</v>
      </c>
      <c r="I5" s="1" t="s">
        <v>58</v>
      </c>
      <c r="J5" s="1" t="s">
        <v>55</v>
      </c>
      <c r="K5" s="1" t="s">
        <v>59</v>
      </c>
      <c r="L5" s="1" t="s">
        <v>56</v>
      </c>
    </row>
    <row r="6" spans="2:12" x14ac:dyDescent="0.35">
      <c r="D6" s="4">
        <v>105</v>
      </c>
      <c r="E6" s="1" t="str">
        <f>IFERROR(VLOOKUP(salesdata[[#This Row],[Cust_ID]],customersdata[#All],2,0),"")</f>
        <v>Amit</v>
      </c>
      <c r="F6" s="1" t="s">
        <v>33</v>
      </c>
      <c r="G6" s="1" t="str">
        <f>IFERROR(VLOOKUP(salesdata[[#This Row],[HSN Code]],productsdata[#All],2,0),"")</f>
        <v>Mouse</v>
      </c>
      <c r="H6" s="6">
        <v>45292</v>
      </c>
      <c r="I6" s="1">
        <f>IFERROR(VLOOKUP(salesdata[[#This Row],[HSN Code]],Table6[#All],6,0),"")</f>
        <v>1</v>
      </c>
      <c r="J6" s="1">
        <v>10</v>
      </c>
      <c r="K6" s="1">
        <f>IFERROR(VLOOKUP(salesdata[[#This Row],[HSN Code]],productsdata[#All],4,0),"")</f>
        <v>240</v>
      </c>
      <c r="L6" s="1">
        <f>IFERROR(salesdata[[#This Row],[Price]]*salesdata[[#This Row],[Units]],"")</f>
        <v>2400</v>
      </c>
    </row>
    <row r="7" spans="2:12" x14ac:dyDescent="0.35">
      <c r="D7" s="4">
        <v>102</v>
      </c>
      <c r="E7" s="1" t="str">
        <f>IFERROR(VLOOKUP(salesdata[[#This Row],[Cust_ID]],customersdata[#All],2,0),"")</f>
        <v>MK Tech.</v>
      </c>
      <c r="F7" s="1" t="s">
        <v>32</v>
      </c>
      <c r="G7" s="1" t="str">
        <f>IFERROR(VLOOKUP(salesdata[[#This Row],[HSN Code]],productsdata[#All],2,0),"")</f>
        <v>Desktop</v>
      </c>
      <c r="H7" s="6">
        <v>45292</v>
      </c>
      <c r="I7" s="1">
        <f>IFERROR(VLOOKUP(salesdata[[#This Row],[HSN Code]],Table6[#All],6,0),"")</f>
        <v>25</v>
      </c>
      <c r="J7" s="1">
        <v>5</v>
      </c>
      <c r="K7" s="1">
        <f>IFERROR(VLOOKUP(salesdata[[#This Row],[HSN Code]],productsdata[#All],4,0),"")</f>
        <v>25200</v>
      </c>
      <c r="L7" s="1">
        <f>IFERROR(salesdata[[#This Row],[Price]]*salesdata[[#This Row],[Units]],"")</f>
        <v>126000</v>
      </c>
    </row>
    <row r="8" spans="2:12" x14ac:dyDescent="0.35">
      <c r="D8" s="4">
        <v>103</v>
      </c>
      <c r="E8" s="1" t="str">
        <f>IFERROR(VLOOKUP(salesdata[[#This Row],[Cust_ID]],customersdata[#All],2,0),"")</f>
        <v>99Store</v>
      </c>
      <c r="F8" s="1" t="s">
        <v>36</v>
      </c>
      <c r="G8" s="1" t="str">
        <f>IFERROR(VLOOKUP(salesdata[[#This Row],[HSN Code]],productsdata[#All],2,0),"")</f>
        <v>Headphones</v>
      </c>
      <c r="H8" s="6">
        <v>45292</v>
      </c>
      <c r="I8" s="1">
        <f>IFERROR(VLOOKUP(salesdata[[#This Row],[HSN Code]],Table6[#All],6,0),"")</f>
        <v>2</v>
      </c>
      <c r="J8" s="1">
        <v>5</v>
      </c>
      <c r="K8" s="1">
        <f>IFERROR(VLOOKUP(salesdata[[#This Row],[HSN Code]],productsdata[#All],4,0),"")</f>
        <v>958.8</v>
      </c>
      <c r="L8" s="1">
        <f>IFERROR(salesdata[[#This Row],[Price]]*salesdata[[#This Row],[Units]],"")</f>
        <v>4794</v>
      </c>
    </row>
    <row r="9" spans="2:12" x14ac:dyDescent="0.35">
      <c r="D9" s="4">
        <v>100</v>
      </c>
      <c r="E9" s="1" t="str">
        <f>IFERROR(VLOOKUP(salesdata[[#This Row],[Cust_ID]],customersdata[#All],2,0),"")</f>
        <v>Ram Sales</v>
      </c>
      <c r="F9" s="1" t="s">
        <v>36</v>
      </c>
      <c r="G9" s="1" t="str">
        <f>IFERROR(VLOOKUP(salesdata[[#This Row],[HSN Code]],productsdata[#All],2,0),"")</f>
        <v>Headphones</v>
      </c>
      <c r="H9" s="6">
        <v>45323</v>
      </c>
      <c r="I9" s="1">
        <f>IFERROR(VLOOKUP(salesdata[[#This Row],[HSN Code]],Table6[#All],6,0),"")</f>
        <v>2</v>
      </c>
      <c r="J9" s="1">
        <v>7</v>
      </c>
      <c r="K9" s="1">
        <f>IFERROR(VLOOKUP(salesdata[[#This Row],[HSN Code]],productsdata[#All],4,0),"")</f>
        <v>958.8</v>
      </c>
      <c r="L9" s="1">
        <f>IFERROR(salesdata[[#This Row],[Price]]*salesdata[[#This Row],[Units]],"")</f>
        <v>6711.5999999999995</v>
      </c>
    </row>
    <row r="10" spans="2:12" x14ac:dyDescent="0.35">
      <c r="D10" s="4">
        <v>105</v>
      </c>
      <c r="E10" s="1" t="str">
        <f>IFERROR(VLOOKUP(salesdata[[#This Row],[Cust_ID]],customersdata[#All],2,0),"")</f>
        <v>Amit</v>
      </c>
      <c r="F10" s="1" t="s">
        <v>29</v>
      </c>
      <c r="G10" s="1" t="str">
        <f>IFERROR(VLOOKUP(salesdata[[#This Row],[HSN Code]],productsdata[#All],2,0),"")</f>
        <v>Smart Watch</v>
      </c>
      <c r="H10" s="6">
        <v>45324</v>
      </c>
      <c r="I10" s="1">
        <f>IFERROR(VLOOKUP(salesdata[[#This Row],[HSN Code]],Table6[#All],6,0),"")</f>
        <v>31</v>
      </c>
      <c r="J10" s="1">
        <v>10</v>
      </c>
      <c r="K10" s="1">
        <f>IFERROR(VLOOKUP(salesdata[[#This Row],[HSN Code]],productsdata[#All],4,0),"")</f>
        <v>1176</v>
      </c>
      <c r="L10" s="1">
        <f>IFERROR(salesdata[[#This Row],[Price]]*salesdata[[#This Row],[Units]],"")</f>
        <v>11760</v>
      </c>
    </row>
    <row r="11" spans="2:12" x14ac:dyDescent="0.35">
      <c r="D11" s="4">
        <v>106</v>
      </c>
      <c r="E11" s="1" t="str">
        <f>IFERROR(VLOOKUP(salesdata[[#This Row],[Cust_ID]],customersdata[#All],2,0),"")</f>
        <v>jain Tel.</v>
      </c>
      <c r="F11" s="1" t="s">
        <v>35</v>
      </c>
      <c r="G11" s="1" t="str">
        <f>IFERROR(VLOOKUP(salesdata[[#This Row],[HSN Code]],productsdata[#All],2,0),"")</f>
        <v>Camera</v>
      </c>
      <c r="H11" s="6">
        <v>45325</v>
      </c>
      <c r="I11" s="1">
        <f>IFERROR(VLOOKUP(salesdata[[#This Row],[HSN Code]],Table6[#All],6,0),"")</f>
        <v>1</v>
      </c>
      <c r="J11" s="1">
        <v>4</v>
      </c>
      <c r="K11" s="1">
        <f>IFERROR(VLOOKUP(salesdata[[#This Row],[HSN Code]],productsdata[#All],4,0),"")</f>
        <v>62400</v>
      </c>
      <c r="L11" s="1">
        <f>IFERROR(salesdata[[#This Row],[Price]]*salesdata[[#This Row],[Units]],"")</f>
        <v>249600</v>
      </c>
    </row>
    <row r="12" spans="2:12" x14ac:dyDescent="0.35">
      <c r="D12" s="4">
        <v>104</v>
      </c>
      <c r="E12" s="1" t="str">
        <f>IFERROR(VLOOKUP(salesdata[[#This Row],[Cust_ID]],customersdata[#All],2,0),"")</f>
        <v>Rajesh</v>
      </c>
      <c r="F12" s="1" t="s">
        <v>38</v>
      </c>
      <c r="G12" s="1" t="str">
        <f>IFERROR(VLOOKUP(salesdata[[#This Row],[HSN Code]],productsdata[#All],2,0),"")</f>
        <v>Tablets</v>
      </c>
      <c r="H12" s="6">
        <v>45326</v>
      </c>
      <c r="I12" s="1">
        <f>IFERROR(VLOOKUP(salesdata[[#This Row],[HSN Code]],Table6[#All],6,0),"")</f>
        <v>21</v>
      </c>
      <c r="J12" s="1">
        <v>4</v>
      </c>
      <c r="K12" s="1">
        <f>IFERROR(VLOOKUP(salesdata[[#This Row],[HSN Code]],productsdata[#All],4,0),"")</f>
        <v>28200</v>
      </c>
      <c r="L12" s="1">
        <f>IFERROR(salesdata[[#This Row],[Price]]*salesdata[[#This Row],[Units]],"")</f>
        <v>112800</v>
      </c>
    </row>
    <row r="13" spans="2:12" x14ac:dyDescent="0.35">
      <c r="D13" s="4">
        <v>105</v>
      </c>
      <c r="E13" s="1" t="str">
        <f>IFERROR(VLOOKUP(salesdata[[#This Row],[Cust_ID]],customersdata[#All],2,0),"")</f>
        <v>Amit</v>
      </c>
      <c r="F13" s="1" t="s">
        <v>37</v>
      </c>
      <c r="G13" s="1" t="str">
        <f>IFERROR(VLOOKUP(salesdata[[#This Row],[HSN Code]],productsdata[#All],2,0),"")</f>
        <v>Speakers</v>
      </c>
      <c r="H13" s="6">
        <v>45327</v>
      </c>
      <c r="I13" s="1">
        <f>IFERROR(VLOOKUP(salesdata[[#This Row],[HSN Code]],Table6[#All],6,0),"")</f>
        <v>26</v>
      </c>
      <c r="J13" s="1">
        <v>4</v>
      </c>
      <c r="K13" s="1">
        <f>IFERROR(VLOOKUP(salesdata[[#This Row],[HSN Code]],productsdata[#All],4,0),"")</f>
        <v>804</v>
      </c>
      <c r="L13" s="1">
        <f>IFERROR(salesdata[[#This Row],[Price]]*salesdata[[#This Row],[Units]],"")</f>
        <v>3216</v>
      </c>
    </row>
    <row r="14" spans="2:12" x14ac:dyDescent="0.35">
      <c r="D14" s="4">
        <v>104</v>
      </c>
      <c r="E14" s="1" t="str">
        <f>IFERROR(VLOOKUP(salesdata[[#This Row],[Cust_ID]],customersdata[#All],2,0),"")</f>
        <v>Rajesh</v>
      </c>
      <c r="F14" s="1" t="s">
        <v>30</v>
      </c>
      <c r="G14" s="1" t="str">
        <f>IFERROR(VLOOKUP(salesdata[[#This Row],[HSN Code]],productsdata[#All],2,0),"")</f>
        <v>Laptop HP XYZ</v>
      </c>
      <c r="H14" s="6">
        <v>45328</v>
      </c>
      <c r="I14" s="1">
        <f>IFERROR(VLOOKUP(salesdata[[#This Row],[HSN Code]],Table6[#All],6,0),"")</f>
        <v>47</v>
      </c>
      <c r="J14" s="1">
        <v>3</v>
      </c>
      <c r="K14" s="1">
        <f>IFERROR(VLOOKUP(salesdata[[#This Row],[HSN Code]],productsdata[#All],4,0),"")</f>
        <v>41400</v>
      </c>
      <c r="L14" s="1">
        <f>IFERROR(salesdata[[#This Row],[Price]]*salesdata[[#This Row],[Units]],"")</f>
        <v>124200</v>
      </c>
    </row>
    <row r="15" spans="2:12" x14ac:dyDescent="0.35">
      <c r="D15" s="4">
        <v>104</v>
      </c>
      <c r="E15" s="1" t="str">
        <f>IFERROR(VLOOKUP(salesdata[[#This Row],[Cust_ID]],customersdata[#All],2,0),"")</f>
        <v>Rajesh</v>
      </c>
      <c r="F15" s="1" t="s">
        <v>33</v>
      </c>
      <c r="G15" s="1" t="str">
        <f>IFERROR(VLOOKUP(salesdata[[#This Row],[HSN Code]],productsdata[#All],2,0),"")</f>
        <v>Mouse</v>
      </c>
      <c r="H15" s="6">
        <v>45329</v>
      </c>
      <c r="I15" s="1">
        <f>IFERROR(VLOOKUP(salesdata[[#This Row],[HSN Code]],Table6[#All],6,0),"")</f>
        <v>1</v>
      </c>
      <c r="J15" s="1">
        <v>5</v>
      </c>
      <c r="K15" s="1">
        <f>IFERROR(VLOOKUP(salesdata[[#This Row],[HSN Code]],productsdata[#All],4,0),"")</f>
        <v>240</v>
      </c>
      <c r="L15" s="1">
        <f>IFERROR(salesdata[[#This Row],[Price]]*salesdata[[#This Row],[Units]],"")</f>
        <v>1200</v>
      </c>
    </row>
    <row r="16" spans="2:12" x14ac:dyDescent="0.35">
      <c r="D16" s="4">
        <v>103</v>
      </c>
      <c r="E16" s="1" t="str">
        <f>IFERROR(VLOOKUP(salesdata[[#This Row],[Cust_ID]],customersdata[#All],2,0),"")</f>
        <v>99Store</v>
      </c>
      <c r="F16" s="1" t="s">
        <v>29</v>
      </c>
      <c r="G16" s="1" t="str">
        <f>IFERROR(VLOOKUP(salesdata[[#This Row],[HSN Code]],productsdata[#All],2,0),"")</f>
        <v>Smart Watch</v>
      </c>
      <c r="H16" s="6">
        <v>45330</v>
      </c>
      <c r="I16" s="1">
        <f>IFERROR(VLOOKUP(salesdata[[#This Row],[HSN Code]],Table6[#All],6,0),"")</f>
        <v>31</v>
      </c>
      <c r="J16" s="1">
        <v>9</v>
      </c>
      <c r="K16" s="1">
        <f>IFERROR(VLOOKUP(salesdata[[#This Row],[HSN Code]],productsdata[#All],4,0),"")</f>
        <v>1176</v>
      </c>
      <c r="L16" s="1">
        <f>IFERROR(salesdata[[#This Row],[Price]]*salesdata[[#This Row],[Units]],"")</f>
        <v>10584</v>
      </c>
    </row>
    <row r="17" spans="4:12" x14ac:dyDescent="0.35">
      <c r="D17" s="4">
        <v>101</v>
      </c>
      <c r="E17" s="1" t="str">
        <f>IFERROR(VLOOKUP(salesdata[[#This Row],[Cust_ID]],customersdata[#All],2,0),"")</f>
        <v>Atul Ltd.</v>
      </c>
      <c r="F17" s="1" t="s">
        <v>35</v>
      </c>
      <c r="G17" s="1" t="str">
        <f>IFERROR(VLOOKUP(salesdata[[#This Row],[HSN Code]],productsdata[#All],2,0),"")</f>
        <v>Camera</v>
      </c>
      <c r="H17" s="6">
        <v>45331</v>
      </c>
      <c r="I17" s="1">
        <f>IFERROR(VLOOKUP(salesdata[[#This Row],[HSN Code]],Table6[#All],6,0),"")</f>
        <v>1</v>
      </c>
      <c r="J17" s="1">
        <v>5</v>
      </c>
      <c r="K17" s="1">
        <f>IFERROR(VLOOKUP(salesdata[[#This Row],[HSN Code]],productsdata[#All],4,0),"")</f>
        <v>62400</v>
      </c>
      <c r="L17" s="1">
        <f>IFERROR(salesdata[[#This Row],[Price]]*salesdata[[#This Row],[Units]],"")</f>
        <v>312000</v>
      </c>
    </row>
    <row r="18" spans="4:12" x14ac:dyDescent="0.35">
      <c r="D18" s="4">
        <v>102</v>
      </c>
      <c r="E18" s="13" t="str">
        <f>IFERROR(VLOOKUP(salesdata[[#This Row],[Cust_ID]],customersdata[#All],2,0),"")</f>
        <v>MK Tech.</v>
      </c>
      <c r="F18" s="1" t="s">
        <v>33</v>
      </c>
      <c r="G18" s="13" t="str">
        <f>IFERROR(VLOOKUP(salesdata[[#This Row],[HSN Code]],productsdata[#All],2,0),"")</f>
        <v>Mouse</v>
      </c>
      <c r="H18" s="6">
        <v>45332</v>
      </c>
      <c r="I18" s="13">
        <f>IFERROR(VLOOKUP(salesdata[[#This Row],[HSN Code]],Table6[#All],6,0),"")</f>
        <v>1</v>
      </c>
      <c r="J18" s="1">
        <v>4</v>
      </c>
      <c r="K18" s="13">
        <f>IFERROR(VLOOKUP(salesdata[[#This Row],[HSN Code]],productsdata[#All],4,0),"")</f>
        <v>240</v>
      </c>
      <c r="L18" s="13">
        <f>IFERROR(salesdata[[#This Row],[Price]]*salesdata[[#This Row],[Units]],"")</f>
        <v>960</v>
      </c>
    </row>
    <row r="19" spans="4:12" x14ac:dyDescent="0.35">
      <c r="D19" s="4">
        <v>106</v>
      </c>
      <c r="E19" s="13" t="str">
        <f>IFERROR(VLOOKUP(salesdata[[#This Row],[Cust_ID]],customersdata[#All],2,0),"")</f>
        <v>jain Tel.</v>
      </c>
      <c r="F19" s="1" t="s">
        <v>36</v>
      </c>
      <c r="G19" s="13" t="str">
        <f>IFERROR(VLOOKUP(salesdata[[#This Row],[HSN Code]],productsdata[#All],2,0),"")</f>
        <v>Headphones</v>
      </c>
      <c r="H19" s="6">
        <v>41680</v>
      </c>
      <c r="I19" s="13">
        <f>IFERROR(VLOOKUP(salesdata[[#This Row],[HSN Code]],Table6[#All],6,0),"")</f>
        <v>2</v>
      </c>
      <c r="J19" s="1">
        <v>6</v>
      </c>
      <c r="K19" s="13">
        <f>IFERROR(VLOOKUP(salesdata[[#This Row],[HSN Code]],productsdata[#All],4,0),"")</f>
        <v>958.8</v>
      </c>
      <c r="L19" s="13">
        <f>IFERROR(salesdata[[#This Row],[Price]]*salesdata[[#This Row],[Units]],"")</f>
        <v>5752.7999999999993</v>
      </c>
    </row>
    <row r="20" spans="4:12" x14ac:dyDescent="0.35">
      <c r="D20" s="4">
        <v>107</v>
      </c>
      <c r="E20" s="13" t="str">
        <f>IFERROR(VLOOKUP(salesdata[[#This Row],[Cust_ID]],customersdata[#All],2,0),"")</f>
        <v>Hirdesh</v>
      </c>
      <c r="F20" s="1" t="s">
        <v>96</v>
      </c>
      <c r="G20" s="13" t="str">
        <f>IFERROR(VLOOKUP(salesdata[[#This Row],[HSN Code]],productsdata[#All],2,0),"")</f>
        <v>Oppo Mobile</v>
      </c>
      <c r="H20" s="6">
        <v>45362</v>
      </c>
      <c r="I20" s="13">
        <f>IFERROR(VLOOKUP(salesdata[[#This Row],[HSN Code]],Table6[#All],6,0),"")</f>
        <v>30</v>
      </c>
      <c r="J20" s="1">
        <v>10</v>
      </c>
      <c r="K20" s="13">
        <f>IFERROR(VLOOKUP(salesdata[[#This Row],[HSN Code]],productsdata[#All],4,0),"")</f>
        <v>29999</v>
      </c>
      <c r="L20" s="13">
        <f>IFERROR(salesdata[[#This Row],[Price]]*salesdata[[#This Row],[Units]],"")</f>
        <v>299990</v>
      </c>
    </row>
    <row r="21" spans="4:12" x14ac:dyDescent="0.35">
      <c r="D21" s="4">
        <v>107</v>
      </c>
      <c r="E21" s="13" t="str">
        <f>IFERROR(VLOOKUP(salesdata[[#This Row],[Cust_ID]],customersdata[#All],2,0),"")</f>
        <v>Hirdesh</v>
      </c>
      <c r="F21" s="1" t="s">
        <v>104</v>
      </c>
      <c r="G21" s="13" t="str">
        <f>IFERROR(VLOOKUP(salesdata[[#This Row],[HSN Code]],productsdata[#All],2,0),"")</f>
        <v>Realme</v>
      </c>
      <c r="H21" s="6">
        <v>45394</v>
      </c>
      <c r="I21" s="13">
        <f>IFERROR(VLOOKUP(salesdata[[#This Row],[HSN Code]],Table6[#All],6,0),"")</f>
        <v>5</v>
      </c>
      <c r="J21" s="1">
        <v>25</v>
      </c>
      <c r="K21" s="13">
        <f>IFERROR(VLOOKUP(salesdata[[#This Row],[HSN Code]],productsdata[#All],4,0),"")</f>
        <v>35999</v>
      </c>
      <c r="L21" s="13">
        <f>IFERROR(salesdata[[#This Row],[Price]]*salesdata[[#This Row],[Units]],"")</f>
        <v>899975</v>
      </c>
    </row>
    <row r="22" spans="4:12" x14ac:dyDescent="0.35">
      <c r="D22" s="4">
        <v>104</v>
      </c>
      <c r="E22" s="13" t="str">
        <f>IFERROR(VLOOKUP(salesdata[[#This Row],[Cust_ID]],customersdata[#All],2,0),"")</f>
        <v>Rajesh</v>
      </c>
      <c r="F22" s="1" t="s">
        <v>104</v>
      </c>
      <c r="G22" s="13" t="str">
        <f>IFERROR(VLOOKUP(salesdata[[#This Row],[HSN Code]],productsdata[#All],2,0),"")</f>
        <v>Realme</v>
      </c>
      <c r="H22" s="6">
        <v>45395</v>
      </c>
      <c r="I22" s="13">
        <f>IFERROR(VLOOKUP(salesdata[[#This Row],[HSN Code]],Table6[#All],6,0),"")</f>
        <v>5</v>
      </c>
      <c r="J22" s="1">
        <v>20</v>
      </c>
      <c r="K22" s="13">
        <f>IFERROR(VLOOKUP(salesdata[[#This Row],[HSN Code]],productsdata[#All],4,0),"")</f>
        <v>35999</v>
      </c>
      <c r="L22" s="13">
        <f>IFERROR(salesdata[[#This Row],[Price]]*salesdata[[#This Row],[Units]],"")</f>
        <v>719980</v>
      </c>
    </row>
    <row r="23" spans="4:12" x14ac:dyDescent="0.35">
      <c r="D23" s="4">
        <v>107</v>
      </c>
      <c r="E23" s="13" t="str">
        <f>IFERROR(VLOOKUP(salesdata[[#This Row],[Cust_ID]],customersdata[#All],2,0),"")</f>
        <v>Hirdesh</v>
      </c>
      <c r="F23" s="1" t="s">
        <v>32</v>
      </c>
      <c r="G23" s="13" t="str">
        <f>IFERROR(VLOOKUP(salesdata[[#This Row],[HSN Code]],productsdata[#All],2,0),"")</f>
        <v>Desktop</v>
      </c>
      <c r="H23" s="6">
        <v>45425</v>
      </c>
      <c r="I23" s="13">
        <f>IFERROR(VLOOKUP(salesdata[[#This Row],[HSN Code]],Table6[#All],6,0),"")</f>
        <v>25</v>
      </c>
      <c r="J23" s="1">
        <v>60</v>
      </c>
      <c r="K23" s="13">
        <f>IFERROR(VLOOKUP(salesdata[[#This Row],[HSN Code]],productsdata[#All],4,0),"")</f>
        <v>25200</v>
      </c>
      <c r="L23" s="13">
        <f>IFERROR(salesdata[[#This Row],[Price]]*salesdata[[#This Row],[Units]],"")</f>
        <v>1512000</v>
      </c>
    </row>
    <row r="24" spans="4:12" x14ac:dyDescent="0.35">
      <c r="D24" s="4"/>
    </row>
    <row r="25" spans="4:12" x14ac:dyDescent="0.35">
      <c r="D25" s="4"/>
    </row>
  </sheetData>
  <dataValidations count="2">
    <dataValidation type="list" allowBlank="1" showInputMessage="1" showErrorMessage="1" sqref="D6:D23" xr:uid="{35CCEF45-A7D1-4D6A-98FA-722E2E001311}">
      <formula1>CID</formula1>
    </dataValidation>
    <dataValidation type="list" allowBlank="1" showInputMessage="1" showErrorMessage="1" sqref="F6:F23" xr:uid="{038DA90B-6E58-4583-A2B9-CF4CBFDD2F48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31F1-7699-4711-9D98-30EAFF65E927}">
  <dimension ref="B1:K2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4.5" x14ac:dyDescent="0.35"/>
  <cols>
    <col min="1" max="1" width="4" style="1" customWidth="1"/>
    <col min="2" max="2" width="20.7265625" style="2" customWidth="1"/>
    <col min="3" max="3" width="2.08984375" style="1" customWidth="1"/>
    <col min="4" max="4" width="10.81640625" style="1" customWidth="1"/>
    <col min="5" max="5" width="14.6328125" style="1" customWidth="1"/>
    <col min="6" max="9" width="8.7265625" style="1"/>
    <col min="10" max="10" width="11.26953125" style="1" customWidth="1"/>
    <col min="11" max="11" width="38.453125" style="1" bestFit="1" customWidth="1"/>
    <col min="12" max="16384" width="8.7265625" style="1"/>
  </cols>
  <sheetData>
    <row r="1" spans="2:11" x14ac:dyDescent="0.35">
      <c r="B1" s="1"/>
    </row>
    <row r="5" spans="2:11" x14ac:dyDescent="0.35">
      <c r="D5" s="1" t="s">
        <v>60</v>
      </c>
      <c r="E5" s="1" t="s">
        <v>26</v>
      </c>
      <c r="F5" s="1" t="s">
        <v>27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93</v>
      </c>
    </row>
    <row r="6" spans="2:11" x14ac:dyDescent="0.35">
      <c r="D6" s="1" t="str">
        <f>IFERROR(productsdata[[#This Row],[HSN Code]],"")</f>
        <v>N1001</v>
      </c>
      <c r="E6" s="1" t="str">
        <f>IFERROR(productsdata[[#This Row],[Product Name]],"")</f>
        <v>Smart Watch</v>
      </c>
      <c r="F6" s="1">
        <f>IFERROR(productsdata[[#This Row],[Cost]],"")</f>
        <v>980</v>
      </c>
      <c r="G6" s="1">
        <f>SUMIF(Table3[Product Name],Table6[[#This Row],[Product Name]],Table3[Units])</f>
        <v>50</v>
      </c>
      <c r="H6" s="1">
        <f>SUMIF(salesdata[Product Name],Table6[[#This Row],[Product Name]],salesdata[Units])</f>
        <v>19</v>
      </c>
      <c r="I6" s="1">
        <f>Table6[[#This Row],[P Units]]-Table6[[#This Row],[S Units]]</f>
        <v>31</v>
      </c>
      <c r="J6" s="1">
        <f>IFERROR(Table6[[#This Row],[Cost]]*Table6[[#This Row],[Stock]],"")</f>
        <v>30380</v>
      </c>
      <c r="K6" s="13" t="str">
        <f>IFERROR(IF(Table6[[#This Row],[Stock]]&lt;5,"📞 "&amp;Table6[[#This Row],[Product Name]]&amp;" Needs to re-order ! PH "&amp; VLOOKUP(Table6[[#This Row],[HSNCode]],Table4[#All],4,0),""),"")</f>
        <v/>
      </c>
    </row>
    <row r="7" spans="2:11" x14ac:dyDescent="0.35">
      <c r="D7" s="1" t="str">
        <f>IFERROR(productsdata[[#This Row],[HSN Code]],"")</f>
        <v>N1002</v>
      </c>
      <c r="E7" s="1" t="str">
        <f>IFERROR(productsdata[[#This Row],[Product Name]],"")</f>
        <v>Laptop HP XYZ</v>
      </c>
      <c r="F7" s="1">
        <f>IFERROR(productsdata[[#This Row],[Cost]],"")</f>
        <v>34500</v>
      </c>
      <c r="G7" s="1">
        <f>SUMIF(Table3[Product Name],Table6[[#This Row],[Product Name]],Table3[Units])</f>
        <v>50</v>
      </c>
      <c r="H7" s="1">
        <f>SUMIF(salesdata[Product Name],Table6[[#This Row],[Product Name]],salesdata[Units])</f>
        <v>3</v>
      </c>
      <c r="I7" s="1">
        <f>Table6[[#This Row],[P Units]]-Table6[[#This Row],[S Units]]</f>
        <v>47</v>
      </c>
      <c r="J7" s="1">
        <f>IFERROR(Table6[[#This Row],[Cost]]*Table6[[#This Row],[Stock]],"")</f>
        <v>1621500</v>
      </c>
      <c r="K7" s="13" t="str">
        <f>IFERROR(IF(Table6[[#This Row],[Stock]]&lt;5,"📞 "&amp;Table6[[#This Row],[Product Name]]&amp;" Needs to re-order ! PH "&amp; VLOOKUP(Table6[[#This Row],[HSNCode]],Table4[#All],4,0),""),"")</f>
        <v/>
      </c>
    </row>
    <row r="8" spans="2:11" x14ac:dyDescent="0.35">
      <c r="D8" s="1" t="str">
        <f>IFERROR(productsdata[[#This Row],[HSN Code]],"")</f>
        <v>N1003</v>
      </c>
      <c r="E8" s="1" t="str">
        <f>IFERROR(productsdata[[#This Row],[Product Name]],"")</f>
        <v>Wireless Print</v>
      </c>
      <c r="F8" s="1">
        <f>IFERROR(productsdata[[#This Row],[Cost]],"")</f>
        <v>4600</v>
      </c>
      <c r="G8" s="1">
        <f>SUMIF(Table3[Product Name],Table6[[#This Row],[Product Name]],Table3[Units])</f>
        <v>100</v>
      </c>
      <c r="H8" s="1">
        <f>SUMIF(salesdata[Product Name],Table6[[#This Row],[Product Name]],salesdata[Units])</f>
        <v>0</v>
      </c>
      <c r="I8" s="1">
        <f>Table6[[#This Row],[P Units]]-Table6[[#This Row],[S Units]]</f>
        <v>100</v>
      </c>
      <c r="J8" s="1">
        <f>IFERROR(Table6[[#This Row],[Cost]]*Table6[[#This Row],[Stock]],"")</f>
        <v>460000</v>
      </c>
      <c r="K8" s="13" t="str">
        <f>IFERROR(IF(Table6[[#This Row],[Stock]]&lt;5,"📞 "&amp;Table6[[#This Row],[Product Name]]&amp;" Needs to re-order ! PH "&amp; VLOOKUP(Table6[[#This Row],[HSNCode]],Table4[#All],4,0),""),"")</f>
        <v/>
      </c>
    </row>
    <row r="9" spans="2:11" x14ac:dyDescent="0.35">
      <c r="D9" s="1" t="str">
        <f>IFERROR(productsdata[[#This Row],[HSN Code]],"")</f>
        <v>N1004</v>
      </c>
      <c r="E9" s="1" t="str">
        <f>IFERROR(productsdata[[#This Row],[Product Name]],"")</f>
        <v>Desktop</v>
      </c>
      <c r="F9" s="1">
        <f>IFERROR(productsdata[[#This Row],[Cost]],"")</f>
        <v>21000</v>
      </c>
      <c r="G9" s="1">
        <f>SUMIF(Table3[Product Name],Table6[[#This Row],[Product Name]],Table3[Units])</f>
        <v>90</v>
      </c>
      <c r="H9" s="1">
        <f>SUMIF(salesdata[Product Name],Table6[[#This Row],[Product Name]],salesdata[Units])</f>
        <v>65</v>
      </c>
      <c r="I9" s="1">
        <f>Table6[[#This Row],[P Units]]-Table6[[#This Row],[S Units]]</f>
        <v>25</v>
      </c>
      <c r="J9" s="1">
        <f>IFERROR(Table6[[#This Row],[Cost]]*Table6[[#This Row],[Stock]],"")</f>
        <v>525000</v>
      </c>
      <c r="K9" s="13" t="str">
        <f>IFERROR(IF(Table6[[#This Row],[Stock]]&lt;5,"📞 "&amp;Table6[[#This Row],[Product Name]]&amp;" Needs to re-order ! PH "&amp; VLOOKUP(Table6[[#This Row],[HSNCode]],Table4[#All],4,0),""),"")</f>
        <v/>
      </c>
    </row>
    <row r="10" spans="2:11" x14ac:dyDescent="0.35">
      <c r="D10" s="1" t="str">
        <f>IFERROR(productsdata[[#This Row],[HSN Code]],"")</f>
        <v>N1005</v>
      </c>
      <c r="E10" s="1" t="str">
        <f>IFERROR(productsdata[[#This Row],[Product Name]],"")</f>
        <v>Mouse</v>
      </c>
      <c r="F10" s="1">
        <f>IFERROR(productsdata[[#This Row],[Cost]],"")</f>
        <v>200</v>
      </c>
      <c r="G10" s="1">
        <f>SUMIF(Table3[Product Name],Table6[[#This Row],[Product Name]],Table3[Units])</f>
        <v>20</v>
      </c>
      <c r="H10" s="1">
        <f>SUMIF(salesdata[Product Name],Table6[[#This Row],[Product Name]],salesdata[Units])</f>
        <v>19</v>
      </c>
      <c r="I10" s="1">
        <f>Table6[[#This Row],[P Units]]-Table6[[#This Row],[S Units]]</f>
        <v>1</v>
      </c>
      <c r="J10" s="1">
        <f>IFERROR(Table6[[#This Row],[Cost]]*Table6[[#This Row],[Stock]],"")</f>
        <v>200</v>
      </c>
      <c r="K10" s="13" t="str">
        <f>IFERROR(IF(Table6[[#This Row],[Stock]]&lt;5,"📞 "&amp;Table6[[#This Row],[Product Name]]&amp;" Needs to re-order ! PH "&amp; VLOOKUP(Table6[[#This Row],[HSNCode]],Table4[#All],4,0),""),"")</f>
        <v>📞 Mouse Needs to re-order ! PH 9813xxxxxx</v>
      </c>
    </row>
    <row r="11" spans="2:11" x14ac:dyDescent="0.35">
      <c r="D11" s="1" t="str">
        <f>IFERROR(productsdata[[#This Row],[HSN Code]],"")</f>
        <v>N1006</v>
      </c>
      <c r="E11" s="1" t="str">
        <f>IFERROR(productsdata[[#This Row],[Product Name]],"")</f>
        <v>Rgb Keyboard</v>
      </c>
      <c r="F11" s="1">
        <f>IFERROR(productsdata[[#This Row],[Cost]],"")</f>
        <v>340</v>
      </c>
      <c r="G11" s="1">
        <f>SUMIF(Table3[Product Name],Table6[[#This Row],[Product Name]],Table3[Units])</f>
        <v>30</v>
      </c>
      <c r="H11" s="1">
        <f>SUMIF(salesdata[Product Name],Table6[[#This Row],[Product Name]],salesdata[Units])</f>
        <v>0</v>
      </c>
      <c r="I11" s="1">
        <f>Table6[[#This Row],[P Units]]-Table6[[#This Row],[S Units]]</f>
        <v>30</v>
      </c>
      <c r="J11" s="1">
        <f>IFERROR(Table6[[#This Row],[Cost]]*Table6[[#This Row],[Stock]],"")</f>
        <v>10200</v>
      </c>
      <c r="K11" s="13" t="str">
        <f>IFERROR(IF(Table6[[#This Row],[Stock]]&lt;5,"📞 "&amp;Table6[[#This Row],[Product Name]]&amp;" Needs to re-order ! PH "&amp; VLOOKUP(Table6[[#This Row],[HSNCode]],Table4[#All],4,0),""),"")</f>
        <v/>
      </c>
    </row>
    <row r="12" spans="2:11" x14ac:dyDescent="0.35">
      <c r="D12" s="1" t="str">
        <f>IFERROR(productsdata[[#This Row],[HSN Code]],"")</f>
        <v>N1007</v>
      </c>
      <c r="E12" s="1" t="str">
        <f>IFERROR(productsdata[[#This Row],[Product Name]],"")</f>
        <v>Camera</v>
      </c>
      <c r="F12" s="1">
        <f>IFERROR(productsdata[[#This Row],[Cost]],"")</f>
        <v>52000</v>
      </c>
      <c r="G12" s="1">
        <f>SUMIF(Table3[Product Name],Table6[[#This Row],[Product Name]],Table3[Units])</f>
        <v>10</v>
      </c>
      <c r="H12" s="1">
        <f>SUMIF(salesdata[Product Name],Table6[[#This Row],[Product Name]],salesdata[Units])</f>
        <v>9</v>
      </c>
      <c r="I12" s="1">
        <f>Table6[[#This Row],[P Units]]-Table6[[#This Row],[S Units]]</f>
        <v>1</v>
      </c>
      <c r="J12" s="1">
        <f>IFERROR(Table6[[#This Row],[Cost]]*Table6[[#This Row],[Stock]],"")</f>
        <v>52000</v>
      </c>
      <c r="K12" s="13" t="str">
        <f>IFERROR(IF(Table6[[#This Row],[Stock]]&lt;5,"📞 "&amp;Table6[[#This Row],[Product Name]]&amp;" Needs to re-order ! PH "&amp; VLOOKUP(Table6[[#This Row],[HSNCode]],Table4[#All],4,0),""),"")</f>
        <v>📞 Camera Needs to re-order ! PH 9813xxxxxx</v>
      </c>
    </row>
    <row r="13" spans="2:11" x14ac:dyDescent="0.35">
      <c r="D13" s="1" t="str">
        <f>IFERROR(productsdata[[#This Row],[HSN Code]],"")</f>
        <v>N1008</v>
      </c>
      <c r="E13" s="1" t="str">
        <f>IFERROR(productsdata[[#This Row],[Product Name]],"")</f>
        <v>Headphones</v>
      </c>
      <c r="F13" s="1">
        <f>IFERROR(productsdata[[#This Row],[Cost]],"")</f>
        <v>799</v>
      </c>
      <c r="G13" s="1">
        <f>SUMIF(Table3[Product Name],Table6[[#This Row],[Product Name]],Table3[Units])</f>
        <v>20</v>
      </c>
      <c r="H13" s="1">
        <f>SUMIF(salesdata[Product Name],Table6[[#This Row],[Product Name]],salesdata[Units])</f>
        <v>18</v>
      </c>
      <c r="I13" s="1">
        <f>Table6[[#This Row],[P Units]]-Table6[[#This Row],[S Units]]</f>
        <v>2</v>
      </c>
      <c r="J13" s="1">
        <f>IFERROR(Table6[[#This Row],[Cost]]*Table6[[#This Row],[Stock]],"")</f>
        <v>1598</v>
      </c>
      <c r="K13" s="13" t="str">
        <f>IFERROR(IF(Table6[[#This Row],[Stock]]&lt;5,"📞 "&amp;Table6[[#This Row],[Product Name]]&amp;" Needs to re-order ! PH "&amp; VLOOKUP(Table6[[#This Row],[HSNCode]],Table4[#All],4,0),""),"")</f>
        <v>📞 Headphones Needs to re-order ! PH 9814xxxxxx</v>
      </c>
    </row>
    <row r="14" spans="2:11" x14ac:dyDescent="0.35">
      <c r="D14" s="1" t="str">
        <f>IFERROR(productsdata[[#This Row],[HSN Code]],"")</f>
        <v>N1009</v>
      </c>
      <c r="E14" s="1" t="str">
        <f>IFERROR(productsdata[[#This Row],[Product Name]],"")</f>
        <v>Speakers</v>
      </c>
      <c r="F14" s="1">
        <f>IFERROR(productsdata[[#This Row],[Cost]],"")</f>
        <v>670</v>
      </c>
      <c r="G14" s="1">
        <f>SUMIF(Table3[Product Name],Table6[[#This Row],[Product Name]],Table3[Units])</f>
        <v>30</v>
      </c>
      <c r="H14" s="1">
        <f>SUMIF(salesdata[Product Name],Table6[[#This Row],[Product Name]],salesdata[Units])</f>
        <v>4</v>
      </c>
      <c r="I14" s="1">
        <f>Table6[[#This Row],[P Units]]-Table6[[#This Row],[S Units]]</f>
        <v>26</v>
      </c>
      <c r="J14" s="1">
        <f>IFERROR(Table6[[#This Row],[Cost]]*Table6[[#This Row],[Stock]],"")</f>
        <v>17420</v>
      </c>
      <c r="K14" s="13" t="str">
        <f>IFERROR(IF(Table6[[#This Row],[Stock]]&lt;5,"📞 "&amp;Table6[[#This Row],[Product Name]]&amp;" Needs to re-order ! PH "&amp; VLOOKUP(Table6[[#This Row],[HSNCode]],Table4[#All],4,0),""),"")</f>
        <v/>
      </c>
    </row>
    <row r="15" spans="2:11" x14ac:dyDescent="0.35">
      <c r="D15" s="1" t="str">
        <f>IFERROR(productsdata[[#This Row],[HSN Code]],"")</f>
        <v>N1010</v>
      </c>
      <c r="E15" s="1" t="str">
        <f>IFERROR(productsdata[[#This Row],[Product Name]],"")</f>
        <v>Tablets</v>
      </c>
      <c r="F15" s="1">
        <f>IFERROR(productsdata[[#This Row],[Cost]],"")</f>
        <v>23500</v>
      </c>
      <c r="G15" s="1">
        <f>SUMIF(Table3[Product Name],Table6[[#This Row],[Product Name]],Table3[Units])</f>
        <v>25</v>
      </c>
      <c r="H15" s="1">
        <f>SUMIF(salesdata[Product Name],Table6[[#This Row],[Product Name]],salesdata[Units])</f>
        <v>4</v>
      </c>
      <c r="I15" s="1">
        <f>Table6[[#This Row],[P Units]]-Table6[[#This Row],[S Units]]</f>
        <v>21</v>
      </c>
      <c r="J15" s="1">
        <f>IFERROR(Table6[[#This Row],[Cost]]*Table6[[#This Row],[Stock]],"")</f>
        <v>493500</v>
      </c>
      <c r="K15" s="13" t="str">
        <f>IFERROR(IF(Table6[[#This Row],[Stock]]&lt;5,"📞 "&amp;Table6[[#This Row],[Product Name]]&amp;" Needs to re-order ! PH "&amp; VLOOKUP(Table6[[#This Row],[HSNCode]],Table4[#All],4,0),""),"")</f>
        <v/>
      </c>
    </row>
    <row r="16" spans="2:11" x14ac:dyDescent="0.35">
      <c r="D16" s="1" t="str">
        <f>IFERROR(productsdata[[#This Row],[HSN Code]],"")</f>
        <v>N1011</v>
      </c>
      <c r="E16" s="1" t="str">
        <f>IFERROR(productsdata[[#This Row],[Product Name]],"")</f>
        <v>Oppo Mobile</v>
      </c>
      <c r="F16" s="1">
        <f>IFERROR(productsdata[[#This Row],[Cost]],"")</f>
        <v>26999</v>
      </c>
      <c r="G16" s="1">
        <f>SUMIF(Table3[Product Name],Table6[[#This Row],[Product Name]],Table3[Units])</f>
        <v>40</v>
      </c>
      <c r="H16" s="1">
        <f>SUMIF(salesdata[Product Name],Table6[[#This Row],[Product Name]],salesdata[Units])</f>
        <v>10</v>
      </c>
      <c r="I16" s="1">
        <f>Table6[[#This Row],[P Units]]-Table6[[#This Row],[S Units]]</f>
        <v>30</v>
      </c>
      <c r="J16" s="1">
        <f>IFERROR(Table6[[#This Row],[Cost]]*Table6[[#This Row],[Stock]],"")</f>
        <v>809970</v>
      </c>
      <c r="K16" s="13" t="str">
        <f>IFERROR(IF(Table6[[#This Row],[Stock]]&lt;5,"📞 "&amp;Table6[[#This Row],[Product Name]]&amp;" Needs to re-order ! PH "&amp; VLOOKUP(Table6[[#This Row],[HSNCode]],Table4[#All],4,0),""),"")</f>
        <v/>
      </c>
    </row>
    <row r="17" spans="4:11" x14ac:dyDescent="0.35">
      <c r="D17" s="1" t="str">
        <f>IFERROR(productsdata[[#This Row],[HSN Code]],"")</f>
        <v>N1012</v>
      </c>
      <c r="E17" s="1" t="str">
        <f>IFERROR(productsdata[[#This Row],[Product Name]],"")</f>
        <v>Realme</v>
      </c>
      <c r="F17" s="1">
        <f>IFERROR(productsdata[[#This Row],[Cost]],"")</f>
        <v>30999</v>
      </c>
      <c r="G17" s="1">
        <f>SUMIF(Table3[Product Name],Table6[[#This Row],[Product Name]],Table3[Units])</f>
        <v>50</v>
      </c>
      <c r="H17" s="1">
        <f>SUMIF(salesdata[Product Name],Table6[[#This Row],[Product Name]],salesdata[Units])</f>
        <v>45</v>
      </c>
      <c r="I17" s="1">
        <f>Table6[[#This Row],[P Units]]-Table6[[#This Row],[S Units]]</f>
        <v>5</v>
      </c>
      <c r="J17" s="1">
        <f>IFERROR(Table6[[#This Row],[Cost]]*Table6[[#This Row],[Stock]],"")</f>
        <v>154995</v>
      </c>
      <c r="K17" s="13" t="str">
        <f>IFERROR(IF(Table6[[#This Row],[Stock]]&lt;5,"📞 "&amp;Table6[[#This Row],[Product Name]]&amp;" Needs to re-order ! PH "&amp; VLOOKUP(Table6[[#This Row],[HSNCode]],Table4[#All],4,0),""),"")</f>
        <v/>
      </c>
    </row>
    <row r="18" spans="4:11" x14ac:dyDescent="0.35">
      <c r="D18" s="1" t="str">
        <f>IFERROR(productsdata[[#This Row],[HSN Code]],"")</f>
        <v/>
      </c>
      <c r="E18" s="1" t="str">
        <f>IFERROR(productsdata[[#This Row],[Product Name]],"")</f>
        <v/>
      </c>
      <c r="F18" s="1" t="str">
        <f>IFERROR(productsdata[[#This Row],[Cost]],"")</f>
        <v/>
      </c>
      <c r="G18" s="1">
        <f>SUMIF(Table3[Product Name],Table6[[#This Row],[Product Name]],Table3[Units])</f>
        <v>0</v>
      </c>
      <c r="H18" s="1">
        <f>SUMIF(salesdata[Product Name],Table6[[#This Row],[Product Name]],salesdata[Units])</f>
        <v>0</v>
      </c>
      <c r="I18" s="1">
        <f>Table6[[#This Row],[P Units]]-Table6[[#This Row],[S Units]]</f>
        <v>0</v>
      </c>
      <c r="J18" s="1" t="str">
        <f>IFERROR(Table6[[#This Row],[Cost]]*Table6[[#This Row],[Stock]],"")</f>
        <v/>
      </c>
      <c r="K18" s="13" t="str">
        <f>IFERROR(IF(Table6[[#This Row],[Stock]]&lt;5,"📞 "&amp;Table6[[#This Row],[Product Name]]&amp;" Needs to re-order ! PH "&amp; VLOOKUP(Table6[[#This Row],[HSNCode]],Table4[#All],4,0),""),"")</f>
        <v/>
      </c>
    </row>
    <row r="19" spans="4:11" x14ac:dyDescent="0.35">
      <c r="G19" s="1">
        <f>SUMIF(Table3[Product Name],Table6[[#This Row],[Product Name]],Table3[Units])</f>
        <v>0</v>
      </c>
      <c r="H19" s="1">
        <f>SUMIF(salesdata[Product Name],Table6[[#This Row],[Product Name]],salesdata[Units])</f>
        <v>0</v>
      </c>
      <c r="I19" s="1">
        <f>Table6[[#This Row],[P Units]]-Table6[[#This Row],[S Units]]</f>
        <v>0</v>
      </c>
      <c r="J19" s="1">
        <f>IFERROR(Table6[[#This Row],[Cost]]*Table6[[#This Row],[Stock]],"")</f>
        <v>0</v>
      </c>
      <c r="K19" s="13" t="str">
        <f>IFERROR(IF(Table6[[#This Row],[Stock]]&lt;5,"📞 "&amp;Table6[[#This Row],[Product Name]]&amp;" Needs to re-order ! PH "&amp; VLOOKUP(Table6[[#This Row],[HSNCode]],Table4[#All],4,0),""),"")</f>
        <v/>
      </c>
    </row>
    <row r="20" spans="4:11" x14ac:dyDescent="0.35">
      <c r="D20" s="1" t="str">
        <f>IFERROR(productsdata[[#This Row],[HSN Code]],"")</f>
        <v/>
      </c>
      <c r="E20" s="1" t="str">
        <f>IFERROR(productsdata[[#This Row],[Product Name]],"")</f>
        <v/>
      </c>
      <c r="F20" s="1" t="str">
        <f>IFERROR(productsdata[[#This Row],[Cost]],"")</f>
        <v/>
      </c>
      <c r="G20" s="1">
        <f>SUMIF(Table3[Product Name],Table6[[#This Row],[Product Name]],Table3[Units])</f>
        <v>0</v>
      </c>
      <c r="H20" s="1">
        <f>SUMIF(salesdata[Product Name],Table6[[#This Row],[Product Name]],salesdata[Units])</f>
        <v>0</v>
      </c>
      <c r="I20" s="1">
        <f>Table6[[#This Row],[P Units]]-Table6[[#This Row],[S Units]]</f>
        <v>0</v>
      </c>
      <c r="J20" s="1" t="str">
        <f>IFERROR(Table6[[#This Row],[Cost]]*Table6[[#This Row],[Stock]],"")</f>
        <v/>
      </c>
      <c r="K20" s="13" t="str">
        <f>IFERROR(IF(Table6[[#This Row],[Stock]]&lt;5,"📞 "&amp;Table6[[#This Row],[Product Name]]&amp;" Needs to re-order ! PH "&amp; VLOOKUP(Table6[[#This Row],[HSNCode]],Table4[#All],4,0),""),"")</f>
        <v/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6F37-3BD1-4A91-BA6B-393423F7B9C1}">
  <dimension ref="A2:G31"/>
  <sheetViews>
    <sheetView workbookViewId="0">
      <selection activeCell="A3" sqref="A3"/>
    </sheetView>
  </sheetViews>
  <sheetFormatPr defaultRowHeight="14.5" x14ac:dyDescent="0.35"/>
  <cols>
    <col min="1" max="1" width="15.54296875" bestFit="1" customWidth="1"/>
    <col min="2" max="2" width="11.7265625" bestFit="1" customWidth="1"/>
    <col min="3" max="3" width="12.90625" bestFit="1" customWidth="1"/>
    <col min="6" max="6" width="12.453125" bestFit="1" customWidth="1"/>
    <col min="7" max="7" width="13" bestFit="1" customWidth="1"/>
  </cols>
  <sheetData>
    <row r="2" spans="1:7" x14ac:dyDescent="0.35">
      <c r="A2" t="s">
        <v>81</v>
      </c>
      <c r="C2" s="7" t="s">
        <v>82</v>
      </c>
      <c r="F2" s="9" t="s">
        <v>90</v>
      </c>
      <c r="G2" t="s">
        <v>92</v>
      </c>
    </row>
    <row r="3" spans="1:7" x14ac:dyDescent="0.35">
      <c r="A3" s="15">
        <v>8</v>
      </c>
      <c r="C3">
        <f>GETPIVOTDATA("Name",$A$2)</f>
        <v>8</v>
      </c>
      <c r="F3" s="10" t="s">
        <v>42</v>
      </c>
      <c r="G3" s="15">
        <v>65</v>
      </c>
    </row>
    <row r="4" spans="1:7" x14ac:dyDescent="0.35">
      <c r="F4" s="10" t="s">
        <v>105</v>
      </c>
      <c r="G4" s="15">
        <v>45</v>
      </c>
    </row>
    <row r="5" spans="1:7" x14ac:dyDescent="0.35">
      <c r="A5" t="s">
        <v>83</v>
      </c>
      <c r="C5" s="7" t="s">
        <v>84</v>
      </c>
      <c r="F5" s="10" t="s">
        <v>39</v>
      </c>
      <c r="G5" s="15">
        <v>19</v>
      </c>
    </row>
    <row r="6" spans="1:7" x14ac:dyDescent="0.35">
      <c r="A6" s="15">
        <v>12</v>
      </c>
      <c r="C6">
        <f>GETPIVOTDATA("Product Name",$A$5)</f>
        <v>12</v>
      </c>
      <c r="F6" s="10" t="s">
        <v>43</v>
      </c>
      <c r="G6" s="15">
        <v>19</v>
      </c>
    </row>
    <row r="7" spans="1:7" x14ac:dyDescent="0.35">
      <c r="F7" s="10" t="s">
        <v>46</v>
      </c>
      <c r="G7" s="15">
        <v>18</v>
      </c>
    </row>
    <row r="8" spans="1:7" x14ac:dyDescent="0.35">
      <c r="A8" t="s">
        <v>85</v>
      </c>
      <c r="C8" s="7" t="s">
        <v>86</v>
      </c>
      <c r="F8" s="10" t="s">
        <v>91</v>
      </c>
      <c r="G8" s="15">
        <v>166</v>
      </c>
    </row>
    <row r="9" spans="1:7" x14ac:dyDescent="0.35">
      <c r="A9" s="15">
        <v>7911690</v>
      </c>
      <c r="C9" s="8">
        <f>GETPIVOTDATA("Amount",$A$8)</f>
        <v>7911690</v>
      </c>
    </row>
    <row r="10" spans="1:7" x14ac:dyDescent="0.35">
      <c r="F10" s="9" t="s">
        <v>90</v>
      </c>
      <c r="G10" t="s">
        <v>85</v>
      </c>
    </row>
    <row r="11" spans="1:7" x14ac:dyDescent="0.35">
      <c r="A11" t="s">
        <v>85</v>
      </c>
      <c r="C11" s="7" t="s">
        <v>87</v>
      </c>
      <c r="F11" s="10" t="s">
        <v>97</v>
      </c>
      <c r="G11" s="15">
        <v>2711965</v>
      </c>
    </row>
    <row r="12" spans="1:7" x14ac:dyDescent="0.35">
      <c r="A12" s="15">
        <v>4403923.4000000004</v>
      </c>
      <c r="C12" s="8">
        <f>GETPIVOTDATA("Amount",$A$11)</f>
        <v>4403923.4000000004</v>
      </c>
      <c r="F12" s="10" t="s">
        <v>8</v>
      </c>
      <c r="G12" s="15">
        <v>958180</v>
      </c>
    </row>
    <row r="13" spans="1:7" x14ac:dyDescent="0.35">
      <c r="F13" s="10" t="s">
        <v>5</v>
      </c>
      <c r="G13" s="15">
        <v>312000</v>
      </c>
    </row>
    <row r="14" spans="1:7" x14ac:dyDescent="0.35">
      <c r="A14" t="s">
        <v>88</v>
      </c>
      <c r="C14" s="7" t="s">
        <v>64</v>
      </c>
      <c r="F14" s="10" t="s">
        <v>10</v>
      </c>
      <c r="G14" s="15">
        <v>255352.8</v>
      </c>
    </row>
    <row r="15" spans="1:7" x14ac:dyDescent="0.35">
      <c r="A15" s="15">
        <v>4176763</v>
      </c>
      <c r="C15" s="8">
        <f>GETPIVOTDATA("Stock Amt",$A$14)</f>
        <v>4176763</v>
      </c>
      <c r="F15" s="10" t="s">
        <v>6</v>
      </c>
      <c r="G15" s="15">
        <v>126960</v>
      </c>
    </row>
    <row r="16" spans="1:7" x14ac:dyDescent="0.35">
      <c r="F16" s="10" t="s">
        <v>91</v>
      </c>
      <c r="G16" s="15">
        <v>4364457.8</v>
      </c>
    </row>
    <row r="17" spans="1:3" x14ac:dyDescent="0.35">
      <c r="C17" s="7" t="s">
        <v>89</v>
      </c>
    </row>
    <row r="18" spans="1:3" x14ac:dyDescent="0.35">
      <c r="C18" s="8">
        <f>C15+C12-C9</f>
        <v>668996.40000000037</v>
      </c>
    </row>
    <row r="19" spans="1:3" x14ac:dyDescent="0.35">
      <c r="C19" s="8"/>
    </row>
    <row r="20" spans="1:3" x14ac:dyDescent="0.35">
      <c r="A20" s="9" t="s">
        <v>90</v>
      </c>
      <c r="B20" t="s">
        <v>94</v>
      </c>
    </row>
    <row r="21" spans="1:3" x14ac:dyDescent="0.35">
      <c r="A21" s="10" t="s">
        <v>45</v>
      </c>
      <c r="B21" s="15">
        <v>1</v>
      </c>
    </row>
    <row r="22" spans="1:3" x14ac:dyDescent="0.35">
      <c r="A22" s="10" t="s">
        <v>42</v>
      </c>
      <c r="B22" s="15">
        <v>25</v>
      </c>
    </row>
    <row r="23" spans="1:3" x14ac:dyDescent="0.35">
      <c r="A23" s="10" t="s">
        <v>46</v>
      </c>
      <c r="B23" s="15">
        <v>2</v>
      </c>
    </row>
    <row r="24" spans="1:3" x14ac:dyDescent="0.35">
      <c r="A24" s="10" t="s">
        <v>40</v>
      </c>
      <c r="B24" s="15">
        <v>47</v>
      </c>
    </row>
    <row r="25" spans="1:3" x14ac:dyDescent="0.35">
      <c r="A25" s="10" t="s">
        <v>43</v>
      </c>
      <c r="B25" s="15">
        <v>1</v>
      </c>
    </row>
    <row r="26" spans="1:3" x14ac:dyDescent="0.35">
      <c r="A26" s="10" t="s">
        <v>44</v>
      </c>
      <c r="B26" s="15">
        <v>30</v>
      </c>
    </row>
    <row r="27" spans="1:3" x14ac:dyDescent="0.35">
      <c r="A27" s="10" t="s">
        <v>39</v>
      </c>
      <c r="B27" s="15">
        <v>31</v>
      </c>
    </row>
    <row r="28" spans="1:3" x14ac:dyDescent="0.35">
      <c r="A28" s="10" t="s">
        <v>47</v>
      </c>
      <c r="B28" s="15">
        <v>26</v>
      </c>
    </row>
    <row r="29" spans="1:3" x14ac:dyDescent="0.35">
      <c r="A29" s="10" t="s">
        <v>48</v>
      </c>
      <c r="B29" s="15">
        <v>21</v>
      </c>
    </row>
    <row r="30" spans="1:3" x14ac:dyDescent="0.35">
      <c r="A30" s="10" t="s">
        <v>41</v>
      </c>
      <c r="B30" s="15">
        <v>100</v>
      </c>
    </row>
    <row r="31" spans="1:3" x14ac:dyDescent="0.35">
      <c r="A31" s="10" t="s">
        <v>91</v>
      </c>
      <c r="B31" s="15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Customers</vt:lpstr>
      <vt:lpstr>Products</vt:lpstr>
      <vt:lpstr>Vendors</vt:lpstr>
      <vt:lpstr>New_Entry</vt:lpstr>
      <vt:lpstr>Purchase</vt:lpstr>
      <vt:lpstr>Sales</vt:lpstr>
      <vt:lpstr>Inventory</vt:lpstr>
      <vt:lpstr>Pivots</vt:lpstr>
      <vt:lpstr>CID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Hirdesh Kumar Yadav</dc:creator>
  <cp:keywords>Hirdesh</cp:keywords>
  <cp:lastModifiedBy>Hirdesh Kumar Yadav</cp:lastModifiedBy>
  <cp:lastPrinted>2025-08-30T07:23:25Z</cp:lastPrinted>
  <dcterms:created xsi:type="dcterms:W3CDTF">2025-08-13T11:22:53Z</dcterms:created>
  <dcterms:modified xsi:type="dcterms:W3CDTF">2025-08-30T17:35:45Z</dcterms:modified>
</cp:coreProperties>
</file>